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1ÖNKORMÁNYZATI RENDELETEK\Önkormányzati rendeletek összes\Önkormányzati rendeletek összes dokumentum\2017-5\"/>
    </mc:Choice>
  </mc:AlternateContent>
  <bookViews>
    <workbookView xWindow="0" yWindow="0" windowWidth="24000" windowHeight="9135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let" sheetId="7" r:id="rId7"/>
    <sheet name="8. sz. melléklet" sheetId="8" r:id="rId8"/>
    <sheet name="9. sz. melléklet" sheetId="9" r:id="rId9"/>
    <sheet name="10. sz. melléklet" sheetId="10" r:id="rId10"/>
    <sheet name="11. sz. melléklet" sheetId="13" r:id="rId11"/>
    <sheet name="12. sz. melléklet" sheetId="14" r:id="rId12"/>
    <sheet name="13. sz. melléklet" sheetId="11" r:id="rId13"/>
    <sheet name="14. sz. melléklet" sheetId="15" r:id="rId14"/>
    <sheet name="15. sz. melléklet" sheetId="16" r:id="rId15"/>
    <sheet name="16. sz. melléklet" sheetId="17" r:id="rId16"/>
    <sheet name="17. sz. melléklet" sheetId="18" r:id="rId17"/>
    <sheet name="18. sz. melléklet" sheetId="12" r:id="rId18"/>
  </sheets>
  <externalReferences>
    <externalReference r:id="rId19"/>
  </externalReferences>
  <definedNames>
    <definedName name="_xlnm.Print_Area" localSheetId="9">'10. sz. melléklet'!$A$1:$AX$19</definedName>
    <definedName name="_xlnm.Print_Area" localSheetId="10">'11. sz. melléklet'!$A$1:$F$177</definedName>
    <definedName name="_xlnm.Print_Area" localSheetId="11">'12. sz. melléklet'!$A$1:$F$254</definedName>
    <definedName name="_xlnm.Print_Area" localSheetId="12">'13. sz. melléklet'!$A$1:$AS$39</definedName>
    <definedName name="_xlnm.Print_Area" localSheetId="13">'14. sz. melléklet'!$A$1:$Z$17</definedName>
    <definedName name="_xlnm.Print_Area" localSheetId="3">'4. sz. melléklet'!$A$1:$E$374</definedName>
    <definedName name="_xlnm.Print_Area" localSheetId="4">'5. sz. melléklet'!$A$1:$B$17</definedName>
    <definedName name="_xlnm.Print_Area" localSheetId="8">'9. sz. melléklet'!$A$1:$AY$39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4" l="1"/>
  <c r="F118" i="13"/>
  <c r="F119" i="13"/>
  <c r="F120" i="13"/>
  <c r="F121" i="13"/>
  <c r="F122" i="13"/>
  <c r="F123" i="13"/>
  <c r="F125" i="13"/>
  <c r="F126" i="13"/>
  <c r="F127" i="13"/>
  <c r="F128" i="13"/>
  <c r="F129" i="13"/>
  <c r="E10" i="13" l="1"/>
  <c r="E236" i="14"/>
  <c r="F247" i="14"/>
  <c r="F210" i="14"/>
  <c r="E210" i="14"/>
  <c r="F189" i="14"/>
  <c r="F190" i="14"/>
  <c r="F191" i="14"/>
  <c r="F192" i="14"/>
  <c r="F193" i="14"/>
  <c r="F194" i="14"/>
  <c r="F195" i="14"/>
  <c r="F196" i="14"/>
  <c r="F185" i="14"/>
  <c r="F172" i="14"/>
  <c r="F174" i="14"/>
  <c r="F171" i="14"/>
  <c r="F170" i="14"/>
  <c r="F169" i="14"/>
  <c r="F168" i="14"/>
  <c r="F167" i="14"/>
  <c r="F166" i="14"/>
  <c r="F165" i="14"/>
  <c r="F164" i="14"/>
  <c r="F162" i="14"/>
  <c r="F156" i="14"/>
  <c r="F157" i="14"/>
  <c r="F158" i="14"/>
  <c r="F159" i="14"/>
  <c r="E131" i="14"/>
  <c r="E141" i="14" s="1"/>
  <c r="F141" i="14" s="1"/>
  <c r="F128" i="14"/>
  <c r="E72" i="14"/>
  <c r="E128" i="14" s="1"/>
  <c r="F95" i="14"/>
  <c r="F96" i="14"/>
  <c r="F97" i="14"/>
  <c r="F98" i="14"/>
  <c r="E102" i="14"/>
  <c r="E151" i="13"/>
  <c r="F88" i="14"/>
  <c r="F90" i="14"/>
  <c r="F161" i="13"/>
  <c r="F160" i="13"/>
  <c r="F151" i="13"/>
  <c r="F31" i="14"/>
  <c r="F14" i="14"/>
  <c r="F13" i="14"/>
  <c r="F117" i="13"/>
  <c r="E225" i="14"/>
  <c r="E74" i="13"/>
  <c r="F224" i="14"/>
  <c r="F77" i="13"/>
  <c r="F74" i="13"/>
  <c r="F82" i="14"/>
  <c r="F205" i="14"/>
  <c r="F96" i="13"/>
  <c r="F103" i="13"/>
  <c r="E46" i="14"/>
  <c r="F45" i="14"/>
  <c r="F9" i="13"/>
  <c r="E61" i="13"/>
  <c r="F61" i="13"/>
  <c r="E231" i="14"/>
  <c r="F231" i="14" s="1"/>
  <c r="E132" i="13"/>
  <c r="E137" i="14"/>
  <c r="F137" i="14" s="1"/>
  <c r="F111" i="13"/>
  <c r="F110" i="13"/>
  <c r="E111" i="13"/>
  <c r="F111" i="14"/>
  <c r="F136" i="13"/>
  <c r="F155" i="14"/>
  <c r="F151" i="14"/>
  <c r="E151" i="14"/>
  <c r="E120" i="14"/>
  <c r="F120" i="14" s="1"/>
  <c r="F50" i="13"/>
  <c r="E50" i="13"/>
  <c r="F123" i="14"/>
  <c r="F27" i="13"/>
  <c r="F144" i="14"/>
  <c r="F188" i="14"/>
  <c r="F49" i="14"/>
  <c r="F13" i="13"/>
  <c r="F21" i="13"/>
  <c r="F20" i="13"/>
  <c r="F236" i="14" l="1"/>
  <c r="F177" i="14" l="1"/>
  <c r="F252" i="14"/>
  <c r="F250" i="14"/>
  <c r="F175" i="13"/>
  <c r="F95" i="13"/>
  <c r="F234" i="14"/>
  <c r="F132" i="13"/>
  <c r="F92" i="13"/>
  <c r="F89" i="13"/>
  <c r="F37" i="14"/>
  <c r="F19" i="14"/>
  <c r="F102" i="13"/>
  <c r="F101" i="13"/>
  <c r="F38" i="13"/>
  <c r="B16" i="18"/>
  <c r="I14" i="17"/>
  <c r="D14" i="17"/>
  <c r="L19" i="16"/>
  <c r="K19" i="16"/>
  <c r="H19" i="16"/>
  <c r="K14" i="16"/>
  <c r="C16" i="18" l="1"/>
  <c r="I15" i="17"/>
  <c r="I16" i="17" s="1"/>
  <c r="G15" i="17"/>
  <c r="G16" i="17" s="1"/>
  <c r="F15" i="17"/>
  <c r="F16" i="17" s="1"/>
  <c r="E15" i="17"/>
  <c r="E16" i="17" s="1"/>
  <c r="C15" i="17"/>
  <c r="C16" i="17" s="1"/>
  <c r="H14" i="17"/>
  <c r="H15" i="17" s="1"/>
  <c r="H16" i="17" s="1"/>
  <c r="D15" i="17" l="1"/>
  <c r="D16" i="17" s="1"/>
  <c r="R14" i="15"/>
  <c r="R17" i="15"/>
  <c r="W17" i="15"/>
  <c r="Y17" i="15"/>
  <c r="S17" i="15"/>
  <c r="Q17" i="15"/>
  <c r="M17" i="15"/>
  <c r="K17" i="15"/>
  <c r="E17" i="15"/>
  <c r="G17" i="15"/>
  <c r="G16" i="15"/>
  <c r="F16" i="15"/>
  <c r="E16" i="15"/>
  <c r="D16" i="15"/>
  <c r="C16" i="15"/>
  <c r="B16" i="15"/>
  <c r="G15" i="15"/>
  <c r="F15" i="15"/>
  <c r="E15" i="15"/>
  <c r="D15" i="15"/>
  <c r="C15" i="15"/>
  <c r="B15" i="15"/>
  <c r="X14" i="15"/>
  <c r="X17" i="15" s="1"/>
  <c r="V14" i="15"/>
  <c r="V17" i="15" s="1"/>
  <c r="U14" i="15"/>
  <c r="U17" i="15" s="1"/>
  <c r="T14" i="15"/>
  <c r="T17" i="15" s="1"/>
  <c r="P14" i="15"/>
  <c r="P17" i="15" s="1"/>
  <c r="O14" i="15"/>
  <c r="O17" i="15" s="1"/>
  <c r="N14" i="15"/>
  <c r="N17" i="15" s="1"/>
  <c r="L14" i="15"/>
  <c r="L17" i="15" s="1"/>
  <c r="J14" i="15"/>
  <c r="J17" i="15" s="1"/>
  <c r="D17" i="15" s="1"/>
  <c r="I14" i="15"/>
  <c r="I17" i="15" s="1"/>
  <c r="C17" i="15" s="1"/>
  <c r="H14" i="15"/>
  <c r="H17" i="15" s="1"/>
  <c r="B17" i="15" s="1"/>
  <c r="G14" i="15"/>
  <c r="E14" i="15"/>
  <c r="C14" i="15"/>
  <c r="B14" i="15"/>
  <c r="G13" i="15"/>
  <c r="F13" i="15"/>
  <c r="E13" i="15"/>
  <c r="D13" i="15"/>
  <c r="C13" i="15"/>
  <c r="B13" i="15"/>
  <c r="G12" i="15"/>
  <c r="F12" i="15"/>
  <c r="E12" i="15"/>
  <c r="D12" i="15"/>
  <c r="C12" i="15"/>
  <c r="B12" i="15"/>
  <c r="G11" i="15"/>
  <c r="F11" i="15"/>
  <c r="E11" i="15"/>
  <c r="D11" i="15"/>
  <c r="C11" i="15"/>
  <c r="B11" i="15"/>
  <c r="G10" i="15"/>
  <c r="F10" i="15"/>
  <c r="E10" i="15"/>
  <c r="D10" i="15"/>
  <c r="C10" i="15"/>
  <c r="B10" i="15"/>
  <c r="F17" i="15" l="1"/>
  <c r="F14" i="15"/>
  <c r="D14" i="15"/>
  <c r="G100" i="6" l="1"/>
  <c r="G99" i="6"/>
  <c r="F202" i="14" l="1"/>
  <c r="D213" i="14"/>
  <c r="E97" i="13"/>
  <c r="E60" i="14"/>
  <c r="F60" i="14" s="1"/>
  <c r="F149" i="14"/>
  <c r="E34" i="13"/>
  <c r="F34" i="13" s="1"/>
  <c r="B161" i="14"/>
  <c r="F235" i="14"/>
  <c r="E105" i="13"/>
  <c r="E247" i="14"/>
  <c r="F148" i="14"/>
  <c r="F241" i="14"/>
  <c r="F244" i="14"/>
  <c r="F243" i="14"/>
  <c r="F242" i="14"/>
  <c r="F33" i="13"/>
  <c r="F32" i="13"/>
  <c r="F31" i="13"/>
  <c r="F30" i="13"/>
  <c r="F100" i="14"/>
  <c r="F146" i="13"/>
  <c r="F124" i="14"/>
  <c r="F206" i="14"/>
  <c r="F44" i="13"/>
  <c r="F136" i="14"/>
  <c r="F69" i="13"/>
  <c r="F21" i="14"/>
  <c r="F39" i="14"/>
  <c r="F131" i="14"/>
  <c r="E125" i="14"/>
  <c r="E39" i="13"/>
  <c r="F39" i="13" s="1"/>
  <c r="F8" i="14"/>
  <c r="F26" i="14"/>
  <c r="E56" i="14"/>
  <c r="F56" i="14" s="1"/>
  <c r="F22" i="13"/>
  <c r="E22" i="13"/>
  <c r="F135" i="13"/>
  <c r="F8" i="13"/>
  <c r="F44" i="14"/>
  <c r="F87" i="14"/>
  <c r="F104" i="13"/>
  <c r="F17" i="13"/>
  <c r="F53" i="14"/>
  <c r="F48" i="14"/>
  <c r="F12" i="13"/>
  <c r="F145" i="14"/>
  <c r="F26" i="13"/>
  <c r="F93" i="14"/>
  <c r="F15" i="14"/>
  <c r="E148" i="13"/>
  <c r="F148" i="13" s="1"/>
  <c r="E34" i="14"/>
  <c r="F34" i="14" s="1"/>
  <c r="E16" i="14"/>
  <c r="F16" i="14" s="1"/>
  <c r="F29" i="14"/>
  <c r="F11" i="14"/>
  <c r="F59" i="13"/>
  <c r="E252" i="14" l="1"/>
  <c r="F245" i="14"/>
  <c r="F220" i="14"/>
  <c r="F178" i="14"/>
  <c r="E41" i="14"/>
  <c r="F40" i="14"/>
  <c r="E23" i="14"/>
  <c r="F22" i="14"/>
  <c r="C252" i="14"/>
  <c r="D251" i="14"/>
  <c r="C247" i="14"/>
  <c r="D240" i="14"/>
  <c r="F240" i="14" s="1"/>
  <c r="C236" i="14"/>
  <c r="D230" i="14"/>
  <c r="F230" i="14" s="1"/>
  <c r="D226" i="14"/>
  <c r="F226" i="14" s="1"/>
  <c r="D225" i="14"/>
  <c r="F225" i="14" s="1"/>
  <c r="D220" i="14"/>
  <c r="D218" i="14"/>
  <c r="C210" i="14"/>
  <c r="B209" i="14"/>
  <c r="D208" i="14" s="1"/>
  <c r="F208" i="14" s="1"/>
  <c r="D207" i="14"/>
  <c r="D202" i="14"/>
  <c r="D199" i="14"/>
  <c r="D196" i="14"/>
  <c r="D194" i="14"/>
  <c r="C185" i="14"/>
  <c r="B184" i="14"/>
  <c r="B181" i="14" s="1"/>
  <c r="D178" i="14" s="1"/>
  <c r="D177" i="14"/>
  <c r="D176" i="14"/>
  <c r="F176" i="14" s="1"/>
  <c r="D174" i="14"/>
  <c r="D173" i="14"/>
  <c r="D172" i="14"/>
  <c r="D169" i="14"/>
  <c r="D163" i="14"/>
  <c r="B160" i="14"/>
  <c r="D156" i="14"/>
  <c r="B150" i="14"/>
  <c r="D147" i="14"/>
  <c r="F147" i="14" s="1"/>
  <c r="D146" i="14"/>
  <c r="F146" i="14" s="1"/>
  <c r="C141" i="14"/>
  <c r="D141" i="14"/>
  <c r="C128" i="14"/>
  <c r="D127" i="14"/>
  <c r="F127" i="14" s="1"/>
  <c r="D102" i="14"/>
  <c r="F102" i="14" s="1"/>
  <c r="D97" i="14"/>
  <c r="D96" i="14"/>
  <c r="D94" i="14"/>
  <c r="F94" i="14" s="1"/>
  <c r="D89" i="14"/>
  <c r="F89" i="14" s="1"/>
  <c r="D80" i="14"/>
  <c r="F80" i="14" s="1"/>
  <c r="D72" i="14"/>
  <c r="F72" i="14" s="1"/>
  <c r="D69" i="14"/>
  <c r="B67" i="14"/>
  <c r="E65" i="14" s="1"/>
  <c r="D65" i="14"/>
  <c r="D64" i="14"/>
  <c r="F64" i="14" s="1"/>
  <c r="D63" i="14"/>
  <c r="F63" i="14" s="1"/>
  <c r="B47" i="14"/>
  <c r="D46" i="14"/>
  <c r="C41" i="14"/>
  <c r="D40" i="14"/>
  <c r="D38" i="14"/>
  <c r="F38" i="14" s="1"/>
  <c r="D33" i="14"/>
  <c r="F33" i="14" s="1"/>
  <c r="D32" i="14"/>
  <c r="F32" i="14" s="1"/>
  <c r="C23" i="14"/>
  <c r="D22" i="14"/>
  <c r="D20" i="14"/>
  <c r="F20" i="14" s="1"/>
  <c r="E71" i="13"/>
  <c r="F71" i="13" s="1"/>
  <c r="F97" i="13"/>
  <c r="F162" i="13"/>
  <c r="F168" i="13"/>
  <c r="E164" i="13"/>
  <c r="B174" i="13"/>
  <c r="B171" i="13" s="1"/>
  <c r="D168" i="13" s="1"/>
  <c r="D167" i="13"/>
  <c r="D166" i="13"/>
  <c r="F166" i="13" s="1"/>
  <c r="C164" i="13"/>
  <c r="D163" i="13"/>
  <c r="F163" i="13" s="1"/>
  <c r="D162" i="13"/>
  <c r="D161" i="13"/>
  <c r="D151" i="13"/>
  <c r="D132" i="13"/>
  <c r="D131" i="13"/>
  <c r="F131" i="13" s="1"/>
  <c r="D130" i="13"/>
  <c r="F130" i="13" s="1"/>
  <c r="D124" i="13"/>
  <c r="D121" i="13"/>
  <c r="D118" i="13"/>
  <c r="D105" i="13"/>
  <c r="F105" i="13" s="1"/>
  <c r="D92" i="13"/>
  <c r="D89" i="13"/>
  <c r="D85" i="13"/>
  <c r="D83" i="13"/>
  <c r="D78" i="13"/>
  <c r="D76" i="13"/>
  <c r="F76" i="13" s="1"/>
  <c r="D74" i="13"/>
  <c r="C71" i="13"/>
  <c r="C165" i="13" s="1"/>
  <c r="C177" i="13" s="1"/>
  <c r="D70" i="13"/>
  <c r="F70" i="13" s="1"/>
  <c r="D68" i="13"/>
  <c r="F68" i="13" s="1"/>
  <c r="D61" i="13"/>
  <c r="D56" i="13"/>
  <c r="F56" i="13" s="1"/>
  <c r="D50" i="13"/>
  <c r="B48" i="13"/>
  <c r="E46" i="13" s="1"/>
  <c r="D46" i="13"/>
  <c r="D45" i="13"/>
  <c r="F45" i="13" s="1"/>
  <c r="D38" i="13"/>
  <c r="D29" i="13"/>
  <c r="F29" i="13" s="1"/>
  <c r="D28" i="13"/>
  <c r="D10" i="13"/>
  <c r="F10" i="13" s="1"/>
  <c r="D9" i="13"/>
  <c r="F28" i="13" l="1"/>
  <c r="D128" i="14"/>
  <c r="F46" i="14"/>
  <c r="F46" i="13"/>
  <c r="F65" i="14"/>
  <c r="D159" i="14"/>
  <c r="E159" i="14"/>
  <c r="E185" i="14" s="1"/>
  <c r="D164" i="13"/>
  <c r="F164" i="13" s="1"/>
  <c r="D23" i="14"/>
  <c r="F23" i="14" s="1"/>
  <c r="D210" i="14"/>
  <c r="D252" i="14"/>
  <c r="F254" i="14" s="1"/>
  <c r="F251" i="14"/>
  <c r="D71" i="13"/>
  <c r="C254" i="14"/>
  <c r="D41" i="14"/>
  <c r="D236" i="14"/>
  <c r="D247" i="14"/>
  <c r="F41" i="14"/>
  <c r="D185" i="14"/>
  <c r="E165" i="13"/>
  <c r="E177" i="13" s="1"/>
  <c r="E254" i="14" l="1"/>
  <c r="E178" i="13" s="1"/>
  <c r="E179" i="13" s="1"/>
  <c r="D165" i="13"/>
  <c r="D177" i="13" s="1"/>
  <c r="F165" i="13"/>
  <c r="F177" i="13" s="1"/>
  <c r="D254" i="14"/>
  <c r="R20" i="12"/>
  <c r="AR28" i="8"/>
  <c r="AS28" i="8"/>
  <c r="AT28" i="8"/>
  <c r="AV28" i="8"/>
  <c r="AW28" i="8"/>
  <c r="AX28" i="8"/>
  <c r="AZ28" i="8"/>
  <c r="BA28" i="8"/>
  <c r="BB28" i="8"/>
  <c r="F105" i="7"/>
  <c r="D105" i="7"/>
  <c r="F105" i="6"/>
  <c r="B18" i="5" l="1"/>
  <c r="U30" i="12" l="1"/>
  <c r="R12" i="12"/>
  <c r="Q30" i="12"/>
  <c r="F24" i="12"/>
  <c r="J24" i="12"/>
  <c r="Q24" i="12"/>
  <c r="F25" i="12"/>
  <c r="J25" i="12"/>
  <c r="Q25" i="12"/>
  <c r="F26" i="12"/>
  <c r="J26" i="12"/>
  <c r="Q26" i="12"/>
  <c r="F27" i="12"/>
  <c r="S30" i="12" s="1"/>
  <c r="Q27" i="12"/>
  <c r="Q28" i="12"/>
  <c r="D30" i="12"/>
  <c r="E30" i="12"/>
  <c r="G30" i="12"/>
  <c r="H30" i="12"/>
  <c r="I30" i="12"/>
  <c r="K30" i="12"/>
  <c r="L30" i="12"/>
  <c r="M30" i="12"/>
  <c r="N30" i="12"/>
  <c r="O30" i="12"/>
  <c r="R30" i="12"/>
  <c r="T30" i="12"/>
  <c r="P41" i="12"/>
  <c r="Q41" i="12"/>
  <c r="H35" i="12"/>
  <c r="Q38" i="12"/>
  <c r="G41" i="12"/>
  <c r="Q39" i="12"/>
  <c r="Q40" i="12"/>
  <c r="D41" i="12"/>
  <c r="H41" i="12"/>
  <c r="J41" i="12"/>
  <c r="K41" i="12"/>
  <c r="L41" i="12"/>
  <c r="M41" i="12"/>
  <c r="N41" i="12"/>
  <c r="N42" i="12" s="1"/>
  <c r="O41" i="12"/>
  <c r="R41" i="12"/>
  <c r="V41" i="12" s="1"/>
  <c r="U41" i="12"/>
  <c r="H42" i="12" l="1"/>
  <c r="V30" i="12"/>
  <c r="V42" i="12" s="1"/>
  <c r="K42" i="12"/>
  <c r="G42" i="12"/>
  <c r="J30" i="12"/>
  <c r="J42" i="12" s="1"/>
  <c r="R42" i="12"/>
  <c r="T41" i="12"/>
  <c r="T42" i="12" s="1"/>
  <c r="O42" i="12"/>
  <c r="F30" i="12"/>
  <c r="P30" i="12"/>
  <c r="P42" i="12" s="1"/>
  <c r="S41" i="12"/>
  <c r="S42" i="12" s="1"/>
  <c r="Q42" i="12"/>
  <c r="M42" i="12"/>
  <c r="U42" i="12"/>
  <c r="L42" i="12"/>
  <c r="D42" i="12"/>
  <c r="M33" i="11"/>
  <c r="I18" i="11"/>
  <c r="F41" i="12" l="1"/>
  <c r="F42" i="12" s="1"/>
  <c r="E41" i="12"/>
  <c r="E42" i="12" s="1"/>
  <c r="I41" i="12"/>
  <c r="I42" i="12" s="1"/>
  <c r="AF38" i="11"/>
  <c r="AE38" i="11"/>
  <c r="AD38" i="11"/>
  <c r="AB38" i="11"/>
  <c r="AA38" i="11"/>
  <c r="Z38" i="11"/>
  <c r="AL38" i="11" s="1"/>
  <c r="X38" i="11"/>
  <c r="W38" i="11"/>
  <c r="V38" i="11"/>
  <c r="T38" i="11"/>
  <c r="S38" i="11"/>
  <c r="R38" i="11"/>
  <c r="P38" i="11"/>
  <c r="O38" i="11"/>
  <c r="N38" i="11"/>
  <c r="L38" i="11"/>
  <c r="K38" i="11"/>
  <c r="J38" i="11"/>
  <c r="H38" i="11"/>
  <c r="G38" i="11"/>
  <c r="F38" i="11"/>
  <c r="D38" i="11"/>
  <c r="E38" i="11" s="1"/>
  <c r="C38" i="11"/>
  <c r="B38" i="11"/>
  <c r="AH38" i="11" s="1"/>
  <c r="AF35" i="11"/>
  <c r="AE35" i="11"/>
  <c r="AD35" i="11"/>
  <c r="AB35" i="11"/>
  <c r="AA35" i="11"/>
  <c r="Z35" i="11"/>
  <c r="X35" i="11"/>
  <c r="V35" i="11"/>
  <c r="T35" i="11"/>
  <c r="P35" i="11"/>
  <c r="O35" i="11"/>
  <c r="N35" i="11"/>
  <c r="L35" i="11"/>
  <c r="K35" i="11"/>
  <c r="J35" i="11"/>
  <c r="H35" i="11"/>
  <c r="G35" i="11"/>
  <c r="D35" i="11"/>
  <c r="C35" i="11"/>
  <c r="AN34" i="11"/>
  <c r="AN38" i="11" s="1"/>
  <c r="AM34" i="11"/>
  <c r="AL34" i="11"/>
  <c r="AJ34" i="11"/>
  <c r="AI34" i="11"/>
  <c r="AH34" i="11"/>
  <c r="AP34" i="11" s="1"/>
  <c r="I34" i="11"/>
  <c r="E34" i="11"/>
  <c r="AN33" i="11"/>
  <c r="AM33" i="11"/>
  <c r="AL33" i="11"/>
  <c r="AP33" i="11" s="1"/>
  <c r="AJ33" i="11"/>
  <c r="AI33" i="11"/>
  <c r="AQ33" i="11" s="1"/>
  <c r="AN32" i="11"/>
  <c r="AL32" i="11"/>
  <c r="AL35" i="11" s="1"/>
  <c r="AJ32" i="11"/>
  <c r="R32" i="11"/>
  <c r="R35" i="11" s="1"/>
  <c r="M32" i="11"/>
  <c r="I32" i="11"/>
  <c r="F32" i="11"/>
  <c r="F35" i="11" s="1"/>
  <c r="E32" i="11"/>
  <c r="B32" i="11"/>
  <c r="B35" i="11" s="1"/>
  <c r="AF29" i="11"/>
  <c r="AF37" i="11" s="1"/>
  <c r="AE29" i="11"/>
  <c r="AE37" i="11" s="1"/>
  <c r="AD29" i="11"/>
  <c r="AD37" i="11" s="1"/>
  <c r="AB29" i="11"/>
  <c r="AB37" i="11" s="1"/>
  <c r="AA29" i="11"/>
  <c r="AA37" i="11" s="1"/>
  <c r="Z29" i="11"/>
  <c r="Z37" i="11" s="1"/>
  <c r="X29" i="11"/>
  <c r="W29" i="11"/>
  <c r="W37" i="11" s="1"/>
  <c r="V29" i="11"/>
  <c r="T29" i="11"/>
  <c r="T37" i="11" s="1"/>
  <c r="R29" i="11"/>
  <c r="R37" i="11" s="1"/>
  <c r="P29" i="11"/>
  <c r="P37" i="11" s="1"/>
  <c r="O29" i="11"/>
  <c r="O37" i="11" s="1"/>
  <c r="N29" i="11"/>
  <c r="N37" i="11" s="1"/>
  <c r="L29" i="11"/>
  <c r="L37" i="11" s="1"/>
  <c r="H29" i="11"/>
  <c r="H37" i="11" s="1"/>
  <c r="G29" i="11"/>
  <c r="G37" i="11" s="1"/>
  <c r="F29" i="11"/>
  <c r="F37" i="11" s="1"/>
  <c r="D29" i="11"/>
  <c r="D37" i="11" s="1"/>
  <c r="C29" i="11"/>
  <c r="B29" i="11"/>
  <c r="B37" i="11" s="1"/>
  <c r="AF28" i="11"/>
  <c r="AD28" i="11"/>
  <c r="AD36" i="11" s="1"/>
  <c r="AB28" i="11"/>
  <c r="AA28" i="11"/>
  <c r="AA36" i="11" s="1"/>
  <c r="Z28" i="11"/>
  <c r="Z36" i="11" s="1"/>
  <c r="X28" i="11"/>
  <c r="W28" i="11"/>
  <c r="W36" i="11" s="1"/>
  <c r="V28" i="11"/>
  <c r="V36" i="11" s="1"/>
  <c r="T28" i="11"/>
  <c r="R28" i="11"/>
  <c r="R36" i="11" s="1"/>
  <c r="P28" i="11"/>
  <c r="P36" i="11" s="1"/>
  <c r="O28" i="11"/>
  <c r="N28" i="11"/>
  <c r="N36" i="11" s="1"/>
  <c r="L28" i="11"/>
  <c r="K28" i="11"/>
  <c r="H28" i="11"/>
  <c r="H36" i="11" s="1"/>
  <c r="G28" i="11"/>
  <c r="G30" i="11" s="1"/>
  <c r="F28" i="11"/>
  <c r="D28" i="11"/>
  <c r="C28" i="11"/>
  <c r="B28" i="11"/>
  <c r="AF27" i="11"/>
  <c r="AE27" i="11"/>
  <c r="AD27" i="11"/>
  <c r="AB27" i="11"/>
  <c r="AA27" i="11"/>
  <c r="Z27" i="11"/>
  <c r="X27" i="11"/>
  <c r="W27" i="11"/>
  <c r="V27" i="11"/>
  <c r="T27" i="11"/>
  <c r="R27" i="11"/>
  <c r="P27" i="11"/>
  <c r="O27" i="11"/>
  <c r="N27" i="11"/>
  <c r="L27" i="11"/>
  <c r="K27" i="11"/>
  <c r="H27" i="11"/>
  <c r="G27" i="11"/>
  <c r="F27" i="11"/>
  <c r="D27" i="11"/>
  <c r="C27" i="11"/>
  <c r="B27" i="11"/>
  <c r="AN26" i="11"/>
  <c r="AM26" i="11"/>
  <c r="AL26" i="11"/>
  <c r="AJ26" i="11"/>
  <c r="AI26" i="11"/>
  <c r="Y26" i="11"/>
  <c r="M26" i="11"/>
  <c r="J26" i="11"/>
  <c r="AH26" i="11" s="1"/>
  <c r="I26" i="11"/>
  <c r="E26" i="11"/>
  <c r="AN25" i="11"/>
  <c r="AM25" i="11"/>
  <c r="AL25" i="11"/>
  <c r="AL27" i="11" s="1"/>
  <c r="AJ25" i="11"/>
  <c r="Y25" i="11"/>
  <c r="U25" i="11"/>
  <c r="S27" i="11"/>
  <c r="M25" i="11"/>
  <c r="J25" i="11"/>
  <c r="AH25" i="11" s="1"/>
  <c r="AP25" i="11" s="1"/>
  <c r="I25" i="11"/>
  <c r="E25" i="11"/>
  <c r="AF23" i="11"/>
  <c r="AD23" i="11"/>
  <c r="AB23" i="11"/>
  <c r="AA23" i="11"/>
  <c r="Z23" i="11"/>
  <c r="X23" i="11"/>
  <c r="W23" i="11"/>
  <c r="Y23" i="11" s="1"/>
  <c r="V23" i="11"/>
  <c r="T23" i="11"/>
  <c r="S23" i="11"/>
  <c r="R23" i="11"/>
  <c r="P23" i="11"/>
  <c r="O23" i="11"/>
  <c r="N23" i="11"/>
  <c r="L23" i="11"/>
  <c r="K23" i="11"/>
  <c r="H23" i="11"/>
  <c r="G23" i="11"/>
  <c r="F23" i="11"/>
  <c r="D23" i="11"/>
  <c r="C23" i="11"/>
  <c r="B23" i="11"/>
  <c r="AN22" i="11"/>
  <c r="AM22" i="11"/>
  <c r="AL22" i="11"/>
  <c r="AJ22" i="11"/>
  <c r="AI22" i="11"/>
  <c r="AH22" i="11"/>
  <c r="AN21" i="11"/>
  <c r="AN23" i="11" s="1"/>
  <c r="AL21" i="11"/>
  <c r="AL23" i="11" s="1"/>
  <c r="AJ21" i="11"/>
  <c r="AJ23" i="11" s="1"/>
  <c r="AI21" i="11"/>
  <c r="AI23" i="11" s="1"/>
  <c r="AE21" i="11"/>
  <c r="AE28" i="11" s="1"/>
  <c r="AE36" i="11" s="1"/>
  <c r="AC21" i="11"/>
  <c r="Y21" i="11"/>
  <c r="U21" i="11"/>
  <c r="M21" i="11"/>
  <c r="J21" i="11"/>
  <c r="AH21" i="11" s="1"/>
  <c r="I21" i="11"/>
  <c r="E21" i="11"/>
  <c r="AF19" i="11"/>
  <c r="AE19" i="11"/>
  <c r="AD19" i="11"/>
  <c r="AB19" i="11"/>
  <c r="AA19" i="11"/>
  <c r="Z19" i="11"/>
  <c r="X19" i="11"/>
  <c r="W19" i="11"/>
  <c r="V19" i="11"/>
  <c r="T19" i="11"/>
  <c r="R19" i="11"/>
  <c r="P19" i="11"/>
  <c r="O19" i="11"/>
  <c r="N19" i="11"/>
  <c r="L19" i="11"/>
  <c r="H19" i="11"/>
  <c r="G19" i="11"/>
  <c r="F19" i="11"/>
  <c r="D19" i="11"/>
  <c r="C19" i="11"/>
  <c r="B19" i="11"/>
  <c r="AN18" i="11"/>
  <c r="AM18" i="11"/>
  <c r="AL18" i="11"/>
  <c r="AJ18" i="11"/>
  <c r="S29" i="11"/>
  <c r="S37" i="11" s="1"/>
  <c r="K18" i="11"/>
  <c r="M18" i="11" s="1"/>
  <c r="J18" i="11"/>
  <c r="AH18" i="11" s="1"/>
  <c r="AP18" i="11" s="1"/>
  <c r="AN17" i="11"/>
  <c r="AM17" i="11"/>
  <c r="AM19" i="11" s="1"/>
  <c r="AL17" i="11"/>
  <c r="AL19" i="11" s="1"/>
  <c r="AJ17" i="11"/>
  <c r="AI17" i="11"/>
  <c r="AH17" i="11"/>
  <c r="M17" i="11"/>
  <c r="I17" i="11"/>
  <c r="E17" i="11"/>
  <c r="AF15" i="11"/>
  <c r="AE15" i="11"/>
  <c r="AD15" i="11"/>
  <c r="AB15" i="11"/>
  <c r="AA15" i="11"/>
  <c r="Z15" i="11"/>
  <c r="X15" i="11"/>
  <c r="W15" i="11"/>
  <c r="V15" i="11"/>
  <c r="T15" i="11"/>
  <c r="S15" i="11"/>
  <c r="R15" i="11"/>
  <c r="P15" i="11"/>
  <c r="O15" i="11"/>
  <c r="N15" i="11"/>
  <c r="L15" i="11"/>
  <c r="K15" i="11"/>
  <c r="H15" i="11"/>
  <c r="G15" i="11"/>
  <c r="F15" i="11"/>
  <c r="D15" i="11"/>
  <c r="C15" i="11"/>
  <c r="B15" i="11"/>
  <c r="AN14" i="11"/>
  <c r="AM14" i="11"/>
  <c r="AL14" i="11"/>
  <c r="AP14" i="11" s="1"/>
  <c r="AJ14" i="11"/>
  <c r="AI14" i="11"/>
  <c r="AQ14" i="11" s="1"/>
  <c r="AH14" i="11"/>
  <c r="AN13" i="11"/>
  <c r="AN15" i="11" s="1"/>
  <c r="AM13" i="11"/>
  <c r="AM15" i="11" s="1"/>
  <c r="AL13" i="11"/>
  <c r="AL15" i="11" s="1"/>
  <c r="AJ13" i="11"/>
  <c r="Y13" i="11"/>
  <c r="AI13" i="11"/>
  <c r="M13" i="11"/>
  <c r="J13" i="11"/>
  <c r="J15" i="11" s="1"/>
  <c r="I13" i="11"/>
  <c r="E13" i="11"/>
  <c r="AK18" i="10"/>
  <c r="AJ18" i="10"/>
  <c r="AJ19" i="10" s="1"/>
  <c r="AI18" i="10"/>
  <c r="AI19" i="10" s="1"/>
  <c r="AE18" i="10"/>
  <c r="AD18" i="10"/>
  <c r="AA18" i="10"/>
  <c r="V18" i="10"/>
  <c r="R18" i="10"/>
  <c r="N18" i="10"/>
  <c r="M18" i="10"/>
  <c r="J18" i="10"/>
  <c r="F18" i="10"/>
  <c r="B18" i="10"/>
  <c r="AP26" i="9"/>
  <c r="AP25" i="9"/>
  <c r="AO26" i="9"/>
  <c r="AO25" i="9"/>
  <c r="AN25" i="9"/>
  <c r="AH26" i="9"/>
  <c r="AL33" i="9"/>
  <c r="AL18" i="9"/>
  <c r="Q18" i="9"/>
  <c r="AK38" i="9"/>
  <c r="AJ38" i="9"/>
  <c r="AI38" i="9"/>
  <c r="AG38" i="9"/>
  <c r="AF38" i="9"/>
  <c r="AE38" i="9"/>
  <c r="AC38" i="9"/>
  <c r="AB38" i="9"/>
  <c r="AA38" i="9"/>
  <c r="Y38" i="9"/>
  <c r="X38" i="9"/>
  <c r="W38" i="9"/>
  <c r="T38" i="9"/>
  <c r="S38" i="9"/>
  <c r="R38" i="9"/>
  <c r="P38" i="9"/>
  <c r="O38" i="9"/>
  <c r="N38" i="9"/>
  <c r="L38" i="9"/>
  <c r="K38" i="9"/>
  <c r="M38" i="9" s="1"/>
  <c r="J38" i="9"/>
  <c r="H38" i="9"/>
  <c r="G38" i="9"/>
  <c r="F38" i="9"/>
  <c r="D38" i="9"/>
  <c r="C38" i="9"/>
  <c r="B38" i="9"/>
  <c r="AK35" i="9"/>
  <c r="AJ35" i="9"/>
  <c r="AI35" i="9"/>
  <c r="AG35" i="9"/>
  <c r="AF35" i="9"/>
  <c r="AE35" i="9"/>
  <c r="AC35" i="9"/>
  <c r="AB35" i="9"/>
  <c r="AA35" i="9"/>
  <c r="Y35" i="9"/>
  <c r="X35" i="9"/>
  <c r="W35" i="9"/>
  <c r="T35" i="9"/>
  <c r="S35" i="9"/>
  <c r="R35" i="9"/>
  <c r="P35" i="9"/>
  <c r="N35" i="9"/>
  <c r="L35" i="9"/>
  <c r="K35" i="9"/>
  <c r="J35" i="9"/>
  <c r="H35" i="9"/>
  <c r="G35" i="9"/>
  <c r="F35" i="9"/>
  <c r="D35" i="9"/>
  <c r="C35" i="9"/>
  <c r="B35" i="9"/>
  <c r="AT34" i="9"/>
  <c r="AS34" i="9"/>
  <c r="AS38" i="9" s="1"/>
  <c r="AR34" i="9"/>
  <c r="AR38" i="9" s="1"/>
  <c r="AP34" i="9"/>
  <c r="AO34" i="9"/>
  <c r="AN34" i="9"/>
  <c r="AN38" i="9" s="1"/>
  <c r="M34" i="9"/>
  <c r="AT33" i="9"/>
  <c r="AS33" i="9"/>
  <c r="AR33" i="9"/>
  <c r="AP33" i="9"/>
  <c r="AX33" i="9" s="1"/>
  <c r="AO33" i="9"/>
  <c r="AW33" i="9" s="1"/>
  <c r="AN33" i="9"/>
  <c r="AV33" i="9" s="1"/>
  <c r="AT32" i="9"/>
  <c r="AS32" i="9"/>
  <c r="AR32" i="9"/>
  <c r="AP32" i="9"/>
  <c r="AX32" i="9" s="1"/>
  <c r="AN32" i="9"/>
  <c r="AV32" i="9" s="1"/>
  <c r="AL32" i="9"/>
  <c r="AH32" i="9"/>
  <c r="O35" i="9"/>
  <c r="E32" i="9"/>
  <c r="AK29" i="9"/>
  <c r="AK37" i="9" s="1"/>
  <c r="AJ29" i="9"/>
  <c r="AI29" i="9"/>
  <c r="AI37" i="9" s="1"/>
  <c r="AG29" i="9"/>
  <c r="AG37" i="9" s="1"/>
  <c r="AF29" i="9"/>
  <c r="AF37" i="9" s="1"/>
  <c r="AE29" i="9"/>
  <c r="AE37" i="9" s="1"/>
  <c r="AC29" i="9"/>
  <c r="AC37" i="9" s="1"/>
  <c r="AB29" i="9"/>
  <c r="AB37" i="9" s="1"/>
  <c r="AB39" i="9" s="1"/>
  <c r="AA29" i="9"/>
  <c r="AA37" i="9" s="1"/>
  <c r="Y29" i="9"/>
  <c r="Y37" i="9" s="1"/>
  <c r="X29" i="9"/>
  <c r="X37" i="9" s="1"/>
  <c r="W29" i="9"/>
  <c r="W37" i="9" s="1"/>
  <c r="T29" i="9"/>
  <c r="T37" i="9" s="1"/>
  <c r="S29" i="9"/>
  <c r="S37" i="9" s="1"/>
  <c r="R29" i="9"/>
  <c r="R37" i="9" s="1"/>
  <c r="P29" i="9"/>
  <c r="P37" i="9" s="1"/>
  <c r="O29" i="9"/>
  <c r="N29" i="9"/>
  <c r="N37" i="9" s="1"/>
  <c r="L29" i="9"/>
  <c r="L37" i="9" s="1"/>
  <c r="K29" i="9"/>
  <c r="K37" i="9" s="1"/>
  <c r="J29" i="9"/>
  <c r="J37" i="9" s="1"/>
  <c r="H29" i="9"/>
  <c r="H37" i="9" s="1"/>
  <c r="G29" i="9"/>
  <c r="G37" i="9" s="1"/>
  <c r="F29" i="9"/>
  <c r="F37" i="9" s="1"/>
  <c r="D29" i="9"/>
  <c r="D37" i="9" s="1"/>
  <c r="C29" i="9"/>
  <c r="C37" i="9" s="1"/>
  <c r="B29" i="9"/>
  <c r="B37" i="9" s="1"/>
  <c r="AK28" i="9"/>
  <c r="AJ28" i="9"/>
  <c r="AJ36" i="9" s="1"/>
  <c r="AI28" i="9"/>
  <c r="AG28" i="9"/>
  <c r="AE28" i="9"/>
  <c r="AC28" i="9"/>
  <c r="AC36" i="9" s="1"/>
  <c r="AB28" i="9"/>
  <c r="AB30" i="9" s="1"/>
  <c r="AA28" i="9"/>
  <c r="Y28" i="9"/>
  <c r="Y36" i="9" s="1"/>
  <c r="X28" i="9"/>
  <c r="X36" i="9" s="1"/>
  <c r="W28" i="9"/>
  <c r="W36" i="9" s="1"/>
  <c r="W39" i="9" s="1"/>
  <c r="T28" i="9"/>
  <c r="T36" i="9" s="1"/>
  <c r="S28" i="9"/>
  <c r="R28" i="9"/>
  <c r="R36" i="9" s="1"/>
  <c r="P28" i="9"/>
  <c r="O28" i="9"/>
  <c r="O36" i="9" s="1"/>
  <c r="N28" i="9"/>
  <c r="N36" i="9" s="1"/>
  <c r="L28" i="9"/>
  <c r="L36" i="9" s="1"/>
  <c r="L39" i="9" s="1"/>
  <c r="K28" i="9"/>
  <c r="J28" i="9"/>
  <c r="J36" i="9" s="1"/>
  <c r="H28" i="9"/>
  <c r="G28" i="9"/>
  <c r="G36" i="9" s="1"/>
  <c r="G39" i="9" s="1"/>
  <c r="F28" i="9"/>
  <c r="D28" i="9"/>
  <c r="C28" i="9"/>
  <c r="C30" i="9" s="1"/>
  <c r="B28" i="9"/>
  <c r="B30" i="9" s="1"/>
  <c r="AK27" i="9"/>
  <c r="AJ27" i="9"/>
  <c r="AI27" i="9"/>
  <c r="AG27" i="9"/>
  <c r="AF27" i="9"/>
  <c r="AE27" i="9"/>
  <c r="AC27" i="9"/>
  <c r="AB27" i="9"/>
  <c r="AA27" i="9"/>
  <c r="Y27" i="9"/>
  <c r="X27" i="9"/>
  <c r="W27" i="9"/>
  <c r="T27" i="9"/>
  <c r="S27" i="9"/>
  <c r="R27" i="9"/>
  <c r="P27" i="9"/>
  <c r="O27" i="9"/>
  <c r="N27" i="9"/>
  <c r="L27" i="9"/>
  <c r="K27" i="9"/>
  <c r="J27" i="9"/>
  <c r="H27" i="9"/>
  <c r="G27" i="9"/>
  <c r="F27" i="9"/>
  <c r="D27" i="9"/>
  <c r="C27" i="9"/>
  <c r="B27" i="9"/>
  <c r="AT26" i="9"/>
  <c r="AS26" i="9"/>
  <c r="AR26" i="9"/>
  <c r="AN26" i="9"/>
  <c r="AL26" i="9"/>
  <c r="Q26" i="9"/>
  <c r="AT25" i="9"/>
  <c r="AT27" i="9" s="1"/>
  <c r="AS25" i="9"/>
  <c r="AS27" i="9" s="1"/>
  <c r="AR25" i="9"/>
  <c r="AR27" i="9" s="1"/>
  <c r="AL25" i="9"/>
  <c r="AH25" i="9"/>
  <c r="Q25" i="9"/>
  <c r="E25" i="9"/>
  <c r="AK23" i="9"/>
  <c r="AJ23" i="9"/>
  <c r="AI23" i="9"/>
  <c r="AG23" i="9"/>
  <c r="AE23" i="9"/>
  <c r="AC23" i="9"/>
  <c r="AB23" i="9"/>
  <c r="AA23" i="9"/>
  <c r="Y23" i="9"/>
  <c r="X23" i="9"/>
  <c r="W23" i="9"/>
  <c r="T23" i="9"/>
  <c r="S23" i="9"/>
  <c r="R23" i="9"/>
  <c r="P23" i="9"/>
  <c r="O23" i="9"/>
  <c r="N23" i="9"/>
  <c r="L23" i="9"/>
  <c r="K23" i="9"/>
  <c r="J23" i="9"/>
  <c r="H23" i="9"/>
  <c r="G23" i="9"/>
  <c r="F23" i="9"/>
  <c r="D23" i="9"/>
  <c r="C23" i="9"/>
  <c r="B23" i="9"/>
  <c r="AT22" i="9"/>
  <c r="AS22" i="9"/>
  <c r="AR22" i="9"/>
  <c r="AR23" i="9" s="1"/>
  <c r="AP22" i="9"/>
  <c r="AX22" i="9" s="1"/>
  <c r="AO22" i="9"/>
  <c r="AN22" i="9"/>
  <c r="AV22" i="9" s="1"/>
  <c r="AT21" i="9"/>
  <c r="AS21" i="9"/>
  <c r="AS23" i="9" s="1"/>
  <c r="AP21" i="9"/>
  <c r="AN21" i="9"/>
  <c r="AV21" i="9" s="1"/>
  <c r="AV23" i="9" s="1"/>
  <c r="AL21" i="9"/>
  <c r="AH21" i="9"/>
  <c r="AF21" i="9"/>
  <c r="AO21" i="9" s="1"/>
  <c r="Q21" i="9"/>
  <c r="I21" i="9"/>
  <c r="E21" i="9"/>
  <c r="AK19" i="9"/>
  <c r="AJ19" i="9"/>
  <c r="AI19" i="9"/>
  <c r="AG19" i="9"/>
  <c r="AZ19" i="9" s="1"/>
  <c r="AF19" i="9"/>
  <c r="AE19" i="9"/>
  <c r="AC19" i="9"/>
  <c r="AB19" i="9"/>
  <c r="AA19" i="9"/>
  <c r="Y19" i="9"/>
  <c r="X19" i="9"/>
  <c r="W19" i="9"/>
  <c r="T19" i="9"/>
  <c r="S19" i="9"/>
  <c r="R19" i="9"/>
  <c r="P19" i="9"/>
  <c r="O19" i="9"/>
  <c r="N19" i="9"/>
  <c r="L19" i="9"/>
  <c r="K19" i="9"/>
  <c r="J19" i="9"/>
  <c r="H19" i="9"/>
  <c r="G19" i="9"/>
  <c r="F19" i="9"/>
  <c r="D19" i="9"/>
  <c r="C19" i="9"/>
  <c r="B19" i="9"/>
  <c r="AT18" i="9"/>
  <c r="AS18" i="9"/>
  <c r="AR18" i="9"/>
  <c r="AP18" i="9"/>
  <c r="AO18" i="9"/>
  <c r="AN18" i="9"/>
  <c r="AT17" i="9"/>
  <c r="AS17" i="9"/>
  <c r="AR17" i="9"/>
  <c r="AP17" i="9"/>
  <c r="AO17" i="9"/>
  <c r="AN17" i="9"/>
  <c r="AN19" i="9" s="1"/>
  <c r="AL17" i="9"/>
  <c r="AH17" i="9"/>
  <c r="Q17" i="9"/>
  <c r="E17" i="9"/>
  <c r="AK15" i="9"/>
  <c r="AJ15" i="9"/>
  <c r="AI15" i="9"/>
  <c r="AG15" i="9"/>
  <c r="AZ15" i="9" s="1"/>
  <c r="AF15" i="9"/>
  <c r="AE15" i="9"/>
  <c r="AC15" i="9"/>
  <c r="AB15" i="9"/>
  <c r="AA15" i="9"/>
  <c r="Y15" i="9"/>
  <c r="X15" i="9"/>
  <c r="W15" i="9"/>
  <c r="T15" i="9"/>
  <c r="S15" i="9"/>
  <c r="R15" i="9"/>
  <c r="P15" i="9"/>
  <c r="Q15" i="9" s="1"/>
  <c r="O15" i="9"/>
  <c r="N15" i="9"/>
  <c r="L15" i="9"/>
  <c r="K15" i="9"/>
  <c r="J15" i="9"/>
  <c r="H15" i="9"/>
  <c r="G15" i="9"/>
  <c r="F15" i="9"/>
  <c r="D15" i="9"/>
  <c r="C15" i="9"/>
  <c r="E15" i="9" s="1"/>
  <c r="B15" i="9"/>
  <c r="AT14" i="9"/>
  <c r="AS14" i="9"/>
  <c r="AR14" i="9"/>
  <c r="AP14" i="9"/>
  <c r="AO14" i="9"/>
  <c r="AN14" i="9"/>
  <c r="AT13" i="9"/>
  <c r="AS13" i="9"/>
  <c r="AR13" i="9"/>
  <c r="AR15" i="9" s="1"/>
  <c r="AP13" i="9"/>
  <c r="AX13" i="9" s="1"/>
  <c r="AO13" i="9"/>
  <c r="AN13" i="9"/>
  <c r="AN15" i="9" s="1"/>
  <c r="AL13" i="9"/>
  <c r="AH13" i="9"/>
  <c r="Q13" i="9"/>
  <c r="E13" i="9"/>
  <c r="AR48" i="8"/>
  <c r="AS48" i="8"/>
  <c r="AT48" i="8"/>
  <c r="AV48" i="8"/>
  <c r="AW48" i="8"/>
  <c r="AX48" i="8"/>
  <c r="AZ48" i="8"/>
  <c r="BA48" i="8"/>
  <c r="BB48" i="8"/>
  <c r="AD47" i="8"/>
  <c r="AD46" i="8"/>
  <c r="AD45" i="8"/>
  <c r="AR39" i="8"/>
  <c r="AS39" i="8"/>
  <c r="AT39" i="8"/>
  <c r="AV39" i="8"/>
  <c r="AW39" i="8"/>
  <c r="AX39" i="8"/>
  <c r="AZ39" i="8"/>
  <c r="BA39" i="8"/>
  <c r="BB39" i="8"/>
  <c r="I44" i="8"/>
  <c r="I43" i="8"/>
  <c r="I20" i="8"/>
  <c r="AX20" i="8"/>
  <c r="BB20" i="8"/>
  <c r="E42" i="8"/>
  <c r="E41" i="8"/>
  <c r="AR43" i="8"/>
  <c r="AS43" i="8"/>
  <c r="AT43" i="8"/>
  <c r="AV43" i="8"/>
  <c r="AW43" i="8"/>
  <c r="AX43" i="8"/>
  <c r="AZ43" i="8"/>
  <c r="BA43" i="8"/>
  <c r="BB43" i="8"/>
  <c r="AR44" i="8"/>
  <c r="AS44" i="8"/>
  <c r="AT44" i="8"/>
  <c r="AV44" i="8"/>
  <c r="AW44" i="8"/>
  <c r="AX44" i="8"/>
  <c r="AZ44" i="8"/>
  <c r="BA44" i="8"/>
  <c r="BB44" i="8"/>
  <c r="AR45" i="8"/>
  <c r="AS45" i="8"/>
  <c r="AT45" i="8"/>
  <c r="AV45" i="8"/>
  <c r="AW45" i="8"/>
  <c r="AX45" i="8"/>
  <c r="AZ45" i="8"/>
  <c r="BA45" i="8"/>
  <c r="BB45" i="8"/>
  <c r="AW20" i="8"/>
  <c r="BA20" i="8"/>
  <c r="AO50" i="8"/>
  <c r="AN50" i="8"/>
  <c r="AM50" i="8"/>
  <c r="AK50" i="8"/>
  <c r="AI50" i="8"/>
  <c r="AG50" i="8"/>
  <c r="AF50" i="8"/>
  <c r="AE50" i="8"/>
  <c r="AC50" i="8"/>
  <c r="AB50" i="8"/>
  <c r="AA50" i="8"/>
  <c r="Y50" i="8"/>
  <c r="X50" i="8"/>
  <c r="W50" i="8"/>
  <c r="T50" i="8"/>
  <c r="S50" i="8"/>
  <c r="R50" i="8"/>
  <c r="P50" i="8"/>
  <c r="O50" i="8"/>
  <c r="N50" i="8"/>
  <c r="L50" i="8"/>
  <c r="K50" i="8"/>
  <c r="J50" i="8"/>
  <c r="H50" i="8"/>
  <c r="G50" i="8"/>
  <c r="F50" i="8"/>
  <c r="D50" i="8"/>
  <c r="C50" i="8"/>
  <c r="B50" i="8"/>
  <c r="BB49" i="8"/>
  <c r="AZ49" i="8"/>
  <c r="AX49" i="8"/>
  <c r="AV49" i="8"/>
  <c r="AT49" i="8"/>
  <c r="AS49" i="8"/>
  <c r="AR49" i="8"/>
  <c r="AJ49" i="8"/>
  <c r="AL49" i="8" s="1"/>
  <c r="AH49" i="8"/>
  <c r="BB47" i="8"/>
  <c r="BA47" i="8"/>
  <c r="AZ47" i="8"/>
  <c r="AX47" i="8"/>
  <c r="AW47" i="8"/>
  <c r="AV47" i="8"/>
  <c r="AT47" i="8"/>
  <c r="AS47" i="8"/>
  <c r="AR47" i="8"/>
  <c r="BB46" i="8"/>
  <c r="BA46" i="8"/>
  <c r="AZ46" i="8"/>
  <c r="AX46" i="8"/>
  <c r="AW46" i="8"/>
  <c r="AV46" i="8"/>
  <c r="AT46" i="8"/>
  <c r="AS46" i="8"/>
  <c r="AR46" i="8"/>
  <c r="BB42" i="8"/>
  <c r="BA42" i="8"/>
  <c r="AZ42" i="8"/>
  <c r="AX42" i="8"/>
  <c r="AW42" i="8"/>
  <c r="AV42" i="8"/>
  <c r="AT42" i="8"/>
  <c r="AS42" i="8"/>
  <c r="AR42" i="8"/>
  <c r="BB41" i="8"/>
  <c r="BA41" i="8"/>
  <c r="AZ41" i="8"/>
  <c r="AX41" i="8"/>
  <c r="AW41" i="8"/>
  <c r="AV41" i="8"/>
  <c r="AT41" i="8"/>
  <c r="AS41" i="8"/>
  <c r="AR41" i="8"/>
  <c r="BB40" i="8"/>
  <c r="BA40" i="8"/>
  <c r="AZ40" i="8"/>
  <c r="AX40" i="8"/>
  <c r="AW40" i="8"/>
  <c r="AV40" i="8"/>
  <c r="AT40" i="8"/>
  <c r="AS40" i="8"/>
  <c r="AR40" i="8"/>
  <c r="Q40" i="8"/>
  <c r="BB38" i="8"/>
  <c r="BA38" i="8"/>
  <c r="AZ38" i="8"/>
  <c r="AX38" i="8"/>
  <c r="AW38" i="8"/>
  <c r="AV38" i="8"/>
  <c r="AT38" i="8"/>
  <c r="AS38" i="8"/>
  <c r="AR38" i="8"/>
  <c r="U38" i="8"/>
  <c r="BB37" i="8"/>
  <c r="BA37" i="8"/>
  <c r="AZ37" i="8"/>
  <c r="AX37" i="8"/>
  <c r="AW37" i="8"/>
  <c r="AV37" i="8"/>
  <c r="AT37" i="8"/>
  <c r="AS37" i="8"/>
  <c r="AR37" i="8"/>
  <c r="BB36" i="8"/>
  <c r="BA36" i="8"/>
  <c r="AZ36" i="8"/>
  <c r="AX36" i="8"/>
  <c r="AW36" i="8"/>
  <c r="AV36" i="8"/>
  <c r="AT36" i="8"/>
  <c r="AS36" i="8"/>
  <c r="AR36" i="8"/>
  <c r="Q36" i="8"/>
  <c r="BB35" i="8"/>
  <c r="BA35" i="8"/>
  <c r="AZ35" i="8"/>
  <c r="AT35" i="8"/>
  <c r="AS35" i="8"/>
  <c r="AR35" i="8"/>
  <c r="Q35" i="8"/>
  <c r="BB34" i="8"/>
  <c r="BA34" i="8"/>
  <c r="AZ34" i="8"/>
  <c r="AX34" i="8"/>
  <c r="AW34" i="8"/>
  <c r="AV34" i="8"/>
  <c r="AT34" i="8"/>
  <c r="AS34" i="8"/>
  <c r="AR34" i="8"/>
  <c r="Q34" i="8"/>
  <c r="BB33" i="8"/>
  <c r="BA33" i="8"/>
  <c r="AZ33" i="8"/>
  <c r="AX33" i="8"/>
  <c r="AW33" i="8"/>
  <c r="AV33" i="8"/>
  <c r="AT33" i="8"/>
  <c r="AS33" i="8"/>
  <c r="AR33" i="8"/>
  <c r="Q33" i="8"/>
  <c r="BB32" i="8"/>
  <c r="BA32" i="8"/>
  <c r="AZ32" i="8"/>
  <c r="AX32" i="8"/>
  <c r="AW32" i="8"/>
  <c r="AV32" i="8"/>
  <c r="AT32" i="8"/>
  <c r="AS32" i="8"/>
  <c r="AR32" i="8"/>
  <c r="Q32" i="8"/>
  <c r="BB31" i="8"/>
  <c r="BA31" i="8"/>
  <c r="AZ31" i="8"/>
  <c r="AX31" i="8"/>
  <c r="AW31" i="8"/>
  <c r="AV31" i="8"/>
  <c r="AT31" i="8"/>
  <c r="AS31" i="8"/>
  <c r="AR31" i="8"/>
  <c r="AO30" i="8"/>
  <c r="AN30" i="8"/>
  <c r="AM30" i="8"/>
  <c r="AK30" i="8"/>
  <c r="AJ30" i="8"/>
  <c r="AI30" i="8"/>
  <c r="AI51" i="8" s="1"/>
  <c r="AG30" i="8"/>
  <c r="AE30" i="8"/>
  <c r="AC30" i="8"/>
  <c r="AB30" i="8"/>
  <c r="AA30" i="8"/>
  <c r="Y30" i="8"/>
  <c r="X30" i="8"/>
  <c r="W30" i="8"/>
  <c r="T30" i="8"/>
  <c r="S30" i="8"/>
  <c r="R30" i="8"/>
  <c r="P30" i="8"/>
  <c r="O30" i="8"/>
  <c r="N30" i="8"/>
  <c r="L30" i="8"/>
  <c r="K30" i="8"/>
  <c r="J30" i="8"/>
  <c r="H30" i="8"/>
  <c r="G30" i="8"/>
  <c r="F30" i="8"/>
  <c r="C30" i="8"/>
  <c r="B30" i="8"/>
  <c r="BB29" i="8"/>
  <c r="AZ29" i="8"/>
  <c r="AX29" i="8"/>
  <c r="AW29" i="8"/>
  <c r="AV29" i="8"/>
  <c r="AT29" i="8"/>
  <c r="AR29" i="8"/>
  <c r="AF29" i="8"/>
  <c r="AS29" i="8" s="1"/>
  <c r="E29" i="8"/>
  <c r="BB27" i="8"/>
  <c r="BA27" i="8"/>
  <c r="AZ27" i="8"/>
  <c r="AX27" i="8"/>
  <c r="AW27" i="8"/>
  <c r="AV27" i="8"/>
  <c r="AT27" i="8"/>
  <c r="AS27" i="8"/>
  <c r="AR27" i="8"/>
  <c r="M27" i="8"/>
  <c r="BB26" i="8"/>
  <c r="BA26" i="8"/>
  <c r="AZ26" i="8"/>
  <c r="AX26" i="8"/>
  <c r="AW26" i="8"/>
  <c r="AV26" i="8"/>
  <c r="AT26" i="8"/>
  <c r="AS26" i="8"/>
  <c r="AR26" i="8"/>
  <c r="M26" i="8"/>
  <c r="BB25" i="8"/>
  <c r="BA25" i="8"/>
  <c r="AZ25" i="8"/>
  <c r="AX25" i="8"/>
  <c r="AW25" i="8"/>
  <c r="AV25" i="8"/>
  <c r="AT25" i="8"/>
  <c r="AS25" i="8"/>
  <c r="AR25" i="8"/>
  <c r="M25" i="8"/>
  <c r="BB24" i="8"/>
  <c r="BA24" i="8"/>
  <c r="AZ24" i="8"/>
  <c r="AX24" i="8"/>
  <c r="AW24" i="8"/>
  <c r="AV24" i="8"/>
  <c r="AT24" i="8"/>
  <c r="AS24" i="8"/>
  <c r="AR24" i="8"/>
  <c r="M24" i="8"/>
  <c r="BB23" i="8"/>
  <c r="BA23" i="8"/>
  <c r="AZ23" i="8"/>
  <c r="AX23" i="8"/>
  <c r="AW23" i="8"/>
  <c r="AV23" i="8"/>
  <c r="AT23" i="8"/>
  <c r="AS23" i="8"/>
  <c r="AR23" i="8"/>
  <c r="M23" i="8"/>
  <c r="BB22" i="8"/>
  <c r="BA22" i="8"/>
  <c r="AZ22" i="8"/>
  <c r="AX22" i="8"/>
  <c r="AW22" i="8"/>
  <c r="AV22" i="8"/>
  <c r="AT22" i="8"/>
  <c r="AS22" i="8"/>
  <c r="AR22" i="8"/>
  <c r="Q22" i="8"/>
  <c r="BB21" i="8"/>
  <c r="BA21" i="8"/>
  <c r="AZ21" i="8"/>
  <c r="AX21" i="8"/>
  <c r="AW21" i="8"/>
  <c r="AV21" i="8"/>
  <c r="AT21" i="8"/>
  <c r="AS21" i="8"/>
  <c r="AR21" i="8"/>
  <c r="M21" i="8"/>
  <c r="BB19" i="8"/>
  <c r="BA19" i="8"/>
  <c r="AZ19" i="8"/>
  <c r="AX19" i="8"/>
  <c r="AW19" i="8"/>
  <c r="AV19" i="8"/>
  <c r="AT19" i="8"/>
  <c r="AS19" i="8"/>
  <c r="AR19" i="8"/>
  <c r="I19" i="8"/>
  <c r="BB18" i="8"/>
  <c r="BA18" i="8"/>
  <c r="AZ18" i="8"/>
  <c r="AX18" i="8"/>
  <c r="AW18" i="8"/>
  <c r="AV18" i="8"/>
  <c r="AT18" i="8"/>
  <c r="AS18" i="8"/>
  <c r="AR18" i="8"/>
  <c r="I18" i="8"/>
  <c r="BB17" i="8"/>
  <c r="BA17" i="8"/>
  <c r="AZ17" i="8"/>
  <c r="AX17" i="8"/>
  <c r="AW17" i="8"/>
  <c r="AV17" i="8"/>
  <c r="AT17" i="8"/>
  <c r="AS17" i="8"/>
  <c r="AR17" i="8"/>
  <c r="I17" i="8"/>
  <c r="BB16" i="8"/>
  <c r="BA16" i="8"/>
  <c r="AZ16" i="8"/>
  <c r="AX16" i="8"/>
  <c r="AW16" i="8"/>
  <c r="AV16" i="8"/>
  <c r="AT16" i="8"/>
  <c r="AS16" i="8"/>
  <c r="AR16" i="8"/>
  <c r="E16" i="8"/>
  <c r="BA15" i="8"/>
  <c r="AZ15" i="8"/>
  <c r="AX15" i="8"/>
  <c r="AW15" i="8"/>
  <c r="AV15" i="8"/>
  <c r="AS15" i="8"/>
  <c r="AR15" i="8"/>
  <c r="AT15" i="8"/>
  <c r="BB14" i="8"/>
  <c r="BA14" i="8"/>
  <c r="AZ14" i="8"/>
  <c r="AX14" i="8"/>
  <c r="AW14" i="8"/>
  <c r="AV14" i="8"/>
  <c r="AT14" i="8"/>
  <c r="AS14" i="8"/>
  <c r="AR14" i="8"/>
  <c r="E14" i="8"/>
  <c r="AR19" i="9" l="1"/>
  <c r="AW22" i="9"/>
  <c r="AF23" i="9"/>
  <c r="AL23" i="9"/>
  <c r="AV26" i="9"/>
  <c r="AH27" i="9"/>
  <c r="X30" i="9"/>
  <c r="AX35" i="9"/>
  <c r="AX34" i="9"/>
  <c r="AX38" i="9" s="1"/>
  <c r="AE23" i="11"/>
  <c r="AG23" i="11" s="1"/>
  <c r="AQ34" i="11"/>
  <c r="Y15" i="11"/>
  <c r="AQ17" i="11"/>
  <c r="I19" i="11"/>
  <c r="AG21" i="11"/>
  <c r="AM21" i="11"/>
  <c r="AM23" i="11" s="1"/>
  <c r="AP22" i="11"/>
  <c r="AR22" i="11"/>
  <c r="AQ22" i="11"/>
  <c r="AP26" i="11"/>
  <c r="AP27" i="11" s="1"/>
  <c r="AR26" i="11"/>
  <c r="AO26" i="11"/>
  <c r="M27" i="11"/>
  <c r="N39" i="11"/>
  <c r="N16" i="10" s="1"/>
  <c r="P39" i="11"/>
  <c r="P16" i="10" s="1"/>
  <c r="Z39" i="11"/>
  <c r="AA16" i="10" s="1"/>
  <c r="AB30" i="11"/>
  <c r="AL29" i="11"/>
  <c r="Y29" i="11"/>
  <c r="M35" i="11"/>
  <c r="AR18" i="10"/>
  <c r="AR19" i="10" s="1"/>
  <c r="AV13" i="9"/>
  <c r="AV17" i="9"/>
  <c r="AT38" i="9"/>
  <c r="AV34" i="9"/>
  <c r="AV35" i="9" s="1"/>
  <c r="AE39" i="11"/>
  <c r="AF16" i="10" s="1"/>
  <c r="AH32" i="11"/>
  <c r="AP32" i="11" s="1"/>
  <c r="AP35" i="11" s="1"/>
  <c r="BC43" i="8"/>
  <c r="AW13" i="9"/>
  <c r="AR28" i="9"/>
  <c r="AW18" i="9"/>
  <c r="Q19" i="9"/>
  <c r="AU21" i="9"/>
  <c r="AH23" i="9"/>
  <c r="AZ23" i="9"/>
  <c r="AZ27" i="9"/>
  <c r="R39" i="9"/>
  <c r="AR35" i="9"/>
  <c r="AV38" i="9"/>
  <c r="AQ34" i="9"/>
  <c r="M35" i="9"/>
  <c r="AH35" i="9"/>
  <c r="AZ35" i="9"/>
  <c r="BA35" i="9" s="1"/>
  <c r="AW34" i="9"/>
  <c r="AW38" i="9" s="1"/>
  <c r="AY38" i="9" s="1"/>
  <c r="AN28" i="9"/>
  <c r="AQ26" i="9"/>
  <c r="AA19" i="10"/>
  <c r="AF19" i="10"/>
  <c r="N19" i="10"/>
  <c r="AR14" i="11"/>
  <c r="U15" i="11"/>
  <c r="AR17" i="11"/>
  <c r="AS17" i="11" s="1"/>
  <c r="J29" i="11"/>
  <c r="J37" i="11" s="1"/>
  <c r="AH37" i="11" s="1"/>
  <c r="E19" i="11"/>
  <c r="J19" i="11"/>
  <c r="E23" i="11"/>
  <c r="U23" i="11"/>
  <c r="AC23" i="11"/>
  <c r="AO25" i="11"/>
  <c r="AQ26" i="11"/>
  <c r="AS26" i="11" s="1"/>
  <c r="E27" i="11"/>
  <c r="Y27" i="11"/>
  <c r="F36" i="11"/>
  <c r="F39" i="11" s="1"/>
  <c r="F16" i="10" s="1"/>
  <c r="O30" i="11"/>
  <c r="R39" i="11"/>
  <c r="R16" i="10" s="1"/>
  <c r="AL36" i="11"/>
  <c r="X30" i="11"/>
  <c r="AA39" i="11"/>
  <c r="AB16" i="10" s="1"/>
  <c r="AB19" i="10" s="1"/>
  <c r="AD39" i="11"/>
  <c r="AE16" i="10" s="1"/>
  <c r="AF30" i="11"/>
  <c r="E29" i="11"/>
  <c r="P30" i="11"/>
  <c r="AN35" i="11"/>
  <c r="AR33" i="11"/>
  <c r="I35" i="11"/>
  <c r="AI38" i="11"/>
  <c r="I38" i="11"/>
  <c r="R19" i="10"/>
  <c r="AN18" i="10"/>
  <c r="AE19" i="10"/>
  <c r="E18" i="10"/>
  <c r="U18" i="10"/>
  <c r="AL18" i="10"/>
  <c r="I18" i="10"/>
  <c r="Y18" i="10"/>
  <c r="F19" i="10"/>
  <c r="Q18" i="10"/>
  <c r="AQ18" i="10"/>
  <c r="AH18" i="10"/>
  <c r="E35" i="11"/>
  <c r="T30" i="11"/>
  <c r="I27" i="11"/>
  <c r="AJ27" i="11"/>
  <c r="AO21" i="11"/>
  <c r="I29" i="11"/>
  <c r="AJ29" i="11"/>
  <c r="AR13" i="11"/>
  <c r="H30" i="11"/>
  <c r="I30" i="11" s="1"/>
  <c r="AO23" i="11"/>
  <c r="AM28" i="11"/>
  <c r="AO15" i="11"/>
  <c r="AO13" i="11"/>
  <c r="U27" i="11"/>
  <c r="U37" i="11"/>
  <c r="M23" i="11"/>
  <c r="AQ21" i="11"/>
  <c r="AQ23" i="11" s="1"/>
  <c r="M15" i="11"/>
  <c r="M28" i="11"/>
  <c r="I23" i="11"/>
  <c r="I28" i="11"/>
  <c r="AK23" i="11"/>
  <c r="I15" i="11"/>
  <c r="C30" i="11"/>
  <c r="AK21" i="11"/>
  <c r="E15" i="11"/>
  <c r="AI15" i="11"/>
  <c r="AK13" i="11"/>
  <c r="AQ13" i="11"/>
  <c r="AQ15" i="11" s="1"/>
  <c r="AH19" i="11"/>
  <c r="AP17" i="11"/>
  <c r="AP19" i="11" s="1"/>
  <c r="AI18" i="11"/>
  <c r="K29" i="11"/>
  <c r="K19" i="11"/>
  <c r="M19" i="11" s="1"/>
  <c r="W39" i="11"/>
  <c r="W16" i="10" s="1"/>
  <c r="AR16" i="10" s="1"/>
  <c r="AM36" i="11"/>
  <c r="AH13" i="11"/>
  <c r="J28" i="11"/>
  <c r="AN19" i="11"/>
  <c r="S28" i="11"/>
  <c r="U13" i="11"/>
  <c r="AN29" i="11"/>
  <c r="AK18" i="11"/>
  <c r="AR18" i="11"/>
  <c r="I37" i="11"/>
  <c r="AP38" i="11"/>
  <c r="AR25" i="11"/>
  <c r="AK26" i="11"/>
  <c r="AH27" i="11"/>
  <c r="AJ28" i="11"/>
  <c r="E28" i="11"/>
  <c r="D30" i="11"/>
  <c r="E30" i="11" s="1"/>
  <c r="L30" i="11"/>
  <c r="S35" i="11"/>
  <c r="U32" i="11"/>
  <c r="AK34" i="11"/>
  <c r="AR34" i="11"/>
  <c r="U35" i="11"/>
  <c r="D36" i="11"/>
  <c r="L36" i="11"/>
  <c r="AJ37" i="11"/>
  <c r="AJ15" i="11"/>
  <c r="AK17" i="11"/>
  <c r="AJ19" i="11"/>
  <c r="J27" i="11"/>
  <c r="AM27" i="11"/>
  <c r="Y28" i="11"/>
  <c r="AC28" i="11"/>
  <c r="AG28" i="11"/>
  <c r="AM37" i="11"/>
  <c r="AH29" i="11"/>
  <c r="AP29" i="11" s="1"/>
  <c r="F30" i="11"/>
  <c r="N30" i="11"/>
  <c r="W30" i="11"/>
  <c r="Y30" i="11" s="1"/>
  <c r="AE30" i="11"/>
  <c r="AG30" i="11" s="1"/>
  <c r="AI32" i="11"/>
  <c r="AK32" i="11" s="1"/>
  <c r="W35" i="11"/>
  <c r="Y35" i="11" s="1"/>
  <c r="Y32" i="11"/>
  <c r="AM32" i="11"/>
  <c r="AM35" i="11" s="1"/>
  <c r="AO35" i="11" s="1"/>
  <c r="AH35" i="11"/>
  <c r="C37" i="11"/>
  <c r="AM38" i="11"/>
  <c r="AH23" i="11"/>
  <c r="AP21" i="11"/>
  <c r="AP23" i="11" s="1"/>
  <c r="AH28" i="11"/>
  <c r="AK33" i="11"/>
  <c r="AJ35" i="11"/>
  <c r="H39" i="11"/>
  <c r="H16" i="10" s="1"/>
  <c r="V37" i="11"/>
  <c r="AL37" i="11" s="1"/>
  <c r="AJ38" i="11"/>
  <c r="AN28" i="11"/>
  <c r="S19" i="11"/>
  <c r="U19" i="11" s="1"/>
  <c r="J23" i="11"/>
  <c r="AN27" i="11"/>
  <c r="U29" i="11"/>
  <c r="B30" i="11"/>
  <c r="AA30" i="11"/>
  <c r="AC30" i="11" s="1"/>
  <c r="AR32" i="11"/>
  <c r="AS33" i="11"/>
  <c r="B36" i="11"/>
  <c r="X37" i="11"/>
  <c r="Y37" i="11" s="1"/>
  <c r="AI25" i="11"/>
  <c r="AL28" i="11"/>
  <c r="AL30" i="11" s="1"/>
  <c r="R30" i="11"/>
  <c r="V30" i="11"/>
  <c r="Z30" i="11"/>
  <c r="AD30" i="11"/>
  <c r="C36" i="11"/>
  <c r="G36" i="11"/>
  <c r="G39" i="11" s="1"/>
  <c r="G16" i="10" s="1"/>
  <c r="G19" i="10" s="1"/>
  <c r="K36" i="11"/>
  <c r="O36" i="11"/>
  <c r="O39" i="11" s="1"/>
  <c r="O16" i="10" s="1"/>
  <c r="O19" i="10" s="1"/>
  <c r="T36" i="11"/>
  <c r="X36" i="11"/>
  <c r="AB36" i="11"/>
  <c r="AF36" i="11"/>
  <c r="AR21" i="11"/>
  <c r="AM29" i="11"/>
  <c r="AM18" i="10"/>
  <c r="AO18" i="10"/>
  <c r="AS18" i="10"/>
  <c r="AT18" i="10" s="1"/>
  <c r="H19" i="10"/>
  <c r="P19" i="10"/>
  <c r="AK19" i="10"/>
  <c r="AL19" i="10" s="1"/>
  <c r="E23" i="9"/>
  <c r="AN27" i="9"/>
  <c r="AL27" i="9"/>
  <c r="AT23" i="9"/>
  <c r="AU23" i="9" s="1"/>
  <c r="AC39" i="9"/>
  <c r="AN37" i="9"/>
  <c r="AT15" i="9"/>
  <c r="AV18" i="9"/>
  <c r="AV19" i="9" s="1"/>
  <c r="AR29" i="9"/>
  <c r="AR30" i="9" s="1"/>
  <c r="AC30" i="9"/>
  <c r="AS35" i="9"/>
  <c r="AO38" i="9"/>
  <c r="AH19" i="9"/>
  <c r="Q23" i="9"/>
  <c r="AV25" i="9"/>
  <c r="AV27" i="9" s="1"/>
  <c r="AX26" i="9"/>
  <c r="R30" i="9"/>
  <c r="AT35" i="9"/>
  <c r="N39" i="9"/>
  <c r="AP38" i="9"/>
  <c r="AQ38" i="9" s="1"/>
  <c r="AW25" i="9"/>
  <c r="AS15" i="9"/>
  <c r="AL15" i="9"/>
  <c r="AT28" i="9"/>
  <c r="AX18" i="9"/>
  <c r="AY18" i="9" s="1"/>
  <c r="I23" i="9"/>
  <c r="T30" i="9"/>
  <c r="AA30" i="9"/>
  <c r="AF28" i="9"/>
  <c r="AF36" i="9" s="1"/>
  <c r="AF39" i="9" s="1"/>
  <c r="AT29" i="9"/>
  <c r="AT37" i="9" s="1"/>
  <c r="N30" i="9"/>
  <c r="AS37" i="9"/>
  <c r="W30" i="9"/>
  <c r="Q35" i="9"/>
  <c r="E19" i="9"/>
  <c r="AL35" i="9"/>
  <c r="AL19" i="9"/>
  <c r="X39" i="9"/>
  <c r="AS28" i="9"/>
  <c r="AS36" i="9" s="1"/>
  <c r="E35" i="9"/>
  <c r="E27" i="9"/>
  <c r="AO27" i="9"/>
  <c r="C36" i="9"/>
  <c r="C39" i="9" s="1"/>
  <c r="AQ13" i="9"/>
  <c r="AV28" i="9"/>
  <c r="AW14" i="9"/>
  <c r="AW15" i="9" s="1"/>
  <c r="AO15" i="9"/>
  <c r="AP28" i="9"/>
  <c r="AX17" i="9"/>
  <c r="AW21" i="9"/>
  <c r="AW23" i="9" s="1"/>
  <c r="AO28" i="9"/>
  <c r="AO23" i="9"/>
  <c r="AP23" i="9"/>
  <c r="AX21" i="9"/>
  <c r="F30" i="9"/>
  <c r="F36" i="9"/>
  <c r="F39" i="9" s="1"/>
  <c r="K36" i="9"/>
  <c r="K39" i="9" s="1"/>
  <c r="M39" i="9" s="1"/>
  <c r="K30" i="9"/>
  <c r="P36" i="9"/>
  <c r="Q28" i="9"/>
  <c r="P30" i="9"/>
  <c r="AQ33" i="9"/>
  <c r="AH15" i="9"/>
  <c r="AQ17" i="9"/>
  <c r="AQ21" i="9"/>
  <c r="AP27" i="9"/>
  <c r="AX25" i="9"/>
  <c r="AQ25" i="9"/>
  <c r="AR36" i="9"/>
  <c r="AJ37" i="9"/>
  <c r="AL37" i="9" s="1"/>
  <c r="AL29" i="9"/>
  <c r="AJ30" i="9"/>
  <c r="AP19" i="9"/>
  <c r="AJ39" i="9"/>
  <c r="O37" i="9"/>
  <c r="O39" i="9" s="1"/>
  <c r="Q29" i="9"/>
  <c r="D30" i="9"/>
  <c r="E30" i="9" s="1"/>
  <c r="AP35" i="9"/>
  <c r="J39" i="9"/>
  <c r="T39" i="9"/>
  <c r="AN29" i="9"/>
  <c r="AN30" i="9" s="1"/>
  <c r="AV14" i="9"/>
  <c r="AT19" i="9"/>
  <c r="AL28" i="9"/>
  <c r="AK30" i="9"/>
  <c r="AO29" i="9"/>
  <c r="AO37" i="9" s="1"/>
  <c r="AK36" i="9"/>
  <c r="AR37" i="9"/>
  <c r="AV37" i="9" s="1"/>
  <c r="AA39" i="9"/>
  <c r="AH28" i="9"/>
  <c r="AN36" i="9"/>
  <c r="AG36" i="9"/>
  <c r="AP29" i="9"/>
  <c r="AP37" i="9" s="1"/>
  <c r="AN23" i="9"/>
  <c r="H36" i="9"/>
  <c r="I28" i="9"/>
  <c r="AI36" i="9"/>
  <c r="AI39" i="9" s="1"/>
  <c r="AI30" i="9"/>
  <c r="AS29" i="9"/>
  <c r="G30" i="9"/>
  <c r="L30" i="9"/>
  <c r="AG30" i="9"/>
  <c r="Q32" i="9"/>
  <c r="AO32" i="9"/>
  <c r="AW32" i="9" s="1"/>
  <c r="AW35" i="9" s="1"/>
  <c r="AY34" i="9"/>
  <c r="Y39" i="9"/>
  <c r="AY13" i="9"/>
  <c r="AX14" i="9"/>
  <c r="AP15" i="9"/>
  <c r="AO19" i="9"/>
  <c r="AW17" i="9"/>
  <c r="AS19" i="9"/>
  <c r="AW26" i="9"/>
  <c r="Q27" i="9"/>
  <c r="D36" i="9"/>
  <c r="E28" i="9"/>
  <c r="J30" i="9"/>
  <c r="O30" i="9"/>
  <c r="S30" i="9"/>
  <c r="Y30" i="9"/>
  <c r="AE36" i="9"/>
  <c r="AE39" i="9" s="1"/>
  <c r="AE30" i="9"/>
  <c r="H30" i="9"/>
  <c r="AQ32" i="9"/>
  <c r="AN35" i="9"/>
  <c r="B36" i="9"/>
  <c r="B39" i="9" s="1"/>
  <c r="S36" i="9"/>
  <c r="S39" i="9" s="1"/>
  <c r="F51" i="8"/>
  <c r="W51" i="8"/>
  <c r="AU33" i="8"/>
  <c r="BC44" i="8"/>
  <c r="S51" i="8"/>
  <c r="AK51" i="8"/>
  <c r="P51" i="8"/>
  <c r="J51" i="8"/>
  <c r="T51" i="8"/>
  <c r="U51" i="8" s="1"/>
  <c r="AA51" i="8"/>
  <c r="AH50" i="8"/>
  <c r="BC45" i="8"/>
  <c r="L51" i="8"/>
  <c r="R51" i="8"/>
  <c r="X51" i="8"/>
  <c r="AC51" i="8"/>
  <c r="BC20" i="8"/>
  <c r="M30" i="8"/>
  <c r="H51" i="8"/>
  <c r="AB51" i="8"/>
  <c r="O51" i="8"/>
  <c r="Q50" i="8"/>
  <c r="G51" i="8"/>
  <c r="AU27" i="8"/>
  <c r="BC36" i="8"/>
  <c r="AW49" i="8"/>
  <c r="AY49" i="8" s="1"/>
  <c r="B51" i="8"/>
  <c r="AU32" i="8"/>
  <c r="AJ50" i="8"/>
  <c r="AJ51" i="8" s="1"/>
  <c r="AO51" i="8"/>
  <c r="BC35" i="8"/>
  <c r="AU49" i="8"/>
  <c r="Q30" i="8"/>
  <c r="Y51" i="8"/>
  <c r="AE51" i="8"/>
  <c r="E15" i="8"/>
  <c r="BB15" i="8"/>
  <c r="BC15" i="8" s="1"/>
  <c r="AU23" i="8"/>
  <c r="D30" i="8"/>
  <c r="D51" i="8" s="1"/>
  <c r="I30" i="8"/>
  <c r="N51" i="8"/>
  <c r="AU35" i="8"/>
  <c r="AU37" i="8"/>
  <c r="AU40" i="8"/>
  <c r="BA49" i="8"/>
  <c r="BC49" i="8" s="1"/>
  <c r="U50" i="8"/>
  <c r="AU22" i="8"/>
  <c r="K51" i="8"/>
  <c r="AG51" i="8"/>
  <c r="AM51" i="8"/>
  <c r="AU34" i="8"/>
  <c r="AN51" i="8"/>
  <c r="AX50" i="8"/>
  <c r="AU24" i="8"/>
  <c r="AU16" i="8"/>
  <c r="AT50" i="8"/>
  <c r="AU25" i="8"/>
  <c r="AS50" i="8"/>
  <c r="AW50" i="8"/>
  <c r="BC32" i="8"/>
  <c r="AU36" i="8"/>
  <c r="AY38" i="8"/>
  <c r="BC42" i="8"/>
  <c r="AS30" i="8"/>
  <c r="AU26" i="8"/>
  <c r="AU21" i="8"/>
  <c r="BC17" i="8"/>
  <c r="BC19" i="8"/>
  <c r="BC24" i="8"/>
  <c r="AR30" i="8"/>
  <c r="AW30" i="8"/>
  <c r="AZ30" i="8"/>
  <c r="AV30" i="8"/>
  <c r="AX30" i="8"/>
  <c r="AU15" i="8"/>
  <c r="BC14" i="8"/>
  <c r="AY17" i="8"/>
  <c r="AY19" i="8"/>
  <c r="BC23" i="8"/>
  <c r="BC27" i="8"/>
  <c r="BC37" i="8"/>
  <c r="AU41" i="8"/>
  <c r="E50" i="8"/>
  <c r="AU14" i="8"/>
  <c r="BC16" i="8"/>
  <c r="BC18" i="8"/>
  <c r="BC22" i="8"/>
  <c r="BC26" i="8"/>
  <c r="AU29" i="8"/>
  <c r="C51" i="8"/>
  <c r="AZ50" i="8"/>
  <c r="BC34" i="8"/>
  <c r="BC40" i="8"/>
  <c r="AU42" i="8"/>
  <c r="BC46" i="8"/>
  <c r="I51" i="8"/>
  <c r="AY18" i="8"/>
  <c r="BC21" i="8"/>
  <c r="BC25" i="8"/>
  <c r="BA29" i="8"/>
  <c r="BC29" i="8" s="1"/>
  <c r="AH29" i="8"/>
  <c r="AF30" i="8"/>
  <c r="AF51" i="8" s="1"/>
  <c r="AR50" i="8"/>
  <c r="AV50" i="8"/>
  <c r="BA50" i="8"/>
  <c r="BC33" i="8"/>
  <c r="BC38" i="8"/>
  <c r="BC41" i="8"/>
  <c r="BB50" i="8"/>
  <c r="AT30" i="8"/>
  <c r="AU18" i="10" l="1"/>
  <c r="AV18" i="10"/>
  <c r="AU28" i="9"/>
  <c r="I16" i="10"/>
  <c r="W19" i="10"/>
  <c r="AL39" i="11"/>
  <c r="AP37" i="11"/>
  <c r="I19" i="10"/>
  <c r="Q19" i="10"/>
  <c r="AM30" i="11"/>
  <c r="AR29" i="11"/>
  <c r="AR37" i="11" s="1"/>
  <c r="Q37" i="9"/>
  <c r="AZ30" i="9"/>
  <c r="AW37" i="9"/>
  <c r="AV29" i="9"/>
  <c r="AK38" i="11"/>
  <c r="AQ38" i="11"/>
  <c r="AR15" i="11"/>
  <c r="AV51" i="8"/>
  <c r="AS15" i="11"/>
  <c r="AO32" i="11"/>
  <c r="I36" i="11"/>
  <c r="AK15" i="11"/>
  <c r="AS13" i="11"/>
  <c r="AB39" i="11"/>
  <c r="AC36" i="11"/>
  <c r="AI27" i="11"/>
  <c r="AK27" i="11" s="1"/>
  <c r="AQ25" i="11"/>
  <c r="AQ27" i="11" s="1"/>
  <c r="AR35" i="11"/>
  <c r="AH30" i="11"/>
  <c r="AP28" i="11"/>
  <c r="AP30" i="11" s="1"/>
  <c r="AJ30" i="11"/>
  <c r="AR28" i="11"/>
  <c r="AO29" i="11"/>
  <c r="AN37" i="11"/>
  <c r="AO37" i="11" s="1"/>
  <c r="AH15" i="11"/>
  <c r="AP13" i="11"/>
  <c r="AP15" i="11" s="1"/>
  <c r="AM39" i="11"/>
  <c r="M29" i="11"/>
  <c r="K37" i="11"/>
  <c r="M37" i="11" s="1"/>
  <c r="AN36" i="11"/>
  <c r="Y36" i="11"/>
  <c r="X39" i="11"/>
  <c r="AO27" i="11"/>
  <c r="AN30" i="11"/>
  <c r="AO30" i="11" s="1"/>
  <c r="AO28" i="11"/>
  <c r="I39" i="11"/>
  <c r="AI29" i="11"/>
  <c r="K30" i="11"/>
  <c r="M30" i="11" s="1"/>
  <c r="L39" i="11"/>
  <c r="L16" i="10" s="1"/>
  <c r="M36" i="11"/>
  <c r="AR38" i="11"/>
  <c r="AS38" i="11" s="1"/>
  <c r="AS34" i="11"/>
  <c r="AI19" i="11"/>
  <c r="AK19" i="11" s="1"/>
  <c r="AQ18" i="11"/>
  <c r="AQ19" i="11" s="1"/>
  <c r="K39" i="11"/>
  <c r="K16" i="10" s="1"/>
  <c r="K19" i="10" s="1"/>
  <c r="AR23" i="11"/>
  <c r="AS23" i="11" s="1"/>
  <c r="AS21" i="11"/>
  <c r="T39" i="11"/>
  <c r="T16" i="10" s="1"/>
  <c r="C39" i="11"/>
  <c r="C16" i="10" s="1"/>
  <c r="B39" i="11"/>
  <c r="B16" i="10" s="1"/>
  <c r="AK25" i="11"/>
  <c r="AI35" i="11"/>
  <c r="AK35" i="11" s="1"/>
  <c r="AQ32" i="11"/>
  <c r="AQ35" i="11" s="1"/>
  <c r="D39" i="11"/>
  <c r="D16" i="10" s="1"/>
  <c r="E36" i="11"/>
  <c r="AJ36" i="11"/>
  <c r="E37" i="11"/>
  <c r="S36" i="11"/>
  <c r="S39" i="11" s="1"/>
  <c r="S16" i="10" s="1"/>
  <c r="S19" i="10" s="1"/>
  <c r="S30" i="11"/>
  <c r="U30" i="11" s="1"/>
  <c r="AI28" i="11"/>
  <c r="U28" i="11"/>
  <c r="AR19" i="11"/>
  <c r="AG36" i="11"/>
  <c r="AF39" i="11"/>
  <c r="V39" i="11"/>
  <c r="V16" i="10" s="1"/>
  <c r="AS25" i="11"/>
  <c r="AR27" i="11"/>
  <c r="J36" i="11"/>
  <c r="J39" i="11" s="1"/>
  <c r="J16" i="10" s="1"/>
  <c r="J19" i="10" s="1"/>
  <c r="J30" i="11"/>
  <c r="AP18" i="10"/>
  <c r="AW18" i="10"/>
  <c r="AW27" i="9"/>
  <c r="AT36" i="9"/>
  <c r="AT39" i="9" s="1"/>
  <c r="AV30" i="9"/>
  <c r="AV15" i="9"/>
  <c r="AF30" i="9"/>
  <c r="AH30" i="9" s="1"/>
  <c r="AT30" i="9"/>
  <c r="AO36" i="9"/>
  <c r="AS39" i="9"/>
  <c r="AQ27" i="9"/>
  <c r="AQ23" i="9"/>
  <c r="AL30" i="9"/>
  <c r="AS30" i="9"/>
  <c r="AQ15" i="9"/>
  <c r="AY25" i="9"/>
  <c r="AX27" i="9"/>
  <c r="BA27" i="9" s="1"/>
  <c r="Q30" i="9"/>
  <c r="AY21" i="9"/>
  <c r="AX23" i="9"/>
  <c r="AX19" i="9"/>
  <c r="BA19" i="9" s="1"/>
  <c r="AY17" i="9"/>
  <c r="AX28" i="9"/>
  <c r="AQ37" i="9"/>
  <c r="AX37" i="9"/>
  <c r="AY37" i="9" s="1"/>
  <c r="AY26" i="9"/>
  <c r="AU36" i="9"/>
  <c r="AQ28" i="9"/>
  <c r="AP36" i="9"/>
  <c r="AP30" i="9"/>
  <c r="AX29" i="9"/>
  <c r="AX15" i="9"/>
  <c r="AO35" i="9"/>
  <c r="AQ35" i="9" s="1"/>
  <c r="AV36" i="9"/>
  <c r="AV39" i="9" s="1"/>
  <c r="AN39" i="9"/>
  <c r="AK39" i="9"/>
  <c r="AL39" i="9" s="1"/>
  <c r="AL36" i="9"/>
  <c r="AQ19" i="9"/>
  <c r="AR39" i="9"/>
  <c r="Q36" i="9"/>
  <c r="P39" i="9"/>
  <c r="Q39" i="9" s="1"/>
  <c r="I30" i="9"/>
  <c r="D39" i="9"/>
  <c r="E39" i="9" s="1"/>
  <c r="E36" i="9"/>
  <c r="AW19" i="9"/>
  <c r="AW28" i="9"/>
  <c r="H39" i="9"/>
  <c r="I39" i="9" s="1"/>
  <c r="I36" i="9"/>
  <c r="AH36" i="9"/>
  <c r="AG39" i="9"/>
  <c r="AY33" i="9"/>
  <c r="AO30" i="9"/>
  <c r="AW29" i="9"/>
  <c r="Q51" i="8"/>
  <c r="M51" i="8"/>
  <c r="BB30" i="8"/>
  <c r="BB51" i="8" s="1"/>
  <c r="AY30" i="8"/>
  <c r="AH51" i="8"/>
  <c r="E51" i="8"/>
  <c r="E30" i="8"/>
  <c r="BA30" i="8"/>
  <c r="BA51" i="8" s="1"/>
  <c r="BC50" i="8"/>
  <c r="AW51" i="8"/>
  <c r="AY50" i="8"/>
  <c r="AX51" i="8"/>
  <c r="AS51" i="8"/>
  <c r="AU50" i="8"/>
  <c r="AZ51" i="8"/>
  <c r="AR51" i="8"/>
  <c r="AU30" i="8"/>
  <c r="AT51" i="8"/>
  <c r="AQ16" i="10" l="1"/>
  <c r="AQ19" i="10" s="1"/>
  <c r="V19" i="10"/>
  <c r="AN16" i="10"/>
  <c r="C19" i="10"/>
  <c r="M16" i="10"/>
  <c r="L19" i="10"/>
  <c r="M19" i="10" s="1"/>
  <c r="AG39" i="11"/>
  <c r="AG16" i="10"/>
  <c r="AO16" i="10"/>
  <c r="E16" i="10"/>
  <c r="D19" i="10"/>
  <c r="E19" i="10" s="1"/>
  <c r="AM16" i="10"/>
  <c r="B19" i="10"/>
  <c r="U16" i="10"/>
  <c r="T19" i="10"/>
  <c r="U19" i="10" s="1"/>
  <c r="Y39" i="11"/>
  <c r="X16" i="10"/>
  <c r="AC39" i="11"/>
  <c r="AC16" i="10"/>
  <c r="AZ39" i="9"/>
  <c r="AH39" i="9"/>
  <c r="AY15" i="9"/>
  <c r="BA15" i="9"/>
  <c r="AY23" i="9"/>
  <c r="BA23" i="9"/>
  <c r="AS19" i="11"/>
  <c r="AS18" i="11"/>
  <c r="E39" i="11"/>
  <c r="AI30" i="11"/>
  <c r="AK30" i="11" s="1"/>
  <c r="AQ28" i="11"/>
  <c r="AI36" i="11"/>
  <c r="AK36" i="11" s="1"/>
  <c r="AS27" i="11"/>
  <c r="AJ39" i="11"/>
  <c r="M39" i="11"/>
  <c r="U36" i="11"/>
  <c r="AO36" i="11"/>
  <c r="AN39" i="11"/>
  <c r="AO39" i="11" s="1"/>
  <c r="AK28" i="11"/>
  <c r="AS35" i="11"/>
  <c r="AH36" i="11"/>
  <c r="U39" i="11"/>
  <c r="AQ29" i="11"/>
  <c r="AS29" i="11" s="1"/>
  <c r="AK29" i="11"/>
  <c r="AR30" i="11"/>
  <c r="AR36" i="11"/>
  <c r="AI37" i="11"/>
  <c r="AS32" i="11"/>
  <c r="AX18" i="10"/>
  <c r="AY27" i="9"/>
  <c r="AU39" i="9"/>
  <c r="AU30" i="9"/>
  <c r="AY29" i="9"/>
  <c r="AY35" i="9"/>
  <c r="AY32" i="9"/>
  <c r="AQ30" i="9"/>
  <c r="AY28" i="9"/>
  <c r="AX30" i="9"/>
  <c r="BA30" i="9" s="1"/>
  <c r="AX36" i="9"/>
  <c r="AP39" i="9"/>
  <c r="AQ36" i="9"/>
  <c r="AO39" i="9"/>
  <c r="AW36" i="9"/>
  <c r="AW39" i="9" s="1"/>
  <c r="AW30" i="9"/>
  <c r="AY19" i="9"/>
  <c r="BC51" i="8"/>
  <c r="AY51" i="8"/>
  <c r="AU51" i="8"/>
  <c r="AU16" i="10" l="1"/>
  <c r="AU19" i="10" s="1"/>
  <c r="AM19" i="10"/>
  <c r="AH16" i="10"/>
  <c r="AG19" i="10"/>
  <c r="AH19" i="10" s="1"/>
  <c r="AD16" i="10"/>
  <c r="AC19" i="10"/>
  <c r="AD19" i="10" s="1"/>
  <c r="AS16" i="10"/>
  <c r="Y16" i="10"/>
  <c r="X19" i="10"/>
  <c r="Y19" i="10" s="1"/>
  <c r="AP16" i="10"/>
  <c r="AW16" i="10"/>
  <c r="AO19" i="10"/>
  <c r="AV16" i="10"/>
  <c r="AV19" i="10" s="1"/>
  <c r="AN19" i="10"/>
  <c r="AQ30" i="11"/>
  <c r="AS30" i="11" s="1"/>
  <c r="AR39" i="11"/>
  <c r="AP36" i="11"/>
  <c r="AP39" i="11" s="1"/>
  <c r="AH39" i="11"/>
  <c r="AI39" i="11"/>
  <c r="AQ36" i="11"/>
  <c r="AS36" i="11" s="1"/>
  <c r="AQ37" i="11"/>
  <c r="AS37" i="11" s="1"/>
  <c r="AK37" i="11"/>
  <c r="AK39" i="11"/>
  <c r="AS28" i="11"/>
  <c r="AY30" i="9"/>
  <c r="AY36" i="9"/>
  <c r="AX39" i="9"/>
  <c r="AY39" i="9" s="1"/>
  <c r="AQ39" i="9"/>
  <c r="AP19" i="10" l="1"/>
  <c r="AX16" i="10"/>
  <c r="AW19" i="10"/>
  <c r="AX19" i="10" s="1"/>
  <c r="AT16" i="10"/>
  <c r="AS19" i="10"/>
  <c r="AT19" i="10" s="1"/>
  <c r="BA39" i="9"/>
  <c r="AQ39" i="11"/>
  <c r="AS39" i="11" s="1"/>
  <c r="F98" i="7" l="1"/>
  <c r="G96" i="7"/>
  <c r="F93" i="7"/>
  <c r="G76" i="7"/>
  <c r="F73" i="7"/>
  <c r="G72" i="7"/>
  <c r="F70" i="7"/>
  <c r="G69" i="7"/>
  <c r="G68" i="7"/>
  <c r="F64" i="7"/>
  <c r="G61" i="7"/>
  <c r="G59" i="7"/>
  <c r="F57" i="7"/>
  <c r="G54" i="7"/>
  <c r="G32" i="7"/>
  <c r="F31" i="7"/>
  <c r="G30" i="7"/>
  <c r="G28" i="7"/>
  <c r="G27" i="7"/>
  <c r="G25" i="7"/>
  <c r="F24" i="7"/>
  <c r="G23" i="7"/>
  <c r="G20" i="7"/>
  <c r="G15" i="7"/>
  <c r="G12" i="7"/>
  <c r="G9" i="7"/>
  <c r="E103" i="7"/>
  <c r="E105" i="7" s="1"/>
  <c r="G105" i="7" s="1"/>
  <c r="E100" i="7"/>
  <c r="G100" i="7" s="1"/>
  <c r="E98" i="7"/>
  <c r="D98" i="7"/>
  <c r="E94" i="7"/>
  <c r="G94" i="7" s="1"/>
  <c r="D93" i="7"/>
  <c r="C92" i="7"/>
  <c r="E92" i="7" s="1"/>
  <c r="G92" i="7" s="1"/>
  <c r="C90" i="7"/>
  <c r="E89" i="7" s="1"/>
  <c r="G89" i="7" s="1"/>
  <c r="C88" i="7"/>
  <c r="E86" i="7" s="1"/>
  <c r="G86" i="7" s="1"/>
  <c r="B84" i="7"/>
  <c r="B83" i="7"/>
  <c r="E78" i="7"/>
  <c r="G78" i="7" s="1"/>
  <c r="E75" i="7"/>
  <c r="G75" i="7" s="1"/>
  <c r="D75" i="7"/>
  <c r="D73" i="7"/>
  <c r="C73" i="7"/>
  <c r="E71" i="7"/>
  <c r="G71" i="7" s="1"/>
  <c r="D70" i="7"/>
  <c r="E67" i="7"/>
  <c r="C67" i="7"/>
  <c r="E65" i="7"/>
  <c r="G65" i="7" s="1"/>
  <c r="C65" i="7"/>
  <c r="E64" i="7"/>
  <c r="D64" i="7"/>
  <c r="C64" i="7"/>
  <c r="D57" i="7"/>
  <c r="B52" i="7"/>
  <c r="C50" i="7" s="1"/>
  <c r="E50" i="7"/>
  <c r="G50" i="7" s="1"/>
  <c r="B49" i="7"/>
  <c r="C46" i="7" s="1"/>
  <c r="E46" i="7"/>
  <c r="G46" i="7" s="1"/>
  <c r="B45" i="7"/>
  <c r="B44" i="7"/>
  <c r="E33" i="7"/>
  <c r="E31" i="7"/>
  <c r="D31" i="7"/>
  <c r="C31" i="7"/>
  <c r="E24" i="7"/>
  <c r="G24" i="7" s="1"/>
  <c r="D24" i="7"/>
  <c r="C24" i="7"/>
  <c r="B22" i="7"/>
  <c r="E98" i="6"/>
  <c r="F98" i="6"/>
  <c r="D98" i="6"/>
  <c r="F73" i="6"/>
  <c r="D73" i="6"/>
  <c r="G72" i="6"/>
  <c r="C73" i="6"/>
  <c r="E71" i="6"/>
  <c r="G71" i="6" s="1"/>
  <c r="F74" i="7" l="1"/>
  <c r="G103" i="7"/>
  <c r="G98" i="7"/>
  <c r="F77" i="7"/>
  <c r="F101" i="7" s="1"/>
  <c r="D74" i="7"/>
  <c r="D77" i="7" s="1"/>
  <c r="D101" i="7" s="1"/>
  <c r="D106" i="7" s="1"/>
  <c r="G31" i="7"/>
  <c r="E57" i="7"/>
  <c r="C70" i="7"/>
  <c r="G64" i="7"/>
  <c r="C33" i="7"/>
  <c r="C57" i="7" s="1"/>
  <c r="E70" i="7"/>
  <c r="G70" i="7" s="1"/>
  <c r="E73" i="7"/>
  <c r="G73" i="7" s="1"/>
  <c r="C82" i="7"/>
  <c r="E81" i="7" s="1"/>
  <c r="G33" i="7"/>
  <c r="G57" i="7"/>
  <c r="E73" i="6"/>
  <c r="G73" i="6"/>
  <c r="F106" i="7" l="1"/>
  <c r="E74" i="7"/>
  <c r="E77" i="7" s="1"/>
  <c r="G77" i="7" s="1"/>
  <c r="G74" i="7"/>
  <c r="E93" i="7"/>
  <c r="G93" i="7" s="1"/>
  <c r="G81" i="7"/>
  <c r="E101" i="7" l="1"/>
  <c r="E106" i="7" l="1"/>
  <c r="G106" i="7" s="1"/>
  <c r="G101" i="7"/>
  <c r="G68" i="6"/>
  <c r="D103" i="6" l="1"/>
  <c r="D105" i="6" s="1"/>
  <c r="G96" i="6"/>
  <c r="G94" i="6"/>
  <c r="D94" i="6"/>
  <c r="F93" i="6"/>
  <c r="D93" i="6"/>
  <c r="E92" i="6"/>
  <c r="G92" i="6" s="1"/>
  <c r="E89" i="6"/>
  <c r="G89" i="6" s="1"/>
  <c r="E86" i="6"/>
  <c r="C82" i="6"/>
  <c r="G78" i="6"/>
  <c r="G76" i="6"/>
  <c r="G75" i="6"/>
  <c r="D75" i="6"/>
  <c r="F70" i="6"/>
  <c r="E70" i="6"/>
  <c r="D70" i="6"/>
  <c r="C70" i="6"/>
  <c r="G69" i="6"/>
  <c r="G65" i="6"/>
  <c r="F64" i="6"/>
  <c r="E64" i="6"/>
  <c r="D64" i="6"/>
  <c r="C64" i="6"/>
  <c r="G61" i="6"/>
  <c r="G59" i="6"/>
  <c r="F57" i="6"/>
  <c r="E57" i="6"/>
  <c r="D57" i="6"/>
  <c r="G54" i="6"/>
  <c r="G50" i="6"/>
  <c r="C50" i="6"/>
  <c r="G46" i="6"/>
  <c r="C46" i="6"/>
  <c r="G33" i="6"/>
  <c r="C33" i="6"/>
  <c r="G32" i="6"/>
  <c r="F31" i="6"/>
  <c r="E31" i="6"/>
  <c r="D31" i="6"/>
  <c r="C31" i="6"/>
  <c r="G30" i="6"/>
  <c r="G28" i="6"/>
  <c r="G27" i="6"/>
  <c r="G25" i="6"/>
  <c r="F24" i="6"/>
  <c r="E24" i="6"/>
  <c r="D24" i="6"/>
  <c r="C24" i="6"/>
  <c r="G23" i="6"/>
  <c r="B22" i="6"/>
  <c r="G20" i="6"/>
  <c r="G15" i="6"/>
  <c r="G12" i="6"/>
  <c r="G9" i="6"/>
  <c r="E74" i="6" l="1"/>
  <c r="E77" i="6" s="1"/>
  <c r="E103" i="6"/>
  <c r="D74" i="6"/>
  <c r="D77" i="6" s="1"/>
  <c r="D101" i="6" s="1"/>
  <c r="D106" i="6" s="1"/>
  <c r="G70" i="6"/>
  <c r="G98" i="6"/>
  <c r="F74" i="6"/>
  <c r="F77" i="6" s="1"/>
  <c r="E81" i="6"/>
  <c r="G81" i="6" s="1"/>
  <c r="G64" i="6"/>
  <c r="G57" i="6"/>
  <c r="C57" i="6"/>
  <c r="G31" i="6"/>
  <c r="G86" i="6"/>
  <c r="G24" i="6"/>
  <c r="E105" i="6" l="1"/>
  <c r="G105" i="6" s="1"/>
  <c r="G103" i="6"/>
  <c r="E93" i="6"/>
  <c r="G93" i="6" s="1"/>
  <c r="E101" i="6"/>
  <c r="E106" i="6" s="1"/>
  <c r="G74" i="6"/>
  <c r="G77" i="6"/>
  <c r="F101" i="6"/>
  <c r="F106" i="6" l="1"/>
  <c r="G106" i="6" s="1"/>
  <c r="G101" i="6"/>
</calcChain>
</file>

<file path=xl/comments1.xml><?xml version="1.0" encoding="utf-8"?>
<comments xmlns="http://schemas.openxmlformats.org/spreadsheetml/2006/main">
  <authors>
    <author>PSZI</author>
  </authors>
  <commentList>
    <comment ref="R11" authorId="0" shapeId="0">
      <text>
        <r>
          <rPr>
            <b/>
            <sz val="8"/>
            <color indexed="81"/>
            <rFont val="Tahoma"/>
            <family val="2"/>
            <charset val="238"/>
          </rPr>
          <t>2*0,75
1*0,5</t>
        </r>
      </text>
    </comment>
    <comment ref="X11" authorId="0" shapeId="0">
      <text>
        <r>
          <rPr>
            <b/>
            <sz val="8"/>
            <color indexed="81"/>
            <rFont val="Tahoma"/>
            <family val="2"/>
            <charset val="238"/>
          </rPr>
          <t>2*0,75
1*0,5</t>
        </r>
      </text>
    </comment>
    <comment ref="X1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6 órás
</t>
        </r>
      </text>
    </comment>
  </commentList>
</comments>
</file>

<file path=xl/sharedStrings.xml><?xml version="1.0" encoding="utf-8"?>
<sst xmlns="http://schemas.openxmlformats.org/spreadsheetml/2006/main" count="2211" uniqueCount="977">
  <si>
    <t>Megnevezés</t>
  </si>
  <si>
    <t>Konszolidálás előtti összeg</t>
  </si>
  <si>
    <t>Konszolidálás</t>
  </si>
  <si>
    <t>Konszolidált összeg</t>
  </si>
  <si>
    <t xml:space="preserve">ESZKÖZÖK ÖSSZESEN </t>
  </si>
  <si>
    <t>FORRÁSOK ÖSSZESEN</t>
  </si>
  <si>
    <t>A Karcag Városi Önkormányzat 2016. évi konszolidált mérlege</t>
  </si>
  <si>
    <t>H/II Költségvetési évet követően esedékes kötelezettségek (=H/II/1+…+H/II/9)</t>
  </si>
  <si>
    <t>Adatok Ft-ban</t>
  </si>
  <si>
    <t>Sorszám</t>
  </si>
  <si>
    <t xml:space="preserve">A) </t>
  </si>
  <si>
    <t xml:space="preserve">B/I </t>
  </si>
  <si>
    <t xml:space="preserve">B) </t>
  </si>
  <si>
    <t xml:space="preserve">C/II </t>
  </si>
  <si>
    <t>C/III-IV.</t>
  </si>
  <si>
    <t xml:space="preserve">D/I </t>
  </si>
  <si>
    <t>G/IV</t>
  </si>
  <si>
    <t xml:space="preserve">H/II </t>
  </si>
  <si>
    <t xml:space="preserve">H/III </t>
  </si>
  <si>
    <t>A/I.</t>
  </si>
  <si>
    <t>A/II.</t>
  </si>
  <si>
    <t xml:space="preserve">A/III.  </t>
  </si>
  <si>
    <t xml:space="preserve">A/IV.  </t>
  </si>
  <si>
    <t>A)</t>
  </si>
  <si>
    <t>B/I.</t>
  </si>
  <si>
    <t>B)</t>
  </si>
  <si>
    <t>C/II.</t>
  </si>
  <si>
    <t>C)</t>
  </si>
  <si>
    <t xml:space="preserve">D/I. </t>
  </si>
  <si>
    <t>D/II.</t>
  </si>
  <si>
    <t xml:space="preserve">D/III. </t>
  </si>
  <si>
    <t>D)</t>
  </si>
  <si>
    <t>E)</t>
  </si>
  <si>
    <t>F)</t>
  </si>
  <si>
    <t xml:space="preserve">A-F) </t>
  </si>
  <si>
    <t>G/I-III.</t>
  </si>
  <si>
    <t>G/IV.</t>
  </si>
  <si>
    <t>G/VI.</t>
  </si>
  <si>
    <t>G)</t>
  </si>
  <si>
    <t>H)</t>
  </si>
  <si>
    <t>H/II.</t>
  </si>
  <si>
    <t xml:space="preserve">H/III. </t>
  </si>
  <si>
    <t>J)</t>
  </si>
  <si>
    <t>G-J)</t>
  </si>
  <si>
    <t xml:space="preserve">Immateriális javak </t>
  </si>
  <si>
    <t xml:space="preserve">Tárgyi eszközök </t>
  </si>
  <si>
    <t xml:space="preserve">Befektetett pénzügyi eszközök </t>
  </si>
  <si>
    <t xml:space="preserve">Koncesszióba, vagyonkezelésbe adott eszközök </t>
  </si>
  <si>
    <t xml:space="preserve">NEMZETI VAGYONBA TARTOZÓ BEFEKTETETT ESZKÖZÖK </t>
  </si>
  <si>
    <t>Készletek</t>
  </si>
  <si>
    <t xml:space="preserve">NEMZETI VAGYONBA TARTOZÓ FORGÓESZKÖZÖK </t>
  </si>
  <si>
    <t xml:space="preserve">Pénztárak, csekkek, betétkönyvek </t>
  </si>
  <si>
    <t>Forintszámlák és Devizaszámlák</t>
  </si>
  <si>
    <t>PÉNZESZKÖZÖK</t>
  </si>
  <si>
    <t>Költségvetési évben esedékes követelések</t>
  </si>
  <si>
    <t xml:space="preserve">Költségvetési évet követően esedékes követelések </t>
  </si>
  <si>
    <t xml:space="preserve">Követelés jellegű sajátos elszámolások </t>
  </si>
  <si>
    <t xml:space="preserve">KÖVETELÉSEK </t>
  </si>
  <si>
    <t xml:space="preserve">EGYÉB SAJÁTOS ELSZÁMOLÁSOK </t>
  </si>
  <si>
    <t xml:space="preserve">AKTÍV IDŐBELI  ELHATÁROLÁSOK  </t>
  </si>
  <si>
    <t>Nemzeti vagyon és egyéb eszközök induláskori értéke és változásai</t>
  </si>
  <si>
    <t>Felhalmozott eredmény</t>
  </si>
  <si>
    <t>Mérleg szerinti eredmény</t>
  </si>
  <si>
    <t xml:space="preserve">SAJÁT TŐKE </t>
  </si>
  <si>
    <t>Költségvetési évben esedékes kötelezettségek</t>
  </si>
  <si>
    <t xml:space="preserve">Költségvetési évet követően esedékes kötelezettségek </t>
  </si>
  <si>
    <t xml:space="preserve">Kötelezettség jellegű sajátos elszámolások </t>
  </si>
  <si>
    <t xml:space="preserve">KÖTELEZETTSÉGEK </t>
  </si>
  <si>
    <t>PASSZÍV IDŐBELI ELHATÁROLÁSOK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</si>
  <si>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</si>
  <si>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</si>
  <si>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</si>
  <si>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 xml:space="preserve">I.    Tevékenység nettó eredményszemléletű bevétele </t>
  </si>
  <si>
    <t>06   Központi működési célú támogatások eredményszemléletű bevételei</t>
  </si>
  <si>
    <t>07   Egyéb működési célú támogatások eredményszemléletű bevételei</t>
  </si>
  <si>
    <t>III. Egyéb eredményszemléletű bevételek</t>
  </si>
  <si>
    <t xml:space="preserve">IV. Anyagjellegű ráfordítások </t>
  </si>
  <si>
    <t>VII. Egyéb ráfordítások</t>
  </si>
  <si>
    <t>26b - ebből: egyéb pénzeszközök mérlegfordulónapi értékelése során megállapított (nem realizált) árfolyamvesztesége</t>
  </si>
  <si>
    <t>A Karcag Városi Önkormányzat 2016. évi konszolidált eredménykimutatása</t>
  </si>
  <si>
    <t>04   Saját termelésű készletek állományváltozása</t>
  </si>
  <si>
    <t>05   Saját előállítású eszközök aktivált értéke</t>
  </si>
  <si>
    <t>08   Felhalmozási célú támogatások eredményszemléletű bevételei</t>
  </si>
  <si>
    <t>09  Különféle egyéb eredményszemléletű bevételek</t>
  </si>
  <si>
    <t>10   Anyagköltség</t>
  </si>
  <si>
    <t>11   Igénybe vett szolgáltatások értéke</t>
  </si>
  <si>
    <t>12   Eladott áruk beszerzési értéke</t>
  </si>
  <si>
    <t>13   Eladott (közvetített) szolgáltatások értéke</t>
  </si>
  <si>
    <t>14   Bérköltség</t>
  </si>
  <si>
    <t>15   Személyi jellegű egyéb kifizetések</t>
  </si>
  <si>
    <t>16   Bérjárulékok</t>
  </si>
  <si>
    <t>VI.  Értékcsökkenési leírás</t>
  </si>
  <si>
    <t>17   Kapott (járó) osztalék és részesedés</t>
  </si>
  <si>
    <t>20   Egyéb kapott (járó) kamatok és kamatjellegű eredményszemléletű bevételek</t>
  </si>
  <si>
    <t>VIII. Pénzügyi műveletek eredményszemléletű bevételei</t>
  </si>
  <si>
    <t xml:space="preserve">II.   Aktivált saját teljesítmények értéke </t>
  </si>
  <si>
    <t xml:space="preserve">V.   Személyi jellegű ráfordítások </t>
  </si>
  <si>
    <t>A)   TEVÉKENYSÉGEK EREDMÉNYE</t>
  </si>
  <si>
    <t xml:space="preserve">26   Pénzügyi műveletek egyéb ráfordításai </t>
  </si>
  <si>
    <t xml:space="preserve">IX.  Pénzügyi műveletek ráfordításai </t>
  </si>
  <si>
    <t xml:space="preserve">B)   PÉNZÜGYI MŰVELETEK EREDMÉNYE </t>
  </si>
  <si>
    <t xml:space="preserve">C)   MÉRLEG SZERINTI EREDMÉNY </t>
  </si>
  <si>
    <t>Módosítások (+/-)</t>
  </si>
  <si>
    <t>2015. év</t>
  </si>
  <si>
    <t>A Karcag Városi Önkormányzat 2016. évi mérlege</t>
  </si>
  <si>
    <t>2016. év</t>
  </si>
  <si>
    <t xml:space="preserve">A/I/1 </t>
  </si>
  <si>
    <t xml:space="preserve">A/I/2 </t>
  </si>
  <si>
    <t xml:space="preserve">A/I </t>
  </si>
  <si>
    <t xml:space="preserve">A/II/1 </t>
  </si>
  <si>
    <t xml:space="preserve">A/II/2 </t>
  </si>
  <si>
    <t xml:space="preserve">A/II/3 </t>
  </si>
  <si>
    <t xml:space="preserve">A/II/4 </t>
  </si>
  <si>
    <t xml:space="preserve">A/II </t>
  </si>
  <si>
    <t xml:space="preserve">A/III/1 </t>
  </si>
  <si>
    <t xml:space="preserve">A/III/1b </t>
  </si>
  <si>
    <t xml:space="preserve">A/III </t>
  </si>
  <si>
    <t>A/IV/1</t>
  </si>
  <si>
    <t>A/IV/1b</t>
  </si>
  <si>
    <t xml:space="preserve">A/IV </t>
  </si>
  <si>
    <t>B/I/1</t>
  </si>
  <si>
    <t xml:space="preserve">B/I/2 </t>
  </si>
  <si>
    <t xml:space="preserve">B/I/4  </t>
  </si>
  <si>
    <t xml:space="preserve">B/I/5 </t>
  </si>
  <si>
    <t xml:space="preserve">C/II/1 </t>
  </si>
  <si>
    <t xml:space="preserve">C/II/2 </t>
  </si>
  <si>
    <t>C/III/1</t>
  </si>
  <si>
    <t xml:space="preserve">C/IV/1 </t>
  </si>
  <si>
    <t>C/III</t>
  </si>
  <si>
    <t xml:space="preserve">C/IV </t>
  </si>
  <si>
    <t xml:space="preserve">C) </t>
  </si>
  <si>
    <t xml:space="preserve">D/I/3 </t>
  </si>
  <si>
    <t xml:space="preserve">D/I/3a  </t>
  </si>
  <si>
    <t xml:space="preserve">D/I/3d </t>
  </si>
  <si>
    <t>D/I/3e</t>
  </si>
  <si>
    <t xml:space="preserve">D/I/3f </t>
  </si>
  <si>
    <t xml:space="preserve">D/I/4 </t>
  </si>
  <si>
    <t xml:space="preserve">D/I/4a </t>
  </si>
  <si>
    <t xml:space="preserve">D/I/4b </t>
  </si>
  <si>
    <t xml:space="preserve">D/I/4c </t>
  </si>
  <si>
    <t xml:space="preserve">D/I/4d </t>
  </si>
  <si>
    <t xml:space="preserve">D/I/4i </t>
  </si>
  <si>
    <t xml:space="preserve">D/I/4f </t>
  </si>
  <si>
    <t xml:space="preserve">D/I/5 </t>
  </si>
  <si>
    <t xml:space="preserve">D/I/5b </t>
  </si>
  <si>
    <t xml:space="preserve">D/I/5d </t>
  </si>
  <si>
    <t xml:space="preserve">D/I/7 </t>
  </si>
  <si>
    <t xml:space="preserve">D/I/7c </t>
  </si>
  <si>
    <t xml:space="preserve">D/II/2 </t>
  </si>
  <si>
    <t>D/II/4</t>
  </si>
  <si>
    <t>D/II/4e</t>
  </si>
  <si>
    <t xml:space="preserve">D/II/5 </t>
  </si>
  <si>
    <t xml:space="preserve">D/II/5b </t>
  </si>
  <si>
    <t xml:space="preserve">D/II/6 </t>
  </si>
  <si>
    <t xml:space="preserve">D/II/6c </t>
  </si>
  <si>
    <t>D/II/7</t>
  </si>
  <si>
    <t xml:space="preserve">D/II/7c </t>
  </si>
  <si>
    <t xml:space="preserve">D/II </t>
  </si>
  <si>
    <t xml:space="preserve">D/III/1 </t>
  </si>
  <si>
    <t xml:space="preserve">D/III/1b </t>
  </si>
  <si>
    <t xml:space="preserve">D/III/1e </t>
  </si>
  <si>
    <t xml:space="preserve">D/III/1f </t>
  </si>
  <si>
    <t xml:space="preserve">D/III/4 </t>
  </si>
  <si>
    <t xml:space="preserve">D/III/7 </t>
  </si>
  <si>
    <t>D/III</t>
  </si>
  <si>
    <t xml:space="preserve">D) </t>
  </si>
  <si>
    <t xml:space="preserve">E/I/2 </t>
  </si>
  <si>
    <t xml:space="preserve">E/I </t>
  </si>
  <si>
    <t xml:space="preserve">E/II/2 </t>
  </si>
  <si>
    <t xml:space="preserve">E/II </t>
  </si>
  <si>
    <t xml:space="preserve">E/III/1 </t>
  </si>
  <si>
    <t xml:space="preserve">E/III/2 </t>
  </si>
  <si>
    <t xml:space="preserve">E/III </t>
  </si>
  <si>
    <t xml:space="preserve">E) </t>
  </si>
  <si>
    <t xml:space="preserve">F/1  </t>
  </si>
  <si>
    <t>F/2</t>
  </si>
  <si>
    <t xml:space="preserve">F) </t>
  </si>
  <si>
    <t>A-F)</t>
  </si>
  <si>
    <t xml:space="preserve">G/I  </t>
  </si>
  <si>
    <t xml:space="preserve">G/II </t>
  </si>
  <si>
    <t>G/III/3</t>
  </si>
  <si>
    <t xml:space="preserve">G/III </t>
  </si>
  <si>
    <t>G/VI</t>
  </si>
  <si>
    <t xml:space="preserve">H/I/3 </t>
  </si>
  <si>
    <t xml:space="preserve">H/I/4 </t>
  </si>
  <si>
    <t xml:space="preserve">H/I/6 </t>
  </si>
  <si>
    <t xml:space="preserve">H/I </t>
  </si>
  <si>
    <t>H/II/2</t>
  </si>
  <si>
    <t>H/II/3</t>
  </si>
  <si>
    <t xml:space="preserve">H/II/9 </t>
  </si>
  <si>
    <t xml:space="preserve">H/II/9e </t>
  </si>
  <si>
    <t>H/III/1</t>
  </si>
  <si>
    <t>H/III/3</t>
  </si>
  <si>
    <t xml:space="preserve">H/III/8 </t>
  </si>
  <si>
    <t xml:space="preserve">H) </t>
  </si>
  <si>
    <t xml:space="preserve">J/1 </t>
  </si>
  <si>
    <t>J/2</t>
  </si>
  <si>
    <t xml:space="preserve">J/3 </t>
  </si>
  <si>
    <t xml:space="preserve">J) </t>
  </si>
  <si>
    <t>Vagyoni értékű jogok</t>
  </si>
  <si>
    <t>Szellemi termékek</t>
  </si>
  <si>
    <t>Immateriális javak</t>
  </si>
  <si>
    <t>Ingatlanok és a kapcsolódó vagyoni értékű jogok</t>
  </si>
  <si>
    <t>Gépek, berendezések, felszerelések, járművek</t>
  </si>
  <si>
    <t>Tenyészállatok</t>
  </si>
  <si>
    <t>Beruházások, felújítások</t>
  </si>
  <si>
    <t xml:space="preserve">    ebből: tartós részesedések nem pénzügyi vállalkozásban</t>
  </si>
  <si>
    <t>Tartós részesedések</t>
  </si>
  <si>
    <t xml:space="preserve">    ebből: tárgyi eszközök</t>
  </si>
  <si>
    <t>Koncesszióba, vagyonkezelésbe adott eszközök</t>
  </si>
  <si>
    <t>Befektetett pénzügyi eszközök</t>
  </si>
  <si>
    <t>NEMZETI VAGYONBA TARTOZÓ BEFEKTETETT ESZKÖZÖK</t>
  </si>
  <si>
    <t>Vásárolt készletek</t>
  </si>
  <si>
    <t>Átsorolt, követelés fejében átvett készletek</t>
  </si>
  <si>
    <t>Befejezetlen termelés, félkész termékek, késztermékek</t>
  </si>
  <si>
    <t>Növendék-, hízó és egyéb állatok</t>
  </si>
  <si>
    <t>NEMZETI VAGYONBA TARTOZÓ FORGÓESZKÖZÖK</t>
  </si>
  <si>
    <t>Forintpénztár</t>
  </si>
  <si>
    <t>Valutapénztár</t>
  </si>
  <si>
    <t>Pénztárak, csekkek, betétkönyvek</t>
  </si>
  <si>
    <t>Kincstáron kívüli forintszámlák</t>
  </si>
  <si>
    <t>Forintszámlák</t>
  </si>
  <si>
    <t>Kincstáron kívüli devizaszámlák</t>
  </si>
  <si>
    <t>Devizaszámlák</t>
  </si>
  <si>
    <t>Költségvetési évben esedékes követelések közhatalmi bevételre</t>
  </si>
  <si>
    <t xml:space="preserve">    ebből: költségvetési évben esedékes követelések jövedelemadókra</t>
  </si>
  <si>
    <t xml:space="preserve">    ebből: költségvetési évben esedékes követelések vagyoni típusú adókra</t>
  </si>
  <si>
    <t xml:space="preserve">    ebből: költségvetési évben esedékes követelések termékek és szolgáltatások adóira</t>
  </si>
  <si>
    <t xml:space="preserve">    ebből: költségvetési évben esedékes követelések egyéb közhatalmi bevételekre</t>
  </si>
  <si>
    <t>Költségvetési évben esedékes követelések működési bevételre</t>
  </si>
  <si>
    <t xml:space="preserve">    ebből: költségvetési évben esedékes követelések tulajdonosi bevételekre</t>
  </si>
  <si>
    <t xml:space="preserve">    szolgáltatások ellenértékére, közvetített szolgáltatások ellenértékére</t>
  </si>
  <si>
    <t xml:space="preserve">    ebből: költségvetési évben esedékes követelések készletértékesítés ellenértékére,  </t>
  </si>
  <si>
    <t xml:space="preserve">    ebből: költségvetési évben esedékes követelések ellátási díjakra</t>
  </si>
  <si>
    <t xml:space="preserve">    ebből: költségvetési évben esedékes követelések kiszámlázott általános forgalmi adóra</t>
  </si>
  <si>
    <t xml:space="preserve">    ebből: költségvetési évben esedékes követelések egyéb működési bevételekre</t>
  </si>
  <si>
    <t xml:space="preserve">    ebből: költségvetési évben esedékes köv. kamatbevételekre és más nyereségjell. bevételekre</t>
  </si>
  <si>
    <t>Költségvetési évben esedékes követelések felhalmozási bevételre</t>
  </si>
  <si>
    <t xml:space="preserve">    ebből: költségvetési évben esedékes követelések ingatlanok értékesítésére</t>
  </si>
  <si>
    <t xml:space="preserve">    ebből: költségvetési évben esedékes követelések részesedések értékesítésére</t>
  </si>
  <si>
    <t xml:space="preserve">Költségvetési évben esedékes követelések felhalmozási célú átvett pénzeszközre </t>
  </si>
  <si>
    <t xml:space="preserve">    ebből: költségvetési évben esedékes követelések felhalmozási célú visszatérítendő támogatások, </t>
  </si>
  <si>
    <t xml:space="preserve">    kölcsönök visszatérülésére államháztartáson kívülről</t>
  </si>
  <si>
    <t>Költségvetési évet követően esedékes köv. felh. célú támogatások bevételeire áht-on belülről</t>
  </si>
  <si>
    <t>Költségvetési évet követően esedékes köv. működési bevételre</t>
  </si>
  <si>
    <t xml:space="preserve">   ebből: költségvetési évet követően esedékes követelések általános forgalmi adó visszatérítésére</t>
  </si>
  <si>
    <t>Költségvetési évet követően esedékes követelések felhalmozási bevételre</t>
  </si>
  <si>
    <t xml:space="preserve">    ebből: költségvetési évet követően esedékes követelések ingatlanok értékesítésére</t>
  </si>
  <si>
    <t>Költségvetési évet követően esedékes követelések működési célú átvett pénzeszközre</t>
  </si>
  <si>
    <t>Költségvetési évet követően esedékes követelések felhalmozási célú átvett pénzeszközre</t>
  </si>
  <si>
    <t>Költségvetési évet követően esedékes követelések</t>
  </si>
  <si>
    <t>Adott előlegek</t>
  </si>
  <si>
    <t xml:space="preserve">    ebből: beruházásokra, felújításokra adott előlegek</t>
  </si>
  <si>
    <t xml:space="preserve">    ebből: foglalkoztatottaknak adott előlegek</t>
  </si>
  <si>
    <t xml:space="preserve">    ebből: túlfizetések, téves és visszajáró kifizetések</t>
  </si>
  <si>
    <t>Forgótőke elszámolása</t>
  </si>
  <si>
    <t>Folyósított, megelőlegezett társadalombiztosítási és családtámogatási ellátások elszámolása</t>
  </si>
  <si>
    <t>Követelés jellegű sajátos elszámolások</t>
  </si>
  <si>
    <t>KÖVETELÉSEK</t>
  </si>
  <si>
    <t>Más előzetesen felszámított levonható általános forgalmi adó</t>
  </si>
  <si>
    <t>Előzetesen felszámított általános forgalmi adó elszámolása</t>
  </si>
  <si>
    <t>Más fizetendő általános forgalmi adó</t>
  </si>
  <si>
    <t>Fizetendő általános forgalmi adó elszámolása</t>
  </si>
  <si>
    <t>December havi illetmények, munkabérek elszámolása</t>
  </si>
  <si>
    <t>Egyéb sajátos eszközoldali elszámolások</t>
  </si>
  <si>
    <t>EGYÉB SAJÁTOS ELSZÁMOLÁSOK</t>
  </si>
  <si>
    <t>Eredményszemléletű bevételek aktív időbeli elhatárolása</t>
  </si>
  <si>
    <t>Költségek, ráfordítások aktív időbeli elhatárolása</t>
  </si>
  <si>
    <t>AKTÍV IDŐBELI  ELHATÁROLÁSOK</t>
  </si>
  <si>
    <t>Nemzeti vagyon induláskori értéke</t>
  </si>
  <si>
    <t>Nemzeti vagyon változásai</t>
  </si>
  <si>
    <t>Pénzeszközön kívüli egyéb eszközök induláskori értéke és változásai</t>
  </si>
  <si>
    <t>Egyéb eszközök induláskori értéke és változásai</t>
  </si>
  <si>
    <t>SAJÁT TŐKE</t>
  </si>
  <si>
    <t>Költségvetési évben esedékes kötelezettségek dologi kiadásokra</t>
  </si>
  <si>
    <t>Költségvetési évben esedékes kötelezettségek ellátottak pénzbeli juttatásaira</t>
  </si>
  <si>
    <t>Költségvetési évben esedékes kötelezettségek beruházásokra</t>
  </si>
  <si>
    <t>Költségvetési évben esedékes kötelezettségek (=H/I/1+…+H/I/9)</t>
  </si>
  <si>
    <t>Költségvetési évet követően esedékes kötelezettségek dologi kiadásokra</t>
  </si>
  <si>
    <t xml:space="preserve">Költségvetési évet követően esedékes kötelezettségek finanszírozási kiadásokra </t>
  </si>
  <si>
    <t>Kapott előlegek</t>
  </si>
  <si>
    <t>Más szervezetet megillető bevételek elszámolása</t>
  </si>
  <si>
    <t>Letétre, megőrzésre, fedezetkezelésre átvett pénzeszközök, biztosítékok</t>
  </si>
  <si>
    <t>Kötelezettség jellegű sajátos elszámolások</t>
  </si>
  <si>
    <t>KÖTELEZETTSÉGEK</t>
  </si>
  <si>
    <t>Eredményszemléletű bevételek passzív időbeli elhatárolása</t>
  </si>
  <si>
    <t>Költségek, ráfordítások passzív időbeli elhatárolása</t>
  </si>
  <si>
    <t>Halasztott eredményszemléletű bevételek</t>
  </si>
  <si>
    <t xml:space="preserve">    támogatások, kölcsönök visszatérülésére államháztartáson kívülről</t>
  </si>
  <si>
    <t xml:space="preserve">    ebből: költségvetési évet követően esedékes követelések működési célú visszatérítendő </t>
  </si>
  <si>
    <t xml:space="preserve">    ebből: költségvetési évet követően esedékes követelések felhalmozási célú visszatérítendő </t>
  </si>
  <si>
    <t>Utalványok, bérletek és más hasonló, készpénz-hely. fiz. eszköznek nem minősülő eszk. elsz.</t>
  </si>
  <si>
    <t>Költségvetési évet köv. esedékes kötelezettségek munkaadókat terhelő járulékokra és szocho-ra</t>
  </si>
  <si>
    <t xml:space="preserve">    ebből: költségvetési évet köv. esed. köt. áht-on belüli megelőlegezések visszafizetésére</t>
  </si>
  <si>
    <t>A Karcag Városi Önkormányzat 2016. évi vagyonkimutatása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</si>
  <si>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</si>
  <si>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</si>
  <si>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</si>
  <si>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</si>
  <si>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</si>
  <si>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</si>
  <si>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</si>
  <si>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</si>
  <si>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</si>
  <si>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</si>
  <si>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</si>
  <si>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A Karcag Városi Önkormányzat 2016. évi maradványkimutatása</t>
  </si>
  <si>
    <t xml:space="preserve"> </t>
  </si>
  <si>
    <t>Adatok ezer Ft-ban</t>
  </si>
  <si>
    <t xml:space="preserve">                            Megnevezés</t>
  </si>
  <si>
    <t>Eredeti 
előirányzat</t>
  </si>
  <si>
    <t>Módosított
előirányzat</t>
  </si>
  <si>
    <t>Teljesítés</t>
  </si>
  <si>
    <t>%</t>
  </si>
  <si>
    <t>B1. Működési célú támogatások államháztartáson belülről</t>
  </si>
  <si>
    <t xml:space="preserve">   1. Helyi önkormányzatok működésének támogatása</t>
  </si>
  <si>
    <t xml:space="preserve">    1.    Önkormányzati hivatal működésének támogatása </t>
  </si>
  <si>
    <t xml:space="preserve">    2.    A zöldterület-gazdálkodással kapcsolatos feladatok ellátásának támogatása</t>
  </si>
  <si>
    <t xml:space="preserve">           Beszámítás után</t>
  </si>
  <si>
    <t xml:space="preserve">    3.    Közvilágítás fenntartásának támogatása</t>
  </si>
  <si>
    <t xml:space="preserve">    4.    Köztemető fenntartással kapcsolatos feladatok támogatása</t>
  </si>
  <si>
    <t xml:space="preserve">    5.    Közutak fenntartásának támogatása</t>
  </si>
  <si>
    <t xml:space="preserve">    6.    Egyéb önkormányzati feladatok támogatása</t>
  </si>
  <si>
    <t xml:space="preserve">    7.    Lakott külterülettel kapcsoltos feladatok támogatása</t>
  </si>
  <si>
    <t xml:space="preserve">    8.    Üdülőhelyi feladatok támogatása</t>
  </si>
  <si>
    <t xml:space="preserve">    Beszámítás összesen</t>
  </si>
  <si>
    <t xml:space="preserve">    9. A 2015. évről áthúzódó bérkompenzáció támogatása</t>
  </si>
  <si>
    <t xml:space="preserve">      1-9. Települési önkormányzatok működésének támogatása beszámítás után</t>
  </si>
  <si>
    <t xml:space="preserve">    10.  Óvodapedagógusok, és az óvodapedagógusok nevelő munkáját közvetlenül </t>
  </si>
  <si>
    <t xml:space="preserve">           segítők bértámogatása</t>
  </si>
  <si>
    <t xml:space="preserve">    11.  Óvodaműködtetési támogatás</t>
  </si>
  <si>
    <t xml:space="preserve">    12.  Kiegészítő támogatás az óvodapedagógusok minősítéséből adódó </t>
  </si>
  <si>
    <t xml:space="preserve">           többletkiadásokhoz</t>
  </si>
  <si>
    <t xml:space="preserve">    13.  Köznevelési intézmények működtetéséhez kapcsolódó támogatás</t>
  </si>
  <si>
    <t xml:space="preserve">      10-13. Települési önkormányzatok egyes köznevelési feladatainak támogatása</t>
  </si>
  <si>
    <t xml:space="preserve">    14.  A települési önkormányzatok egyes szociális feladatainak egyéb támogatása</t>
  </si>
  <si>
    <t xml:space="preserve">    15.  Egyes szociális és gyermekjóléti feladatok támogatása</t>
  </si>
  <si>
    <t xml:space="preserve">           Család- és gyermekjóléti szolgálat </t>
  </si>
  <si>
    <t xml:space="preserve">           Család- és gyermekjóléti központ </t>
  </si>
  <si>
    <t xml:space="preserve">           Szociális étkeztetés </t>
  </si>
  <si>
    <t xml:space="preserve">           Házi segítségnyújtás </t>
  </si>
  <si>
    <t xml:space="preserve">           Falugondnoki vagy tanyagondnoki szolgáltatás </t>
  </si>
  <si>
    <t xml:space="preserve">           Időskorúak nappali intézményi ellátása </t>
  </si>
  <si>
    <t xml:space="preserve">           Fogyatékos és demens személyek nappali intézményi ellátása</t>
  </si>
  <si>
    <t xml:space="preserve">           Pszichiátriai betegek nappali intézményi ellátása </t>
  </si>
  <si>
    <t xml:space="preserve">           Szenvedélybetegek nappali intézményi ellátása </t>
  </si>
  <si>
    <t xml:space="preserve">           Bölcsődei ellátás</t>
  </si>
  <si>
    <t xml:space="preserve">           Szociális ágazati pótlék</t>
  </si>
  <si>
    <t xml:space="preserve">           Kiegészítő ágazati pótlék</t>
  </si>
  <si>
    <t xml:space="preserve">    16. A települési önkormányzatok által biztosított egyes szakosított ellátások, </t>
  </si>
  <si>
    <t xml:space="preserve">          valamint a gyermekek átmeneti gondozásával kapcsolatos feladatok ellátása</t>
  </si>
  <si>
    <t xml:space="preserve">          A finanszírozás szempontjából elismert szakmai dolgozók bértámogatása</t>
  </si>
  <si>
    <t xml:space="preserve">          Intézményüzemeltetési támogatás</t>
  </si>
  <si>
    <t xml:space="preserve">    17. Gyermekétkeztetés támogatása</t>
  </si>
  <si>
    <t xml:space="preserve">          A finanszírozás szempontjából elismert dolgozók bértámogatása</t>
  </si>
  <si>
    <t xml:space="preserve">          Gyermekétkeztetés üzemeltetési támogatása</t>
  </si>
  <si>
    <t xml:space="preserve">          A rászoruló gyermekek intézményen kívüli szünidei étkeztetésének támogatása</t>
  </si>
  <si>
    <t xml:space="preserve">    18. Kiegészítő támogatás a bölcsődében foglalkoztatott, felsőfokú végzettségű</t>
  </si>
  <si>
    <t xml:space="preserve">           kisgyermeknevelők  béréhez</t>
  </si>
  <si>
    <t xml:space="preserve">    19. Szociális ágazati pótlék</t>
  </si>
  <si>
    <t xml:space="preserve">      14-19. A települési önkormányzatok szociális, gyermekjóléti és gyermekétkeztetési </t>
  </si>
  <si>
    <t xml:space="preserve">    feladatainak támogatása</t>
  </si>
  <si>
    <t xml:space="preserve">    20. A települési önkormányzatok nyilvános könyvtári és közművelődési</t>
  </si>
  <si>
    <t xml:space="preserve">          feladatainak támogatása</t>
  </si>
  <si>
    <t xml:space="preserve">    21. A települési önkormányzatok muzeális intézményi feladatainak támogatása</t>
  </si>
  <si>
    <t xml:space="preserve">    22. Települési önkormányzatok könyvtári célú és közművelődési </t>
  </si>
  <si>
    <t xml:space="preserve">          érdekeltségnövelő támogatása</t>
  </si>
  <si>
    <t xml:space="preserve">    20-22. A települési önkormányzatok kulturális feladatainak támogatása</t>
  </si>
  <si>
    <t xml:space="preserve">    23. 2016. évi bérkompenzáció</t>
  </si>
  <si>
    <t xml:space="preserve">    24. Kiegészítő ágazati pótlék</t>
  </si>
  <si>
    <t xml:space="preserve">      26. Települési önkormányzatok helyi közösségi közlekedésének támogatása</t>
  </si>
  <si>
    <t xml:space="preserve">    23-26. Működési célú költségvetési támogatások és kiegészítő támogatások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</si>
  <si>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</si>
  <si>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</si>
  <si>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 bevételei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</si>
  <si>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</si>
  <si>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</si>
  <si>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</si>
  <si>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</si>
  <si>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</si>
  <si>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</si>
  <si>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</si>
  <si>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</si>
  <si>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</si>
  <si>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</si>
  <si>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</si>
  <si>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</si>
  <si>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</si>
  <si>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</si>
  <si>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</si>
  <si>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Egyéb közhatalmi bevétel</t>
  </si>
  <si>
    <t>B3. Közhatalmi bevétel összesen:</t>
  </si>
  <si>
    <t>B4. Működési bevétel</t>
  </si>
  <si>
    <t>B5. Felhalmozási bevételek</t>
  </si>
  <si>
    <t xml:space="preserve"> 1. Ingatlanok értékesítése 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</si>
  <si>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</si>
  <si>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</si>
  <si>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</si>
  <si>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</si>
  <si>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</si>
  <si>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</si>
  <si>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</si>
  <si>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>Bevételek mindösszesen (B1-B8.):</t>
  </si>
  <si>
    <t xml:space="preserve">      25. Szociális ágazati és kiegészítő ágazati pótlék 2015. évi pótlólagos elszámolása</t>
  </si>
  <si>
    <t xml:space="preserve">      27. Önkormányzatok rendkívüli támogatása</t>
  </si>
  <si>
    <t xml:space="preserve">      28. Szociális ágazati és kiegészítő ágazati pótlék 2015. évi pótlólagos elszámolása</t>
  </si>
  <si>
    <t xml:space="preserve">      29. Egyszeri gyermekvédelmi támogatás</t>
  </si>
  <si>
    <t xml:space="preserve">    28-29. Elszámolásból származó bevételek</t>
  </si>
  <si>
    <t xml:space="preserve"> 2. Részesedések értékesítése </t>
  </si>
  <si>
    <t xml:space="preserve">    18. Kiegészítő támogatás a bölcsődében foglalkoztatott, felsőfokúvégzettségű kisgyermeknevelők </t>
  </si>
  <si>
    <t xml:space="preserve">          béréhez</t>
  </si>
  <si>
    <t xml:space="preserve">    27. Önkormányzatok rendkívüli támogatása</t>
  </si>
  <si>
    <t xml:space="preserve">    23-27. Működési célú költségvetési támogatások és kiegészítő támogatások</t>
  </si>
  <si>
    <t xml:space="preserve"> 3. Elvonások és befizetések bevételei</t>
  </si>
  <si>
    <t>A Karcag Városi Önkormányzat 2016. évi költségvetésén belül az önkormányzat bevételi főösszegének teljesítése
kiemelt előirányzatonkénti bontásban</t>
  </si>
  <si>
    <t>A Karcag Városi Önkormányzat és intézményei 2016. évi költségvetés bevételi főösszegének teljesítése
kiemelt előirányzatonkénti bontásban</t>
  </si>
  <si>
    <t>1/3. oldal</t>
  </si>
  <si>
    <t>2/3. oldal</t>
  </si>
  <si>
    <t>3/3. oldal</t>
  </si>
  <si>
    <t>kiemelt előirányzatonkénti bontásban</t>
  </si>
  <si>
    <t>Adatok e Ft-ban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</si>
  <si>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</si>
  <si>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</si>
  <si>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</si>
  <si>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</si>
  <si>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</si>
  <si>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</si>
  <si>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</si>
  <si>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>B8.</t>
  </si>
  <si>
    <t>B1-B8.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</si>
  <si>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</si>
  <si>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</si>
  <si>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</si>
  <si>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</si>
  <si>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</si>
  <si>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</si>
  <si>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</si>
  <si>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</si>
  <si>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</si>
  <si>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Előző évi maradvány igénybevétele működésre</t>
  </si>
  <si>
    <t>Előző évi maradvány igénybevétele felhalmozásra</t>
  </si>
  <si>
    <t>Működési célú</t>
  </si>
  <si>
    <t>Felhalmozási célú</t>
  </si>
  <si>
    <t>Eredeti előirányzat</t>
  </si>
  <si>
    <t>Módosított előirányzat</t>
  </si>
  <si>
    <t>Kötelező feladatok</t>
  </si>
  <si>
    <t>Helyi önkormányzatok működésének általános támogatása</t>
  </si>
  <si>
    <t>Mezőőrség támogatása</t>
  </si>
  <si>
    <t>Területalapú támogatás</t>
  </si>
  <si>
    <t>Karcag Városi feladatainak támogatása</t>
  </si>
  <si>
    <t>Muzeális intázmények szakmai támogatása (Kubinyi Ágoston porgram)</t>
  </si>
  <si>
    <t>Járásszékhely múzeumok szakmai támogatása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</si>
  <si>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</si>
  <si>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</si>
  <si>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</si>
  <si>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</si>
  <si>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</si>
  <si>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</si>
  <si>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</si>
  <si>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 xml:space="preserve">Előző évi maradvány igénybevétele 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</si>
  <si>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</si>
  <si>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</si>
  <si>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</si>
  <si>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</si>
  <si>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</si>
  <si>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Továbbszámlázott kiadások bevételei</t>
  </si>
  <si>
    <t>Karcag-Kenderes (Bánhalma) Víziközmű Beruházási Társulás 2015. évi megelőlegezés megtérülése</t>
  </si>
  <si>
    <t>Laktanyában telek értékesítés 257/2015. (XI.26.) kt. határozat alapján, Táncsics krt. 14/1. sz. alatti lakás értékesítése 10/2016. (I.28.) kt. határozat alapján, Volt "Jéggyár" épületének értékesítése</t>
  </si>
  <si>
    <t>Biztosító kártérítése sérült kandeláber</t>
  </si>
  <si>
    <t>Bethlen Gábor Alap támogatása</t>
  </si>
  <si>
    <t>JNSZ Megyei Önkormányzat támogatása</t>
  </si>
  <si>
    <t>Támogatói hozzájárulás karácsonyi fénydekorációhoz</t>
  </si>
  <si>
    <t>Önként válallt feladatok összesen</t>
  </si>
  <si>
    <t>Mindösszesen:</t>
  </si>
  <si>
    <t>A Karcag Városi Önkormányzat 2016. évi bevételi főösszegén belül az önkormányzat működési és felhalmozási bevételeinek teljesítése</t>
  </si>
  <si>
    <t>Települési ön kormányzatok közművelődési érdekeltségnövelő támogatása</t>
  </si>
  <si>
    <t>Óvodai kapacitásbővítő beruházások támogatása (SZIM Óvoda)</t>
  </si>
  <si>
    <t>Óvodai étkeztetési fejlesztések támogatása pályázat (Kinizsi Óvoda)</t>
  </si>
  <si>
    <t>Első világháborús emlékművek rendbetétele pályázat támogatása</t>
  </si>
  <si>
    <t>Befizetés lakossági szennyvízbekötésre</t>
  </si>
  <si>
    <t>Egyéb működési bevételek</t>
  </si>
  <si>
    <t>Laktanyában telek értékesítés 257/2015. (XI.26.) kt. határozat alapján 1.338.750,- Ft, Táncsics krt. 14/1. sz. alatti lakás értékesítése 10/2016. (I.28.) kt. határozat alapján 1.750.000,- Ft, 5476/5 hrsz telek Bura S u. 24.488,- Ft, 2188 hrsz Északi u 20. telek értékesítése 17.640,- Ft, 01405/4 hrsz külterület kivett árok 400.000,- Ft, Önkormányzati bérlakások részletfizetéséből származó bevétel 680.097,- Ft</t>
  </si>
  <si>
    <t>Részesedés értékesítés</t>
  </si>
  <si>
    <t>Első lakáshoz jutók támogatásának megtérülése</t>
  </si>
  <si>
    <t>Költségvetési szerv megnevezése</t>
  </si>
  <si>
    <t xml:space="preserve">B8.  </t>
  </si>
  <si>
    <t xml:space="preserve">B1-B8.  </t>
  </si>
  <si>
    <t>Előző évi maradvány igénybevétele</t>
  </si>
  <si>
    <t>Irányító szervi támogatás</t>
  </si>
  <si>
    <t>Madarász Imre Egyesített Óvoda</t>
  </si>
  <si>
    <t>Kötelező feladat</t>
  </si>
  <si>
    <t>Önként vállalt feladat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</si>
  <si>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</si>
  <si>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</si>
  <si>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</si>
  <si>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</si>
  <si>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</si>
  <si>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</si>
  <si>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</si>
  <si>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</si>
  <si>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</si>
  <si>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</si>
  <si>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</si>
  <si>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</si>
  <si>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</si>
  <si>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</si>
  <si>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</si>
  <si>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</si>
  <si>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</si>
  <si>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A Karcag Városi Önkormányzat 2016. évi költségvetési bevételi főösszegén belül 
a költségvetési szervek bevételeinek teljesítése kiemelt előirányzatonkénti bontásban</t>
  </si>
  <si>
    <t>1/2. oldal</t>
  </si>
  <si>
    <t>2/2. oldal</t>
  </si>
  <si>
    <t xml:space="preserve">                 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</si>
  <si>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</si>
  <si>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</si>
  <si>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</si>
  <si>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</si>
  <si>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</si>
  <si>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</si>
  <si>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</si>
  <si>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</si>
  <si>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K9.  </t>
  </si>
  <si>
    <t xml:space="preserve">K1-K9.  </t>
  </si>
  <si>
    <t>Személyi juttatások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</si>
  <si>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</si>
  <si>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</si>
  <si>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</si>
  <si>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</si>
  <si>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</si>
  <si>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</si>
  <si>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</si>
  <si>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</si>
  <si>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Kiadások összesen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</si>
  <si>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</si>
  <si>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</si>
  <si>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</si>
  <si>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</si>
  <si>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</si>
  <si>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>A Karcag Városi Önkormányzat 2016. évi költségvetési kiadás főösszegének teljesítése kiemelt előirányzatonkénti bontásban</t>
  </si>
  <si>
    <t>Déryné Kulturális,Turisztikai,Sport Központ és Könyvtár</t>
  </si>
  <si>
    <t>A Karcag Városi Önkormányzat 2016. évi költségvetési kiadási főösszegén belül 
a költségvetési szervek kiadásainak teljesítése kiemelt előirányzatonkénti bontásban</t>
  </si>
  <si>
    <t>mérlegszerű kimutatása</t>
  </si>
  <si>
    <t>Rovat száma</t>
  </si>
  <si>
    <t>Összesen</t>
  </si>
  <si>
    <t xml:space="preserve">Bevétel </t>
  </si>
  <si>
    <t>Kiadás</t>
  </si>
  <si>
    <t>I. Működés</t>
  </si>
  <si>
    <t>B1.</t>
  </si>
  <si>
    <t>ebből: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</si>
  <si>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</si>
  <si>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</si>
  <si>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</si>
  <si>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</si>
  <si>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</si>
  <si>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</si>
  <si>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Működési célú átvett pénzeszköz</t>
  </si>
  <si>
    <t>Előző évi költségvetési maradvány igénybevétele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</si>
  <si>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</si>
  <si>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</si>
  <si>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</si>
  <si>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</si>
  <si>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</si>
  <si>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</si>
  <si>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</si>
  <si>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</si>
  <si>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</si>
  <si>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</si>
  <si>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B5.</t>
  </si>
  <si>
    <t>Felhalmozási célú átvett pénzeszköz</t>
  </si>
  <si>
    <t>K6.</t>
  </si>
  <si>
    <t>K7.</t>
  </si>
  <si>
    <t>K8.</t>
  </si>
  <si>
    <t>Egyéb felhalmozási kiadások</t>
  </si>
  <si>
    <t>Felhalmozás összesen:</t>
  </si>
  <si>
    <t xml:space="preserve">A Karcag Városi Önkormányzat 2016. évi működési és felhalmozási bevételeinek és kiadásainak </t>
  </si>
  <si>
    <t>Elvonások és befizetések</t>
  </si>
  <si>
    <t>B6.</t>
  </si>
  <si>
    <t>B7.</t>
  </si>
  <si>
    <t>Teljesítés egyenleg</t>
  </si>
  <si>
    <t xml:space="preserve">   2. Államháztartáson belüli megelőlegezések</t>
  </si>
  <si>
    <t>Államháztartáson belüli megelőlegezések</t>
  </si>
  <si>
    <t>Egyéb finanszírozási bevétel</t>
  </si>
  <si>
    <t>A Karcag Városi Önkormányzat 2016. évi költségvetés kiadási főösszegén belül az önkormányzat kiadásai feladatonként, kötelező és önként vállalt feladatonkénti bontásban</t>
  </si>
  <si>
    <t xml:space="preserve">                       M e g n e v e z é s</t>
  </si>
  <si>
    <t>Városi közvilágítás</t>
  </si>
  <si>
    <t>Közvilágítás karbantartás, javítás (lámpatestek, kandeláber)</t>
  </si>
  <si>
    <t>Építési és településfejlesztési feladatok</t>
  </si>
  <si>
    <t>Hatósági kényszerintézkedések, utcanévtáblák elhelyezése, szakhatósági díjak, egyéb építési és településfejlesztési feladatok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</si>
  <si>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</si>
  <si>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</si>
  <si>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</si>
  <si>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</si>
  <si>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</si>
  <si>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</si>
  <si>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 xml:space="preserve">Csatlakozás a "Parlagfűmentesítési Alaphoz" </t>
  </si>
  <si>
    <t>Parlagfű mentesítési pályázat önerő és pályázat</t>
  </si>
  <si>
    <t>Egészségügyi feladatok</t>
  </si>
  <si>
    <t>Orvosi ügyelet ellátására kiegészítés 287/2015.(XII.17.)"kt"sz.határozat alapján</t>
  </si>
  <si>
    <t>Tüdőszűrés</t>
  </si>
  <si>
    <t>Karcag Városi Cigány Nemzetiségi Önkormányzat támogatása
 -1 fő adminisztrátor 4 órás foglalkoztatásához (280/2015.     (XII.17.) "kt." sz. határozat alapján 1.000 e Ft keretösszegből 800 e Ft)
- Kulturális és és egyéb rendezvényekhez támogatás nyújtása 200 e Ft</t>
  </si>
  <si>
    <t>Karcag Városi Cigány Nemzetiségi önkormányzat új irodahelyiségének kialakítása, 5300 Karcag, Tiszta u. 6.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</si>
  <si>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</si>
  <si>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</si>
  <si>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Karcagi Többcélú Kistérségi Társulás részére kiegészítő támogatás a karcagi székhellyel, telephellyel rendelkező intézmények részére Idősek Otthona végleges működési engedély megszerzéséhez szükséges munkálatok elvégzése Horváth F. u. telephely</t>
  </si>
  <si>
    <t xml:space="preserve">186/2016. (VI.23.) kt. határozat alapján a Karcagi Többcélú Kistérségi Társulás Idősek Otthona és Háziorvosi Intézmény nyílászáró cseréjének támogatása </t>
  </si>
  <si>
    <t>Karcagi Többcélú Kistérségi Tárulás 2015. évi tagdíja</t>
  </si>
  <si>
    <t>Pénzeszköz átadás Karcagi Többcélú Kistérségi Társulás részére Család- és Gyermekjóléti Központ kialakításához</t>
  </si>
  <si>
    <t>Köznevelési intézményekkel kapcsolatos kiadások</t>
  </si>
  <si>
    <t>Köznevelési intézmények működtetésére fizetendő hozzájárulás (állami támogatása 6.422 e Ft)</t>
  </si>
  <si>
    <t>KLIK részére konyhák rezsi költségének megtérítése</t>
  </si>
  <si>
    <t>Kiskulcsosi Általános Iskola vízvezeték szerelési munkái</t>
  </si>
  <si>
    <t>Szünidei gyermekétkeztetés</t>
  </si>
  <si>
    <t>Települési támogatások a 7/2015. (II.27.) önkormányzati rendelet alapján (állami támogatása 78.967 e Ft)</t>
  </si>
  <si>
    <t>lakhatási támogatás</t>
  </si>
  <si>
    <t>gyógyszertámogatás</t>
  </si>
  <si>
    <t>rendkívüli települési támogatás (pénzben és természetben)</t>
  </si>
  <si>
    <t>közköltséges temetés</t>
  </si>
  <si>
    <t>Egyszeri gyermekvédelmi támogatás</t>
  </si>
  <si>
    <t>Egyéb szociális ellátás</t>
  </si>
  <si>
    <t>2015-2016. évre vonatkozó általános forgalmi adó befizetési kötelezettség</t>
  </si>
  <si>
    <t xml:space="preserve">ebből: </t>
  </si>
  <si>
    <t>2015. decemberi áfa befizetés</t>
  </si>
  <si>
    <t>2016. évi áfa</t>
  </si>
  <si>
    <t>Helyi autóbusz közlekedés közszolgáltatás támogatása</t>
  </si>
  <si>
    <t>Települési önkormányzatok helyi közösségi közlekedésének témogatásának átadása</t>
  </si>
  <si>
    <t>233/2016. (IX.29.) kt. sz. határozat alapján menetrend szerinti autóbusz közszolgáltatás további biztosításának közbeszerzése</t>
  </si>
  <si>
    <t>Hirdetmény megjelentetésének költségei</t>
  </si>
  <si>
    <t>Tilalmasi ivóvíz biztosítása</t>
  </si>
  <si>
    <t>Karcag-Tilalmasi Mezőgazdasági Korlátolt Felelősségű Társasággal kötendő a Társaság tulajdonában lévő kutak és vízhálózat bérletéről szóló megállapodásról szóló 285/2015. (XII.17.) "kt." sz. határozat alapján bérleti díj 2016.06.30-ig</t>
  </si>
  <si>
    <t>179/2016. (VI.23.) kt. határozat alapján bérleti szerződés meghosszabbítása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</si>
  <si>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</si>
  <si>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</si>
  <si>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</si>
  <si>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</si>
  <si>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</si>
  <si>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</si>
  <si>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</si>
  <si>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Egyéb kiadások</t>
  </si>
  <si>
    <t>Rendszerfüggő elemek elkülönített bérleti díjának felhasználása vizkiközmű feljesztés céljára</t>
  </si>
  <si>
    <t>2015. évi állami támogatás visszafizetése</t>
  </si>
  <si>
    <t>2013. évi állami támogatás visszafizetése és kamata</t>
  </si>
  <si>
    <t>Kötelező feladatok összesen:</t>
  </si>
  <si>
    <t xml:space="preserve">Önként vállalt feladatok </t>
  </si>
  <si>
    <t>Pályázati előkészítési alap</t>
  </si>
  <si>
    <t xml:space="preserve">Karcag-Kenderes (Bánhalma) Víziközmű Beruházási Társulás 2016. évi működési hozzájárulása </t>
  </si>
  <si>
    <t>Karcag-Kenderes (Bánhalma) Víziközmű Beruházási Társulás részére BM önerő átadása</t>
  </si>
  <si>
    <t>Tisza-menti LEADER Közhasznú Egyesület 2016. évi tagdíja</t>
  </si>
  <si>
    <t>Karcag, Táncsics krt.17. szám alatti Óvoda felújítás pályázat 112/2015. (V.28.) "kt." sz. határozat alapján</t>
  </si>
  <si>
    <t>Önerő 2015. évről áthozott</t>
  </si>
  <si>
    <t>Pályázati pénzeszköz 2015. évről áthozott</t>
  </si>
  <si>
    <t>123/2016. (V.20.) kt. határozat alapján a Táncsics krt. 17. Óvoda felújítás pályázati forrásának kiegészítése</t>
  </si>
  <si>
    <t>Többletköltségek fedezete</t>
  </si>
  <si>
    <t xml:space="preserve">Zöldfa úti óvoda engedélyezési és kiviteli tervdokumetnációk 217/2015. (IX.24.) ,,kt.” sz. határozat alapján
 felújítási    terveinek megrendeléséről </t>
  </si>
  <si>
    <t>2015. évről áthozott</t>
  </si>
  <si>
    <t>Horváth Ferenc úti Idősek Otthona felújítása (épület belső udvarán építendő lift) pályázat 82/2015. (IV.14.) és 105/2015. (IV.30.) "kt." sz. határozatok alapján</t>
  </si>
  <si>
    <t>KTKT-tól átvett önerő 2015. évről áthozott</t>
  </si>
  <si>
    <t xml:space="preserve">149/2016. (V.26.) kt. határozat alapján az „Óvodai kapacitásbővítést célzó beruházások támogatása”pályázat támogatása (SZIM Óvoda)
</t>
  </si>
  <si>
    <t>Pályázati támogatás</t>
  </si>
  <si>
    <t>Megvalósításhoz szükséges önerő</t>
  </si>
  <si>
    <t xml:space="preserve">148/2016. (V.26.) kt. határozat alapján az „Önkormányzati étkeztetési fejlesztések támogatása”pályázat támogatása (Kinizsi Óvoda)
</t>
  </si>
  <si>
    <t xml:space="preserve">73/2016. (III.31.) kt. határozat alapján „Az első világháború történelmi emlékeit őrző emlékművek rendbetételének, helyreállításának pályázati támogatása
</t>
  </si>
  <si>
    <t xml:space="preserve">225/2016. (IX.29.) kt. határozat alapján a „Karcag város Kísérőgáz hasznosítási projekt” építési engedélyeinek meghosszabbítása
</t>
  </si>
  <si>
    <t>Karcag Város feladatainak támogatása</t>
  </si>
  <si>
    <t>Rákóczi u. 3. sz. alatti ingatlan felújítása</t>
  </si>
  <si>
    <t>K127 termálkút hőellátási rendszerének javítása</t>
  </si>
  <si>
    <t>Hulladéklerakó kapacitás fejlesztés kötött támogatás átadása</t>
  </si>
  <si>
    <t xml:space="preserve">102/2016. (IV.28.) kt. határozat alapján a volt Munkásőrbázis felújítása és átalakítása </t>
  </si>
  <si>
    <t>124/2016. (V.20.) kt. határozat alapján Helyi Akciócsoport megalakításának támogatása</t>
  </si>
  <si>
    <t>184/2016. (VI.23.) kt. határozat alapján a „Kulturális és közösségi terek infrastrukturális fejlesztése és helyi közösségszervezés a város helyi fejlesztési stratégiájához kapcsolódva” című pályázat benyújtásával kapcsolatos feladatok ellátása</t>
  </si>
  <si>
    <t xml:space="preserve">Karcagi „Erőforrás” Kft. részére üzemeltetésre
(Laktanya ingatlan)  39/2015. (II.26.)…) "kt." sz. határozat alapján </t>
  </si>
  <si>
    <t xml:space="preserve">Nagykun Víz- és Csatornamű Kft. </t>
  </si>
  <si>
    <t>Akácliget fürdő üzemeltetési támogatás</t>
  </si>
  <si>
    <t>Lakossági szennyvíz bekötések támogatása GTT döntés alapján</t>
  </si>
  <si>
    <r>
      <t>Karácsonyi díszkivilágítás leszerelésének költsége</t>
    </r>
    <r>
      <rPr>
        <sz val="14"/>
        <rFont val="Times New Roman"/>
        <family val="1"/>
        <charset val="238"/>
      </rPr>
      <t xml:space="preserve"> (2015. évről áthozott)</t>
    </r>
  </si>
  <si>
    <r>
      <t xml:space="preserve">Dolgozói lakásépítés támogatása </t>
    </r>
    <r>
      <rPr>
        <sz val="14"/>
        <rFont val="Times New Roman"/>
        <family val="1"/>
        <charset val="238"/>
      </rPr>
      <t>(2015.12.31. egyenleg, céllal kötött maradvány beépítése)</t>
    </r>
  </si>
  <si>
    <t>Előző évek pénzmaraványából Karcagi Többcélú Kistérségi Társulástól térinformatikai kiadásokra kapott összeg maradványának visszautalása</t>
  </si>
  <si>
    <t xml:space="preserve">Ifjúságpolitikai feladatok </t>
  </si>
  <si>
    <t>Tehetséges és szociálisan hátrányos helyzetű tanulók ösztöndíja</t>
  </si>
  <si>
    <t>Arany János ösztöndíj 291/2012. (XI.29.) kt. sz. és 493/2008. =XI.27.) kt. sz. határozatok alapján</t>
  </si>
  <si>
    <t>Bursa Hungarica Felsőoktatási Önkormányzati Ösztöndíj pályázat  219/2015. (IX.24.) kt. sz. határozat alapján</t>
  </si>
  <si>
    <t>Szakértői megbízási díj</t>
  </si>
  <si>
    <t>Gyermekek nyári szabadidős foglalkozása (nyári napközi)</t>
  </si>
  <si>
    <t>Önkormányzati reprezentációs és ajándékozási kiadások, kiemelt városi események, nemzeti ünnepek</t>
  </si>
  <si>
    <t>Nemzetközi kapcsolatok</t>
  </si>
  <si>
    <t>"Őrizzük együtt a hagyományokat" projekt (Bethlen Gábor Alap támogatása)</t>
  </si>
  <si>
    <t>Kirándulás (JNSZ Megyei Önkormányzat támogatása)</t>
  </si>
  <si>
    <t xml:space="preserve">79/2016. (III.31.) kt. sz. határozat alapján az „Európa a polgárokért”című pályázat költségeinek fedezete 
</t>
  </si>
  <si>
    <t xml:space="preserve">250/2016. (X.27.) kt. sz. határozat alapján civil szervezetek támogatása </t>
  </si>
  <si>
    <t>Székelykeresztúrért Alapítvány támogatása 149/2005. (IV.26.) kt.sz.határozat alapján</t>
  </si>
  <si>
    <t>147/2016. (V.26.) kt. határozat alapján Nagykun Honvédbanda támogatása</t>
  </si>
  <si>
    <t>8/2016. (I.28.) kt. határozat alapján a Kisebbségekér –Pro Minoritate Alapítvány támogatása</t>
  </si>
  <si>
    <t>76/2016. (III.31.) kt. határozat alapján a Vajdasági Magyar Diákszövetség támogatása</t>
  </si>
  <si>
    <t>77/2016. (III.31.) kt. határozat alapján a Medicopter Alapítvány támogatása</t>
  </si>
  <si>
    <t>78/2016. (III.31.) kt. határozat alapján a Peter Cerny Alapítvány támogatása</t>
  </si>
  <si>
    <t>107/2016. (IV.28.) kt. határozat alapján a Kátai MediSong Kórus támogatása</t>
  </si>
  <si>
    <t>Karcag Városi Önkormányzat által adományozható kitüntetésekhez járó pénzdíj</t>
  </si>
  <si>
    <t>Karcagi Sport Egyesület 2016. évi működési támogatása</t>
  </si>
  <si>
    <t>Kiskulcsosi Általános Iskola tornatermének pályaburkolat felújítása</t>
  </si>
  <si>
    <t>207/2016. (VIII.10.) kt. határozat alapján a Kiskulcsosi Általános Iskola tornatermének pályaburkolat felújításához önerő biztosítása</t>
  </si>
  <si>
    <t>Kiskulcsosi Általános Iskola tornatermének pályaburkolat felújítása gazdagodás értéke</t>
  </si>
  <si>
    <t>Karcag Városi TV-vel együttműködési szerződés hirdetésre és támogatásra 281/2015. (XII.17.) "kt." sz. határozat alapján</t>
  </si>
  <si>
    <t xml:space="preserve">Tagdíjak, támogatások </t>
  </si>
  <si>
    <t>Nagykun Hagyományőrző Társulás 2015.évi tagdíja 231/1998. (VI.30.) kt. sz. határozat alapján</t>
  </si>
  <si>
    <t>Nagykunságért díjra eső hozzájárulás 20/1996. (V.29.) önk.r.</t>
  </si>
  <si>
    <t>Alföld Szíve Turisztikai egyesület 2016. évi tagdíja</t>
  </si>
  <si>
    <t>276/2013.(XI.27.)"kt."sz határozat alapján az "Alföld Szíve" Térségi Turisztikai Egyesület részére a Jász-Kun Kapitányok nyomában tematikus útvonal 2016. évi támogatása</t>
  </si>
  <si>
    <t xml:space="preserve">Kun Összefogás Konzorcium 2016. évi tagdíja </t>
  </si>
  <si>
    <t>Világ Királynője Engesztelő Mozgalom tagságára 200/2013. (IX.26.) kt.sz.határozat</t>
  </si>
  <si>
    <t xml:space="preserve">Kunszövetség tagdíj </t>
  </si>
  <si>
    <t xml:space="preserve">JNSZ M. Polgári Védelmi Szöv. tagdíj </t>
  </si>
  <si>
    <t>A Karcagi Értéktár Bizottság müködtetése 275/2013. (XI.27.) „kt.” sz. határozat alapján</t>
  </si>
  <si>
    <t>Továbbszámlázott működési kiadások</t>
  </si>
  <si>
    <t>JNSZ Megyei Kormányhivatal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</si>
  <si>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</si>
  <si>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</si>
  <si>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</si>
  <si>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</si>
  <si>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</si>
  <si>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</si>
  <si>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Főtéri internet szolgáltatás díja</t>
  </si>
  <si>
    <t>Földgáz energia megtakarítástól függő díjazása</t>
  </si>
  <si>
    <t>Városháza lift karbantartás</t>
  </si>
  <si>
    <t>pénzmaradványból is jön át, pl. könyvvizsgálatra</t>
  </si>
  <si>
    <t>Ingatlanok értékbecslése (Karcagi Járásbíróság értékbecslése, Zádor híd és hozzá tartozó út értékbecslése, Nagykun Víz- és Csatornamű Kft. Hitel fedezetéül felajánlott ingatlanok újraértékelése)</t>
  </si>
  <si>
    <t>200/2016. (VII.21.) kt. határozat alapján karácsonyi fénydekorációs eszközök beszerzése</t>
  </si>
  <si>
    <t>Karácsonyi díszkivilágítás bővítése és felszerelése</t>
  </si>
  <si>
    <t>Orvosi ösztöndíjrendszerre alap képzése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</si>
  <si>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</si>
  <si>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</si>
  <si>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</si>
  <si>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</si>
  <si>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Általános tartalék</t>
  </si>
  <si>
    <t>Céltartalék:</t>
  </si>
  <si>
    <t>Rekultivációs célú elkülönítés hulladéklerakó üzemeltetés miatt</t>
  </si>
  <si>
    <t>Városi Önkormányzat Városgondnokságától átvett, hullakékgazdálkodás bevételéből rekultivációs célra elkülönített összeg és kamatai (céltartalék)</t>
  </si>
  <si>
    <t>Rendszerfüggő elemek bérleti díjának elkülönítése vizkiközmű feljesztés finanszírozására</t>
  </si>
  <si>
    <t>2016. évi bérleti díj elkülönítése</t>
  </si>
  <si>
    <t>2013-2015.években befolyt, viziközmű fejlesztés céljára fel nem használt összeg</t>
  </si>
  <si>
    <t>Finanszírozási kiadás</t>
  </si>
  <si>
    <r>
      <t xml:space="preserve">2016. évi támogatás megelőlegezés </t>
    </r>
    <r>
      <rPr>
        <sz val="14"/>
        <rFont val="Times New Roman"/>
        <family val="1"/>
        <charset val="238"/>
      </rPr>
      <t>(2015. évről áthozott)</t>
    </r>
  </si>
  <si>
    <t>M i n d ö s s z e s e n:</t>
  </si>
  <si>
    <t>Teljesítés (eFt)</t>
  </si>
  <si>
    <t>Teljesítés (%)</t>
  </si>
  <si>
    <t>A Karcag Városi Önkormányzat 2016. évi költségvetés kiadási főösszegén belül az Önkormányzat kiadásai feladatonként, kiemelt előirányzatonkénti bontásban</t>
  </si>
  <si>
    <t>SZEMÉLYI JUTTATÁSOK</t>
  </si>
  <si>
    <t>Polgámesteri keret</t>
  </si>
  <si>
    <t>SZEMÉLYI JUTTATÁSOK ÖSSZESEN:</t>
  </si>
  <si>
    <t>MUNKAADÓT TERHELŐ JÁRULÉKOK</t>
  </si>
  <si>
    <t>Tüdőszűrés (asszisztens megbízási díj)</t>
  </si>
  <si>
    <t>MUNKAADÓT TERHELŐ JÁRULÉKOK ÖSSZESEN:</t>
  </si>
  <si>
    <t>DOLOGI KIADÁSOK</t>
  </si>
  <si>
    <t xml:space="preserve">Szünidei gyermekétkeztetés </t>
  </si>
  <si>
    <r>
      <t>Karácsonyi díszkivilágítás leszerelésének költsége</t>
    </r>
    <r>
      <rPr>
        <sz val="12"/>
        <rFont val="Times New Roman"/>
        <family val="1"/>
        <charset val="238"/>
      </rPr>
      <t xml:space="preserve"> (2015. évről áthozott)</t>
    </r>
  </si>
  <si>
    <t>DOLOGI KIADÁSOK ÖSSZESEN:</t>
  </si>
  <si>
    <t>ELLÁTOTTAK JUTTATÁSAI</t>
  </si>
  <si>
    <t>ELLÁTOTTAK JUTTATÁSAI ÖSSZESEN:</t>
  </si>
  <si>
    <t>EGYÉB MŰKÖDÉSI CÉLÚ KIADÁSOK</t>
  </si>
  <si>
    <t>Karcag Városi Cigány Nemzetiségi Önkormányzat támogatása
1 fő adminisztrátor 4 órás foglalkoztatásához 280/2015. (XII.17.) "kt." sz. határozat   alapján 1.000 e Ft keretösszegből 800 e Ft
Kulturális és és egyéb rendezvényekhez támogatás nyújtása 200 e Ft</t>
  </si>
  <si>
    <t>Karcagi Sportegyesület támogatás</t>
  </si>
  <si>
    <t>EGYÉB MŰKÖDÉSI CÉLÚ KIADÁSOK ÖSSZESEN:</t>
  </si>
  <si>
    <t>BERUHÁZÁSOK</t>
  </si>
  <si>
    <t>Átcsoportosítás felújításról</t>
  </si>
  <si>
    <t>Előző évek pénzmaraványából Karcagi Többcélú Kistérségi Társulástól térinformatikai kiadásokra kapott összeg maradványa</t>
  </si>
  <si>
    <t>BERUHÁZÁSOK ÖSSZESEN:</t>
  </si>
  <si>
    <t>FELÚJÍTÁSOK</t>
  </si>
  <si>
    <t>Átcsoportosítás dologi kiadásokra</t>
  </si>
  <si>
    <t xml:space="preserve">Zöldfa úti óvoda engedélyezési és kiviteli tervdokumetnációk 217/2015. (IX.24.) ,,kt.” sz. határozat alapján </t>
  </si>
  <si>
    <t>FELÚJÍTÁSOK ÖSSZESEN:</t>
  </si>
  <si>
    <t>EGYÉB FELHALMOZÁSI CÉLÚ KIADÁSOK</t>
  </si>
  <si>
    <r>
      <t xml:space="preserve">Dolgozói lakásépítés támogatása </t>
    </r>
    <r>
      <rPr>
        <sz val="12"/>
        <rFont val="Times New Roman"/>
        <family val="1"/>
        <charset val="238"/>
      </rPr>
      <t>(2015.12.31. egyenleg, céllal kötött maradvány beépítése)</t>
    </r>
  </si>
  <si>
    <t>186/2016. (VI.23.) kt. határozat alapján a Karcagi Többcélú Kistérségi Társulás
Idősek Otthona és Háziorvosi Intézmény nyílászáró cseréjének támogatása</t>
  </si>
  <si>
    <t>EGYÉB FELHALMOZÁSI CÉLÚ KIADÁSOK ÖSSZESEN:</t>
  </si>
  <si>
    <t>FINANSZÍROZÁSI KIADÁSOK</t>
  </si>
  <si>
    <r>
      <t xml:space="preserve">2016. évi támogatás megelőlegezés </t>
    </r>
    <r>
      <rPr>
        <sz val="12"/>
        <rFont val="Times New Roman"/>
        <family val="1"/>
        <charset val="238"/>
      </rPr>
      <t>(2015. évről áthozott)</t>
    </r>
  </si>
  <si>
    <t>FINANSZÍROZÁSI KIADÁSOK ÖSSZESEN:</t>
  </si>
  <si>
    <t>KARCAG VÁROSI ÖNKORMÁNYZAT KIADÁSAI ÖSSZESEN:</t>
  </si>
  <si>
    <t>Települési támogatások a 7/2015. (II.27.) önkormányzati rendelet alapján</t>
  </si>
  <si>
    <t>Intézmény megnevezése</t>
  </si>
  <si>
    <t>Létszám</t>
  </si>
  <si>
    <t>Részmunka-idős napi munkaideje (óra)</t>
  </si>
  <si>
    <t>Álláshely</t>
  </si>
  <si>
    <t>Záró létszám (fő)</t>
  </si>
  <si>
    <t>Zárólétszám közfoglalkoz-tatott és egyéb fogl.(fő)</t>
  </si>
  <si>
    <t>Átlagos
statisztikai állományi létszám (fő)</t>
  </si>
  <si>
    <t>Átlagos statisztikai létszámból közfoglalkoz-tatott (fő)</t>
  </si>
  <si>
    <t>Teljes munkaidős</t>
  </si>
  <si>
    <t>Részmunkaidős teljes munkaidősre átszámítva</t>
  </si>
  <si>
    <t>Részmunkaidős</t>
  </si>
  <si>
    <t>eredeti
előirányzat</t>
  </si>
  <si>
    <t>módosított
előirányzat</t>
  </si>
  <si>
    <t>eredeti 
előirányzat</t>
  </si>
  <si>
    <t>záró létszám
(fő)</t>
  </si>
  <si>
    <t>zárólétszám közfoglalkoz-tatott és egyéb fogl. (fő)</t>
  </si>
  <si>
    <t>átlagos statisztikai
létszám (fő)</t>
  </si>
  <si>
    <t>átlagos statisztikai létszám közfoglalkoz-tatott és egyéb fogl. (fő)</t>
  </si>
  <si>
    <r>
      <t xml:space="preserve">1. </t>
    </r>
    <r>
      <rPr>
        <b/>
        <u/>
        <sz val="8"/>
        <rFont val="Times New Roman"/>
        <family val="1"/>
        <charset val="238"/>
      </rPr>
      <t xml:space="preserve">Városi Önkormányzat Városgondnoksága és a hozzá tartozó intézmények: </t>
    </r>
  </si>
  <si>
    <t>Déryné Kulturális, Turisztikai, Sport Központ és Könyvtár</t>
  </si>
  <si>
    <t>Györffy István Nagykun Múzeum</t>
  </si>
  <si>
    <t>4 és 6</t>
  </si>
  <si>
    <t>Karcag Városi Önkormányzat Városgondnoksága</t>
  </si>
  <si>
    <t xml:space="preserve">1.Városi Önkormányzat Városgondnoksága és a hozzátartozó intézmények összesen: </t>
  </si>
  <si>
    <t xml:space="preserve"> 2. Karcagi Polgármesteri Hivatal </t>
  </si>
  <si>
    <t>3. Karcag Városi Önkormányzat</t>
  </si>
  <si>
    <t xml:space="preserve">Ö S S Z E S E N   (1 + 2 + 3): </t>
  </si>
  <si>
    <t>Karcag Városi Önkormányzat irányítása alá tartozó költségvetési szervek 2016. évi létszámkeretének alakulása</t>
  </si>
  <si>
    <t xml:space="preserve">Adatok ezer Ft-ban </t>
  </si>
  <si>
    <t>M e g n e v e z é s</t>
  </si>
  <si>
    <t>Céltartalék</t>
  </si>
  <si>
    <t xml:space="preserve">Ö s s z e s e n : </t>
  </si>
  <si>
    <t>Felvétel éve</t>
  </si>
  <si>
    <t>Felvett, 
hitel és kibocsátott kötvény és egyéb kötelezettség összege</t>
  </si>
  <si>
    <t>Törlesztő részlet évenként</t>
  </si>
  <si>
    <t>2017.</t>
  </si>
  <si>
    <t>2018.</t>
  </si>
  <si>
    <t>1. Kezességvállalás (HUF)</t>
  </si>
  <si>
    <t>UniCredit Bank Hungary Zrt.</t>
  </si>
  <si>
    <t xml:space="preserve">Nagykun Víz- és Csatornamű Kft. Karcag (Fejlesztési hitel fürdőfejlesztéshez) </t>
  </si>
  <si>
    <t>Kezességvállalás (HUF) összesen:</t>
  </si>
  <si>
    <t xml:space="preserve"> MINDÖSSZESEN:</t>
  </si>
  <si>
    <t>A Karcag Városi Önkormányzat 2015. évi közvetett támogatásai jogcímenkénti bontásban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</si>
  <si>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</si>
  <si>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</si>
  <si>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</si>
  <si>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</si>
  <si>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</si>
  <si>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</si>
  <si>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(ezer Ft)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</si>
  <si>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</si>
  <si>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</si>
  <si>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</si>
  <si>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</si>
  <si>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</si>
  <si>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r>
      <t>A Karcag Városi Önkormányzat 2016.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</si>
  <si>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 xml:space="preserve">  Működésre, egyéb nem tervezett kiadásokra, elmaradt bevételek fedezetére</t>
  </si>
  <si>
    <t>Rekultivációs célú elkülönítés hulladéklerakó üzemeltetés miatt  (Városi Önkormányzat Városgondokságától átvett, hulladékgazdálkodás bevételéből rekultivációs célra elkülönített összeg és kamatai)</t>
  </si>
  <si>
    <t xml:space="preserve">  Rendszerfüggő elemek bérleti díjának elkülönítése viziközmű fejlesztés céljára:</t>
  </si>
  <si>
    <t>2013-2015. években befolyt, víziközmű fejlesztés céljára fel nem használt összeg</t>
  </si>
  <si>
    <t>Teljesítés összege</t>
  </si>
  <si>
    <t>Teljesítés %</t>
  </si>
  <si>
    <t>2016.
12.31-én fennálló
állomány</t>
  </si>
  <si>
    <t>2019.</t>
  </si>
  <si>
    <t>2020-2024.</t>
  </si>
  <si>
    <t xml:space="preserve">2025-2026. </t>
  </si>
  <si>
    <t>Karcag Városi Önkormányzat 2016. évben fennálló kötelezettségei lejárat, hitelezők és eszközök szerinti bontásban 
(járulékok és inflációkövetés nélkül)</t>
  </si>
  <si>
    <t>Karcag Városi Önkormányzat</t>
  </si>
  <si>
    <t>Karcagi Polgármesteri Hivatal</t>
  </si>
  <si>
    <t xml:space="preserve">                          100 %-os önkormányzati részesedés</t>
  </si>
  <si>
    <t xml:space="preserve">                          Nagykun Víz- és Csatornamű Kft                        </t>
  </si>
  <si>
    <t xml:space="preserve">                          KVG Kft                                               </t>
  </si>
  <si>
    <t xml:space="preserve">                          Karcagi Erőforrás Kft                                                                                   </t>
  </si>
  <si>
    <t xml:space="preserve">                          Nagykunsági Környezetvédelmi, Területfejlesztési és Szolgáltató Kft  </t>
  </si>
  <si>
    <t xml:space="preserve">                          93,3 %-os önkormányzati részesedés</t>
  </si>
  <si>
    <t xml:space="preserve">                          Karcagi Térségi Közszolgáltató Nonprofit Kft                                         </t>
  </si>
  <si>
    <t xml:space="preserve">                          24,65 %-os önkormányzati részesedés                  </t>
  </si>
  <si>
    <t xml:space="preserve">                          Karcagi Ipari Park Kft                                                              </t>
  </si>
  <si>
    <t xml:space="preserve">                          25 % alatti önkormányzati részesedés</t>
  </si>
  <si>
    <t xml:space="preserve">                          Karcagi Nyomda  Kft                                                                                             </t>
  </si>
  <si>
    <t xml:space="preserve">                          Közhasznú társaságban törzsbetét</t>
  </si>
  <si>
    <t xml:space="preserve">                          KÖZVIL Első Magyar Közvilágítási Zrt                                                     </t>
  </si>
  <si>
    <t xml:space="preserve">                          Tiszamenti Regionális Vízművek Zrt                                                               </t>
  </si>
  <si>
    <t xml:space="preserve">                          a részvény névértéke 89.980 e Ft</t>
  </si>
  <si>
    <t xml:space="preserve">                          a részvény névértéke 10 e Ft</t>
  </si>
  <si>
    <t xml:space="preserve">                          INNOTERM Nonprofit Kft                                                                                                                                             </t>
  </si>
  <si>
    <t>286/2015. "kt." sz. határozat alapján 2016. évre vállalt kötelezettségből</t>
  </si>
  <si>
    <t>2015. évi feladattal terhelt maradványból</t>
  </si>
  <si>
    <t>tormaszoba felújítás</t>
  </si>
  <si>
    <t>kerékpártárolóhoz anyagvásárlás</t>
  </si>
  <si>
    <t>Villamos u. 109. alatti irodaépület tervezési költsége</t>
  </si>
  <si>
    <t>Gyepmesteri telep szociális épület</t>
  </si>
  <si>
    <t xml:space="preserve">  Komplex Kísérőgáz hasznosítás</t>
  </si>
  <si>
    <t xml:space="preserve">  Kerékpárút építés </t>
  </si>
  <si>
    <t xml:space="preserve">  Műfüves sportpálya építés</t>
  </si>
  <si>
    <t xml:space="preserve">  Déli út közvilágítás bővítés</t>
  </si>
  <si>
    <t xml:space="preserve">  Karcag kísérőgáz hasznosítás</t>
  </si>
  <si>
    <t xml:space="preserve">  Varró u. Bölcsőde fűtéskorszerűsítés</t>
  </si>
  <si>
    <t xml:space="preserve">  Kültreületi csatornahálózat rekonstrukció</t>
  </si>
  <si>
    <t xml:space="preserve">  Belterületi vízrendezés</t>
  </si>
  <si>
    <t xml:space="preserve">   Karcagi bel- és csapadékvíz</t>
  </si>
  <si>
    <t xml:space="preserve">   Utak tervezése</t>
  </si>
  <si>
    <t xml:space="preserve">   Madarasi út kerékpárút</t>
  </si>
  <si>
    <t xml:space="preserve">   Kórház inzézményeinek hévízkút ellátás hasznosítás</t>
  </si>
  <si>
    <t xml:space="preserve">   Fürdő, Kórház energetikai korszerűsítés</t>
  </si>
  <si>
    <t xml:space="preserve">   Dósa kút termálkút termálvíz hasznosítás</t>
  </si>
  <si>
    <t xml:space="preserve">   SZIM Óvoda kapacitásbővítés</t>
  </si>
  <si>
    <t xml:space="preserve">   Kinizsi u. Óvoda konyhafelújítás</t>
  </si>
  <si>
    <t xml:space="preserve">   Dósa kút felújítás</t>
  </si>
  <si>
    <t xml:space="preserve">   Zöldfa u. Óvoda felújítás</t>
  </si>
  <si>
    <t xml:space="preserve">   Déryné, Városháza épültenergetikai felújítás</t>
  </si>
  <si>
    <t xml:space="preserve">   Zádor-hídhoz vezető út felújítás</t>
  </si>
  <si>
    <t>Karcag Városi Önkormányzat-Nagykunsági Környezetvédelmi,Területfejlesztési és Szolg. Kft. részére vagyonkezelésbe adott tárgyi eszközök</t>
  </si>
  <si>
    <t>Csemeték, betonelemek, mg-i termelésből méz, tojás</t>
  </si>
  <si>
    <t xml:space="preserve">     Termőföld bérbeadásból származó SZJA</t>
  </si>
  <si>
    <t xml:space="preserve">     Iparűzésiadó bevétel</t>
  </si>
  <si>
    <t xml:space="preserve">     Gépjárműadó bevétel</t>
  </si>
  <si>
    <t xml:space="preserve">     Adópótlék bevétel</t>
  </si>
  <si>
    <t xml:space="preserve">     Adóbírság bevétel</t>
  </si>
  <si>
    <t xml:space="preserve">     Mezőőri járulék bevétel</t>
  </si>
  <si>
    <t xml:space="preserve">  Továbbszámlázás</t>
  </si>
  <si>
    <t>rendezvényszervezés, hirdetési díj, szakköri hátralék</t>
  </si>
  <si>
    <t>hirdetési díj</t>
  </si>
  <si>
    <t>Egyéb követelés, piac bérleti díj, állati tetem ártalmatlanítás</t>
  </si>
  <si>
    <t xml:space="preserve">  Önkormányzati tulajdonú ingatlanok bérleti díja</t>
  </si>
  <si>
    <t xml:space="preserve">   Földhaszonbérlet</t>
  </si>
  <si>
    <t xml:space="preserve">   Közterületfoglalási díj</t>
  </si>
  <si>
    <t xml:space="preserve">     Továbbszámlázás utáni ÁFA</t>
  </si>
  <si>
    <t xml:space="preserve">     Nagykun Víz-és Csatornamű Kft kölcsön utáni kamat követelés</t>
  </si>
  <si>
    <t xml:space="preserve">     Karcagi "Erőforrás" Kft kölcsön utáni kamat követelés</t>
  </si>
  <si>
    <t xml:space="preserve">      Nagykun Víz-és Csatornamű Kft kezességváll.,jelzálogfedezet utáni díj követelés</t>
  </si>
  <si>
    <t xml:space="preserve">     Köztemetés követelés</t>
  </si>
  <si>
    <t xml:space="preserve">     Kártérítés követelés</t>
  </si>
  <si>
    <t xml:space="preserve">     Foglalkoztatást helyettesítő, egészségkárosodott támogatás követelés</t>
  </si>
  <si>
    <t xml:space="preserve">    Értékesítesett önkormányzati lakások tőketartozása</t>
  </si>
  <si>
    <t xml:space="preserve">    Nagykun Víz és Csatornaű Kft részére nyújtott kölcsön követelés</t>
  </si>
  <si>
    <t xml:space="preserve">    Utólagos lakossági szennyvízbekötés miatti követelés</t>
  </si>
  <si>
    <t xml:space="preserve">    Utólagos lakossági gázbekötés miatti követelés</t>
  </si>
  <si>
    <t xml:space="preserve">    Dolgozói lakásépítési kölcsön miatti követlés</t>
  </si>
  <si>
    <t xml:space="preserve">    Helyi lakásépítési és vásárlás miatti követelés</t>
  </si>
  <si>
    <t xml:space="preserve">     Karcagi "Erőforrás" Kft részére nyújtott kölcsön miatti  követelés</t>
  </si>
  <si>
    <t>Karcagi Térségi Közszolgáltató Nonprofit Kft részére pótbefizetés  követelés</t>
  </si>
  <si>
    <t xml:space="preserve">    Műfüves sportpály építés miatti előleg</t>
  </si>
  <si>
    <t xml:space="preserve">    Idősek Otthona termálkút hőell.rendszer javítása miatti beruházás előlege</t>
  </si>
  <si>
    <t xml:space="preserve">    Sportcsarnok felújítás előlege</t>
  </si>
  <si>
    <t xml:space="preserve">   Európa polgárokért pályázat 2016.évben felmerült kiadásai (támogatás 2017.évben került jóváírásra)</t>
  </si>
  <si>
    <t xml:space="preserve">   2017.évi támogatás megelőlegezés</t>
  </si>
  <si>
    <t xml:space="preserve">  Iparűzésiadó túlfizetés</t>
  </si>
  <si>
    <t xml:space="preserve">  Idegenforgalmiadó túlfizetés</t>
  </si>
  <si>
    <t xml:space="preserve">  Pótlék túlfizetés</t>
  </si>
  <si>
    <t xml:space="preserve">  Bírság túlfizteés</t>
  </si>
  <si>
    <t xml:space="preserve">  Gépjárműadó túlfizetés</t>
  </si>
  <si>
    <t xml:space="preserve">  Egyéb bevétel túlfizteés</t>
  </si>
  <si>
    <t xml:space="preserve">  Földhaszonbér túlfizetés</t>
  </si>
  <si>
    <t xml:space="preserve">  Köztreületfoglalási díj túlfizetés</t>
  </si>
  <si>
    <t xml:space="preserve">  Mezőőri járulék túlfizetés</t>
  </si>
  <si>
    <t xml:space="preserve">  Szennyvíz befizetés túlfizetés</t>
  </si>
  <si>
    <t xml:space="preserve">   Köztemetés túlfizetés</t>
  </si>
  <si>
    <t xml:space="preserve">   2015.december hóban befolyt gépjárműadó központi költségvetést megillető része</t>
  </si>
  <si>
    <t xml:space="preserve">   2016.12.29-én bankkártyás pénzfelvétel bevétele</t>
  </si>
  <si>
    <t xml:space="preserve">   Idegen bevétel</t>
  </si>
  <si>
    <t xml:space="preserve">   Letési bevétel</t>
  </si>
  <si>
    <t xml:space="preserve">  TRV Zrt bérleti díjból rendszerfüggő elemek felújításása fordítandó bevétel </t>
  </si>
  <si>
    <t xml:space="preserve">  OHÜHulladéklerakó beruházás pályázat támogatásból elhatárolás</t>
  </si>
  <si>
    <t xml:space="preserve">  Városközpont felújítás pályázati támogatásból elhatárolás</t>
  </si>
  <si>
    <t xml:space="preserve">  Kuthen u. Óvoda felújítás pályázati támogatásból elhatárolás</t>
  </si>
  <si>
    <t xml:space="preserve">  Horváth F.u. 1. liftépítés pályázati támogatásból elhatárolás</t>
  </si>
  <si>
    <t xml:space="preserve">  Széchenyi sgt. 27. Házi Orvosi rendelő felújítás pályázati támogatásból elhatárolás</t>
  </si>
  <si>
    <t xml:space="preserve">  Tanyabusz beszerzés pályázati támogatásból elhatárolás</t>
  </si>
  <si>
    <t xml:space="preserve">  Defibrilátor beszerzés támogatásból elhatárolás</t>
  </si>
  <si>
    <t xml:space="preserve">  Alföldi tanyák gépvásárlás pályázati támogtásból elhatárolás</t>
  </si>
  <si>
    <t xml:space="preserve">  Idősek Otthona felújítás pályázati támogatásból elhatárolás</t>
  </si>
  <si>
    <t xml:space="preserve">  Napelemes rendszer kiépítés pályázati támogatásból elhatárolás</t>
  </si>
  <si>
    <t xml:space="preserve">  Táncsics krt. 17. Óvoda felújítás pályázati támogatásból elhatárolás</t>
  </si>
  <si>
    <t xml:space="preserve">   Kinizsi u. Óvoda felújítás pályázati támogatásból elhatárolás</t>
  </si>
  <si>
    <t xml:space="preserve">   SZIM Óvoda kapacitásbővítés pályázati támogatásból elhatárolás</t>
  </si>
  <si>
    <t xml:space="preserve">    Civil központ épületek felújítása pályázati támogatásból elhatárolás</t>
  </si>
  <si>
    <t xml:space="preserve">    I.világháborús emlékmű felújítás pályázati támogatásból elhatárolás</t>
  </si>
  <si>
    <t>közfoglalkoztatási előleg</t>
  </si>
  <si>
    <t xml:space="preserve"> 2016.december havi munkabér ráfordítás elhatárolása</t>
  </si>
  <si>
    <t>térítésmentesen átvett készletek miatt</t>
  </si>
  <si>
    <t xml:space="preserve"> Beruházások pályázati támogatásából elhatárolás</t>
  </si>
  <si>
    <t xml:space="preserve">1. sz. melléklet a Karcag Városi Önkormányzat Képviselő-testületének 5/2017. (V.26.) önkormányzati rendeletéhez </t>
  </si>
  <si>
    <t xml:space="preserve">2. sz. melléklet a Karcag Városi Önkormányzat Képviselő-testületének  5/2017. (V.26.) önkormányzati rendeletéhez </t>
  </si>
  <si>
    <t xml:space="preserve">3. sz. melléklet a Karcag Városi Önkormányzat Képviselő-testületének  5/2017. (V.26.) önkormányzati rendeletéhez </t>
  </si>
  <si>
    <t xml:space="preserve">4. sz. melléklet a Karcag Városi Önkormányzat Képviselő-testületének  5/2017. (V.26.) önkormányzati rendeletéhez </t>
  </si>
  <si>
    <t xml:space="preserve">5. sz. melléklet a Karcag Városi Önkormányzat Képviselő-testületének  5/2017. (V.26.) önkormányzati rendeletéhez </t>
  </si>
  <si>
    <t xml:space="preserve">6. sz. melléklet a Karcag Városi Önkormányzat Képviselő-testületének  5/2017. (V.26.) önkormányzati rendeletéhez </t>
  </si>
  <si>
    <t xml:space="preserve">7. sz. melléklet a Karcag Városi Önkormányzat Képviselő-testületének  5/2017. (V.26.) önkormányzati rendeletéhez </t>
  </si>
  <si>
    <t xml:space="preserve">8. sz. melléklet a Karcag Városi Önkormányzat Képviselő-testületének  5/2017. (V.26.) önkormányzati rendeletéhez </t>
  </si>
  <si>
    <t xml:space="preserve">9. sz. melléklet a Karcag Városi Önkormányzat Képviselő-testületének  5/2017. (V.26.) önkormányzati rendeletéhez </t>
  </si>
  <si>
    <t xml:space="preserve">10. sz. melléklet a Karcag Városi Önkormányzat Képviselő-testületének  5/2017. (V.26.) önkormányzati rendeletéhez </t>
  </si>
  <si>
    <t xml:space="preserve">11. sz. melléklet a Karcag Városi Önkormányzat Képviselő-testületének  5/2017. (V.26.) önkormányzati rendeletéhez </t>
  </si>
  <si>
    <t>12. sz. melléklet a Karcag Városi Önkormányzat Képviselő-testületének 5/2017. (V.26.) önkormányzati rendeletéhez</t>
  </si>
  <si>
    <t xml:space="preserve">13. sz. melléklet a Karcag Városi Önkormányzat Képviselő-testületének  5/2017. (V.26.) önkormányzati rendeletéhez </t>
  </si>
  <si>
    <t xml:space="preserve">14. sz. melléklet a Karcag Városi Önkormányzat Képviselő-testületének  5/2017. (V.26.) önkormányzati rendeletéhez </t>
  </si>
  <si>
    <t xml:space="preserve">15. sz. melléklet a Karcag Városi Önkormányzat Képviselő-testületének  5/2017. (V.26.) önkormányzati rendeletéhez </t>
  </si>
  <si>
    <t xml:space="preserve">16. sz. melléklet a Karcag Városi Önkormányzat Képviselő-testületének  5/2017. (V.26.) önkormányzati rendeletéhez </t>
  </si>
  <si>
    <t xml:space="preserve">17. sz. melléklet a Karcag Városi Önkormányzat Képviselő-testületének  5/2017. (V.26.) önkormányzati rendeletéhez </t>
  </si>
  <si>
    <t xml:space="preserve">18. sz. melléklet a Karcag Városi Önkormányzat Képviselő-testületének  5/2017. (V.26.) önkormányzati rendeletéhez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</si>
</sst>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_F_t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i/>
      <u/>
      <sz val="9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</cellStyleXfs>
  <cellXfs count="1009">
    <xf numFmtId="0" fontId="0" fillId="0" borderId="0" xfId="0"/>
    <xf numFmtId="0" fontId="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7" fillId="2" borderId="0" xfId="0" applyFont="1" applyFill="1"/>
    <xf numFmtId="0" fontId="4" fillId="0" borderId="0" xfId="0" applyFont="1"/>
    <xf numFmtId="0" fontId="6" fillId="0" borderId="0" xfId="0" applyFont="1"/>
    <xf numFmtId="0" fontId="2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0" applyFont="1"/>
    <xf numFmtId="10" fontId="10" fillId="0" borderId="0" xfId="0" applyNumberFormat="1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indent="15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0" fontId="3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right" vertical="center" wrapText="1" indent="1"/>
    </xf>
    <xf numFmtId="10" fontId="3" fillId="0" borderId="8" xfId="0" applyNumberFormat="1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vertical="center" wrapText="1"/>
    </xf>
    <xf numFmtId="10" fontId="2" fillId="0" borderId="14" xfId="0" applyNumberFormat="1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164" fontId="2" fillId="0" borderId="13" xfId="0" applyNumberFormat="1" applyFont="1" applyBorder="1" applyAlignment="1">
      <alignment horizontal="left" vertical="top" wrapText="1" inden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right" vertical="center" wrapText="1" indent="1"/>
    </xf>
    <xf numFmtId="10" fontId="3" fillId="3" borderId="14" xfId="0" applyNumberFormat="1" applyFont="1" applyFill="1" applyBorder="1" applyAlignment="1">
      <alignment horizontal="right" vertical="center" wrapText="1" indent="1"/>
    </xf>
    <xf numFmtId="0" fontId="10" fillId="3" borderId="0" xfId="0" applyFont="1" applyFill="1"/>
    <xf numFmtId="0" fontId="12" fillId="0" borderId="0" xfId="0" applyFont="1"/>
    <xf numFmtId="0" fontId="12" fillId="3" borderId="0" xfId="0" applyFont="1" applyFill="1"/>
    <xf numFmtId="164" fontId="2" fillId="0" borderId="13" xfId="0" applyNumberFormat="1" applyFont="1" applyBorder="1" applyAlignment="1">
      <alignment horizontal="right" vertical="center" wrapText="1" indent="1"/>
    </xf>
    <xf numFmtId="0" fontId="2" fillId="0" borderId="12" xfId="0" applyFont="1" applyFill="1" applyBorder="1" applyAlignment="1">
      <alignment horizontal="left" vertical="top" wrapText="1" indent="1"/>
    </xf>
    <xf numFmtId="3" fontId="2" fillId="0" borderId="13" xfId="0" applyNumberFormat="1" applyFont="1" applyBorder="1" applyAlignment="1">
      <alignment horizontal="right" vertical="top" wrapText="1" indent="1"/>
    </xf>
    <xf numFmtId="3" fontId="2" fillId="0" borderId="13" xfId="0" applyNumberFormat="1" applyFont="1" applyFill="1" applyBorder="1" applyAlignment="1">
      <alignment horizontal="right" vertical="top" wrapText="1" indent="1"/>
    </xf>
    <xf numFmtId="3" fontId="2" fillId="0" borderId="14" xfId="0" applyNumberFormat="1" applyFont="1" applyFill="1" applyBorder="1" applyAlignment="1">
      <alignment horizontal="right" vertical="top" wrapText="1" indent="1"/>
    </xf>
    <xf numFmtId="3" fontId="2" fillId="0" borderId="15" xfId="0" applyNumberFormat="1" applyFont="1" applyFill="1" applyBorder="1" applyAlignment="1">
      <alignment horizontal="right" vertical="top" wrapText="1" indent="1"/>
    </xf>
    <xf numFmtId="3" fontId="2" fillId="0" borderId="16" xfId="0" applyNumberFormat="1" applyFont="1" applyFill="1" applyBorder="1" applyAlignment="1">
      <alignment horizontal="right" vertical="top" wrapText="1" indent="1"/>
    </xf>
    <xf numFmtId="164" fontId="2" fillId="0" borderId="16" xfId="0" applyNumberFormat="1" applyFont="1" applyBorder="1" applyAlignment="1">
      <alignment vertical="center" wrapText="1"/>
    </xf>
    <xf numFmtId="164" fontId="3" fillId="3" borderId="16" xfId="0" applyNumberFormat="1" applyFont="1" applyFill="1" applyBorder="1" applyAlignment="1">
      <alignment horizontal="right" vertical="center" wrapText="1" indent="1"/>
    </xf>
    <xf numFmtId="164" fontId="3" fillId="3" borderId="16" xfId="0" applyNumberFormat="1" applyFont="1" applyFill="1" applyBorder="1" applyAlignment="1">
      <alignment vertical="center" wrapText="1"/>
    </xf>
    <xf numFmtId="10" fontId="3" fillId="3" borderId="18" xfId="0" applyNumberFormat="1" applyFont="1" applyFill="1" applyBorder="1" applyAlignment="1">
      <alignment horizontal="right" vertical="center" wrapText="1" indent="1"/>
    </xf>
    <xf numFmtId="0" fontId="3" fillId="3" borderId="9" xfId="0" applyFont="1" applyFill="1" applyBorder="1" applyAlignment="1">
      <alignment horizontal="left" vertical="top" wrapText="1" indent="1"/>
    </xf>
    <xf numFmtId="3" fontId="2" fillId="3" borderId="10" xfId="0" applyNumberFormat="1" applyFont="1" applyFill="1" applyBorder="1" applyAlignment="1">
      <alignment horizontal="right" vertical="top" wrapText="1" indent="1"/>
    </xf>
    <xf numFmtId="164" fontId="2" fillId="3" borderId="11" xfId="0" applyNumberFormat="1" applyFont="1" applyFill="1" applyBorder="1" applyAlignment="1">
      <alignment horizontal="right" vertical="center" wrapText="1" indent="1"/>
    </xf>
    <xf numFmtId="164" fontId="2" fillId="3" borderId="11" xfId="0" applyNumberFormat="1" applyFont="1" applyFill="1" applyBorder="1" applyAlignment="1">
      <alignment vertical="center" wrapText="1"/>
    </xf>
    <xf numFmtId="10" fontId="2" fillId="3" borderId="11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horizontal="left" vertical="top" wrapText="1" indent="1"/>
    </xf>
    <xf numFmtId="10" fontId="2" fillId="0" borderId="14" xfId="0" applyNumberFormat="1" applyFont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left" vertical="top" wrapText="1" indent="1"/>
    </xf>
    <xf numFmtId="3" fontId="2" fillId="0" borderId="13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 indent="1"/>
    </xf>
    <xf numFmtId="3" fontId="2" fillId="0" borderId="0" xfId="0" applyNumberFormat="1" applyFont="1" applyFill="1" applyBorder="1" applyAlignment="1">
      <alignment horizontal="left" vertical="top" wrapText="1" indent="1"/>
    </xf>
    <xf numFmtId="164" fontId="2" fillId="0" borderId="8" xfId="0" applyNumberFormat="1" applyFont="1" applyBorder="1" applyAlignment="1">
      <alignment vertical="center" wrapText="1"/>
    </xf>
    <xf numFmtId="164" fontId="3" fillId="3" borderId="8" xfId="0" applyNumberFormat="1" applyFont="1" applyFill="1" applyBorder="1" applyAlignment="1">
      <alignment wrapText="1"/>
    </xf>
    <xf numFmtId="164" fontId="3" fillId="3" borderId="11" xfId="0" applyNumberFormat="1" applyFont="1" applyFill="1" applyBorder="1" applyAlignment="1">
      <alignment horizontal="right" vertical="center" wrapText="1" indent="1"/>
    </xf>
    <xf numFmtId="164" fontId="3" fillId="3" borderId="8" xfId="0" applyNumberFormat="1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horizontal="right" wrapText="1"/>
    </xf>
    <xf numFmtId="164" fontId="3" fillId="3" borderId="14" xfId="0" applyNumberFormat="1" applyFont="1" applyFill="1" applyBorder="1" applyAlignment="1">
      <alignment wrapText="1"/>
    </xf>
    <xf numFmtId="164" fontId="3" fillId="3" borderId="14" xfId="0" applyNumberFormat="1" applyFont="1" applyFill="1" applyBorder="1" applyAlignment="1">
      <alignment horizontal="right" wrapText="1" indent="1"/>
    </xf>
    <xf numFmtId="164" fontId="2" fillId="3" borderId="8" xfId="0" applyNumberFormat="1" applyFont="1" applyFill="1" applyBorder="1" applyAlignment="1">
      <alignment horizontal="right" wrapText="1"/>
    </xf>
    <xf numFmtId="164" fontId="3" fillId="3" borderId="8" xfId="0" applyNumberFormat="1" applyFont="1" applyFill="1" applyBorder="1" applyAlignment="1">
      <alignment horizontal="right" wrapText="1" indent="1"/>
    </xf>
    <xf numFmtId="164" fontId="2" fillId="3" borderId="19" xfId="0" applyNumberFormat="1" applyFont="1" applyFill="1" applyBorder="1" applyAlignment="1">
      <alignment horizontal="right" wrapText="1"/>
    </xf>
    <xf numFmtId="164" fontId="3" fillId="3" borderId="19" xfId="0" applyNumberFormat="1" applyFont="1" applyFill="1" applyBorder="1" applyAlignment="1">
      <alignment wrapText="1"/>
    </xf>
    <xf numFmtId="164" fontId="3" fillId="3" borderId="19" xfId="0" applyNumberFormat="1" applyFont="1" applyFill="1" applyBorder="1" applyAlignment="1">
      <alignment horizontal="right" wrapText="1" indent="1"/>
    </xf>
    <xf numFmtId="0" fontId="3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164" fontId="2" fillId="3" borderId="5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wrapText="1"/>
    </xf>
    <xf numFmtId="164" fontId="3" fillId="3" borderId="6" xfId="0" applyNumberFormat="1" applyFont="1" applyFill="1" applyBorder="1" applyAlignment="1">
      <alignment horizontal="right" wrapText="1" indent="1"/>
    </xf>
    <xf numFmtId="10" fontId="3" fillId="3" borderId="6" xfId="0" applyNumberFormat="1" applyFont="1" applyFill="1" applyBorder="1" applyAlignment="1">
      <alignment horizontal="right" vertical="center" wrapText="1" indent="1"/>
    </xf>
    <xf numFmtId="164" fontId="2" fillId="3" borderId="20" xfId="0" applyNumberFormat="1" applyFont="1" applyFill="1" applyBorder="1" applyAlignment="1">
      <alignment horizontal="right" wrapText="1"/>
    </xf>
    <xf numFmtId="164" fontId="3" fillId="3" borderId="20" xfId="0" applyNumberFormat="1" applyFont="1" applyFill="1" applyBorder="1" applyAlignment="1">
      <alignment wrapText="1"/>
    </xf>
    <xf numFmtId="164" fontId="3" fillId="3" borderId="20" xfId="0" applyNumberFormat="1" applyFont="1" applyFill="1" applyBorder="1" applyAlignment="1">
      <alignment horizontal="right" wrapText="1" inden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center" wrapText="1" indent="1"/>
    </xf>
    <xf numFmtId="10" fontId="2" fillId="0" borderId="8" xfId="0" applyNumberFormat="1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21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center" wrapText="1"/>
    </xf>
    <xf numFmtId="10" fontId="2" fillId="0" borderId="21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 vertical="top" wrapText="1" indent="1"/>
    </xf>
    <xf numFmtId="164" fontId="2" fillId="0" borderId="8" xfId="0" applyNumberFormat="1" applyFont="1" applyFill="1" applyBorder="1" applyAlignment="1">
      <alignment horizontal="right" vertical="center" wrapText="1" indent="1"/>
    </xf>
    <xf numFmtId="164" fontId="3" fillId="3" borderId="20" xfId="0" applyNumberFormat="1" applyFont="1" applyFill="1" applyBorder="1" applyAlignment="1">
      <alignment horizontal="right" wrapText="1"/>
    </xf>
    <xf numFmtId="164" fontId="3" fillId="3" borderId="20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/>
    <xf numFmtId="0" fontId="3" fillId="3" borderId="4" xfId="0" applyFont="1" applyFill="1" applyBorder="1" applyAlignment="1">
      <alignment horizontal="justify" wrapText="1"/>
    </xf>
    <xf numFmtId="0" fontId="3" fillId="3" borderId="5" xfId="0" applyFont="1" applyFill="1" applyBorder="1" applyAlignment="1">
      <alignment horizontal="justify" wrapText="1"/>
    </xf>
    <xf numFmtId="164" fontId="2" fillId="0" borderId="24" xfId="0" applyNumberFormat="1" applyFont="1" applyBorder="1" applyAlignment="1">
      <alignment horizontal="right" vertical="center" wrapText="1" indent="1"/>
    </xf>
    <xf numFmtId="164" fontId="2" fillId="0" borderId="25" xfId="0" applyNumberFormat="1" applyFont="1" applyBorder="1" applyAlignment="1">
      <alignment vertical="center" wrapText="1"/>
    </xf>
    <xf numFmtId="164" fontId="2" fillId="0" borderId="25" xfId="0" applyNumberFormat="1" applyFont="1" applyBorder="1" applyAlignment="1">
      <alignment horizontal="right" vertical="center" wrapText="1" indent="1"/>
    </xf>
    <xf numFmtId="10" fontId="2" fillId="0" borderId="25" xfId="0" applyNumberFormat="1" applyFont="1" applyBorder="1" applyAlignment="1">
      <alignment horizontal="right" vertical="center" wrapText="1" inden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right" vertical="center" wrapText="1" indent="1"/>
    </xf>
    <xf numFmtId="10" fontId="2" fillId="0" borderId="21" xfId="0" applyNumberFormat="1" applyFont="1" applyFill="1" applyBorder="1" applyAlignment="1">
      <alignment horizontal="right" vertical="center" wrapText="1" indent="1"/>
    </xf>
    <xf numFmtId="164" fontId="3" fillId="3" borderId="5" xfId="0" applyNumberFormat="1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3" fillId="3" borderId="28" xfId="0" applyNumberFormat="1" applyFont="1" applyFill="1" applyBorder="1" applyAlignment="1">
      <alignment horizontal="left" vertical="center" wrapText="1"/>
    </xf>
    <xf numFmtId="164" fontId="3" fillId="3" borderId="28" xfId="0" applyNumberFormat="1" applyFont="1" applyFill="1" applyBorder="1" applyAlignment="1">
      <alignment vertical="center" wrapText="1"/>
    </xf>
    <xf numFmtId="164" fontId="3" fillId="3" borderId="29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left"/>
    </xf>
    <xf numFmtId="164" fontId="3" fillId="3" borderId="19" xfId="0" applyNumberFormat="1" applyFont="1" applyFill="1" applyBorder="1" applyAlignment="1">
      <alignment horizontal="left" vertical="center" wrapText="1"/>
    </xf>
    <xf numFmtId="164" fontId="3" fillId="3" borderId="19" xfId="0" applyNumberFormat="1" applyFont="1" applyFill="1" applyBorder="1" applyAlignment="1">
      <alignment vertical="center" wrapText="1"/>
    </xf>
    <xf numFmtId="164" fontId="3" fillId="3" borderId="32" xfId="0" applyNumberFormat="1" applyFont="1" applyFill="1" applyBorder="1" applyAlignment="1">
      <alignment horizontal="right" vertical="center" wrapText="1" indent="1"/>
    </xf>
    <xf numFmtId="0" fontId="1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2" fillId="0" borderId="8" xfId="0" applyNumberFormat="1" applyFont="1" applyFill="1" applyBorder="1" applyAlignment="1">
      <alignment vertical="center" wrapText="1"/>
    </xf>
    <xf numFmtId="10" fontId="2" fillId="0" borderId="32" xfId="0" applyNumberFormat="1" applyFont="1" applyBorder="1" applyAlignment="1">
      <alignment horizontal="right" vertical="center" wrapText="1" inden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/>
    <xf numFmtId="0" fontId="2" fillId="0" borderId="0" xfId="0" applyFont="1" applyAlignment="1">
      <alignment horizontal="left"/>
    </xf>
    <xf numFmtId="10" fontId="2" fillId="0" borderId="16" xfId="0" applyNumberFormat="1" applyFont="1" applyBorder="1" applyAlignment="1">
      <alignment vertical="center" wrapText="1"/>
    </xf>
    <xf numFmtId="164" fontId="3" fillId="4" borderId="14" xfId="0" applyNumberFormat="1" applyFont="1" applyFill="1" applyBorder="1" applyAlignment="1">
      <alignment horizontal="right" vertical="center" wrapText="1" indent="1"/>
    </xf>
    <xf numFmtId="164" fontId="3" fillId="4" borderId="14" xfId="0" applyNumberFormat="1" applyFont="1" applyFill="1" applyBorder="1" applyAlignment="1">
      <alignment vertical="center" wrapText="1"/>
    </xf>
    <xf numFmtId="0" fontId="15" fillId="4" borderId="0" xfId="0" applyFont="1" applyFill="1"/>
    <xf numFmtId="164" fontId="3" fillId="3" borderId="21" xfId="0" applyNumberFormat="1" applyFont="1" applyFill="1" applyBorder="1" applyAlignment="1">
      <alignment vertical="center" wrapText="1"/>
    </xf>
    <xf numFmtId="10" fontId="3" fillId="3" borderId="21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2" fillId="3" borderId="14" xfId="0" applyNumberFormat="1" applyFont="1" applyFill="1" applyBorder="1" applyAlignment="1">
      <alignment horizontal="right" vertical="center" wrapText="1" indent="1"/>
    </xf>
    <xf numFmtId="164" fontId="2" fillId="3" borderId="8" xfId="0" applyNumberFormat="1" applyFont="1" applyFill="1" applyBorder="1" applyAlignment="1">
      <alignment horizontal="right" vertical="center" wrapText="1" indent="1"/>
    </xf>
    <xf numFmtId="164" fontId="3" fillId="3" borderId="8" xfId="0" applyNumberFormat="1" applyFont="1" applyFill="1" applyBorder="1" applyAlignment="1">
      <alignment horizontal="right" vertical="center" wrapText="1" indent="1"/>
    </xf>
    <xf numFmtId="164" fontId="2" fillId="3" borderId="19" xfId="0" applyNumberFormat="1" applyFont="1" applyFill="1" applyBorder="1" applyAlignment="1">
      <alignment horizontal="right" vertical="center" wrapText="1" indent="1"/>
    </xf>
    <xf numFmtId="164" fontId="3" fillId="3" borderId="19" xfId="0" applyNumberFormat="1" applyFont="1" applyFill="1" applyBorder="1" applyAlignment="1">
      <alignment horizontal="right" vertical="center" wrapText="1" indent="1"/>
    </xf>
    <xf numFmtId="0" fontId="3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 indent="1"/>
    </xf>
    <xf numFmtId="164" fontId="2" fillId="3" borderId="5" xfId="0" applyNumberFormat="1" applyFont="1" applyFill="1" applyBorder="1" applyAlignment="1">
      <alignment horizontal="right" vertical="center" wrapText="1" indent="1"/>
    </xf>
    <xf numFmtId="164" fontId="2" fillId="3" borderId="20" xfId="0" applyNumberFormat="1" applyFont="1" applyFill="1" applyBorder="1" applyAlignment="1">
      <alignment horizontal="right" vertical="center" wrapText="1" indent="1"/>
    </xf>
    <xf numFmtId="0" fontId="3" fillId="3" borderId="4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164" fontId="3" fillId="3" borderId="5" xfId="0" applyNumberFormat="1" applyFont="1" applyFill="1" applyBorder="1" applyAlignment="1">
      <alignment horizontal="right" vertical="center" wrapText="1" indent="1"/>
    </xf>
    <xf numFmtId="164" fontId="3" fillId="3" borderId="8" xfId="0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164" fontId="2" fillId="0" borderId="16" xfId="0" applyNumberFormat="1" applyFont="1" applyBorder="1" applyAlignment="1">
      <alignment horizontal="right" vertical="center" wrapText="1" indent="1"/>
    </xf>
    <xf numFmtId="164" fontId="2" fillId="0" borderId="18" xfId="0" applyNumberFormat="1" applyFont="1" applyFill="1" applyBorder="1" applyAlignment="1">
      <alignment horizontal="right" vertical="center" wrapText="1" indent="1"/>
    </xf>
    <xf numFmtId="164" fontId="3" fillId="3" borderId="33" xfId="0" applyNumberFormat="1" applyFont="1" applyFill="1" applyBorder="1" applyAlignment="1">
      <alignment horizontal="right" vertical="center" wrapText="1" indent="1"/>
    </xf>
    <xf numFmtId="164" fontId="3" fillId="3" borderId="20" xfId="0" applyNumberFormat="1" applyFont="1" applyFill="1" applyBorder="1" applyAlignment="1">
      <alignment horizontal="left" vertical="center" wrapText="1"/>
    </xf>
    <xf numFmtId="0" fontId="16" fillId="0" borderId="0" xfId="0" applyFont="1"/>
    <xf numFmtId="164" fontId="16" fillId="0" borderId="0" xfId="0" applyNumberFormat="1" applyFont="1"/>
    <xf numFmtId="10" fontId="16" fillId="0" borderId="0" xfId="0" applyNumberFormat="1" applyFont="1"/>
    <xf numFmtId="16" fontId="16" fillId="0" borderId="0" xfId="0" applyNumberFormat="1" applyFont="1"/>
    <xf numFmtId="0" fontId="17" fillId="0" borderId="0" xfId="0" applyFont="1" applyAlignment="1">
      <alignment horizontal="left"/>
    </xf>
    <xf numFmtId="164" fontId="17" fillId="0" borderId="0" xfId="0" applyNumberFormat="1" applyFont="1"/>
    <xf numFmtId="10" fontId="17" fillId="0" borderId="0" xfId="0" applyNumberFormat="1" applyFont="1"/>
    <xf numFmtId="0" fontId="17" fillId="0" borderId="0" xfId="0" applyFont="1"/>
    <xf numFmtId="10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20" fillId="3" borderId="5" xfId="0" applyFont="1" applyFill="1" applyBorder="1" applyAlignment="1">
      <alignment horizontal="center"/>
    </xf>
    <xf numFmtId="0" fontId="16" fillId="3" borderId="0" xfId="0" applyFont="1" applyFill="1"/>
    <xf numFmtId="164" fontId="20" fillId="3" borderId="6" xfId="0" applyNumberFormat="1" applyFont="1" applyFill="1" applyBorder="1" applyAlignment="1">
      <alignment horizontal="center" vertical="center" wrapText="1"/>
    </xf>
    <xf numFmtId="10" fontId="20" fillId="3" borderId="6" xfId="0" applyNumberFormat="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center" wrapText="1"/>
    </xf>
    <xf numFmtId="3" fontId="20" fillId="0" borderId="33" xfId="0" applyNumberFormat="1" applyFont="1" applyBorder="1" applyAlignment="1">
      <alignment horizontal="center" vertical="center" wrapText="1"/>
    </xf>
    <xf numFmtId="10" fontId="20" fillId="0" borderId="33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3" fontId="16" fillId="0" borderId="21" xfId="0" applyNumberFormat="1" applyFont="1" applyBorder="1" applyAlignment="1">
      <alignment vertical="center" wrapText="1"/>
    </xf>
    <xf numFmtId="10" fontId="16" fillId="0" borderId="21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0" fontId="20" fillId="0" borderId="21" xfId="0" applyNumberFormat="1" applyFont="1" applyBorder="1" applyAlignment="1">
      <alignment vertical="center" wrapText="1"/>
    </xf>
    <xf numFmtId="3" fontId="16" fillId="0" borderId="0" xfId="0" applyNumberFormat="1" applyFont="1"/>
    <xf numFmtId="3" fontId="16" fillId="0" borderId="21" xfId="0" applyNumberFormat="1" applyFont="1" applyBorder="1" applyAlignment="1"/>
    <xf numFmtId="10" fontId="16" fillId="0" borderId="21" xfId="0" applyNumberFormat="1" applyFont="1" applyBorder="1" applyAlignment="1"/>
    <xf numFmtId="3" fontId="16" fillId="0" borderId="21" xfId="0" applyNumberFormat="1" applyFont="1" applyBorder="1" applyAlignment="1">
      <alignment vertical="center"/>
    </xf>
    <xf numFmtId="0" fontId="16" fillId="0" borderId="18" xfId="0" applyFont="1" applyFill="1" applyBorder="1" applyAlignment="1">
      <alignment horizontal="left" vertical="center" wrapText="1"/>
    </xf>
    <xf numFmtId="3" fontId="16" fillId="0" borderId="18" xfId="0" applyNumberFormat="1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/>
    <xf numFmtId="3" fontId="16" fillId="0" borderId="0" xfId="0" applyNumberFormat="1" applyFont="1" applyFill="1"/>
    <xf numFmtId="0" fontId="16" fillId="0" borderId="0" xfId="0" applyFont="1" applyFill="1"/>
    <xf numFmtId="0" fontId="20" fillId="3" borderId="33" xfId="0" applyFont="1" applyFill="1" applyBorder="1" applyAlignment="1">
      <alignment horizontal="left" vertical="center" wrapText="1"/>
    </xf>
    <xf numFmtId="3" fontId="20" fillId="3" borderId="6" xfId="0" applyNumberFormat="1" applyFont="1" applyFill="1" applyBorder="1" applyAlignment="1">
      <alignment vertical="center" wrapText="1"/>
    </xf>
    <xf numFmtId="10" fontId="20" fillId="3" borderId="6" xfId="0" applyNumberFormat="1" applyFont="1" applyFill="1" applyBorder="1" applyAlignment="1">
      <alignment vertical="center" wrapText="1"/>
    </xf>
    <xf numFmtId="3" fontId="20" fillId="3" borderId="0" xfId="0" applyNumberFormat="1" applyFont="1" applyFill="1"/>
    <xf numFmtId="0" fontId="20" fillId="3" borderId="0" xfId="0" applyFont="1" applyFill="1"/>
    <xf numFmtId="0" fontId="20" fillId="0" borderId="29" xfId="0" applyFont="1" applyBorder="1" applyAlignment="1">
      <alignment horizontal="left" vertical="center" wrapText="1"/>
    </xf>
    <xf numFmtId="3" fontId="16" fillId="0" borderId="37" xfId="0" applyNumberFormat="1" applyFont="1" applyBorder="1" applyAlignment="1">
      <alignment vertical="center" wrapText="1"/>
    </xf>
    <xf numFmtId="10" fontId="16" fillId="0" borderId="37" xfId="0" applyNumberFormat="1" applyFont="1" applyBorder="1" applyAlignment="1">
      <alignment vertical="center" wrapText="1"/>
    </xf>
    <xf numFmtId="3" fontId="16" fillId="0" borderId="37" xfId="0" applyNumberFormat="1" applyFont="1" applyBorder="1" applyAlignment="1">
      <alignment vertical="center"/>
    </xf>
    <xf numFmtId="3" fontId="16" fillId="0" borderId="37" xfId="0" applyNumberFormat="1" applyFont="1" applyBorder="1" applyAlignment="1"/>
    <xf numFmtId="0" fontId="16" fillId="0" borderId="21" xfId="0" applyFont="1" applyFill="1" applyBorder="1" applyAlignment="1">
      <alignment vertical="center" wrapText="1"/>
    </xf>
    <xf numFmtId="0" fontId="20" fillId="3" borderId="29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3" fontId="16" fillId="0" borderId="25" xfId="0" applyNumberFormat="1" applyFont="1" applyBorder="1" applyAlignment="1">
      <alignment vertical="center" wrapText="1"/>
    </xf>
    <xf numFmtId="10" fontId="16" fillId="0" borderId="25" xfId="0" applyNumberFormat="1" applyFont="1" applyBorder="1" applyAlignment="1">
      <alignment vertical="center" wrapText="1"/>
    </xf>
    <xf numFmtId="3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/>
    <xf numFmtId="3" fontId="16" fillId="0" borderId="21" xfId="0" applyNumberFormat="1" applyFont="1" applyBorder="1" applyAlignment="1">
      <alignment wrapText="1"/>
    </xf>
    <xf numFmtId="10" fontId="16" fillId="0" borderId="21" xfId="0" applyNumberFormat="1" applyFont="1" applyBorder="1" applyAlignment="1">
      <alignment wrapText="1"/>
    </xf>
    <xf numFmtId="10" fontId="16" fillId="0" borderId="18" xfId="0" applyNumberFormat="1" applyFont="1" applyBorder="1" applyAlignment="1">
      <alignment vertical="center" wrapText="1"/>
    </xf>
    <xf numFmtId="0" fontId="16" fillId="0" borderId="38" xfId="0" applyFont="1" applyFill="1" applyBorder="1" applyAlignment="1">
      <alignment horizontal="left" vertical="center" wrapText="1"/>
    </xf>
    <xf numFmtId="3" fontId="16" fillId="0" borderId="38" xfId="0" applyNumberFormat="1" applyFont="1" applyFill="1" applyBorder="1" applyAlignment="1">
      <alignment vertical="center" wrapText="1"/>
    </xf>
    <xf numFmtId="10" fontId="16" fillId="0" borderId="38" xfId="0" applyNumberFormat="1" applyFont="1" applyFill="1" applyBorder="1" applyAlignment="1">
      <alignment vertical="center" wrapText="1"/>
    </xf>
    <xf numFmtId="3" fontId="16" fillId="0" borderId="38" xfId="0" applyNumberFormat="1" applyFont="1" applyFill="1" applyBorder="1" applyAlignment="1">
      <alignment vertical="center"/>
    </xf>
    <xf numFmtId="3" fontId="16" fillId="0" borderId="38" xfId="0" applyNumberFormat="1" applyFont="1" applyFill="1" applyBorder="1" applyAlignment="1"/>
    <xf numFmtId="10" fontId="16" fillId="0" borderId="38" xfId="0" applyNumberFormat="1" applyFont="1" applyBorder="1" applyAlignment="1">
      <alignment vertical="center" wrapText="1"/>
    </xf>
    <xf numFmtId="3" fontId="20" fillId="0" borderId="38" xfId="0" applyNumberFormat="1" applyFont="1" applyBorder="1" applyAlignment="1">
      <alignment vertical="center" wrapText="1"/>
    </xf>
    <xf numFmtId="10" fontId="20" fillId="0" borderId="38" xfId="0" applyNumberFormat="1" applyFont="1" applyBorder="1" applyAlignment="1">
      <alignment vertical="center" wrapText="1"/>
    </xf>
    <xf numFmtId="0" fontId="2" fillId="0" borderId="0" xfId="0" applyFont="1"/>
    <xf numFmtId="0" fontId="2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4" fontId="21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24" fillId="0" borderId="0" xfId="0" applyFont="1" applyBorder="1"/>
    <xf numFmtId="0" fontId="24" fillId="0" borderId="0" xfId="0" applyFont="1"/>
    <xf numFmtId="0" fontId="11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25" fillId="3" borderId="0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164" fontId="7" fillId="3" borderId="32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37" xfId="0" applyFont="1" applyBorder="1" applyAlignment="1">
      <alignment horizontal="left" vertical="center" wrapText="1" indent="1"/>
    </xf>
    <xf numFmtId="3" fontId="2" fillId="0" borderId="37" xfId="0" applyNumberFormat="1" applyFont="1" applyBorder="1" applyAlignment="1">
      <alignment vertical="center" wrapText="1"/>
    </xf>
    <xf numFmtId="10" fontId="2" fillId="0" borderId="37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 indent="1"/>
    </xf>
    <xf numFmtId="3" fontId="3" fillId="3" borderId="6" xfId="0" applyNumberFormat="1" applyFont="1" applyFill="1" applyBorder="1" applyAlignment="1">
      <alignment vertical="center" wrapText="1"/>
    </xf>
    <xf numFmtId="10" fontId="3" fillId="3" borderId="6" xfId="0" applyNumberFormat="1" applyFont="1" applyFill="1" applyBorder="1" applyAlignment="1">
      <alignment vertical="center" wrapText="1"/>
    </xf>
    <xf numFmtId="3" fontId="26" fillId="3" borderId="0" xfId="0" applyNumberFormat="1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10" fontId="2" fillId="0" borderId="25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7" fillId="3" borderId="0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 indent="1"/>
    </xf>
    <xf numFmtId="3" fontId="2" fillId="0" borderId="25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10" fontId="2" fillId="0" borderId="37" xfId="0" applyNumberFormat="1" applyFont="1" applyFill="1" applyBorder="1" applyAlignment="1">
      <alignment vertical="center" wrapText="1"/>
    </xf>
    <xf numFmtId="3" fontId="3" fillId="0" borderId="37" xfId="0" applyNumberFormat="1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 inden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3" fontId="2" fillId="0" borderId="32" xfId="0" applyNumberFormat="1" applyFont="1" applyBorder="1" applyAlignment="1">
      <alignment vertical="center" wrapText="1"/>
    </xf>
    <xf numFmtId="10" fontId="2" fillId="0" borderId="6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0" fontId="3" fillId="0" borderId="6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 indent="1"/>
    </xf>
    <xf numFmtId="3" fontId="2" fillId="0" borderId="33" xfId="0" applyNumberFormat="1" applyFont="1" applyBorder="1" applyAlignment="1">
      <alignment vertical="center" wrapText="1"/>
    </xf>
    <xf numFmtId="10" fontId="2" fillId="0" borderId="18" xfId="0" applyNumberFormat="1" applyFont="1" applyBorder="1" applyAlignment="1">
      <alignment vertical="center" wrapText="1"/>
    </xf>
    <xf numFmtId="10" fontId="2" fillId="0" borderId="18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3" fontId="3" fillId="0" borderId="6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 indent="1"/>
    </xf>
    <xf numFmtId="0" fontId="3" fillId="3" borderId="39" xfId="0" applyFont="1" applyFill="1" applyBorder="1" applyAlignment="1">
      <alignment horizontal="left" vertical="center" wrapText="1" indent="1"/>
    </xf>
    <xf numFmtId="3" fontId="3" fillId="3" borderId="39" xfId="0" applyNumberFormat="1" applyFont="1" applyFill="1" applyBorder="1" applyAlignment="1">
      <alignment vertical="center" wrapText="1"/>
    </xf>
    <xf numFmtId="0" fontId="0" fillId="3" borderId="0" xfId="0" applyFill="1"/>
    <xf numFmtId="164" fontId="0" fillId="0" borderId="0" xfId="0" applyNumberFormat="1"/>
    <xf numFmtId="164" fontId="25" fillId="0" borderId="0" xfId="0" applyNumberFormat="1" applyFont="1"/>
    <xf numFmtId="0" fontId="13" fillId="0" borderId="25" xfId="0" applyFont="1" applyFill="1" applyBorder="1" applyAlignment="1">
      <alignment horizontal="left" vertical="center" wrapText="1" indent="1"/>
    </xf>
    <xf numFmtId="10" fontId="2" fillId="0" borderId="25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3" fontId="12" fillId="0" borderId="0" xfId="0" applyNumberFormat="1" applyFont="1" applyFill="1"/>
    <xf numFmtId="10" fontId="12" fillId="0" borderId="0" xfId="0" applyNumberFormat="1" applyFont="1" applyFill="1"/>
    <xf numFmtId="0" fontId="12" fillId="0" borderId="0" xfId="0" applyFont="1" applyFill="1"/>
    <xf numFmtId="10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0" fontId="0" fillId="0" borderId="0" xfId="0" applyFill="1"/>
    <xf numFmtId="0" fontId="28" fillId="0" borderId="0" xfId="0" applyFont="1" applyFill="1" applyAlignment="1">
      <alignment horizont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center"/>
    </xf>
    <xf numFmtId="10" fontId="11" fillId="0" borderId="0" xfId="0" applyNumberFormat="1" applyFont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0" fillId="3" borderId="7" xfId="0" applyFill="1" applyBorder="1"/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10" fontId="4" fillId="0" borderId="25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vertical="center"/>
    </xf>
    <xf numFmtId="0" fontId="2" fillId="0" borderId="37" xfId="0" applyFont="1" applyFill="1" applyBorder="1" applyAlignment="1">
      <alignment horizontal="left" vertical="center" wrapText="1" indent="1"/>
    </xf>
    <xf numFmtId="0" fontId="3" fillId="3" borderId="40" xfId="0" applyFont="1" applyFill="1" applyBorder="1" applyAlignment="1">
      <alignment horizontal="left" vertical="center" wrapText="1" indent="1"/>
    </xf>
    <xf numFmtId="3" fontId="3" fillId="3" borderId="40" xfId="0" applyNumberFormat="1" applyFont="1" applyFill="1" applyBorder="1" applyAlignment="1">
      <alignment vertical="center" wrapText="1"/>
    </xf>
    <xf numFmtId="10" fontId="3" fillId="3" borderId="40" xfId="0" applyNumberFormat="1" applyFont="1" applyFill="1" applyBorder="1" applyAlignment="1">
      <alignment vertical="center" wrapText="1"/>
    </xf>
    <xf numFmtId="10" fontId="2" fillId="0" borderId="0" xfId="0" applyNumberFormat="1" applyFont="1"/>
    <xf numFmtId="10" fontId="6" fillId="0" borderId="0" xfId="0" applyNumberFormat="1" applyFont="1"/>
    <xf numFmtId="0" fontId="29" fillId="0" borderId="0" xfId="0" applyFont="1"/>
    <xf numFmtId="0" fontId="29" fillId="0" borderId="0" xfId="0" applyFont="1" applyBorder="1"/>
    <xf numFmtId="0" fontId="3" fillId="5" borderId="6" xfId="0" applyFont="1" applyFill="1" applyBorder="1" applyAlignment="1">
      <alignment horizontal="left" vertical="center" wrapText="1" indent="1"/>
    </xf>
    <xf numFmtId="3" fontId="3" fillId="5" borderId="6" xfId="0" applyNumberFormat="1" applyFont="1" applyFill="1" applyBorder="1" applyAlignment="1">
      <alignment vertical="center" wrapText="1"/>
    </xf>
    <xf numFmtId="10" fontId="3" fillId="5" borderId="6" xfId="0" applyNumberFormat="1" applyFont="1" applyFill="1" applyBorder="1" applyAlignment="1">
      <alignment vertical="center" wrapText="1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3" fontId="2" fillId="0" borderId="6" xfId="0" applyNumberFormat="1" applyFont="1" applyBorder="1" applyAlignment="1">
      <alignment vertical="center" wrapText="1"/>
    </xf>
    <xf numFmtId="3" fontId="26" fillId="5" borderId="0" xfId="0" applyNumberFormat="1" applyFont="1" applyFill="1" applyAlignment="1">
      <alignment vertical="center"/>
    </xf>
    <xf numFmtId="3" fontId="2" fillId="0" borderId="21" xfId="0" applyNumberFormat="1" applyFont="1" applyBorder="1" applyAlignment="1">
      <alignment vertical="center" wrapText="1"/>
    </xf>
    <xf numFmtId="10" fontId="3" fillId="0" borderId="32" xfId="0" applyNumberFormat="1" applyFont="1" applyBorder="1" applyAlignment="1">
      <alignment vertical="center" wrapText="1"/>
    </xf>
    <xf numFmtId="3" fontId="0" fillId="5" borderId="0" xfId="0" applyNumberFormat="1" applyFill="1" applyBorder="1"/>
    <xf numFmtId="0" fontId="0" fillId="5" borderId="0" xfId="0" applyFill="1" applyBorder="1"/>
    <xf numFmtId="0" fontId="0" fillId="5" borderId="0" xfId="0" applyFill="1"/>
    <xf numFmtId="0" fontId="30" fillId="0" borderId="0" xfId="0" applyFont="1" applyAlignment="1">
      <alignment vertical="center"/>
    </xf>
    <xf numFmtId="0" fontId="30" fillId="0" borderId="0" xfId="0" applyFont="1"/>
    <xf numFmtId="10" fontId="30" fillId="0" borderId="0" xfId="0" applyNumberFormat="1" applyFont="1"/>
    <xf numFmtId="3" fontId="30" fillId="0" borderId="0" xfId="0" applyNumberFormat="1" applyFont="1"/>
    <xf numFmtId="10" fontId="0" fillId="0" borderId="0" xfId="0" applyNumberFormat="1"/>
    <xf numFmtId="0" fontId="4" fillId="0" borderId="0" xfId="0" applyFont="1" applyAlignment="1">
      <alignment horizontal="left"/>
    </xf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3" fillId="0" borderId="22" xfId="0" applyFont="1" applyBorder="1" applyAlignment="1">
      <alignment vertical="top" wrapText="1"/>
    </xf>
    <xf numFmtId="0" fontId="33" fillId="0" borderId="28" xfId="0" applyFont="1" applyBorder="1" applyAlignment="1">
      <alignment vertical="top" wrapText="1"/>
    </xf>
    <xf numFmtId="3" fontId="34" fillId="0" borderId="24" xfId="0" applyNumberFormat="1" applyFont="1" applyBorder="1" applyAlignment="1">
      <alignment horizontal="right" vertical="center" wrapText="1" indent="1"/>
    </xf>
    <xf numFmtId="3" fontId="34" fillId="0" borderId="8" xfId="0" applyNumberFormat="1" applyFont="1" applyFill="1" applyBorder="1" applyAlignment="1">
      <alignment horizontal="right" vertical="center" wrapText="1" indent="1"/>
    </xf>
    <xf numFmtId="3" fontId="34" fillId="0" borderId="8" xfId="0" applyNumberFormat="1" applyFont="1" applyBorder="1" applyAlignment="1">
      <alignment horizontal="right" vertical="center" wrapText="1" indent="1"/>
    </xf>
    <xf numFmtId="0" fontId="6" fillId="0" borderId="37" xfId="0" applyFont="1" applyBorder="1"/>
    <xf numFmtId="0" fontId="4" fillId="0" borderId="12" xfId="0" applyFont="1" applyBorder="1"/>
    <xf numFmtId="0" fontId="4" fillId="0" borderId="14" xfId="0" applyFont="1" applyBorder="1"/>
    <xf numFmtId="3" fontId="34" fillId="0" borderId="14" xfId="0" applyNumberFormat="1" applyFont="1" applyBorder="1" applyAlignment="1">
      <alignment horizontal="right" vertical="center" wrapText="1" indent="1"/>
    </xf>
    <xf numFmtId="3" fontId="34" fillId="0" borderId="14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/>
    <xf numFmtId="0" fontId="34" fillId="0" borderId="1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center"/>
    </xf>
    <xf numFmtId="0" fontId="34" fillId="0" borderId="12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6" fillId="0" borderId="21" xfId="0" applyFont="1" applyBorder="1"/>
    <xf numFmtId="0" fontId="34" fillId="0" borderId="14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/>
    </xf>
    <xf numFmtId="3" fontId="34" fillId="0" borderId="21" xfId="0" applyNumberFormat="1" applyFont="1" applyBorder="1" applyAlignment="1">
      <alignment horizontal="right" vertical="center" wrapText="1" indent="1"/>
    </xf>
    <xf numFmtId="3" fontId="34" fillId="0" borderId="21" xfId="0" applyNumberFormat="1" applyFont="1" applyFill="1" applyBorder="1" applyAlignment="1">
      <alignment horizontal="right" vertical="center" wrapText="1" indent="1"/>
    </xf>
    <xf numFmtId="0" fontId="34" fillId="0" borderId="16" xfId="0" applyFont="1" applyBorder="1" applyAlignment="1">
      <alignment vertical="top" wrapText="1"/>
    </xf>
    <xf numFmtId="3" fontId="34" fillId="0" borderId="16" xfId="0" applyNumberFormat="1" applyFont="1" applyBorder="1" applyAlignment="1">
      <alignment horizontal="right" vertical="center" wrapText="1" indent="1"/>
    </xf>
    <xf numFmtId="0" fontId="6" fillId="0" borderId="18" xfId="0" applyFont="1" applyBorder="1"/>
    <xf numFmtId="0" fontId="4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3" fontId="31" fillId="0" borderId="20" xfId="0" applyNumberFormat="1" applyFont="1" applyBorder="1" applyAlignment="1">
      <alignment horizontal="right" vertical="center" wrapText="1" indent="1"/>
    </xf>
    <xf numFmtId="3" fontId="31" fillId="0" borderId="20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Border="1"/>
    <xf numFmtId="0" fontId="4" fillId="0" borderId="37" xfId="0" applyFont="1" applyBorder="1" applyAlignment="1">
      <alignment horizontal="center" vertical="center"/>
    </xf>
    <xf numFmtId="0" fontId="33" fillId="0" borderId="7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3" fontId="31" fillId="0" borderId="6" xfId="0" applyNumberFormat="1" applyFont="1" applyBorder="1" applyAlignment="1">
      <alignment horizontal="right" vertical="center" wrapText="1" indent="1"/>
    </xf>
    <xf numFmtId="0" fontId="31" fillId="0" borderId="41" xfId="0" applyFont="1" applyBorder="1" applyAlignment="1">
      <alignment vertical="top" wrapText="1"/>
    </xf>
    <xf numFmtId="3" fontId="31" fillId="0" borderId="42" xfId="0" applyNumberFormat="1" applyFont="1" applyBorder="1" applyAlignment="1">
      <alignment horizontal="right" vertical="center" wrapText="1" indent="1"/>
    </xf>
    <xf numFmtId="3" fontId="31" fillId="0" borderId="42" xfId="0" applyNumberFormat="1" applyFont="1" applyFill="1" applyBorder="1" applyAlignment="1">
      <alignment horizontal="right" vertical="center" wrapText="1" indent="1"/>
    </xf>
    <xf numFmtId="3" fontId="31" fillId="0" borderId="42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6" fillId="0" borderId="18" xfId="0" applyFont="1" applyBorder="1" applyAlignment="1">
      <alignment horizontal="left" vertical="center" wrapText="1"/>
    </xf>
    <xf numFmtId="3" fontId="16" fillId="0" borderId="18" xfId="0" applyNumberFormat="1" applyFont="1" applyBorder="1" applyAlignment="1"/>
    <xf numFmtId="3" fontId="16" fillId="0" borderId="18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 wrapText="1"/>
    </xf>
    <xf numFmtId="10" fontId="2" fillId="0" borderId="32" xfId="0" applyNumberFormat="1" applyFont="1" applyBorder="1" applyAlignment="1">
      <alignment vertical="center" wrapText="1"/>
    </xf>
    <xf numFmtId="0" fontId="36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2" fillId="0" borderId="0" xfId="0" applyFont="1" applyFill="1" applyBorder="1"/>
    <xf numFmtId="0" fontId="25" fillId="0" borderId="0" xfId="0" applyFont="1" applyFill="1" applyBorder="1"/>
    <xf numFmtId="0" fontId="0" fillId="0" borderId="0" xfId="0" applyFill="1" applyBorder="1"/>
    <xf numFmtId="0" fontId="0" fillId="0" borderId="35" xfId="0" applyFill="1" applyBorder="1"/>
    <xf numFmtId="0" fontId="37" fillId="3" borderId="4" xfId="0" applyFont="1" applyFill="1" applyBorder="1" applyAlignment="1">
      <alignment horizontal="center" vertical="center" wrapText="1"/>
    </xf>
    <xf numFmtId="0" fontId="37" fillId="3" borderId="20" xfId="0" applyFont="1" applyFill="1" applyBorder="1" applyAlignment="1">
      <alignment horizontal="center" vertical="center" wrapText="1"/>
    </xf>
    <xf numFmtId="164" fontId="37" fillId="3" borderId="20" xfId="0" applyNumberFormat="1" applyFont="1" applyFill="1" applyBorder="1" applyAlignment="1">
      <alignment horizontal="center" vertical="center" wrapText="1"/>
    </xf>
    <xf numFmtId="164" fontId="37" fillId="3" borderId="43" xfId="0" applyNumberFormat="1" applyFont="1" applyFill="1" applyBorder="1" applyAlignment="1">
      <alignment horizontal="center" vertical="center" wrapText="1"/>
    </xf>
    <xf numFmtId="0" fontId="36" fillId="3" borderId="0" xfId="0" applyFont="1" applyFill="1" applyBorder="1"/>
    <xf numFmtId="0" fontId="36" fillId="3" borderId="20" xfId="0" applyFont="1" applyFill="1" applyBorder="1"/>
    <xf numFmtId="0" fontId="36" fillId="3" borderId="6" xfId="0" applyFont="1" applyFill="1" applyBorder="1"/>
    <xf numFmtId="3" fontId="38" fillId="6" borderId="22" xfId="0" applyNumberFormat="1" applyFont="1" applyFill="1" applyBorder="1" applyAlignment="1">
      <alignment horizontal="left" vertical="center" wrapText="1"/>
    </xf>
    <xf numFmtId="3" fontId="38" fillId="6" borderId="23" xfId="0" applyNumberFormat="1" applyFont="1" applyFill="1" applyBorder="1" applyAlignment="1">
      <alignment horizontal="right" vertical="center" wrapText="1" indent="1"/>
    </xf>
    <xf numFmtId="3" fontId="37" fillId="6" borderId="27" xfId="0" applyNumberFormat="1" applyFont="1" applyFill="1" applyBorder="1" applyAlignment="1">
      <alignment horizontal="right" vertical="center" indent="1"/>
    </xf>
    <xf numFmtId="3" fontId="37" fillId="6" borderId="28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/>
    <xf numFmtId="0" fontId="2" fillId="0" borderId="20" xfId="0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0" fontId="3" fillId="0" borderId="20" xfId="0" applyFont="1" applyFill="1" applyBorder="1"/>
    <xf numFmtId="0" fontId="3" fillId="0" borderId="6" xfId="0" applyFont="1" applyFill="1" applyBorder="1"/>
    <xf numFmtId="0" fontId="37" fillId="0" borderId="0" xfId="0" applyFont="1" applyFill="1" applyBorder="1"/>
    <xf numFmtId="0" fontId="37" fillId="0" borderId="20" xfId="0" applyFont="1" applyFill="1" applyBorder="1"/>
    <xf numFmtId="0" fontId="37" fillId="0" borderId="6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3" fontId="37" fillId="3" borderId="4" xfId="0" applyNumberFormat="1" applyFont="1" applyFill="1" applyBorder="1" applyAlignment="1">
      <alignment horizontal="left" vertical="center" wrapText="1"/>
    </xf>
    <xf numFmtId="3" fontId="37" fillId="3" borderId="20" xfId="0" applyNumberFormat="1" applyFont="1" applyFill="1" applyBorder="1" applyAlignment="1">
      <alignment horizontal="left" vertical="center" wrapText="1"/>
    </xf>
    <xf numFmtId="3" fontId="37" fillId="3" borderId="6" xfId="0" applyNumberFormat="1" applyFont="1" applyFill="1" applyBorder="1" applyAlignment="1">
      <alignment horizontal="right" vertical="center" indent="1"/>
    </xf>
    <xf numFmtId="0" fontId="37" fillId="3" borderId="0" xfId="0" applyFont="1" applyFill="1" applyBorder="1"/>
    <xf numFmtId="0" fontId="37" fillId="3" borderId="20" xfId="0" applyFont="1" applyFill="1" applyBorder="1"/>
    <xf numFmtId="0" fontId="37" fillId="3" borderId="6" xfId="0" applyFont="1" applyFill="1" applyBorder="1"/>
    <xf numFmtId="3" fontId="37" fillId="3" borderId="4" xfId="0" applyNumberFormat="1" applyFont="1" applyFill="1" applyBorder="1" applyAlignment="1">
      <alignment horizontal="left" vertical="center"/>
    </xf>
    <xf numFmtId="3" fontId="37" fillId="3" borderId="20" xfId="0" applyNumberFormat="1" applyFont="1" applyFill="1" applyBorder="1" applyAlignment="1">
      <alignment horizontal="left" vertical="center"/>
    </xf>
    <xf numFmtId="0" fontId="37" fillId="3" borderId="24" xfId="0" applyFont="1" applyFill="1" applyBorder="1"/>
    <xf numFmtId="0" fontId="37" fillId="3" borderId="33" xfId="0" applyFont="1" applyFill="1" applyBorder="1"/>
    <xf numFmtId="3" fontId="3" fillId="0" borderId="0" xfId="0" applyNumberFormat="1" applyFont="1" applyFill="1" applyBorder="1"/>
    <xf numFmtId="0" fontId="39" fillId="0" borderId="0" xfId="0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5" fillId="0" borderId="0" xfId="0" applyNumberFormat="1" applyFont="1" applyFill="1" applyBorder="1"/>
    <xf numFmtId="0" fontId="0" fillId="0" borderId="20" xfId="0" applyFill="1" applyBorder="1"/>
    <xf numFmtId="0" fontId="0" fillId="0" borderId="6" xfId="0" applyFill="1" applyBorder="1"/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/>
    <xf numFmtId="0" fontId="0" fillId="0" borderId="6" xfId="0" applyFill="1" applyBorder="1" applyAlignment="1">
      <alignment vertical="center"/>
    </xf>
    <xf numFmtId="0" fontId="25" fillId="0" borderId="4" xfId="0" applyFont="1" applyFill="1" applyBorder="1"/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/>
    <xf numFmtId="0" fontId="29" fillId="0" borderId="0" xfId="0" applyFont="1" applyFill="1" applyBorder="1"/>
    <xf numFmtId="0" fontId="43" fillId="0" borderId="0" xfId="0" applyFont="1" applyFill="1" applyBorder="1"/>
    <xf numFmtId="0" fontId="43" fillId="0" borderId="35" xfId="0" applyFont="1" applyFill="1" applyBorder="1"/>
    <xf numFmtId="0" fontId="37" fillId="3" borderId="47" xfId="0" applyFont="1" applyFill="1" applyBorder="1" applyAlignment="1">
      <alignment horizontal="center" vertical="center" wrapText="1"/>
    </xf>
    <xf numFmtId="0" fontId="37" fillId="3" borderId="48" xfId="0" applyFont="1" applyFill="1" applyBorder="1" applyAlignment="1">
      <alignment horizontal="center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3" fontId="38" fillId="3" borderId="47" xfId="0" applyNumberFormat="1" applyFont="1" applyFill="1" applyBorder="1" applyAlignment="1">
      <alignment horizontal="left" vertical="center" wrapText="1"/>
    </xf>
    <xf numFmtId="3" fontId="38" fillId="3" borderId="13" xfId="0" applyNumberFormat="1" applyFont="1" applyFill="1" applyBorder="1" applyAlignment="1">
      <alignment horizontal="right" vertical="center" wrapText="1" indent="1"/>
    </xf>
    <xf numFmtId="3" fontId="37" fillId="3" borderId="13" xfId="0" applyNumberFormat="1" applyFont="1" applyFill="1" applyBorder="1" applyAlignment="1">
      <alignment horizontal="right" vertical="center" indent="1"/>
    </xf>
    <xf numFmtId="3" fontId="37" fillId="3" borderId="49" xfId="0" applyNumberFormat="1" applyFont="1" applyFill="1" applyBorder="1" applyAlignment="1">
      <alignment horizontal="right" vertical="center" indent="1"/>
    </xf>
    <xf numFmtId="3" fontId="2" fillId="0" borderId="49" xfId="0" applyNumberFormat="1" applyFont="1" applyFill="1" applyBorder="1" applyAlignment="1">
      <alignment horizontal="right" vertical="center" wrapText="1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2" fillId="0" borderId="47" xfId="0" applyNumberFormat="1" applyFont="1" applyFill="1" applyBorder="1" applyAlignment="1">
      <alignment horizontal="left" vertical="center" wrapText="1"/>
    </xf>
    <xf numFmtId="3" fontId="3" fillId="0" borderId="49" xfId="0" applyNumberFormat="1" applyFont="1" applyFill="1" applyBorder="1" applyAlignment="1">
      <alignment horizontal="right" vertical="center" wrapText="1" indent="1"/>
    </xf>
    <xf numFmtId="3" fontId="3" fillId="0" borderId="13" xfId="0" applyNumberFormat="1" applyFont="1" applyFill="1" applyBorder="1" applyAlignment="1">
      <alignment horizontal="right" vertical="center" wrapText="1" indent="1"/>
    </xf>
    <xf numFmtId="3" fontId="3" fillId="0" borderId="49" xfId="0" applyNumberFormat="1" applyFont="1" applyFill="1" applyBorder="1" applyAlignment="1">
      <alignment horizontal="right" vertical="center" inden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37" fillId="3" borderId="47" xfId="0" applyNumberFormat="1" applyFont="1" applyFill="1" applyBorder="1" applyAlignment="1">
      <alignment horizontal="left" vertical="center" wrapText="1"/>
    </xf>
    <xf numFmtId="3" fontId="37" fillId="3" borderId="49" xfId="0" applyNumberFormat="1" applyFont="1" applyFill="1" applyBorder="1" applyAlignment="1">
      <alignment horizontal="left" vertical="center" wrapText="1"/>
    </xf>
    <xf numFmtId="3" fontId="37" fillId="3" borderId="1" xfId="0" applyNumberFormat="1" applyFont="1" applyFill="1" applyBorder="1" applyAlignment="1">
      <alignment horizontal="right" vertical="center" indent="1"/>
    </xf>
    <xf numFmtId="3" fontId="37" fillId="0" borderId="47" xfId="0" applyNumberFormat="1" applyFont="1" applyFill="1" applyBorder="1" applyAlignment="1">
      <alignment horizontal="left" vertical="center" wrapText="1"/>
    </xf>
    <xf numFmtId="3" fontId="37" fillId="0" borderId="13" xfId="0" applyNumberFormat="1" applyFont="1" applyFill="1" applyBorder="1" applyAlignment="1">
      <alignment horizontal="left" vertical="center" wrapText="1"/>
    </xf>
    <xf numFmtId="3" fontId="37" fillId="0" borderId="13" xfId="0" applyNumberFormat="1" applyFont="1" applyFill="1" applyBorder="1" applyAlignment="1">
      <alignment horizontal="right" vertical="center" indent="1"/>
    </xf>
    <xf numFmtId="3" fontId="37" fillId="0" borderId="49" xfId="0" applyNumberFormat="1" applyFont="1" applyFill="1" applyBorder="1" applyAlignment="1">
      <alignment horizontal="right" vertical="center" indent="1"/>
    </xf>
    <xf numFmtId="3" fontId="2" fillId="0" borderId="49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3" fontId="3" fillId="0" borderId="47" xfId="0" applyNumberFormat="1" applyFont="1" applyFill="1" applyBorder="1" applyAlignment="1">
      <alignment vertical="center" wrapText="1"/>
    </xf>
    <xf numFmtId="3" fontId="3" fillId="0" borderId="49" xfId="0" applyNumberFormat="1" applyFont="1" applyFill="1" applyBorder="1" applyAlignment="1">
      <alignment vertical="center" wrapText="1"/>
    </xf>
    <xf numFmtId="0" fontId="10" fillId="0" borderId="0" xfId="0" applyFont="1" applyFill="1" applyBorder="1"/>
    <xf numFmtId="0" fontId="10" fillId="0" borderId="20" xfId="0" applyFont="1" applyFill="1" applyBorder="1"/>
    <xf numFmtId="0" fontId="10" fillId="0" borderId="6" xfId="0" applyFont="1" applyFill="1" applyBorder="1"/>
    <xf numFmtId="3" fontId="2" fillId="0" borderId="49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 indent="1"/>
    </xf>
    <xf numFmtId="3" fontId="3" fillId="0" borderId="47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/>
    <xf numFmtId="0" fontId="10" fillId="0" borderId="33" xfId="0" applyFont="1" applyFill="1" applyBorder="1"/>
    <xf numFmtId="3" fontId="37" fillId="3" borderId="13" xfId="0" applyNumberFormat="1" applyFont="1" applyFill="1" applyBorder="1" applyAlignment="1">
      <alignment horizontal="left" vertical="center" wrapText="1"/>
    </xf>
    <xf numFmtId="3" fontId="38" fillId="3" borderId="49" xfId="0" applyNumberFormat="1" applyFont="1" applyFill="1" applyBorder="1" applyAlignment="1">
      <alignment horizontal="right" vertical="center" wrapText="1" indent="1"/>
    </xf>
    <xf numFmtId="3" fontId="2" fillId="0" borderId="13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Fill="1" applyBorder="1" applyAlignment="1">
      <alignment horizontal="left" vertical="center" wrapText="1"/>
    </xf>
    <xf numFmtId="0" fontId="43" fillId="0" borderId="47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2" fillId="0" borderId="13" xfId="0" applyFont="1" applyFill="1" applyBorder="1"/>
    <xf numFmtId="0" fontId="42" fillId="0" borderId="49" xfId="0" applyFont="1" applyFill="1" applyBorder="1"/>
    <xf numFmtId="0" fontId="43" fillId="0" borderId="20" xfId="0" applyFont="1" applyFill="1" applyBorder="1"/>
    <xf numFmtId="0" fontId="43" fillId="0" borderId="6" xfId="0" applyFont="1" applyFill="1" applyBorder="1"/>
    <xf numFmtId="0" fontId="43" fillId="0" borderId="0" xfId="0" applyFont="1" applyFill="1" applyBorder="1" applyAlignment="1">
      <alignment vertical="center"/>
    </xf>
    <xf numFmtId="0" fontId="43" fillId="0" borderId="6" xfId="0" applyFont="1" applyFill="1" applyBorder="1" applyAlignment="1">
      <alignment vertical="center"/>
    </xf>
    <xf numFmtId="0" fontId="42" fillId="0" borderId="4" xfId="0" applyFont="1" applyFill="1" applyBorder="1"/>
    <xf numFmtId="10" fontId="37" fillId="3" borderId="6" xfId="0" applyNumberFormat="1" applyFont="1" applyFill="1" applyBorder="1" applyAlignment="1">
      <alignment horizontal="right" vertical="center" indent="1"/>
    </xf>
    <xf numFmtId="3" fontId="37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right" vertical="center" wrapText="1" indent="1"/>
    </xf>
    <xf numFmtId="3" fontId="37" fillId="0" borderId="21" xfId="0" applyNumberFormat="1" applyFont="1" applyFill="1" applyBorder="1" applyAlignment="1">
      <alignment horizontal="right" vertical="center" indent="1"/>
    </xf>
    <xf numFmtId="10" fontId="37" fillId="0" borderId="21" xfId="0" applyNumberFormat="1" applyFont="1" applyFill="1" applyBorder="1" applyAlignment="1">
      <alignment horizontal="right" vertical="center" indent="1"/>
    </xf>
    <xf numFmtId="3" fontId="36" fillId="0" borderId="12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right" vertical="center" indent="1"/>
    </xf>
    <xf numFmtId="10" fontId="3" fillId="0" borderId="49" xfId="0" applyNumberFormat="1" applyFont="1" applyFill="1" applyBorder="1" applyAlignment="1">
      <alignment horizontal="right" vertical="center" indent="1"/>
    </xf>
    <xf numFmtId="10" fontId="37" fillId="3" borderId="1" xfId="0" applyNumberFormat="1" applyFont="1" applyFill="1" applyBorder="1" applyAlignment="1">
      <alignment horizontal="right" vertical="center" indent="1"/>
    </xf>
    <xf numFmtId="10" fontId="37" fillId="0" borderId="49" xfId="0" applyNumberFormat="1" applyFont="1" applyFill="1" applyBorder="1" applyAlignment="1">
      <alignment horizontal="right" vertical="center" indent="1"/>
    </xf>
    <xf numFmtId="10" fontId="37" fillId="3" borderId="49" xfId="0" applyNumberFormat="1" applyFont="1" applyFill="1" applyBorder="1" applyAlignment="1">
      <alignment horizontal="right" vertical="center" indent="1"/>
    </xf>
    <xf numFmtId="10" fontId="2" fillId="0" borderId="1" xfId="0" applyNumberFormat="1" applyFont="1" applyFill="1" applyBorder="1" applyAlignment="1">
      <alignment horizontal="right" vertical="center" indent="1"/>
    </xf>
    <xf numFmtId="10" fontId="2" fillId="0" borderId="49" xfId="0" applyNumberFormat="1" applyFont="1" applyFill="1" applyBorder="1" applyAlignment="1">
      <alignment horizontal="right" vertical="center" indent="1"/>
    </xf>
    <xf numFmtId="10" fontId="42" fillId="0" borderId="49" xfId="0" applyNumberFormat="1" applyFont="1" applyFill="1" applyBorder="1"/>
    <xf numFmtId="3" fontId="37" fillId="0" borderId="14" xfId="0" applyNumberFormat="1" applyFont="1" applyFill="1" applyBorder="1" applyAlignment="1">
      <alignment horizontal="right" vertical="center" wrapText="1" indent="1"/>
    </xf>
    <xf numFmtId="3" fontId="37" fillId="0" borderId="9" xfId="0" applyNumberFormat="1" applyFont="1" applyFill="1" applyBorder="1" applyAlignment="1">
      <alignment horizontal="left" vertical="center" wrapText="1"/>
    </xf>
    <xf numFmtId="3" fontId="37" fillId="0" borderId="11" xfId="0" applyNumberFormat="1" applyFont="1" applyFill="1" applyBorder="1" applyAlignment="1">
      <alignment horizontal="right" vertical="center" wrapText="1" indent="1"/>
    </xf>
    <xf numFmtId="3" fontId="37" fillId="0" borderId="37" xfId="0" applyNumberFormat="1" applyFont="1" applyFill="1" applyBorder="1" applyAlignment="1">
      <alignment horizontal="right" vertical="center" indent="1"/>
    </xf>
    <xf numFmtId="10" fontId="37" fillId="0" borderId="37" xfId="0" applyNumberFormat="1" applyFont="1" applyFill="1" applyBorder="1" applyAlignment="1">
      <alignment horizontal="right" vertical="center" indent="1"/>
    </xf>
    <xf numFmtId="3" fontId="0" fillId="0" borderId="0" xfId="0" applyNumberFormat="1" applyFill="1" applyBorder="1"/>
    <xf numFmtId="3" fontId="37" fillId="0" borderId="4" xfId="0" applyNumberFormat="1" applyFont="1" applyFill="1" applyBorder="1" applyAlignment="1">
      <alignment horizontal="left" vertical="center" wrapText="1"/>
    </xf>
    <xf numFmtId="3" fontId="37" fillId="0" borderId="20" xfId="0" applyNumberFormat="1" applyFont="1" applyFill="1" applyBorder="1" applyAlignment="1">
      <alignment horizontal="left" vertical="center" wrapText="1"/>
    </xf>
    <xf numFmtId="3" fontId="37" fillId="0" borderId="6" xfId="0" applyNumberFormat="1" applyFont="1" applyFill="1" applyBorder="1" applyAlignment="1">
      <alignment horizontal="right" vertical="center" indent="1"/>
    </xf>
    <xf numFmtId="10" fontId="37" fillId="0" borderId="6" xfId="0" applyNumberFormat="1" applyFont="1" applyFill="1" applyBorder="1" applyAlignment="1">
      <alignment horizontal="right" vertical="center" indent="1"/>
    </xf>
    <xf numFmtId="3" fontId="37" fillId="0" borderId="13" xfId="0" applyNumberFormat="1" applyFont="1" applyFill="1" applyBorder="1" applyAlignment="1">
      <alignment horizontal="right" vertical="center" wrapText="1" indent="1"/>
    </xf>
    <xf numFmtId="3" fontId="36" fillId="0" borderId="21" xfId="0" applyNumberFormat="1" applyFont="1" applyFill="1" applyBorder="1" applyAlignment="1">
      <alignment horizontal="right" vertical="center" indent="1"/>
    </xf>
    <xf numFmtId="10" fontId="36" fillId="0" borderId="21" xfId="0" applyNumberFormat="1" applyFont="1" applyFill="1" applyBorder="1" applyAlignment="1">
      <alignment horizontal="right" vertical="center" indent="1"/>
    </xf>
    <xf numFmtId="3" fontId="36" fillId="0" borderId="14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11" fillId="0" borderId="35" xfId="0" applyFont="1" applyFill="1" applyBorder="1" applyAlignment="1">
      <alignment horizontal="center"/>
    </xf>
    <xf numFmtId="0" fontId="6" fillId="0" borderId="35" xfId="0" applyFont="1" applyFill="1" applyBorder="1" applyAlignment="1"/>
    <xf numFmtId="0" fontId="44" fillId="0" borderId="33" xfId="0" applyFont="1" applyFill="1" applyBorder="1" applyAlignment="1">
      <alignment horizontal="left" vertical="center" wrapText="1"/>
    </xf>
    <xf numFmtId="3" fontId="30" fillId="0" borderId="8" xfId="0" applyNumberFormat="1" applyFont="1" applyFill="1" applyBorder="1" applyAlignment="1">
      <alignment horizontal="right" vertical="center" wrapText="1"/>
    </xf>
    <xf numFmtId="3" fontId="30" fillId="0" borderId="33" xfId="0" applyNumberFormat="1" applyFont="1" applyFill="1" applyBorder="1" applyAlignment="1">
      <alignment horizontal="right" vertical="center"/>
    </xf>
    <xf numFmtId="3" fontId="30" fillId="0" borderId="8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30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4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4" fontId="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0" fontId="46" fillId="0" borderId="0" xfId="0" applyFont="1" applyFill="1" applyAlignment="1">
      <alignment horizontal="left"/>
    </xf>
    <xf numFmtId="0" fontId="30" fillId="0" borderId="0" xfId="0" applyFont="1" applyFill="1"/>
    <xf numFmtId="0" fontId="30" fillId="0" borderId="0" xfId="0" applyFont="1" applyFill="1" applyAlignment="1">
      <alignment horizontal="justify"/>
    </xf>
    <xf numFmtId="0" fontId="44" fillId="2" borderId="20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4" fillId="2" borderId="5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 wrapText="1"/>
    </xf>
    <xf numFmtId="0" fontId="44" fillId="2" borderId="36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0" fontId="0" fillId="2" borderId="0" xfId="0" applyFill="1"/>
    <xf numFmtId="0" fontId="4" fillId="7" borderId="6" xfId="0" applyFont="1" applyFill="1" applyBorder="1"/>
    <xf numFmtId="0" fontId="6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2" fillId="2" borderId="0" xfId="0" applyFont="1" applyFill="1"/>
    <xf numFmtId="0" fontId="50" fillId="0" borderId="2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right" vertical="center" wrapText="1" indent="1"/>
    </xf>
    <xf numFmtId="0" fontId="51" fillId="0" borderId="34" xfId="0" applyFont="1" applyFill="1" applyBorder="1" applyAlignment="1">
      <alignment horizontal="left" vertical="center" wrapText="1" indent="1"/>
    </xf>
    <xf numFmtId="0" fontId="51" fillId="0" borderId="32" xfId="0" applyFont="1" applyFill="1" applyBorder="1" applyAlignment="1">
      <alignment horizontal="center" vertical="center" wrapText="1"/>
    </xf>
    <xf numFmtId="3" fontId="51" fillId="0" borderId="32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/>
    <xf numFmtId="0" fontId="6" fillId="0" borderId="0" xfId="2" applyFont="1" applyFill="1"/>
    <xf numFmtId="164" fontId="6" fillId="0" borderId="0" xfId="2" applyNumberFormat="1" applyFont="1" applyFill="1"/>
    <xf numFmtId="0" fontId="21" fillId="0" borderId="0" xfId="2" applyFont="1"/>
    <xf numFmtId="164" fontId="6" fillId="0" borderId="0" xfId="2" applyNumberFormat="1" applyFont="1"/>
    <xf numFmtId="0" fontId="6" fillId="0" borderId="0" xfId="2" applyFont="1"/>
    <xf numFmtId="0" fontId="11" fillId="0" borderId="0" xfId="2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3" fillId="3" borderId="55" xfId="2" applyNumberFormat="1" applyFont="1" applyFill="1" applyBorder="1" applyAlignment="1">
      <alignment horizontal="center" vertical="top" wrapText="1"/>
    </xf>
    <xf numFmtId="164" fontId="3" fillId="3" borderId="55" xfId="2" applyNumberFormat="1" applyFont="1" applyFill="1" applyBorder="1" applyAlignment="1">
      <alignment horizontal="center" vertical="center" wrapText="1"/>
    </xf>
    <xf numFmtId="0" fontId="2" fillId="3" borderId="0" xfId="2" applyFont="1" applyFill="1"/>
    <xf numFmtId="164" fontId="3" fillId="3" borderId="56" xfId="2" applyNumberFormat="1" applyFont="1" applyFill="1" applyBorder="1" applyAlignment="1">
      <alignment horizontal="center" vertical="top" wrapText="1"/>
    </xf>
    <xf numFmtId="164" fontId="3" fillId="3" borderId="56" xfId="2" applyNumberFormat="1" applyFont="1" applyFill="1" applyBorder="1" applyAlignment="1">
      <alignment horizontal="center" vertical="center" wrapText="1"/>
    </xf>
    <xf numFmtId="164" fontId="3" fillId="3" borderId="57" xfId="2" applyNumberFormat="1" applyFont="1" applyFill="1" applyBorder="1" applyAlignment="1">
      <alignment horizontal="center" vertical="top" wrapText="1"/>
    </xf>
    <xf numFmtId="164" fontId="3" fillId="3" borderId="57" xfId="2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3" fontId="2" fillId="0" borderId="54" xfId="2" quotePrefix="1" applyNumberFormat="1" applyFont="1" applyBorder="1" applyAlignment="1">
      <alignment horizontal="center" vertical="center" wrapText="1"/>
    </xf>
    <xf numFmtId="3" fontId="2" fillId="0" borderId="54" xfId="2" applyNumberFormat="1" applyFont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6" fillId="0" borderId="0" xfId="0" applyFont="1"/>
    <xf numFmtId="0" fontId="11" fillId="0" borderId="0" xfId="0" applyFont="1" applyBorder="1" applyAlignment="1">
      <alignment horizontal="left" vertical="center" indent="1"/>
    </xf>
    <xf numFmtId="0" fontId="0" fillId="0" borderId="0" xfId="0"/>
    <xf numFmtId="3" fontId="36" fillId="0" borderId="14" xfId="0" applyNumberFormat="1" applyFont="1" applyFill="1" applyBorder="1" applyAlignment="1">
      <alignment horizontal="right" vertical="center" wrapText="1" indent="1"/>
    </xf>
    <xf numFmtId="3" fontId="36" fillId="0" borderId="21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/>
    <xf numFmtId="0" fontId="2" fillId="0" borderId="20" xfId="0" applyFont="1" applyFill="1" applyBorder="1"/>
    <xf numFmtId="0" fontId="2" fillId="0" borderId="6" xfId="0" applyFont="1" applyFill="1" applyBorder="1"/>
    <xf numFmtId="3" fontId="36" fillId="0" borderId="12" xfId="0" applyNumberFormat="1" applyFont="1" applyFill="1" applyBorder="1" applyAlignment="1">
      <alignment horizontal="left" vertical="center" wrapText="1"/>
    </xf>
    <xf numFmtId="3" fontId="37" fillId="0" borderId="14" xfId="0" applyNumberFormat="1" applyFont="1" applyFill="1" applyBorder="1" applyAlignment="1">
      <alignment horizontal="right" vertical="center" wrapText="1" indent="1"/>
    </xf>
    <xf numFmtId="3" fontId="37" fillId="0" borderId="21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0" fontId="3" fillId="0" borderId="20" xfId="0" applyFont="1" applyFill="1" applyBorder="1"/>
    <xf numFmtId="0" fontId="3" fillId="0" borderId="6" xfId="0" applyFont="1" applyFill="1" applyBorder="1"/>
    <xf numFmtId="3" fontId="36" fillId="0" borderId="14" xfId="0" applyNumberFormat="1" applyFont="1" applyFill="1" applyBorder="1" applyAlignment="1">
      <alignment horizontal="right" vertical="center" wrapText="1"/>
    </xf>
    <xf numFmtId="3" fontId="37" fillId="0" borderId="25" xfId="0" applyNumberFormat="1" applyFont="1" applyFill="1" applyBorder="1" applyAlignment="1">
      <alignment horizontal="right" vertical="center" indent="1"/>
    </xf>
    <xf numFmtId="3" fontId="37" fillId="0" borderId="7" xfId="0" applyNumberFormat="1" applyFont="1" applyFill="1" applyBorder="1" applyAlignment="1">
      <alignment horizontal="left" vertical="center" wrapText="1"/>
    </xf>
    <xf numFmtId="3" fontId="37" fillId="0" borderId="4" xfId="0" applyNumberFormat="1" applyFont="1" applyFill="1" applyBorder="1" applyAlignment="1">
      <alignment horizontal="left" vertical="center" wrapText="1"/>
    </xf>
    <xf numFmtId="3" fontId="37" fillId="0" borderId="20" xfId="0" applyNumberFormat="1" applyFont="1" applyFill="1" applyBorder="1" applyAlignment="1">
      <alignment horizontal="left" vertical="center" wrapText="1"/>
    </xf>
    <xf numFmtId="3" fontId="37" fillId="0" borderId="6" xfId="0" applyNumberFormat="1" applyFont="1" applyFill="1" applyBorder="1" applyAlignment="1">
      <alignment horizontal="right" vertical="center" indent="1"/>
    </xf>
    <xf numFmtId="0" fontId="37" fillId="0" borderId="0" xfId="0" applyFont="1" applyFill="1" applyBorder="1"/>
    <xf numFmtId="0" fontId="37" fillId="0" borderId="24" xfId="0" applyFont="1" applyFill="1" applyBorder="1"/>
    <xf numFmtId="0" fontId="37" fillId="0" borderId="33" xfId="0" applyFont="1" applyFill="1" applyBorder="1"/>
    <xf numFmtId="3" fontId="37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right" wrapText="1"/>
    </xf>
    <xf numFmtId="3" fontId="37" fillId="0" borderId="2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0" fillId="0" borderId="20" xfId="0" applyFont="1" applyFill="1" applyBorder="1"/>
    <xf numFmtId="0" fontId="10" fillId="0" borderId="6" xfId="0" applyFont="1" applyFill="1" applyBorder="1"/>
    <xf numFmtId="0" fontId="3" fillId="0" borderId="24" xfId="0" applyFont="1" applyFill="1" applyBorder="1"/>
    <xf numFmtId="0" fontId="3" fillId="0" borderId="33" xfId="0" applyFont="1" applyFill="1" applyBorder="1"/>
    <xf numFmtId="3" fontId="3" fillId="0" borderId="47" xfId="0" applyNumberFormat="1" applyFont="1" applyFill="1" applyBorder="1" applyAlignment="1">
      <alignment horizontal="left" vertical="center" wrapText="1"/>
    </xf>
    <xf numFmtId="3" fontId="2" fillId="0" borderId="49" xfId="0" applyNumberFormat="1" applyFont="1" applyFill="1" applyBorder="1" applyAlignment="1">
      <alignment horizontal="right" vertical="center" wrapText="1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2" fillId="0" borderId="47" xfId="0" applyNumberFormat="1" applyFont="1" applyFill="1" applyBorder="1" applyAlignment="1">
      <alignment horizontal="left" vertical="center" wrapText="1"/>
    </xf>
    <xf numFmtId="3" fontId="3" fillId="0" borderId="49" xfId="0" applyNumberFormat="1" applyFont="1" applyFill="1" applyBorder="1" applyAlignment="1">
      <alignment horizontal="right" vertical="center" wrapText="1" indent="1"/>
    </xf>
    <xf numFmtId="3" fontId="2" fillId="0" borderId="49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3" fontId="3" fillId="0" borderId="47" xfId="0" applyNumberFormat="1" applyFont="1" applyFill="1" applyBorder="1" applyAlignment="1">
      <alignment vertical="center" wrapText="1"/>
    </xf>
    <xf numFmtId="3" fontId="3" fillId="0" borderId="49" xfId="0" applyNumberFormat="1" applyFont="1" applyFill="1" applyBorder="1" applyAlignment="1">
      <alignment vertical="center" wrapText="1"/>
    </xf>
    <xf numFmtId="3" fontId="13" fillId="0" borderId="49" xfId="0" applyNumberFormat="1" applyFont="1" applyFill="1" applyBorder="1" applyAlignment="1">
      <alignment horizontal="right" vertical="center" wrapText="1" indent="1"/>
    </xf>
    <xf numFmtId="0" fontId="3" fillId="0" borderId="47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right" wrapText="1"/>
    </xf>
    <xf numFmtId="3" fontId="3" fillId="0" borderId="49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48" fillId="0" borderId="0" xfId="0" applyFont="1" applyAlignment="1"/>
    <xf numFmtId="0" fontId="53" fillId="0" borderId="0" xfId="0" applyFont="1" applyAlignment="1"/>
    <xf numFmtId="0" fontId="53" fillId="0" borderId="0" xfId="0" applyFont="1"/>
    <xf numFmtId="0" fontId="35" fillId="0" borderId="0" xfId="0" applyFont="1"/>
    <xf numFmtId="0" fontId="3" fillId="0" borderId="49" xfId="0" applyFont="1" applyBorder="1" applyAlignment="1">
      <alignment horizontal="left"/>
    </xf>
    <xf numFmtId="0" fontId="11" fillId="0" borderId="0" xfId="0" applyFont="1" applyBorder="1" applyAlignment="1">
      <alignment horizontal="left" vertical="center" indent="1"/>
    </xf>
    <xf numFmtId="0" fontId="35" fillId="0" borderId="49" xfId="0" applyFont="1" applyFill="1" applyBorder="1" applyAlignment="1">
      <alignment horizontal="left" vertical="center" indent="1"/>
    </xf>
    <xf numFmtId="0" fontId="35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5" fillId="0" borderId="0" xfId="0" applyFont="1" applyAlignment="1"/>
    <xf numFmtId="0" fontId="52" fillId="0" borderId="0" xfId="0" applyFont="1" applyAlignment="1"/>
    <xf numFmtId="3" fontId="3" fillId="0" borderId="13" xfId="0" applyNumberFormat="1" applyFont="1" applyFill="1" applyBorder="1" applyAlignment="1">
      <alignment horizontal="right" vertical="center" wrapText="1" indent="1"/>
    </xf>
    <xf numFmtId="3" fontId="3" fillId="0" borderId="13" xfId="0" applyNumberFormat="1" applyFont="1" applyFill="1" applyBorder="1" applyAlignment="1">
      <alignment horizontal="right" vertical="center" wrapText="1"/>
    </xf>
    <xf numFmtId="3" fontId="37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6" fillId="0" borderId="12" xfId="0" applyFont="1" applyFill="1" applyBorder="1" applyAlignment="1">
      <alignment horizontal="left" wrapText="1"/>
    </xf>
    <xf numFmtId="3" fontId="37" fillId="0" borderId="12" xfId="0" applyNumberFormat="1" applyFont="1" applyFill="1" applyBorder="1" applyAlignment="1">
      <alignment horizontal="left" vertical="center" wrapText="1"/>
    </xf>
    <xf numFmtId="3" fontId="3" fillId="0" borderId="49" xfId="0" applyNumberFormat="1" applyFont="1" applyFill="1" applyBorder="1" applyAlignment="1">
      <alignment horizontal="left" vertical="center" wrapText="1"/>
    </xf>
    <xf numFmtId="3" fontId="3" fillId="0" borderId="49" xfId="0" applyNumberFormat="1" applyFont="1" applyFill="1" applyBorder="1" applyAlignment="1">
      <alignment horizontal="right" vertical="center" indent="1"/>
    </xf>
    <xf numFmtId="3" fontId="3" fillId="0" borderId="49" xfId="0" applyNumberFormat="1" applyFont="1" applyFill="1" applyBorder="1" applyAlignment="1">
      <alignment horizontal="right" vertical="center"/>
    </xf>
    <xf numFmtId="0" fontId="6" fillId="0" borderId="0" xfId="2" applyFont="1" applyFill="1"/>
    <xf numFmtId="0" fontId="25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right" vertical="center" inden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left" vertical="center"/>
    </xf>
    <xf numFmtId="164" fontId="3" fillId="4" borderId="67" xfId="0" applyNumberFormat="1" applyFont="1" applyFill="1" applyBorder="1" applyAlignment="1">
      <alignment horizontal="center" vertical="center" wrapText="1"/>
    </xf>
    <xf numFmtId="10" fontId="25" fillId="0" borderId="62" xfId="0" applyNumberFormat="1" applyFont="1" applyFill="1" applyBorder="1" applyAlignment="1">
      <alignment horizontal="center" vertical="center" wrapText="1"/>
    </xf>
    <xf numFmtId="10" fontId="25" fillId="0" borderId="46" xfId="0" applyNumberFormat="1" applyFont="1" applyFill="1" applyBorder="1" applyAlignment="1">
      <alignment horizontal="center" vertical="center" wrapText="1"/>
    </xf>
    <xf numFmtId="10" fontId="3" fillId="0" borderId="46" xfId="0" applyNumberFormat="1" applyFont="1" applyFill="1" applyBorder="1" applyAlignment="1">
      <alignment horizontal="center" vertical="center" wrapText="1"/>
    </xf>
    <xf numFmtId="10" fontId="2" fillId="0" borderId="46" xfId="0" applyNumberFormat="1" applyFont="1" applyFill="1" applyBorder="1" applyAlignment="1">
      <alignment horizontal="center" vertical="center" wrapText="1"/>
    </xf>
    <xf numFmtId="10" fontId="2" fillId="0" borderId="65" xfId="0" applyNumberFormat="1" applyFont="1" applyFill="1" applyBorder="1" applyAlignment="1">
      <alignment horizontal="center" vertical="center" wrapText="1"/>
    </xf>
    <xf numFmtId="10" fontId="3" fillId="4" borderId="4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46" xfId="0" applyNumberFormat="1" applyFont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left" vertical="center" wrapText="1"/>
    </xf>
    <xf numFmtId="3" fontId="3" fillId="4" borderId="54" xfId="2" applyNumberFormat="1" applyFont="1" applyFill="1" applyBorder="1" applyAlignment="1">
      <alignment horizontal="center" vertical="center" wrapText="1"/>
    </xf>
    <xf numFmtId="10" fontId="37" fillId="0" borderId="25" xfId="0" applyNumberFormat="1" applyFont="1" applyFill="1" applyBorder="1" applyAlignment="1">
      <alignment horizontal="right" vertical="center" indent="1"/>
    </xf>
    <xf numFmtId="3" fontId="37" fillId="0" borderId="12" xfId="0" applyNumberFormat="1" applyFont="1" applyFill="1" applyBorder="1" applyAlignment="1">
      <alignment horizontal="left" vertical="center" wrapText="1"/>
    </xf>
    <xf numFmtId="3" fontId="3" fillId="0" borderId="47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37" fillId="0" borderId="17" xfId="0" applyNumberFormat="1" applyFont="1" applyFill="1" applyBorder="1" applyAlignment="1">
      <alignment horizontal="left" vertical="center" wrapText="1"/>
    </xf>
    <xf numFmtId="3" fontId="36" fillId="0" borderId="16" xfId="0" applyNumberFormat="1" applyFont="1" applyFill="1" applyBorder="1" applyAlignment="1">
      <alignment horizontal="right" vertical="center" wrapText="1" indent="1"/>
    </xf>
    <xf numFmtId="3" fontId="37" fillId="0" borderId="18" xfId="0" applyNumberFormat="1" applyFont="1" applyFill="1" applyBorder="1" applyAlignment="1">
      <alignment horizontal="right" vertical="center" indent="1"/>
    </xf>
    <xf numFmtId="3" fontId="37" fillId="0" borderId="13" xfId="0" applyNumberFormat="1" applyFont="1" applyFill="1" applyBorder="1" applyAlignment="1">
      <alignment horizontal="right" vertical="center" wrapText="1"/>
    </xf>
    <xf numFmtId="3" fontId="37" fillId="0" borderId="46" xfId="0" applyNumberFormat="1" applyFont="1" applyFill="1" applyBorder="1" applyAlignment="1">
      <alignment horizontal="right" vertical="center" indent="1"/>
    </xf>
    <xf numFmtId="0" fontId="36" fillId="0" borderId="0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36" fillId="0" borderId="6" xfId="0" applyFont="1" applyFill="1" applyBorder="1" applyAlignment="1">
      <alignment vertical="center"/>
    </xf>
    <xf numFmtId="0" fontId="10" fillId="0" borderId="10" xfId="0" applyFont="1" applyFill="1" applyBorder="1"/>
    <xf numFmtId="0" fontId="10" fillId="0" borderId="28" xfId="0" applyFont="1" applyFill="1" applyBorder="1"/>
    <xf numFmtId="0" fontId="10" fillId="0" borderId="29" xfId="0" applyFont="1" applyFill="1" applyBorder="1"/>
    <xf numFmtId="3" fontId="3" fillId="0" borderId="50" xfId="0" applyNumberFormat="1" applyFont="1" applyFill="1" applyBorder="1" applyAlignment="1">
      <alignment horizontal="right" vertical="center" indent="1"/>
    </xf>
    <xf numFmtId="3" fontId="3" fillId="0" borderId="2" xfId="0" applyNumberFormat="1" applyFont="1" applyFill="1" applyBorder="1" applyAlignment="1">
      <alignment horizontal="right" vertical="center" indent="1"/>
    </xf>
    <xf numFmtId="3" fontId="3" fillId="0" borderId="53" xfId="0" applyNumberFormat="1" applyFont="1" applyFill="1" applyBorder="1" applyAlignment="1">
      <alignment horizontal="left" vertical="center" wrapText="1"/>
    </xf>
    <xf numFmtId="3" fontId="3" fillId="0" borderId="50" xfId="0" applyNumberFormat="1" applyFont="1" applyFill="1" applyBorder="1" applyAlignment="1">
      <alignment horizontal="right" vertical="center" wrapText="1" indent="1"/>
    </xf>
    <xf numFmtId="0" fontId="10" fillId="0" borderId="36" xfId="0" applyFont="1" applyFill="1" applyBorder="1"/>
    <xf numFmtId="0" fontId="10" fillId="0" borderId="32" xfId="0" applyFont="1" applyFill="1" applyBorder="1"/>
    <xf numFmtId="3" fontId="37" fillId="0" borderId="14" xfId="0" applyNumberFormat="1" applyFont="1" applyFill="1" applyBorder="1" applyAlignment="1">
      <alignment horizontal="right" vertical="center" wrapText="1"/>
    </xf>
    <xf numFmtId="10" fontId="37" fillId="0" borderId="18" xfId="0" applyNumberFormat="1" applyFont="1" applyFill="1" applyBorder="1" applyAlignment="1">
      <alignment horizontal="right" vertical="center" indent="1"/>
    </xf>
    <xf numFmtId="3" fontId="36" fillId="0" borderId="14" xfId="0" applyNumberFormat="1" applyFont="1" applyFill="1" applyBorder="1" applyAlignment="1">
      <alignment horizontal="right" vertical="center" indent="1"/>
    </xf>
    <xf numFmtId="3" fontId="37" fillId="0" borderId="44" xfId="0" applyNumberFormat="1" applyFont="1" applyFill="1" applyBorder="1" applyAlignment="1">
      <alignment horizontal="right" vertical="center" wrapText="1" indent="1"/>
    </xf>
    <xf numFmtId="3" fontId="37" fillId="0" borderId="45" xfId="0" applyNumberFormat="1" applyFont="1" applyFill="1" applyBorder="1" applyAlignment="1">
      <alignment horizontal="right" vertical="center" indent="1"/>
    </xf>
    <xf numFmtId="10" fontId="37" fillId="0" borderId="45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/>
    <xf numFmtId="0" fontId="20" fillId="0" borderId="20" xfId="0" applyFont="1" applyFill="1" applyBorder="1"/>
    <xf numFmtId="0" fontId="20" fillId="0" borderId="6" xfId="0" applyFont="1" applyFill="1" applyBorder="1"/>
    <xf numFmtId="3" fontId="37" fillId="0" borderId="0" xfId="0" applyNumberFormat="1" applyFont="1" applyFill="1" applyBorder="1" applyAlignment="1">
      <alignment horizontal="right" vertical="center" wrapText="1" indent="1"/>
    </xf>
    <xf numFmtId="3" fontId="37" fillId="0" borderId="0" xfId="0" applyNumberFormat="1" applyFont="1" applyFill="1" applyBorder="1" applyAlignment="1">
      <alignment horizontal="right" vertical="center" indent="1"/>
    </xf>
    <xf numFmtId="3" fontId="37" fillId="0" borderId="20" xfId="0" applyNumberFormat="1" applyFont="1" applyFill="1" applyBorder="1" applyAlignment="1">
      <alignment horizontal="right" vertical="center" indent="1"/>
    </xf>
    <xf numFmtId="10" fontId="37" fillId="0" borderId="20" xfId="0" applyNumberFormat="1" applyFont="1" applyFill="1" applyBorder="1" applyAlignment="1">
      <alignment horizontal="right" vertical="center" indent="1"/>
    </xf>
    <xf numFmtId="3" fontId="38" fillId="0" borderId="4" xfId="0" applyNumberFormat="1" applyFont="1" applyFill="1" applyBorder="1" applyAlignment="1">
      <alignment horizontal="left" vertical="center" wrapText="1"/>
    </xf>
    <xf numFmtId="3" fontId="38" fillId="0" borderId="5" xfId="0" applyNumberFormat="1" applyFont="1" applyFill="1" applyBorder="1" applyAlignment="1">
      <alignment horizontal="right" vertical="center" wrapText="1" indent="1"/>
    </xf>
    <xf numFmtId="0" fontId="36" fillId="0" borderId="20" xfId="0" applyFont="1" applyFill="1" applyBorder="1"/>
    <xf numFmtId="0" fontId="36" fillId="0" borderId="6" xfId="0" applyFont="1" applyFill="1" applyBorder="1"/>
    <xf numFmtId="3" fontId="38" fillId="0" borderId="8" xfId="0" applyNumberFormat="1" applyFont="1" applyFill="1" applyBorder="1" applyAlignment="1">
      <alignment horizontal="right" vertical="center" wrapText="1" indent="1"/>
    </xf>
    <xf numFmtId="3" fontId="37" fillId="3" borderId="50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43" fontId="8" fillId="0" borderId="0" xfId="1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justify" wrapText="1"/>
    </xf>
    <xf numFmtId="0" fontId="3" fillId="3" borderId="5" xfId="0" applyFont="1" applyFill="1" applyBorder="1" applyAlignment="1">
      <alignment horizontal="justify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1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3" fillId="3" borderId="12" xfId="0" applyFont="1" applyFill="1" applyBorder="1" applyAlignment="1">
      <alignment horizontal="left" vertical="center" wrapText="1" indent="1"/>
    </xf>
    <xf numFmtId="0" fontId="3" fillId="3" borderId="13" xfId="0" applyFont="1" applyFill="1" applyBorder="1" applyAlignment="1">
      <alignment horizontal="left" vertical="center" wrapText="1" inden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20" fillId="3" borderId="33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164" fontId="20" fillId="3" borderId="4" xfId="0" applyNumberFormat="1" applyFont="1" applyFill="1" applyBorder="1" applyAlignment="1">
      <alignment horizontal="center"/>
    </xf>
    <xf numFmtId="164" fontId="20" fillId="3" borderId="5" xfId="0" applyNumberFormat="1" applyFont="1" applyFill="1" applyBorder="1" applyAlignment="1">
      <alignment horizontal="center"/>
    </xf>
    <xf numFmtId="164" fontId="20" fillId="3" borderId="20" xfId="0" applyNumberFormat="1" applyFont="1" applyFill="1" applyBorder="1" applyAlignment="1">
      <alignment horizontal="center"/>
    </xf>
    <xf numFmtId="164" fontId="20" fillId="3" borderId="22" xfId="0" applyNumberFormat="1" applyFont="1" applyFill="1" applyBorder="1" applyAlignment="1">
      <alignment horizontal="center"/>
    </xf>
    <xf numFmtId="164" fontId="20" fillId="3" borderId="23" xfId="0" applyNumberFormat="1" applyFont="1" applyFill="1" applyBorder="1" applyAlignment="1">
      <alignment horizontal="center"/>
    </xf>
    <xf numFmtId="164" fontId="20" fillId="3" borderId="24" xfId="0" applyNumberFormat="1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164" fontId="20" fillId="3" borderId="22" xfId="0" applyNumberFormat="1" applyFont="1" applyFill="1" applyBorder="1" applyAlignment="1">
      <alignment horizontal="center" vertical="center" wrapText="1"/>
    </xf>
    <xf numFmtId="164" fontId="20" fillId="3" borderId="23" xfId="0" applyNumberFormat="1" applyFont="1" applyFill="1" applyBorder="1" applyAlignment="1">
      <alignment horizontal="center" vertical="center" wrapText="1"/>
    </xf>
    <xf numFmtId="164" fontId="20" fillId="3" borderId="24" xfId="0" applyNumberFormat="1" applyFont="1" applyFill="1" applyBorder="1" applyAlignment="1">
      <alignment horizontal="center" vertical="center" wrapText="1"/>
    </xf>
    <xf numFmtId="164" fontId="20" fillId="3" borderId="34" xfId="0" applyNumberFormat="1" applyFont="1" applyFill="1" applyBorder="1" applyAlignment="1">
      <alignment horizontal="center" vertical="center" wrapText="1"/>
    </xf>
    <xf numFmtId="164" fontId="20" fillId="3" borderId="35" xfId="0" applyNumberFormat="1" applyFont="1" applyFill="1" applyBorder="1" applyAlignment="1">
      <alignment horizontal="center" vertical="center" wrapText="1"/>
    </xf>
    <xf numFmtId="164" fontId="20" fillId="3" borderId="36" xfId="0" applyNumberFormat="1" applyFont="1" applyFill="1" applyBorder="1" applyAlignment="1">
      <alignment horizontal="center" vertical="center" wrapText="1"/>
    </xf>
    <xf numFmtId="164" fontId="20" fillId="3" borderId="4" xfId="0" applyNumberFormat="1" applyFont="1" applyFill="1" applyBorder="1" applyAlignment="1">
      <alignment horizontal="center"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20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3" borderId="34" xfId="0" applyNumberFormat="1" applyFont="1" applyFill="1" applyBorder="1" applyAlignment="1">
      <alignment horizontal="center" vertical="center" wrapText="1"/>
    </xf>
    <xf numFmtId="164" fontId="7" fillId="3" borderId="35" xfId="0" applyNumberFormat="1" applyFont="1" applyFill="1" applyBorder="1" applyAlignment="1">
      <alignment horizontal="center" vertical="center" wrapText="1"/>
    </xf>
    <xf numFmtId="164" fontId="7" fillId="3" borderId="36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left" vertical="center" wrapText="1"/>
    </xf>
    <xf numFmtId="3" fontId="37" fillId="0" borderId="14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3" fontId="3" fillId="0" borderId="47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4" fillId="2" borderId="33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44" fillId="2" borderId="22" xfId="0" applyFont="1" applyFill="1" applyBorder="1" applyAlignment="1">
      <alignment horizontal="center" vertical="center" wrapText="1"/>
    </xf>
    <xf numFmtId="0" fontId="44" fillId="2" borderId="23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4" borderId="66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164" fontId="3" fillId="4" borderId="6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left" vertical="center" wrapText="1" indent="1"/>
    </xf>
    <xf numFmtId="0" fontId="3" fillId="0" borderId="5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 indent="1"/>
    </xf>
    <xf numFmtId="0" fontId="35" fillId="0" borderId="15" xfId="0" applyFont="1" applyFill="1" applyBorder="1" applyAlignment="1">
      <alignment horizontal="left" vertical="center" wrapText="1" inden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3" fillId="3" borderId="54" xfId="2" applyFont="1" applyFill="1" applyBorder="1" applyAlignment="1">
      <alignment horizontal="center" vertical="center" wrapText="1"/>
    </xf>
    <xf numFmtId="0" fontId="2" fillId="0" borderId="57" xfId="2" applyFont="1" applyBorder="1" applyAlignment="1">
      <alignment horizontal="left" vertical="center" wrapText="1"/>
    </xf>
    <xf numFmtId="0" fontId="6" fillId="0" borderId="54" xfId="2" applyFont="1" applyBorder="1" applyAlignment="1">
      <alignment horizontal="left" vertical="center" wrapText="1"/>
    </xf>
    <xf numFmtId="3" fontId="2" fillId="0" borderId="57" xfId="2" applyNumberFormat="1" applyFont="1" applyBorder="1" applyAlignment="1">
      <alignment horizontal="center" vertical="center" wrapText="1"/>
    </xf>
    <xf numFmtId="3" fontId="2" fillId="0" borderId="54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31" fillId="2" borderId="33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34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5">
    <cellStyle name="Ezres" xfId="1" builtinId="3"/>
    <cellStyle name="Ezres 2" xfId="4"/>
    <cellStyle name="Normál" xfId="0" builtinId="0"/>
    <cellStyle name="Normál 2" xfId="2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stuleti_anyagok\INFORMATIKA_kuldesre_elokeszitett_anyagok\2016\20161124\01b_Besz&#225;mol&#243;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C22">
            <v>40428</v>
          </cell>
        </row>
        <row r="39">
          <cell r="C39">
            <v>11181</v>
          </cell>
        </row>
        <row r="116">
          <cell r="C116">
            <v>223692</v>
          </cell>
        </row>
        <row r="128">
          <cell r="C128">
            <v>85067</v>
          </cell>
        </row>
        <row r="180">
          <cell r="C180">
            <v>1009338</v>
          </cell>
        </row>
        <row r="194">
          <cell r="C194">
            <v>1250</v>
          </cell>
        </row>
        <row r="212">
          <cell r="C212">
            <v>59472</v>
          </cell>
        </row>
        <row r="222">
          <cell r="C222">
            <v>3875</v>
          </cell>
        </row>
        <row r="225">
          <cell r="C225">
            <v>49935</v>
          </cell>
          <cell r="D225">
            <v>49935</v>
          </cell>
          <cell r="E225">
            <v>49935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="96" zoomScaleNormal="100" zoomScaleSheetLayoutView="96" workbookViewId="0">
      <selection activeCell="H4" sqref="H4"/>
    </sheetView>
  </sheetViews>
  <sheetFormatPr defaultRowHeight="15.75" x14ac:dyDescent="0.25"/>
  <cols>
    <col min="1" max="1" width="9.28515625" style="1" customWidth="1"/>
    <col min="2" max="2" width="74.28515625" style="1" customWidth="1"/>
    <col min="3" max="3" width="18" style="1" customWidth="1"/>
    <col min="4" max="4" width="14.28515625" style="1" customWidth="1"/>
    <col min="5" max="5" width="18.140625" style="1" customWidth="1"/>
    <col min="6" max="257" width="9.140625" style="1"/>
    <col min="258" max="258" width="74.28515625" style="1" customWidth="1"/>
    <col min="259" max="261" width="15.5703125" style="1" customWidth="1"/>
    <col min="262" max="513" width="9.140625" style="1"/>
    <col min="514" max="514" width="74.28515625" style="1" customWidth="1"/>
    <col min="515" max="517" width="15.5703125" style="1" customWidth="1"/>
    <col min="518" max="769" width="9.140625" style="1"/>
    <col min="770" max="770" width="74.28515625" style="1" customWidth="1"/>
    <col min="771" max="773" width="15.5703125" style="1" customWidth="1"/>
    <col min="774" max="1025" width="9.140625" style="1"/>
    <col min="1026" max="1026" width="74.28515625" style="1" customWidth="1"/>
    <col min="1027" max="1029" width="15.5703125" style="1" customWidth="1"/>
    <col min="1030" max="1281" width="9.140625" style="1"/>
    <col min="1282" max="1282" width="74.28515625" style="1" customWidth="1"/>
    <col min="1283" max="1285" width="15.5703125" style="1" customWidth="1"/>
    <col min="1286" max="1537" width="9.140625" style="1"/>
    <col min="1538" max="1538" width="74.28515625" style="1" customWidth="1"/>
    <col min="1539" max="1541" width="15.5703125" style="1" customWidth="1"/>
    <col min="1542" max="1793" width="9.140625" style="1"/>
    <col min="1794" max="1794" width="74.28515625" style="1" customWidth="1"/>
    <col min="1795" max="1797" width="15.5703125" style="1" customWidth="1"/>
    <col min="1798" max="2049" width="9.140625" style="1"/>
    <col min="2050" max="2050" width="74.28515625" style="1" customWidth="1"/>
    <col min="2051" max="2053" width="15.5703125" style="1" customWidth="1"/>
    <col min="2054" max="2305" width="9.140625" style="1"/>
    <col min="2306" max="2306" width="74.28515625" style="1" customWidth="1"/>
    <col min="2307" max="2309" width="15.5703125" style="1" customWidth="1"/>
    <col min="2310" max="2561" width="9.140625" style="1"/>
    <col min="2562" max="2562" width="74.28515625" style="1" customWidth="1"/>
    <col min="2563" max="2565" width="15.5703125" style="1" customWidth="1"/>
    <col min="2566" max="2817" width="9.140625" style="1"/>
    <col min="2818" max="2818" width="74.28515625" style="1" customWidth="1"/>
    <col min="2819" max="2821" width="15.5703125" style="1" customWidth="1"/>
    <col min="2822" max="3073" width="9.140625" style="1"/>
    <col min="3074" max="3074" width="74.28515625" style="1" customWidth="1"/>
    <col min="3075" max="3077" width="15.5703125" style="1" customWidth="1"/>
    <col min="3078" max="3329" width="9.140625" style="1"/>
    <col min="3330" max="3330" width="74.28515625" style="1" customWidth="1"/>
    <col min="3331" max="3333" width="15.5703125" style="1" customWidth="1"/>
    <col min="3334" max="3585" width="9.140625" style="1"/>
    <col min="3586" max="3586" width="74.28515625" style="1" customWidth="1"/>
    <col min="3587" max="3589" width="15.5703125" style="1" customWidth="1"/>
    <col min="3590" max="3841" width="9.140625" style="1"/>
    <col min="3842" max="3842" width="74.28515625" style="1" customWidth="1"/>
    <col min="3843" max="3845" width="15.5703125" style="1" customWidth="1"/>
    <col min="3846" max="4097" width="9.140625" style="1"/>
    <col min="4098" max="4098" width="74.28515625" style="1" customWidth="1"/>
    <col min="4099" max="4101" width="15.5703125" style="1" customWidth="1"/>
    <col min="4102" max="4353" width="9.140625" style="1"/>
    <col min="4354" max="4354" width="74.28515625" style="1" customWidth="1"/>
    <col min="4355" max="4357" width="15.5703125" style="1" customWidth="1"/>
    <col min="4358" max="4609" width="9.140625" style="1"/>
    <col min="4610" max="4610" width="74.28515625" style="1" customWidth="1"/>
    <col min="4611" max="4613" width="15.5703125" style="1" customWidth="1"/>
    <col min="4614" max="4865" width="9.140625" style="1"/>
    <col min="4866" max="4866" width="74.28515625" style="1" customWidth="1"/>
    <col min="4867" max="4869" width="15.5703125" style="1" customWidth="1"/>
    <col min="4870" max="5121" width="9.140625" style="1"/>
    <col min="5122" max="5122" width="74.28515625" style="1" customWidth="1"/>
    <col min="5123" max="5125" width="15.5703125" style="1" customWidth="1"/>
    <col min="5126" max="5377" width="9.140625" style="1"/>
    <col min="5378" max="5378" width="74.28515625" style="1" customWidth="1"/>
    <col min="5379" max="5381" width="15.5703125" style="1" customWidth="1"/>
    <col min="5382" max="5633" width="9.140625" style="1"/>
    <col min="5634" max="5634" width="74.28515625" style="1" customWidth="1"/>
    <col min="5635" max="5637" width="15.5703125" style="1" customWidth="1"/>
    <col min="5638" max="5889" width="9.140625" style="1"/>
    <col min="5890" max="5890" width="74.28515625" style="1" customWidth="1"/>
    <col min="5891" max="5893" width="15.5703125" style="1" customWidth="1"/>
    <col min="5894" max="6145" width="9.140625" style="1"/>
    <col min="6146" max="6146" width="74.28515625" style="1" customWidth="1"/>
    <col min="6147" max="6149" width="15.5703125" style="1" customWidth="1"/>
    <col min="6150" max="6401" width="9.140625" style="1"/>
    <col min="6402" max="6402" width="74.28515625" style="1" customWidth="1"/>
    <col min="6403" max="6405" width="15.5703125" style="1" customWidth="1"/>
    <col min="6406" max="6657" width="9.140625" style="1"/>
    <col min="6658" max="6658" width="74.28515625" style="1" customWidth="1"/>
    <col min="6659" max="6661" width="15.5703125" style="1" customWidth="1"/>
    <col min="6662" max="6913" width="9.140625" style="1"/>
    <col min="6914" max="6914" width="74.28515625" style="1" customWidth="1"/>
    <col min="6915" max="6917" width="15.5703125" style="1" customWidth="1"/>
    <col min="6918" max="7169" width="9.140625" style="1"/>
    <col min="7170" max="7170" width="74.28515625" style="1" customWidth="1"/>
    <col min="7171" max="7173" width="15.5703125" style="1" customWidth="1"/>
    <col min="7174" max="7425" width="9.140625" style="1"/>
    <col min="7426" max="7426" width="74.28515625" style="1" customWidth="1"/>
    <col min="7427" max="7429" width="15.5703125" style="1" customWidth="1"/>
    <col min="7430" max="7681" width="9.140625" style="1"/>
    <col min="7682" max="7682" width="74.28515625" style="1" customWidth="1"/>
    <col min="7683" max="7685" width="15.5703125" style="1" customWidth="1"/>
    <col min="7686" max="7937" width="9.140625" style="1"/>
    <col min="7938" max="7938" width="74.28515625" style="1" customWidth="1"/>
    <col min="7939" max="7941" width="15.5703125" style="1" customWidth="1"/>
    <col min="7942" max="8193" width="9.140625" style="1"/>
    <col min="8194" max="8194" width="74.28515625" style="1" customWidth="1"/>
    <col min="8195" max="8197" width="15.5703125" style="1" customWidth="1"/>
    <col min="8198" max="8449" width="9.140625" style="1"/>
    <col min="8450" max="8450" width="74.28515625" style="1" customWidth="1"/>
    <col min="8451" max="8453" width="15.5703125" style="1" customWidth="1"/>
    <col min="8454" max="8705" width="9.140625" style="1"/>
    <col min="8706" max="8706" width="74.28515625" style="1" customWidth="1"/>
    <col min="8707" max="8709" width="15.5703125" style="1" customWidth="1"/>
    <col min="8710" max="8961" width="9.140625" style="1"/>
    <col min="8962" max="8962" width="74.28515625" style="1" customWidth="1"/>
    <col min="8963" max="8965" width="15.5703125" style="1" customWidth="1"/>
    <col min="8966" max="9217" width="9.140625" style="1"/>
    <col min="9218" max="9218" width="74.28515625" style="1" customWidth="1"/>
    <col min="9219" max="9221" width="15.5703125" style="1" customWidth="1"/>
    <col min="9222" max="9473" width="9.140625" style="1"/>
    <col min="9474" max="9474" width="74.28515625" style="1" customWidth="1"/>
    <col min="9475" max="9477" width="15.5703125" style="1" customWidth="1"/>
    <col min="9478" max="9729" width="9.140625" style="1"/>
    <col min="9730" max="9730" width="74.28515625" style="1" customWidth="1"/>
    <col min="9731" max="9733" width="15.5703125" style="1" customWidth="1"/>
    <col min="9734" max="9985" width="9.140625" style="1"/>
    <col min="9986" max="9986" width="74.28515625" style="1" customWidth="1"/>
    <col min="9987" max="9989" width="15.5703125" style="1" customWidth="1"/>
    <col min="9990" max="10241" width="9.140625" style="1"/>
    <col min="10242" max="10242" width="74.28515625" style="1" customWidth="1"/>
    <col min="10243" max="10245" width="15.5703125" style="1" customWidth="1"/>
    <col min="10246" max="10497" width="9.140625" style="1"/>
    <col min="10498" max="10498" width="74.28515625" style="1" customWidth="1"/>
    <col min="10499" max="10501" width="15.5703125" style="1" customWidth="1"/>
    <col min="10502" max="10753" width="9.140625" style="1"/>
    <col min="10754" max="10754" width="74.28515625" style="1" customWidth="1"/>
    <col min="10755" max="10757" width="15.5703125" style="1" customWidth="1"/>
    <col min="10758" max="11009" width="9.140625" style="1"/>
    <col min="11010" max="11010" width="74.28515625" style="1" customWidth="1"/>
    <col min="11011" max="11013" width="15.5703125" style="1" customWidth="1"/>
    <col min="11014" max="11265" width="9.140625" style="1"/>
    <col min="11266" max="11266" width="74.28515625" style="1" customWidth="1"/>
    <col min="11267" max="11269" width="15.5703125" style="1" customWidth="1"/>
    <col min="11270" max="11521" width="9.140625" style="1"/>
    <col min="11522" max="11522" width="74.28515625" style="1" customWidth="1"/>
    <col min="11523" max="11525" width="15.5703125" style="1" customWidth="1"/>
    <col min="11526" max="11777" width="9.140625" style="1"/>
    <col min="11778" max="11778" width="74.28515625" style="1" customWidth="1"/>
    <col min="11779" max="11781" width="15.5703125" style="1" customWidth="1"/>
    <col min="11782" max="12033" width="9.140625" style="1"/>
    <col min="12034" max="12034" width="74.28515625" style="1" customWidth="1"/>
    <col min="12035" max="12037" width="15.5703125" style="1" customWidth="1"/>
    <col min="12038" max="12289" width="9.140625" style="1"/>
    <col min="12290" max="12290" width="74.28515625" style="1" customWidth="1"/>
    <col min="12291" max="12293" width="15.5703125" style="1" customWidth="1"/>
    <col min="12294" max="12545" width="9.140625" style="1"/>
    <col min="12546" max="12546" width="74.28515625" style="1" customWidth="1"/>
    <col min="12547" max="12549" width="15.5703125" style="1" customWidth="1"/>
    <col min="12550" max="12801" width="9.140625" style="1"/>
    <col min="12802" max="12802" width="74.28515625" style="1" customWidth="1"/>
    <col min="12803" max="12805" width="15.5703125" style="1" customWidth="1"/>
    <col min="12806" max="13057" width="9.140625" style="1"/>
    <col min="13058" max="13058" width="74.28515625" style="1" customWidth="1"/>
    <col min="13059" max="13061" width="15.5703125" style="1" customWidth="1"/>
    <col min="13062" max="13313" width="9.140625" style="1"/>
    <col min="13314" max="13314" width="74.28515625" style="1" customWidth="1"/>
    <col min="13315" max="13317" width="15.5703125" style="1" customWidth="1"/>
    <col min="13318" max="13569" width="9.140625" style="1"/>
    <col min="13570" max="13570" width="74.28515625" style="1" customWidth="1"/>
    <col min="13571" max="13573" width="15.5703125" style="1" customWidth="1"/>
    <col min="13574" max="13825" width="9.140625" style="1"/>
    <col min="13826" max="13826" width="74.28515625" style="1" customWidth="1"/>
    <col min="13827" max="13829" width="15.5703125" style="1" customWidth="1"/>
    <col min="13830" max="14081" width="9.140625" style="1"/>
    <col min="14082" max="14082" width="74.28515625" style="1" customWidth="1"/>
    <col min="14083" max="14085" width="15.5703125" style="1" customWidth="1"/>
    <col min="14086" max="14337" width="9.140625" style="1"/>
    <col min="14338" max="14338" width="74.28515625" style="1" customWidth="1"/>
    <col min="14339" max="14341" width="15.5703125" style="1" customWidth="1"/>
    <col min="14342" max="14593" width="9.140625" style="1"/>
    <col min="14594" max="14594" width="74.28515625" style="1" customWidth="1"/>
    <col min="14595" max="14597" width="15.5703125" style="1" customWidth="1"/>
    <col min="14598" max="14849" width="9.140625" style="1"/>
    <col min="14850" max="14850" width="74.28515625" style="1" customWidth="1"/>
    <col min="14851" max="14853" width="15.5703125" style="1" customWidth="1"/>
    <col min="14854" max="15105" width="9.140625" style="1"/>
    <col min="15106" max="15106" width="74.28515625" style="1" customWidth="1"/>
    <col min="15107" max="15109" width="15.5703125" style="1" customWidth="1"/>
    <col min="15110" max="15361" width="9.140625" style="1"/>
    <col min="15362" max="15362" width="74.28515625" style="1" customWidth="1"/>
    <col min="15363" max="15365" width="15.5703125" style="1" customWidth="1"/>
    <col min="15366" max="15617" width="9.140625" style="1"/>
    <col min="15618" max="15618" width="74.28515625" style="1" customWidth="1"/>
    <col min="15619" max="15621" width="15.5703125" style="1" customWidth="1"/>
    <col min="15622" max="15873" width="9.140625" style="1"/>
    <col min="15874" max="15874" width="74.28515625" style="1" customWidth="1"/>
    <col min="15875" max="15877" width="15.5703125" style="1" customWidth="1"/>
    <col min="15878" max="16129" width="9.140625" style="1"/>
    <col min="16130" max="16130" width="74.28515625" style="1" customWidth="1"/>
    <col min="16131" max="16133" width="15.5703125" style="1" customWidth="1"/>
    <col min="16134" max="16384" width="9.140625" style="1"/>
  </cols>
  <sheetData>
    <row r="1" spans="1:5" x14ac:dyDescent="0.25">
      <c r="A1" s="1" t="s">
        <v>959</v>
      </c>
    </row>
    <row r="4" spans="1:5" s="2" customFormat="1" ht="16.5" x14ac:dyDescent="0.25">
      <c r="A4" s="786" t="s">
        <v>6</v>
      </c>
      <c r="B4" s="786"/>
      <c r="C4" s="786"/>
      <c r="D4" s="786"/>
      <c r="E4" s="786"/>
    </row>
    <row r="5" spans="1:5" s="2" customFormat="1" x14ac:dyDescent="0.25">
      <c r="B5" s="3"/>
      <c r="C5" s="3"/>
      <c r="D5" s="3"/>
      <c r="E5" s="3"/>
    </row>
    <row r="6" spans="1:5" x14ac:dyDescent="0.25">
      <c r="E6" s="4" t="s">
        <v>8</v>
      </c>
    </row>
    <row r="7" spans="1:5" s="6" customFormat="1" ht="31.5" x14ac:dyDescent="0.25">
      <c r="A7" s="5" t="s">
        <v>9</v>
      </c>
      <c r="B7" s="5" t="s">
        <v>0</v>
      </c>
      <c r="C7" s="5" t="s">
        <v>1</v>
      </c>
      <c r="D7" s="5" t="s">
        <v>2</v>
      </c>
      <c r="E7" s="5" t="s">
        <v>3</v>
      </c>
    </row>
    <row r="8" spans="1:5" s="7" customFormat="1" ht="22.5" customHeight="1" x14ac:dyDescent="0.25">
      <c r="A8" s="9" t="s">
        <v>19</v>
      </c>
      <c r="B8" s="10" t="s">
        <v>44</v>
      </c>
      <c r="C8" s="11">
        <v>4284245</v>
      </c>
      <c r="D8" s="11">
        <v>0</v>
      </c>
      <c r="E8" s="11">
        <v>4284245</v>
      </c>
    </row>
    <row r="9" spans="1:5" s="7" customFormat="1" ht="22.5" customHeight="1" x14ac:dyDescent="0.25">
      <c r="A9" s="9" t="s">
        <v>20</v>
      </c>
      <c r="B9" s="10" t="s">
        <v>45</v>
      </c>
      <c r="C9" s="11">
        <v>15172940327</v>
      </c>
      <c r="D9" s="11">
        <v>0</v>
      </c>
      <c r="E9" s="11">
        <v>15172940327</v>
      </c>
    </row>
    <row r="10" spans="1:5" s="7" customFormat="1" ht="22.5" customHeight="1" x14ac:dyDescent="0.25">
      <c r="A10" s="9" t="s">
        <v>21</v>
      </c>
      <c r="B10" s="10" t="s">
        <v>46</v>
      </c>
      <c r="C10" s="11">
        <v>129626200</v>
      </c>
      <c r="D10" s="11">
        <v>0</v>
      </c>
      <c r="E10" s="11">
        <v>129626200</v>
      </c>
    </row>
    <row r="11" spans="1:5" s="7" customFormat="1" ht="22.5" customHeight="1" x14ac:dyDescent="0.25">
      <c r="A11" s="9" t="s">
        <v>22</v>
      </c>
      <c r="B11" s="10" t="s">
        <v>47</v>
      </c>
      <c r="C11" s="11">
        <v>90894925</v>
      </c>
      <c r="D11" s="11">
        <v>0</v>
      </c>
      <c r="E11" s="11">
        <v>90894925</v>
      </c>
    </row>
    <row r="12" spans="1:5" s="7" customFormat="1" ht="22.5" customHeight="1" x14ac:dyDescent="0.25">
      <c r="A12" s="12" t="s">
        <v>23</v>
      </c>
      <c r="B12" s="13" t="s">
        <v>48</v>
      </c>
      <c r="C12" s="14">
        <v>15397745697</v>
      </c>
      <c r="D12" s="14">
        <v>0</v>
      </c>
      <c r="E12" s="14">
        <v>15397745697</v>
      </c>
    </row>
    <row r="13" spans="1:5" s="7" customFormat="1" ht="22.5" customHeight="1" x14ac:dyDescent="0.25">
      <c r="A13" s="9" t="s">
        <v>24</v>
      </c>
      <c r="B13" s="10" t="s">
        <v>49</v>
      </c>
      <c r="C13" s="11">
        <v>23288113</v>
      </c>
      <c r="D13" s="11">
        <v>0</v>
      </c>
      <c r="E13" s="11">
        <v>23288113</v>
      </c>
    </row>
    <row r="14" spans="1:5" s="7" customFormat="1" ht="22.5" customHeight="1" x14ac:dyDescent="0.25">
      <c r="A14" s="12" t="s">
        <v>25</v>
      </c>
      <c r="B14" s="13" t="s">
        <v>50</v>
      </c>
      <c r="C14" s="14">
        <v>23288113</v>
      </c>
      <c r="D14" s="14">
        <v>0</v>
      </c>
      <c r="E14" s="14">
        <v>23288113</v>
      </c>
    </row>
    <row r="15" spans="1:5" s="7" customFormat="1" ht="22.5" customHeight="1" x14ac:dyDescent="0.25">
      <c r="A15" s="9" t="s">
        <v>26</v>
      </c>
      <c r="B15" s="10" t="s">
        <v>51</v>
      </c>
      <c r="C15" s="11">
        <v>903462</v>
      </c>
      <c r="D15" s="11">
        <v>0</v>
      </c>
      <c r="E15" s="11">
        <v>903462</v>
      </c>
    </row>
    <row r="16" spans="1:5" s="7" customFormat="1" ht="22.5" customHeight="1" x14ac:dyDescent="0.25">
      <c r="A16" s="9" t="s">
        <v>14</v>
      </c>
      <c r="B16" s="10" t="s">
        <v>52</v>
      </c>
      <c r="C16" s="11">
        <v>378696508</v>
      </c>
      <c r="D16" s="11">
        <v>0</v>
      </c>
      <c r="E16" s="11">
        <v>378696508</v>
      </c>
    </row>
    <row r="17" spans="1:5" s="7" customFormat="1" ht="22.5" customHeight="1" x14ac:dyDescent="0.25">
      <c r="A17" s="12" t="s">
        <v>27</v>
      </c>
      <c r="B17" s="13" t="s">
        <v>53</v>
      </c>
      <c r="C17" s="14">
        <v>379599970</v>
      </c>
      <c r="D17" s="14">
        <v>0</v>
      </c>
      <c r="E17" s="14">
        <v>379599970</v>
      </c>
    </row>
    <row r="18" spans="1:5" s="7" customFormat="1" ht="22.5" customHeight="1" x14ac:dyDescent="0.25">
      <c r="A18" s="9" t="s">
        <v>28</v>
      </c>
      <c r="B18" s="10" t="s">
        <v>54</v>
      </c>
      <c r="C18" s="11">
        <v>283540496</v>
      </c>
      <c r="D18" s="11">
        <v>0</v>
      </c>
      <c r="E18" s="11">
        <v>283540496</v>
      </c>
    </row>
    <row r="19" spans="1:5" s="7" customFormat="1" ht="22.5" customHeight="1" x14ac:dyDescent="0.25">
      <c r="A19" s="9" t="s">
        <v>29</v>
      </c>
      <c r="B19" s="10" t="s">
        <v>55</v>
      </c>
      <c r="C19" s="11">
        <v>224275361</v>
      </c>
      <c r="D19" s="11">
        <v>0</v>
      </c>
      <c r="E19" s="11">
        <v>224275361</v>
      </c>
    </row>
    <row r="20" spans="1:5" s="7" customFormat="1" ht="22.5" customHeight="1" x14ac:dyDescent="0.25">
      <c r="A20" s="9" t="s">
        <v>30</v>
      </c>
      <c r="B20" s="10" t="s">
        <v>56</v>
      </c>
      <c r="C20" s="11">
        <v>14855949</v>
      </c>
      <c r="D20" s="11">
        <v>0</v>
      </c>
      <c r="E20" s="11">
        <v>14855949</v>
      </c>
    </row>
    <row r="21" spans="1:5" s="7" customFormat="1" ht="22.5" customHeight="1" x14ac:dyDescent="0.25">
      <c r="A21" s="12" t="s">
        <v>31</v>
      </c>
      <c r="B21" s="13" t="s">
        <v>57</v>
      </c>
      <c r="C21" s="14">
        <v>522671806</v>
      </c>
      <c r="D21" s="14">
        <v>0</v>
      </c>
      <c r="E21" s="14">
        <v>522671806</v>
      </c>
    </row>
    <row r="22" spans="1:5" s="7" customFormat="1" ht="22.5" customHeight="1" x14ac:dyDescent="0.25">
      <c r="A22" s="12" t="s">
        <v>32</v>
      </c>
      <c r="B22" s="13" t="s">
        <v>58</v>
      </c>
      <c r="C22" s="14">
        <v>-454523</v>
      </c>
      <c r="D22" s="14">
        <v>0</v>
      </c>
      <c r="E22" s="14">
        <v>-454523</v>
      </c>
    </row>
    <row r="23" spans="1:5" s="7" customFormat="1" ht="22.5" customHeight="1" x14ac:dyDescent="0.25">
      <c r="A23" s="12" t="s">
        <v>33</v>
      </c>
      <c r="B23" s="13" t="s">
        <v>59</v>
      </c>
      <c r="C23" s="14">
        <v>1522850</v>
      </c>
      <c r="D23" s="14">
        <v>0</v>
      </c>
      <c r="E23" s="14">
        <v>1522850</v>
      </c>
    </row>
    <row r="24" spans="1:5" s="7" customFormat="1" ht="22.5" customHeight="1" x14ac:dyDescent="0.25">
      <c r="A24" s="15" t="s">
        <v>34</v>
      </c>
      <c r="B24" s="16" t="s">
        <v>4</v>
      </c>
      <c r="C24" s="17">
        <v>16324373913</v>
      </c>
      <c r="D24" s="17">
        <v>0</v>
      </c>
      <c r="E24" s="17">
        <v>16324373913</v>
      </c>
    </row>
    <row r="25" spans="1:5" s="7" customFormat="1" ht="22.5" customHeight="1" x14ac:dyDescent="0.25">
      <c r="A25" s="9" t="s">
        <v>35</v>
      </c>
      <c r="B25" s="10" t="s">
        <v>60</v>
      </c>
      <c r="C25" s="11">
        <v>19551375166</v>
      </c>
      <c r="D25" s="11">
        <v>0</v>
      </c>
      <c r="E25" s="11">
        <v>19551375166</v>
      </c>
    </row>
    <row r="26" spans="1:5" s="7" customFormat="1" ht="22.5" customHeight="1" x14ac:dyDescent="0.25">
      <c r="A26" s="9" t="s">
        <v>36</v>
      </c>
      <c r="B26" s="10" t="s">
        <v>61</v>
      </c>
      <c r="C26" s="11">
        <v>-3877918047</v>
      </c>
      <c r="D26" s="11">
        <v>0</v>
      </c>
      <c r="E26" s="11">
        <v>-3877918047</v>
      </c>
    </row>
    <row r="27" spans="1:5" s="7" customFormat="1" ht="22.5" customHeight="1" x14ac:dyDescent="0.25">
      <c r="A27" s="9" t="s">
        <v>37</v>
      </c>
      <c r="B27" s="10" t="s">
        <v>62</v>
      </c>
      <c r="C27" s="11">
        <v>-512541543</v>
      </c>
      <c r="D27" s="11">
        <v>0</v>
      </c>
      <c r="E27" s="11">
        <v>-512541543</v>
      </c>
    </row>
    <row r="28" spans="1:5" s="7" customFormat="1" ht="22.5" customHeight="1" x14ac:dyDescent="0.25">
      <c r="A28" s="12" t="s">
        <v>38</v>
      </c>
      <c r="B28" s="13" t="s">
        <v>63</v>
      </c>
      <c r="C28" s="14">
        <v>15160915576</v>
      </c>
      <c r="D28" s="14">
        <v>0</v>
      </c>
      <c r="E28" s="14">
        <v>15160915576</v>
      </c>
    </row>
    <row r="29" spans="1:5" s="7" customFormat="1" ht="22.5" customHeight="1" x14ac:dyDescent="0.25">
      <c r="A29" s="9" t="s">
        <v>39</v>
      </c>
      <c r="B29" s="10" t="s">
        <v>64</v>
      </c>
      <c r="C29" s="11">
        <v>3702669</v>
      </c>
      <c r="D29" s="11">
        <v>0</v>
      </c>
      <c r="E29" s="11">
        <v>3702669</v>
      </c>
    </row>
    <row r="30" spans="1:5" s="7" customFormat="1" ht="22.5" customHeight="1" x14ac:dyDescent="0.25">
      <c r="A30" s="9" t="s">
        <v>40</v>
      </c>
      <c r="B30" s="10" t="s">
        <v>65</v>
      </c>
      <c r="C30" s="11">
        <v>61250540</v>
      </c>
      <c r="D30" s="11">
        <v>0</v>
      </c>
      <c r="E30" s="11">
        <v>61250540</v>
      </c>
    </row>
    <row r="31" spans="1:5" s="7" customFormat="1" ht="22.5" customHeight="1" x14ac:dyDescent="0.25">
      <c r="A31" s="9" t="s">
        <v>41</v>
      </c>
      <c r="B31" s="10" t="s">
        <v>66</v>
      </c>
      <c r="C31" s="11">
        <v>21653511</v>
      </c>
      <c r="D31" s="11">
        <v>0</v>
      </c>
      <c r="E31" s="11">
        <v>21653511</v>
      </c>
    </row>
    <row r="32" spans="1:5" s="7" customFormat="1" ht="22.5" customHeight="1" x14ac:dyDescent="0.25">
      <c r="A32" s="12" t="s">
        <v>39</v>
      </c>
      <c r="B32" s="13" t="s">
        <v>67</v>
      </c>
      <c r="C32" s="14">
        <v>86606720</v>
      </c>
      <c r="D32" s="14">
        <v>0</v>
      </c>
      <c r="E32" s="14">
        <v>86606720</v>
      </c>
    </row>
    <row r="33" spans="1:5" s="7" customFormat="1" ht="22.5" customHeight="1" x14ac:dyDescent="0.25">
      <c r="A33" s="12" t="s">
        <v>42</v>
      </c>
      <c r="B33" s="13" t="s">
        <v>68</v>
      </c>
      <c r="C33" s="14">
        <v>1076851617</v>
      </c>
      <c r="D33" s="14">
        <v>0</v>
      </c>
      <c r="E33" s="14">
        <v>1076851617</v>
      </c>
    </row>
    <row r="34" spans="1:5" ht="22.5" customHeight="1" x14ac:dyDescent="0.25">
      <c r="A34" s="15" t="s">
        <v>43</v>
      </c>
      <c r="B34" s="16" t="s">
        <v>5</v>
      </c>
      <c r="C34" s="17">
        <v>16324373913</v>
      </c>
      <c r="D34" s="17">
        <v>0</v>
      </c>
      <c r="E34" s="17">
        <v>16324373913</v>
      </c>
    </row>
  </sheetData>
  <mergeCells count="1">
    <mergeCell ref="A4:E4"/>
  </mergeCells>
  <pageMargins left="0.7" right="0.7" top="0.75" bottom="0.75" header="0.3" footer="0.3"/>
  <pageSetup paperSize="9" scale="6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1"/>
  <sheetViews>
    <sheetView view="pageBreakPreview" topLeftCell="H1" zoomScale="60" zoomScaleNormal="100" workbookViewId="0">
      <selection activeCell="Z1" sqref="Z1:AH1"/>
    </sheetView>
  </sheetViews>
  <sheetFormatPr defaultRowHeight="15" x14ac:dyDescent="0.25"/>
  <cols>
    <col min="1" max="1" width="26.140625" style="341" customWidth="1"/>
    <col min="2" max="4" width="12" style="339" customWidth="1"/>
    <col min="5" max="5" width="12" style="340" customWidth="1"/>
    <col min="6" max="7" width="12" style="341" customWidth="1"/>
    <col min="8" max="8" width="12" style="339" customWidth="1"/>
    <col min="9" max="9" width="12" style="340" customWidth="1"/>
    <col min="10" max="11" width="12" style="341" customWidth="1"/>
    <col min="12" max="12" width="12" style="339" customWidth="1"/>
    <col min="13" max="13" width="12" style="340" customWidth="1"/>
    <col min="14" max="15" width="12" style="341" customWidth="1"/>
    <col min="16" max="16" width="12" style="339" customWidth="1"/>
    <col min="17" max="17" width="12" style="340" customWidth="1"/>
    <col min="18" max="19" width="12" style="341" customWidth="1"/>
    <col min="20" max="20" width="12" style="339" customWidth="1"/>
    <col min="21" max="21" width="12" style="340" customWidth="1"/>
    <col min="22" max="23" width="12" style="341" customWidth="1"/>
    <col min="24" max="24" width="12" style="339" customWidth="1"/>
    <col min="25" max="25" width="12" style="340" customWidth="1"/>
    <col min="26" max="26" width="26.140625" style="341" customWidth="1"/>
    <col min="27" max="28" width="12" style="341" customWidth="1"/>
    <col min="29" max="29" width="12" style="339" customWidth="1"/>
    <col min="30" max="30" width="12" style="340" customWidth="1"/>
    <col min="31" max="32" width="12" style="341" customWidth="1"/>
    <col min="33" max="33" width="12" style="339" customWidth="1"/>
    <col min="34" max="34" width="12" style="340" customWidth="1"/>
    <col min="35" max="36" width="12" style="341" customWidth="1"/>
    <col min="37" max="37" width="12" style="339" customWidth="1"/>
    <col min="38" max="38" width="12" style="340" customWidth="1"/>
    <col min="39" max="40" width="12" style="341" customWidth="1"/>
    <col min="41" max="41" width="12" style="339" customWidth="1"/>
    <col min="42" max="42" width="12" style="340" customWidth="1"/>
    <col min="43" max="44" width="12" style="341" customWidth="1"/>
    <col min="45" max="45" width="12" style="339" customWidth="1"/>
    <col min="46" max="46" width="12" style="340" customWidth="1"/>
    <col min="47" max="48" width="12" style="341" customWidth="1"/>
    <col min="49" max="49" width="12" style="339" customWidth="1"/>
    <col min="50" max="50" width="12" style="340" customWidth="1"/>
    <col min="51" max="51" width="13.5703125" style="341" customWidth="1"/>
    <col min="52" max="52" width="13.28515625" style="341" bestFit="1" customWidth="1"/>
    <col min="53" max="55" width="13.5703125" style="341" customWidth="1"/>
    <col min="56" max="56" width="14.28515625" style="341" customWidth="1"/>
    <col min="57" max="59" width="13.5703125" style="341" customWidth="1"/>
    <col min="60" max="16384" width="9.140625" style="341"/>
  </cols>
  <sheetData>
    <row r="1" spans="1:91" s="336" customFormat="1" ht="15.75" x14ac:dyDescent="0.25">
      <c r="A1" s="333" t="s">
        <v>968</v>
      </c>
      <c r="B1" s="334"/>
      <c r="C1" s="334"/>
      <c r="D1" s="334"/>
      <c r="E1" s="335"/>
      <c r="H1" s="334"/>
      <c r="I1" s="335"/>
      <c r="L1" s="334"/>
      <c r="M1" s="335"/>
      <c r="P1" s="334"/>
      <c r="Q1" s="335"/>
      <c r="T1" s="334"/>
      <c r="U1" s="335"/>
      <c r="X1" s="334"/>
      <c r="Y1" s="337" t="s">
        <v>510</v>
      </c>
      <c r="Z1" s="333"/>
      <c r="AC1" s="334"/>
      <c r="AD1" s="335"/>
      <c r="AG1" s="334"/>
      <c r="AH1" s="335"/>
      <c r="AK1" s="334"/>
      <c r="AL1" s="335"/>
      <c r="AO1" s="334"/>
      <c r="AP1" s="335"/>
      <c r="AS1" s="334"/>
      <c r="AT1" s="335"/>
      <c r="AW1" s="334"/>
      <c r="AX1" s="337" t="s">
        <v>511</v>
      </c>
    </row>
    <row r="2" spans="1:91" ht="15.75" x14ac:dyDescent="0.25">
      <c r="A2" s="338"/>
      <c r="Z2" s="338"/>
    </row>
    <row r="3" spans="1:91" ht="15.75" x14ac:dyDescent="0.25">
      <c r="A3" s="338"/>
      <c r="Z3" s="338"/>
    </row>
    <row r="4" spans="1:91" ht="15.75" x14ac:dyDescent="0.25">
      <c r="A4" s="338"/>
      <c r="Z4" s="338"/>
    </row>
    <row r="5" spans="1:91" ht="19.5" x14ac:dyDescent="0.35">
      <c r="A5" s="887" t="s">
        <v>538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342"/>
      <c r="AA5" s="887" t="s">
        <v>538</v>
      </c>
      <c r="AB5" s="887"/>
      <c r="AC5" s="887"/>
      <c r="AD5" s="887"/>
      <c r="AE5" s="887"/>
      <c r="AF5" s="887"/>
      <c r="AG5" s="887"/>
      <c r="AH5" s="887"/>
      <c r="AI5" s="887"/>
      <c r="AJ5" s="887"/>
      <c r="AK5" s="887"/>
      <c r="AL5" s="887"/>
      <c r="AM5" s="887"/>
      <c r="AN5" s="887"/>
      <c r="AO5" s="887"/>
      <c r="AP5" s="887"/>
      <c r="AQ5" s="887"/>
      <c r="AR5" s="887"/>
      <c r="AS5" s="887"/>
      <c r="AT5" s="887"/>
      <c r="AU5" s="887"/>
      <c r="AV5" s="887"/>
      <c r="AW5" s="887"/>
      <c r="AX5" s="887"/>
      <c r="AY5" s="343"/>
      <c r="AZ5" s="343"/>
      <c r="BA5" s="343"/>
      <c r="BB5" s="343"/>
      <c r="BC5" s="343"/>
      <c r="BD5" s="343"/>
      <c r="BE5" s="343"/>
      <c r="BF5" s="343"/>
      <c r="BG5" s="343"/>
      <c r="BH5" s="343"/>
    </row>
    <row r="6" spans="1:91" x14ac:dyDescent="0.25">
      <c r="A6" s="25"/>
      <c r="Z6" s="25"/>
    </row>
    <row r="7" spans="1:91" x14ac:dyDescent="0.25">
      <c r="A7" s="25"/>
      <c r="Z7" s="25"/>
    </row>
    <row r="8" spans="1:91" ht="15.75" x14ac:dyDescent="0.25">
      <c r="A8" s="344" t="s">
        <v>512</v>
      </c>
      <c r="Z8" s="344" t="s">
        <v>512</v>
      </c>
      <c r="AZ8" s="888"/>
      <c r="BA8" s="888"/>
      <c r="BB8" s="888"/>
      <c r="BC8" s="888"/>
      <c r="BD8" s="888"/>
      <c r="BE8" s="888"/>
      <c r="BF8" s="888"/>
      <c r="BG8" s="888"/>
    </row>
    <row r="9" spans="1:91" customFormat="1" ht="15.75" x14ac:dyDescent="0.25">
      <c r="A9" s="270"/>
      <c r="B9" s="270"/>
      <c r="C9" s="270"/>
      <c r="D9" s="270"/>
      <c r="E9" s="345"/>
      <c r="F9" s="270"/>
      <c r="G9" s="270"/>
      <c r="H9" s="270"/>
      <c r="I9" s="345"/>
      <c r="J9" s="270"/>
      <c r="K9" s="270"/>
      <c r="L9" s="270"/>
      <c r="M9" s="345"/>
      <c r="N9" s="270"/>
      <c r="O9" s="270"/>
      <c r="P9" s="270"/>
      <c r="Q9" s="345"/>
      <c r="R9" s="270"/>
      <c r="S9" s="270"/>
      <c r="T9" s="270"/>
      <c r="U9" s="345"/>
      <c r="V9" s="270"/>
      <c r="W9" s="270"/>
      <c r="X9" s="270"/>
      <c r="Y9" s="345"/>
      <c r="Z9" s="270"/>
      <c r="AA9" s="270"/>
      <c r="AB9" s="270"/>
      <c r="AC9" s="270"/>
      <c r="AD9" s="345"/>
      <c r="AE9" s="270"/>
      <c r="AF9" s="270"/>
      <c r="AG9" s="270"/>
      <c r="AH9" s="345"/>
      <c r="AI9" s="270"/>
      <c r="AJ9" s="270"/>
      <c r="AK9" s="270"/>
      <c r="AL9" s="345"/>
      <c r="AM9" s="270"/>
      <c r="AN9" s="270"/>
      <c r="AO9" s="270"/>
      <c r="AP9" s="345"/>
      <c r="AQ9" s="270"/>
      <c r="AR9" s="270"/>
      <c r="AS9" s="270"/>
      <c r="AT9" s="345"/>
      <c r="AU9" s="270"/>
      <c r="AV9" s="270"/>
      <c r="AW9" s="270"/>
      <c r="AX9" s="345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</row>
    <row r="10" spans="1:91" customFormat="1" ht="16.5" thickBot="1" x14ac:dyDescent="0.3">
      <c r="A10" s="270"/>
      <c r="B10" s="270"/>
      <c r="C10" s="270"/>
      <c r="D10" s="270"/>
      <c r="E10" s="345"/>
      <c r="F10" s="270"/>
      <c r="G10" s="270"/>
      <c r="H10" s="270"/>
      <c r="I10" s="345"/>
      <c r="J10" s="270"/>
      <c r="K10" s="270"/>
      <c r="L10" s="270"/>
      <c r="M10" s="345"/>
      <c r="N10" s="270"/>
      <c r="O10" s="270"/>
      <c r="P10" s="270"/>
      <c r="Q10" s="345"/>
      <c r="R10" s="270"/>
      <c r="S10" s="270"/>
      <c r="T10" s="270"/>
      <c r="U10" s="345"/>
      <c r="V10" s="270"/>
      <c r="W10" s="270"/>
      <c r="X10" s="270"/>
      <c r="Y10" s="345"/>
      <c r="Z10" s="270"/>
      <c r="AA10" s="270"/>
      <c r="AB10" s="270"/>
      <c r="AC10" s="270"/>
      <c r="AD10" s="345"/>
      <c r="AE10" s="270"/>
      <c r="AF10" s="270"/>
      <c r="AG10" s="270"/>
      <c r="AH10" s="345"/>
      <c r="AI10" s="270"/>
      <c r="AJ10" s="270"/>
      <c r="AK10" s="270"/>
      <c r="AL10" s="345"/>
      <c r="AM10" s="270"/>
      <c r="AN10" s="270"/>
      <c r="AO10" s="270"/>
      <c r="AP10" s="345"/>
      <c r="AQ10" s="889"/>
      <c r="AR10" s="889"/>
      <c r="AS10" s="889"/>
      <c r="AT10" s="889"/>
      <c r="AU10" s="889"/>
      <c r="AV10" s="50"/>
      <c r="AW10" s="50"/>
      <c r="AX10" s="50" t="s">
        <v>308</v>
      </c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</row>
    <row r="11" spans="1:91" s="274" customFormat="1" ht="13.5" thickBot="1" x14ac:dyDescent="0.25">
      <c r="A11" s="890" t="s">
        <v>484</v>
      </c>
      <c r="B11" s="871" t="s">
        <v>513</v>
      </c>
      <c r="C11" s="872"/>
      <c r="D11" s="872"/>
      <c r="E11" s="873"/>
      <c r="F11" s="871" t="s">
        <v>514</v>
      </c>
      <c r="G11" s="872"/>
      <c r="H11" s="872"/>
      <c r="I11" s="873"/>
      <c r="J11" s="871" t="s">
        <v>515</v>
      </c>
      <c r="K11" s="872"/>
      <c r="L11" s="872"/>
      <c r="M11" s="873"/>
      <c r="N11" s="871" t="s">
        <v>516</v>
      </c>
      <c r="O11" s="872"/>
      <c r="P11" s="872"/>
      <c r="Q11" s="873"/>
      <c r="R11" s="871" t="s">
        <v>517</v>
      </c>
      <c r="S11" s="872"/>
      <c r="T11" s="872"/>
      <c r="U11" s="873"/>
      <c r="V11" s="871" t="s">
        <v>518</v>
      </c>
      <c r="W11" s="872"/>
      <c r="X11" s="872"/>
      <c r="Y11" s="873"/>
      <c r="Z11" s="890" t="s">
        <v>484</v>
      </c>
      <c r="AA11" s="871" t="s">
        <v>519</v>
      </c>
      <c r="AB11" s="872"/>
      <c r="AC11" s="872"/>
      <c r="AD11" s="873"/>
      <c r="AE11" s="871" t="s">
        <v>520</v>
      </c>
      <c r="AF11" s="872"/>
      <c r="AG11" s="872"/>
      <c r="AH11" s="873"/>
      <c r="AI11" s="871" t="s">
        <v>521</v>
      </c>
      <c r="AJ11" s="872"/>
      <c r="AK11" s="872"/>
      <c r="AL11" s="873"/>
      <c r="AM11" s="871" t="s">
        <v>522</v>
      </c>
      <c r="AN11" s="872"/>
      <c r="AO11" s="872"/>
      <c r="AP11" s="872"/>
      <c r="AQ11" s="872"/>
      <c r="AR11" s="872"/>
      <c r="AS11" s="872"/>
      <c r="AT11" s="872"/>
      <c r="AU11" s="872"/>
      <c r="AV11" s="872"/>
      <c r="AW11" s="872"/>
      <c r="AX11" s="873"/>
      <c r="AY11" s="346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</row>
    <row r="12" spans="1:91" s="276" customFormat="1" ht="15.75" thickBot="1" x14ac:dyDescent="0.3">
      <c r="A12" s="890"/>
      <c r="B12" s="881" t="s">
        <v>523</v>
      </c>
      <c r="C12" s="882"/>
      <c r="D12" s="882"/>
      <c r="E12" s="883"/>
      <c r="F12" s="881" t="s">
        <v>524</v>
      </c>
      <c r="G12" s="882"/>
      <c r="H12" s="882"/>
      <c r="I12" s="883"/>
      <c r="J12" s="881" t="s">
        <v>525</v>
      </c>
      <c r="K12" s="882"/>
      <c r="L12" s="882"/>
      <c r="M12" s="883"/>
      <c r="N12" s="881" t="s">
        <v>526</v>
      </c>
      <c r="O12" s="882"/>
      <c r="P12" s="882"/>
      <c r="Q12" s="883"/>
      <c r="R12" s="881" t="s">
        <v>527</v>
      </c>
      <c r="S12" s="882"/>
      <c r="T12" s="882"/>
      <c r="U12" s="883"/>
      <c r="V12" s="881" t="s">
        <v>528</v>
      </c>
      <c r="W12" s="882"/>
      <c r="X12" s="882"/>
      <c r="Y12" s="883"/>
      <c r="Z12" s="890"/>
      <c r="AA12" s="881" t="s">
        <v>529</v>
      </c>
      <c r="AB12" s="882"/>
      <c r="AC12" s="882"/>
      <c r="AD12" s="883"/>
      <c r="AE12" s="881" t="s">
        <v>530</v>
      </c>
      <c r="AF12" s="882"/>
      <c r="AG12" s="882"/>
      <c r="AH12" s="883"/>
      <c r="AI12" s="881" t="s">
        <v>531</v>
      </c>
      <c r="AJ12" s="882"/>
      <c r="AK12" s="882"/>
      <c r="AL12" s="883"/>
      <c r="AM12" s="884" t="s">
        <v>532</v>
      </c>
      <c r="AN12" s="885"/>
      <c r="AO12" s="885"/>
      <c r="AP12" s="885"/>
      <c r="AQ12" s="885"/>
      <c r="AR12" s="885"/>
      <c r="AS12" s="885"/>
      <c r="AT12" s="885"/>
      <c r="AU12" s="885"/>
      <c r="AV12" s="885"/>
      <c r="AW12" s="885"/>
      <c r="AX12" s="886"/>
      <c r="AY12" s="347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</row>
    <row r="13" spans="1:91" s="276" customFormat="1" ht="15.75" thickBot="1" x14ac:dyDescent="0.3">
      <c r="A13" s="890"/>
      <c r="B13" s="884"/>
      <c r="C13" s="885"/>
      <c r="D13" s="885"/>
      <c r="E13" s="886"/>
      <c r="F13" s="884"/>
      <c r="G13" s="885"/>
      <c r="H13" s="885"/>
      <c r="I13" s="886"/>
      <c r="J13" s="884"/>
      <c r="K13" s="885"/>
      <c r="L13" s="885"/>
      <c r="M13" s="886"/>
      <c r="N13" s="884"/>
      <c r="O13" s="885"/>
      <c r="P13" s="885"/>
      <c r="Q13" s="886"/>
      <c r="R13" s="884"/>
      <c r="S13" s="885"/>
      <c r="T13" s="885"/>
      <c r="U13" s="886"/>
      <c r="V13" s="884"/>
      <c r="W13" s="885"/>
      <c r="X13" s="885"/>
      <c r="Y13" s="886"/>
      <c r="Z13" s="890"/>
      <c r="AA13" s="884"/>
      <c r="AB13" s="885"/>
      <c r="AC13" s="885"/>
      <c r="AD13" s="886"/>
      <c r="AE13" s="884"/>
      <c r="AF13" s="885"/>
      <c r="AG13" s="885"/>
      <c r="AH13" s="886"/>
      <c r="AI13" s="884"/>
      <c r="AJ13" s="885"/>
      <c r="AK13" s="885"/>
      <c r="AL13" s="886"/>
      <c r="AM13" s="876" t="s">
        <v>441</v>
      </c>
      <c r="AN13" s="877"/>
      <c r="AO13" s="877"/>
      <c r="AP13" s="878"/>
      <c r="AQ13" s="876" t="s">
        <v>442</v>
      </c>
      <c r="AR13" s="877"/>
      <c r="AS13" s="877"/>
      <c r="AT13" s="878"/>
      <c r="AU13" s="876" t="s">
        <v>532</v>
      </c>
      <c r="AV13" s="877"/>
      <c r="AW13" s="877"/>
      <c r="AX13" s="878"/>
      <c r="AY13" s="347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</row>
    <row r="14" spans="1:91" s="276" customFormat="1" ht="26.25" thickBot="1" x14ac:dyDescent="0.3">
      <c r="A14" s="890"/>
      <c r="B14" s="348" t="s">
        <v>443</v>
      </c>
      <c r="C14" s="348" t="s">
        <v>444</v>
      </c>
      <c r="D14" s="348" t="s">
        <v>312</v>
      </c>
      <c r="E14" s="349" t="s">
        <v>313</v>
      </c>
      <c r="F14" s="348" t="s">
        <v>443</v>
      </c>
      <c r="G14" s="348" t="s">
        <v>444</v>
      </c>
      <c r="H14" s="348" t="s">
        <v>312</v>
      </c>
      <c r="I14" s="349" t="s">
        <v>313</v>
      </c>
      <c r="J14" s="348" t="s">
        <v>443</v>
      </c>
      <c r="K14" s="348" t="s">
        <v>444</v>
      </c>
      <c r="L14" s="348" t="s">
        <v>312</v>
      </c>
      <c r="M14" s="349" t="s">
        <v>313</v>
      </c>
      <c r="N14" s="348" t="s">
        <v>443</v>
      </c>
      <c r="O14" s="348" t="s">
        <v>444</v>
      </c>
      <c r="P14" s="348" t="s">
        <v>312</v>
      </c>
      <c r="Q14" s="349" t="s">
        <v>313</v>
      </c>
      <c r="R14" s="348" t="s">
        <v>443</v>
      </c>
      <c r="S14" s="348" t="s">
        <v>444</v>
      </c>
      <c r="T14" s="348" t="s">
        <v>312</v>
      </c>
      <c r="U14" s="349" t="s">
        <v>313</v>
      </c>
      <c r="V14" s="348" t="s">
        <v>443</v>
      </c>
      <c r="W14" s="348" t="s">
        <v>444</v>
      </c>
      <c r="X14" s="348" t="s">
        <v>312</v>
      </c>
      <c r="Y14" s="349" t="s">
        <v>313</v>
      </c>
      <c r="Z14" s="890"/>
      <c r="AA14" s="348" t="s">
        <v>443</v>
      </c>
      <c r="AB14" s="348" t="s">
        <v>444</v>
      </c>
      <c r="AC14" s="348" t="s">
        <v>312</v>
      </c>
      <c r="AD14" s="349" t="s">
        <v>313</v>
      </c>
      <c r="AE14" s="348" t="s">
        <v>443</v>
      </c>
      <c r="AF14" s="348" t="s">
        <v>444</v>
      </c>
      <c r="AG14" s="348" t="s">
        <v>312</v>
      </c>
      <c r="AH14" s="349" t="s">
        <v>313</v>
      </c>
      <c r="AI14" s="348" t="s">
        <v>443</v>
      </c>
      <c r="AJ14" s="348" t="s">
        <v>444</v>
      </c>
      <c r="AK14" s="348" t="s">
        <v>312</v>
      </c>
      <c r="AL14" s="349" t="s">
        <v>313</v>
      </c>
      <c r="AM14" s="348" t="s">
        <v>443</v>
      </c>
      <c r="AN14" s="348" t="s">
        <v>444</v>
      </c>
      <c r="AO14" s="348" t="s">
        <v>312</v>
      </c>
      <c r="AP14" s="349" t="s">
        <v>313</v>
      </c>
      <c r="AQ14" s="348" t="s">
        <v>443</v>
      </c>
      <c r="AR14" s="348" t="s">
        <v>444</v>
      </c>
      <c r="AS14" s="348" t="s">
        <v>312</v>
      </c>
      <c r="AT14" s="349" t="s">
        <v>313</v>
      </c>
      <c r="AU14" s="348" t="s">
        <v>443</v>
      </c>
      <c r="AV14" s="348" t="s">
        <v>444</v>
      </c>
      <c r="AW14" s="348" t="s">
        <v>312</v>
      </c>
      <c r="AX14" s="349" t="s">
        <v>313</v>
      </c>
      <c r="AY14" s="347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</row>
    <row r="15" spans="1:91" s="282" customFormat="1" ht="31.5" x14ac:dyDescent="0.25">
      <c r="A15" s="278" t="s">
        <v>533</v>
      </c>
      <c r="B15" s="279"/>
      <c r="C15" s="279"/>
      <c r="D15" s="279"/>
      <c r="E15" s="350"/>
      <c r="F15" s="279"/>
      <c r="G15" s="279"/>
      <c r="H15" s="279"/>
      <c r="I15" s="350"/>
      <c r="J15" s="279"/>
      <c r="K15" s="279"/>
      <c r="L15" s="279"/>
      <c r="M15" s="350"/>
      <c r="N15" s="279"/>
      <c r="O15" s="279"/>
      <c r="P15" s="279"/>
      <c r="Q15" s="350"/>
      <c r="R15" s="279"/>
      <c r="S15" s="279"/>
      <c r="T15" s="279"/>
      <c r="U15" s="350"/>
      <c r="V15" s="279"/>
      <c r="W15" s="279"/>
      <c r="X15" s="279"/>
      <c r="Y15" s="350"/>
      <c r="Z15" s="278" t="s">
        <v>533</v>
      </c>
      <c r="AA15" s="279"/>
      <c r="AB15" s="279"/>
      <c r="AC15" s="279"/>
      <c r="AD15" s="350"/>
      <c r="AE15" s="279"/>
      <c r="AF15" s="279"/>
      <c r="AG15" s="279"/>
      <c r="AH15" s="350"/>
      <c r="AI15" s="279"/>
      <c r="AJ15" s="279"/>
      <c r="AK15" s="279"/>
      <c r="AL15" s="350"/>
      <c r="AM15" s="279"/>
      <c r="AN15" s="279"/>
      <c r="AO15" s="279"/>
      <c r="AP15" s="350"/>
      <c r="AQ15" s="279"/>
      <c r="AR15" s="279"/>
      <c r="AS15" s="279"/>
      <c r="AT15" s="350"/>
      <c r="AU15" s="279"/>
      <c r="AV15" s="279"/>
      <c r="AW15" s="279"/>
      <c r="AX15" s="350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</row>
    <row r="16" spans="1:91" s="282" customFormat="1" ht="47.25" x14ac:dyDescent="0.25">
      <c r="A16" s="283" t="s">
        <v>534</v>
      </c>
      <c r="B16" s="284">
        <f>SUM('13. sz. melléklet'!B39)</f>
        <v>711549</v>
      </c>
      <c r="C16" s="284">
        <f>SUM('13. sz. melléklet'!C39)</f>
        <v>1123606</v>
      </c>
      <c r="D16" s="284">
        <f>SUM('13. sz. melléklet'!D39)</f>
        <v>1076543</v>
      </c>
      <c r="E16" s="285">
        <f>SUM(D16/C16)</f>
        <v>0.95811432121223983</v>
      </c>
      <c r="F16" s="284">
        <f>SUM('13. sz. melléklet'!F39)</f>
        <v>191321</v>
      </c>
      <c r="G16" s="284">
        <f>SUM('13. sz. melléklet'!G39)</f>
        <v>258679</v>
      </c>
      <c r="H16" s="284">
        <f>SUM('13. sz. melléklet'!H39)</f>
        <v>252816</v>
      </c>
      <c r="I16" s="285">
        <f>SUM(H16/G16)</f>
        <v>0.97733484357060296</v>
      </c>
      <c r="J16" s="284">
        <f>SUM('13. sz. melléklet'!J39)</f>
        <v>403341</v>
      </c>
      <c r="K16" s="284">
        <f>SUM('13. sz. melléklet'!K39)</f>
        <v>548138</v>
      </c>
      <c r="L16" s="284">
        <f>SUM('13. sz. melléklet'!L39)</f>
        <v>511852</v>
      </c>
      <c r="M16" s="285">
        <f>SUM(L16/K16)</f>
        <v>0.93380134199781806</v>
      </c>
      <c r="N16" s="284">
        <f>SUM('13. sz. melléklet'!N39)</f>
        <v>0</v>
      </c>
      <c r="O16" s="284">
        <f>SUM('13. sz. melléklet'!O39)</f>
        <v>0</v>
      </c>
      <c r="P16" s="284">
        <f>SUM('13. sz. melléklet'!P39)</f>
        <v>0</v>
      </c>
      <c r="Q16" s="285">
        <v>0</v>
      </c>
      <c r="R16" s="284">
        <f>SUM('13. sz. melléklet'!R39)</f>
        <v>55562</v>
      </c>
      <c r="S16" s="284">
        <f>SUM('13. sz. melléklet'!S39)</f>
        <v>17437</v>
      </c>
      <c r="T16" s="284">
        <f>SUM('13. sz. melléklet'!T39)</f>
        <v>17437</v>
      </c>
      <c r="U16" s="285">
        <f>SUM(T16/S16)</f>
        <v>1</v>
      </c>
      <c r="V16" s="284">
        <f>SUM('13. sz. melléklet'!V39)</f>
        <v>6880</v>
      </c>
      <c r="W16" s="284">
        <f>SUM('13. sz. melléklet'!W39)</f>
        <v>18299</v>
      </c>
      <c r="X16" s="284">
        <f>SUM('13. sz. melléklet'!X39)</f>
        <v>15150</v>
      </c>
      <c r="Y16" s="285">
        <f>SUM(X16/W16)</f>
        <v>0.82791409366632052</v>
      </c>
      <c r="Z16" s="283" t="s">
        <v>534</v>
      </c>
      <c r="AA16" s="284">
        <f>SUM('13. sz. melléklet'!Z39)</f>
        <v>0</v>
      </c>
      <c r="AB16" s="284">
        <f>SUM('13. sz. melléklet'!AA39)</f>
        <v>31962</v>
      </c>
      <c r="AC16" s="284">
        <f>SUM('13. sz. melléklet'!AB39)</f>
        <v>29461</v>
      </c>
      <c r="AD16" s="285">
        <f>SUM(AC16/AB16)</f>
        <v>0.92175082910956763</v>
      </c>
      <c r="AE16" s="284">
        <f>SUM('13. sz. melléklet'!AD39)</f>
        <v>8000</v>
      </c>
      <c r="AF16" s="284">
        <f>SUM('13. sz. melléklet'!AE39)</f>
        <v>8359</v>
      </c>
      <c r="AG16" s="284">
        <f>SUM('13. sz. melléklet'!AF39)</f>
        <v>0</v>
      </c>
      <c r="AH16" s="285">
        <f>SUM(AG16/AF16)</f>
        <v>0</v>
      </c>
      <c r="AI16" s="284"/>
      <c r="AJ16" s="284"/>
      <c r="AK16" s="284"/>
      <c r="AL16" s="285"/>
      <c r="AM16" s="284">
        <f>SUM(B16+F16+J16+N16+R16)</f>
        <v>1361773</v>
      </c>
      <c r="AN16" s="284">
        <f t="shared" ref="AN16:AO16" si="0">SUM(C16+G16+K16+O16+S16)</f>
        <v>1947860</v>
      </c>
      <c r="AO16" s="284">
        <f t="shared" si="0"/>
        <v>1858648</v>
      </c>
      <c r="AP16" s="285">
        <f>SUM(AO16/AN16)</f>
        <v>0.95419999383939302</v>
      </c>
      <c r="AQ16" s="284">
        <f>SUM(V16+AA16+AE16+AI16)</f>
        <v>14880</v>
      </c>
      <c r="AR16" s="284">
        <f t="shared" ref="AR16:AS16" si="1">SUM(W16+AB16+AF16+AJ16)</f>
        <v>58620</v>
      </c>
      <c r="AS16" s="284">
        <f t="shared" si="1"/>
        <v>44611</v>
      </c>
      <c r="AT16" s="285">
        <f>SUM(AS16/AR16)</f>
        <v>0.76102012964858412</v>
      </c>
      <c r="AU16" s="284">
        <f>SUM(AM16+AQ16)</f>
        <v>1376653</v>
      </c>
      <c r="AV16" s="284">
        <f t="shared" ref="AV16:AW16" si="2">SUM(AN16+AR16)</f>
        <v>2006480</v>
      </c>
      <c r="AW16" s="284">
        <f t="shared" si="2"/>
        <v>1903259</v>
      </c>
      <c r="AX16" s="285">
        <f>SUM(AW16/AV16)</f>
        <v>0.94855617798333403</v>
      </c>
      <c r="AY16" s="35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</row>
    <row r="17" spans="1:91" s="282" customFormat="1" ht="47.25" x14ac:dyDescent="0.25">
      <c r="A17" s="278" t="s">
        <v>535</v>
      </c>
      <c r="B17" s="302"/>
      <c r="C17" s="302"/>
      <c r="D17" s="302"/>
      <c r="E17" s="331"/>
      <c r="F17" s="302"/>
      <c r="G17" s="302"/>
      <c r="H17" s="302"/>
      <c r="I17" s="331"/>
      <c r="J17" s="302"/>
      <c r="K17" s="302"/>
      <c r="L17" s="302"/>
      <c r="M17" s="331"/>
      <c r="N17" s="302"/>
      <c r="O17" s="302"/>
      <c r="P17" s="302"/>
      <c r="Q17" s="331"/>
      <c r="R17" s="302"/>
      <c r="S17" s="302"/>
      <c r="T17" s="302"/>
      <c r="U17" s="331"/>
      <c r="V17" s="302"/>
      <c r="W17" s="302"/>
      <c r="X17" s="302"/>
      <c r="Y17" s="331"/>
      <c r="Z17" s="278" t="s">
        <v>535</v>
      </c>
      <c r="AA17" s="302"/>
      <c r="AB17" s="302"/>
      <c r="AC17" s="302"/>
      <c r="AD17" s="331"/>
      <c r="AE17" s="302"/>
      <c r="AF17" s="302"/>
      <c r="AG17" s="302"/>
      <c r="AH17" s="331"/>
      <c r="AI17" s="302"/>
      <c r="AJ17" s="302"/>
      <c r="AK17" s="302"/>
      <c r="AL17" s="331"/>
      <c r="AM17" s="302"/>
      <c r="AN17" s="302"/>
      <c r="AO17" s="302"/>
      <c r="AP17" s="331"/>
      <c r="AQ17" s="302"/>
      <c r="AR17" s="302"/>
      <c r="AS17" s="302"/>
      <c r="AT17" s="331"/>
      <c r="AU17" s="290"/>
      <c r="AV17" s="290"/>
      <c r="AW17" s="302"/>
      <c r="AX17" s="33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</row>
    <row r="18" spans="1:91" s="308" customFormat="1" ht="32.25" thickBot="1" x14ac:dyDescent="0.3">
      <c r="A18" s="352" t="s">
        <v>536</v>
      </c>
      <c r="B18" s="303">
        <f>SUM('[1]7. sz. melléklet'!C22)</f>
        <v>40428</v>
      </c>
      <c r="C18" s="303">
        <v>45017</v>
      </c>
      <c r="D18" s="303">
        <v>45014</v>
      </c>
      <c r="E18" s="304">
        <f>SUM(D18/C18)</f>
        <v>0.99993335850900766</v>
      </c>
      <c r="F18" s="303">
        <f>SUM('[1]7. sz. melléklet'!C39)</f>
        <v>11181</v>
      </c>
      <c r="G18" s="303">
        <v>14316</v>
      </c>
      <c r="H18" s="303">
        <v>14017</v>
      </c>
      <c r="I18" s="304">
        <f>SUM(H18/G18)</f>
        <v>0.97911427773120985</v>
      </c>
      <c r="J18" s="303">
        <f>SUM('[1]7. sz. melléklet'!C116)</f>
        <v>223692</v>
      </c>
      <c r="K18" s="303">
        <v>252316</v>
      </c>
      <c r="L18" s="303">
        <v>211963</v>
      </c>
      <c r="M18" s="304">
        <f>SUM(L18/K18)</f>
        <v>0.84006959526942404</v>
      </c>
      <c r="N18" s="303">
        <f>SUM('[1]7. sz. melléklet'!C128)</f>
        <v>85067</v>
      </c>
      <c r="O18" s="303">
        <v>100124</v>
      </c>
      <c r="P18" s="303">
        <v>76492</v>
      </c>
      <c r="Q18" s="304">
        <f>SUM(P18/O18)</f>
        <v>0.76397267388438339</v>
      </c>
      <c r="R18" s="303">
        <f>SUM('[1]7. sz. melléklet'!C180)</f>
        <v>1009338</v>
      </c>
      <c r="S18" s="303">
        <v>1093735</v>
      </c>
      <c r="T18" s="303">
        <v>926881</v>
      </c>
      <c r="U18" s="304">
        <f>SUM(T18/S18)</f>
        <v>0.84744567925502978</v>
      </c>
      <c r="V18" s="303">
        <f>SUM('[1]7. sz. melléklet'!C194)</f>
        <v>1250</v>
      </c>
      <c r="W18" s="303">
        <v>84394</v>
      </c>
      <c r="X18" s="303">
        <v>43945</v>
      </c>
      <c r="Y18" s="304">
        <f>SUM(X18/W18)</f>
        <v>0.52071237291750594</v>
      </c>
      <c r="Z18" s="352" t="s">
        <v>536</v>
      </c>
      <c r="AA18" s="303">
        <f>SUM('[1]7. sz. melléklet'!C212)</f>
        <v>59472</v>
      </c>
      <c r="AB18" s="303">
        <v>156334</v>
      </c>
      <c r="AC18" s="303">
        <v>102656</v>
      </c>
      <c r="AD18" s="304">
        <f>SUM(AC18/AB18)</f>
        <v>0.65664538743971246</v>
      </c>
      <c r="AE18" s="303">
        <f>SUM('[1]7. sz. melléklet'!C222)</f>
        <v>3875</v>
      </c>
      <c r="AF18" s="303">
        <v>59373</v>
      </c>
      <c r="AG18" s="303">
        <v>28098</v>
      </c>
      <c r="AH18" s="304">
        <f>SUM(AG18/AF18)</f>
        <v>0.47324541458238595</v>
      </c>
      <c r="AI18" s="303">
        <f>'[1]7. sz. melléklet'!C225</f>
        <v>49935</v>
      </c>
      <c r="AJ18" s="303">
        <f>'[1]7. sz. melléklet'!D225</f>
        <v>49935</v>
      </c>
      <c r="AK18" s="303">
        <f>'[1]7. sz. melléklet'!E225</f>
        <v>49935</v>
      </c>
      <c r="AL18" s="304">
        <f>SUM(AK18/AJ18)</f>
        <v>1</v>
      </c>
      <c r="AM18" s="303">
        <f>SUM(B18+F18+J18+N18+R18)</f>
        <v>1369706</v>
      </c>
      <c r="AN18" s="303">
        <f>SUM(C18+G18+K18+O18+S18)</f>
        <v>1505508</v>
      </c>
      <c r="AO18" s="303">
        <f>SUM(D18+H18+L18+P18+T18+AK18)</f>
        <v>1324302</v>
      </c>
      <c r="AP18" s="304">
        <f>SUM(AO18/AN18)</f>
        <v>0.87963796937644967</v>
      </c>
      <c r="AQ18" s="303">
        <f>SUM(V18+AA18+AE18+AI18)</f>
        <v>114532</v>
      </c>
      <c r="AR18" s="303">
        <f>SUM(W18+AB18+AF18+AJ18)</f>
        <v>350036</v>
      </c>
      <c r="AS18" s="303">
        <f>SUM(X18+AC18+AG18)</f>
        <v>174699</v>
      </c>
      <c r="AT18" s="304">
        <f>SUM(AS18/AR18)</f>
        <v>0.49908866516586864</v>
      </c>
      <c r="AU18" s="303">
        <f>SUM(AM18+AQ18)</f>
        <v>1484238</v>
      </c>
      <c r="AV18" s="303">
        <f>SUM(AN18+AR18)</f>
        <v>1855544</v>
      </c>
      <c r="AW18" s="303">
        <f>SUM(AO18+AS18)</f>
        <v>1499001</v>
      </c>
      <c r="AX18" s="304">
        <f>SUM(AW18/AV18)</f>
        <v>0.80784988122081713</v>
      </c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</row>
    <row r="19" spans="1:91" s="327" customFormat="1" ht="17.25" thickTop="1" thickBot="1" x14ac:dyDescent="0.3">
      <c r="A19" s="353" t="s">
        <v>537</v>
      </c>
      <c r="B19" s="354">
        <f>SUM(B16+B18)</f>
        <v>751977</v>
      </c>
      <c r="C19" s="354">
        <f>SUM(C16+C18)</f>
        <v>1168623</v>
      </c>
      <c r="D19" s="354">
        <f>SUM(D16+D18)</f>
        <v>1121557</v>
      </c>
      <c r="E19" s="355">
        <f>D19/C19</f>
        <v>0.95972524928912062</v>
      </c>
      <c r="F19" s="354">
        <f>SUM(F16+F18)</f>
        <v>202502</v>
      </c>
      <c r="G19" s="354">
        <f t="shared" ref="G19" si="3">SUM(G16+G18)</f>
        <v>272995</v>
      </c>
      <c r="H19" s="354">
        <f>SUM(H16+H18)</f>
        <v>266833</v>
      </c>
      <c r="I19" s="355">
        <f>H19/G19</f>
        <v>0.97742815802487226</v>
      </c>
      <c r="J19" s="354">
        <f t="shared" ref="J19:AW19" si="4">SUM(J16+J18)</f>
        <v>627033</v>
      </c>
      <c r="K19" s="354">
        <f t="shared" si="4"/>
        <v>800454</v>
      </c>
      <c r="L19" s="354">
        <f t="shared" si="4"/>
        <v>723815</v>
      </c>
      <c r="M19" s="355">
        <f>L19/K19</f>
        <v>0.90425558495553771</v>
      </c>
      <c r="N19" s="354">
        <f t="shared" si="4"/>
        <v>85067</v>
      </c>
      <c r="O19" s="354">
        <f t="shared" si="4"/>
        <v>100124</v>
      </c>
      <c r="P19" s="354">
        <f t="shared" si="4"/>
        <v>76492</v>
      </c>
      <c r="Q19" s="355">
        <f>P19/O19</f>
        <v>0.76397267388438339</v>
      </c>
      <c r="R19" s="354">
        <f t="shared" si="4"/>
        <v>1064900</v>
      </c>
      <c r="S19" s="354">
        <f t="shared" si="4"/>
        <v>1111172</v>
      </c>
      <c r="T19" s="354">
        <f t="shared" si="4"/>
        <v>944318</v>
      </c>
      <c r="U19" s="355">
        <f>T19/S19</f>
        <v>0.8498396287883424</v>
      </c>
      <c r="V19" s="354">
        <f t="shared" si="4"/>
        <v>8130</v>
      </c>
      <c r="W19" s="354">
        <f>SUM(W16+W18)</f>
        <v>102693</v>
      </c>
      <c r="X19" s="354">
        <f t="shared" ref="X19" si="5">SUM(X16+X18)</f>
        <v>59095</v>
      </c>
      <c r="Y19" s="355">
        <f>X19/W19</f>
        <v>0.57545304938019148</v>
      </c>
      <c r="Z19" s="353" t="s">
        <v>537</v>
      </c>
      <c r="AA19" s="354">
        <f t="shared" si="4"/>
        <v>59472</v>
      </c>
      <c r="AB19" s="354">
        <f t="shared" si="4"/>
        <v>188296</v>
      </c>
      <c r="AC19" s="354">
        <f t="shared" si="4"/>
        <v>132117</v>
      </c>
      <c r="AD19" s="355">
        <f>AC19/AB19</f>
        <v>0.70164528189658837</v>
      </c>
      <c r="AE19" s="354">
        <f t="shared" si="4"/>
        <v>11875</v>
      </c>
      <c r="AF19" s="354">
        <f t="shared" si="4"/>
        <v>67732</v>
      </c>
      <c r="AG19" s="354">
        <f t="shared" si="4"/>
        <v>28098</v>
      </c>
      <c r="AH19" s="355">
        <f>AG19/AF19</f>
        <v>0.41484084332368748</v>
      </c>
      <c r="AI19" s="354">
        <f t="shared" si="4"/>
        <v>49935</v>
      </c>
      <c r="AJ19" s="354">
        <f t="shared" si="4"/>
        <v>49935</v>
      </c>
      <c r="AK19" s="354">
        <f t="shared" si="4"/>
        <v>49935</v>
      </c>
      <c r="AL19" s="355">
        <f>AK19/AJ19</f>
        <v>1</v>
      </c>
      <c r="AM19" s="354">
        <f t="shared" si="4"/>
        <v>2731479</v>
      </c>
      <c r="AN19" s="354">
        <f t="shared" si="4"/>
        <v>3453368</v>
      </c>
      <c r="AO19" s="354">
        <f t="shared" si="4"/>
        <v>3182950</v>
      </c>
      <c r="AP19" s="355">
        <f>AO19/AN19</f>
        <v>0.92169441542285679</v>
      </c>
      <c r="AQ19" s="354">
        <f t="shared" si="4"/>
        <v>129412</v>
      </c>
      <c r="AR19" s="354">
        <f t="shared" si="4"/>
        <v>408656</v>
      </c>
      <c r="AS19" s="354">
        <f t="shared" si="4"/>
        <v>219310</v>
      </c>
      <c r="AT19" s="355">
        <f>AS19/AR19</f>
        <v>0.53666164206569833</v>
      </c>
      <c r="AU19" s="354">
        <f t="shared" si="4"/>
        <v>2860891</v>
      </c>
      <c r="AV19" s="354">
        <f t="shared" si="4"/>
        <v>3862024</v>
      </c>
      <c r="AW19" s="354">
        <f t="shared" si="4"/>
        <v>3402260</v>
      </c>
      <c r="AX19" s="355">
        <f>AW19/AV19</f>
        <v>0.88095257823358941</v>
      </c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</row>
    <row r="20" spans="1:91" ht="15.75" thickTop="1" x14ac:dyDescent="0.25">
      <c r="AU20" s="339"/>
      <c r="AV20" s="339"/>
    </row>
    <row r="21" spans="1:91" x14ac:dyDescent="0.25">
      <c r="AU21" s="339"/>
      <c r="AV21" s="339"/>
    </row>
  </sheetData>
  <mergeCells count="29">
    <mergeCell ref="AQ13:AT13"/>
    <mergeCell ref="AU13:AX13"/>
    <mergeCell ref="B12:E13"/>
    <mergeCell ref="F12:I13"/>
    <mergeCell ref="J12:M13"/>
    <mergeCell ref="N12:Q13"/>
    <mergeCell ref="R12:U13"/>
    <mergeCell ref="V12:Y13"/>
    <mergeCell ref="Z11:Z14"/>
    <mergeCell ref="AA11:AD11"/>
    <mergeCell ref="AE11:AH11"/>
    <mergeCell ref="AI11:AL11"/>
    <mergeCell ref="AM13:AP13"/>
    <mergeCell ref="A5:Y5"/>
    <mergeCell ref="AA5:AX5"/>
    <mergeCell ref="AZ8:BG8"/>
    <mergeCell ref="AQ10:AU10"/>
    <mergeCell ref="A11:A14"/>
    <mergeCell ref="B11:E11"/>
    <mergeCell ref="F11:I11"/>
    <mergeCell ref="J11:M11"/>
    <mergeCell ref="N11:Q11"/>
    <mergeCell ref="R11:U11"/>
    <mergeCell ref="AM11:AX11"/>
    <mergeCell ref="AA12:AD13"/>
    <mergeCell ref="AE12:AH13"/>
    <mergeCell ref="AI12:AL13"/>
    <mergeCell ref="AM12:AX12"/>
    <mergeCell ref="V11:Y11"/>
  </mergeCells>
  <pageMargins left="0.7" right="0.7" top="0.75" bottom="0.75" header="0.3" footer="0.3"/>
  <pageSetup paperSize="9" scale="40" orientation="landscape" r:id="rId1"/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3"/>
  <sheetViews>
    <sheetView view="pageBreakPreview" zoomScale="95" zoomScaleNormal="100" zoomScaleSheetLayoutView="95" workbookViewId="0"/>
  </sheetViews>
  <sheetFormatPr defaultRowHeight="15.75" thickBottom="1" x14ac:dyDescent="0.3"/>
  <cols>
    <col min="1" max="1" width="80" style="478" customWidth="1"/>
    <col min="2" max="2" width="18.28515625" style="478" customWidth="1"/>
    <col min="3" max="4" width="21.42578125" style="479" customWidth="1"/>
    <col min="5" max="6" width="18.28515625" style="434" customWidth="1"/>
    <col min="7" max="40" width="9.140625" style="434"/>
    <col min="41" max="41" width="9.140625" style="472"/>
    <col min="42" max="16384" width="9.140625" style="473"/>
  </cols>
  <sheetData>
    <row r="1" spans="1:41" s="432" customFormat="1" ht="18.75" x14ac:dyDescent="0.3">
      <c r="A1" s="429" t="s">
        <v>969</v>
      </c>
      <c r="B1" s="430"/>
      <c r="C1" s="431"/>
      <c r="D1" s="431"/>
    </row>
    <row r="2" spans="1:41" s="434" customFormat="1" x14ac:dyDescent="0.25">
      <c r="A2" s="430"/>
      <c r="B2" s="430"/>
      <c r="C2" s="433"/>
      <c r="D2" s="433"/>
    </row>
    <row r="3" spans="1:41" s="434" customFormat="1" ht="30.75" customHeight="1" x14ac:dyDescent="0.25">
      <c r="A3" s="893" t="s">
        <v>582</v>
      </c>
      <c r="B3" s="893"/>
      <c r="C3" s="893"/>
      <c r="D3" s="893"/>
    </row>
    <row r="4" spans="1:41" s="434" customFormat="1" ht="15" x14ac:dyDescent="0.25">
      <c r="C4" s="433"/>
      <c r="D4" s="433"/>
    </row>
    <row r="5" spans="1:41" s="435" customFormat="1" ht="16.5" thickBot="1" x14ac:dyDescent="0.3">
      <c r="C5" s="421"/>
      <c r="D5" s="421"/>
      <c r="E5" s="434"/>
      <c r="F5" s="421" t="s">
        <v>308</v>
      </c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</row>
    <row r="6" spans="1:41" s="442" customFormat="1" ht="66.75" customHeight="1" thickBot="1" x14ac:dyDescent="0.35">
      <c r="A6" s="436" t="s">
        <v>583</v>
      </c>
      <c r="B6" s="437"/>
      <c r="C6" s="438" t="s">
        <v>443</v>
      </c>
      <c r="D6" s="439" t="s">
        <v>444</v>
      </c>
      <c r="E6" s="438" t="s">
        <v>741</v>
      </c>
      <c r="F6" s="438" t="s">
        <v>742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1"/>
    </row>
    <row r="7" spans="1:41" s="449" customFormat="1" ht="33" customHeight="1" thickBot="1" x14ac:dyDescent="0.3">
      <c r="A7" s="443" t="s">
        <v>445</v>
      </c>
      <c r="B7" s="444"/>
      <c r="C7" s="445"/>
      <c r="D7" s="446"/>
      <c r="E7" s="445"/>
      <c r="F7" s="446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8"/>
    </row>
    <row r="8" spans="1:41" s="449" customFormat="1" ht="21" customHeight="1" thickBot="1" x14ac:dyDescent="0.3">
      <c r="A8" s="536" t="s">
        <v>584</v>
      </c>
      <c r="B8" s="537"/>
      <c r="C8" s="538">
        <v>63134</v>
      </c>
      <c r="D8" s="538">
        <v>63134</v>
      </c>
      <c r="E8" s="538">
        <v>57544</v>
      </c>
      <c r="F8" s="539">
        <f>E8/D8</f>
        <v>0.91145816834035542</v>
      </c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8"/>
    </row>
    <row r="9" spans="1:41" s="650" customFormat="1" ht="28.5" customHeight="1" thickBot="1" x14ac:dyDescent="0.3">
      <c r="A9" s="732" t="s">
        <v>585</v>
      </c>
      <c r="B9" s="646"/>
      <c r="C9" s="647">
        <v>2000</v>
      </c>
      <c r="D9" s="647">
        <f>2000+472</f>
        <v>2472</v>
      </c>
      <c r="E9" s="647">
        <v>1234</v>
      </c>
      <c r="F9" s="539">
        <f>E9/D9</f>
        <v>0.49919093851132684</v>
      </c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  <c r="V9" s="648"/>
      <c r="W9" s="648"/>
      <c r="X9" s="648"/>
      <c r="Y9" s="648"/>
      <c r="Z9" s="648"/>
      <c r="AA9" s="648"/>
      <c r="AB9" s="648"/>
      <c r="AC9" s="648"/>
      <c r="AD9" s="648"/>
      <c r="AE9" s="648"/>
      <c r="AF9" s="648"/>
      <c r="AG9" s="648"/>
      <c r="AH9" s="648"/>
      <c r="AI9" s="648"/>
      <c r="AJ9" s="648"/>
      <c r="AK9" s="648"/>
      <c r="AL9" s="648"/>
      <c r="AM9" s="648"/>
      <c r="AN9" s="648"/>
      <c r="AO9" s="649"/>
    </row>
    <row r="10" spans="1:41" s="644" customFormat="1" ht="19.5" customHeight="1" thickBot="1" x14ac:dyDescent="0.3">
      <c r="A10" s="732" t="s">
        <v>586</v>
      </c>
      <c r="B10" s="640"/>
      <c r="C10" s="647">
        <v>4000</v>
      </c>
      <c r="D10" s="647">
        <f>C10+254+3563+4552+5969</f>
        <v>18338</v>
      </c>
      <c r="E10" s="647">
        <f>4552+5969+4955+4692+649-2397</f>
        <v>18420</v>
      </c>
      <c r="F10" s="539">
        <f>E10/D10</f>
        <v>1.00447158905006</v>
      </c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  <c r="AO10" s="643"/>
    </row>
    <row r="11" spans="1:41" s="644" customFormat="1" ht="39.75" customHeight="1" thickBot="1" x14ac:dyDescent="0.3">
      <c r="A11" s="645" t="s">
        <v>587</v>
      </c>
      <c r="B11" s="759"/>
      <c r="C11" s="647"/>
      <c r="D11" s="647"/>
      <c r="E11" s="647"/>
      <c r="F11" s="539"/>
      <c r="G11" s="642"/>
      <c r="H11" s="642"/>
      <c r="I11" s="642"/>
      <c r="J11" s="642"/>
      <c r="K11" s="642"/>
      <c r="L11" s="642"/>
      <c r="M11" s="642"/>
      <c r="N11" s="642"/>
      <c r="O11" s="642"/>
      <c r="P11" s="642"/>
      <c r="Q11" s="642"/>
      <c r="R11" s="642"/>
      <c r="S11" s="642"/>
      <c r="T11" s="642"/>
      <c r="U11" s="642"/>
      <c r="V11" s="642"/>
      <c r="W11" s="642"/>
      <c r="X11" s="642"/>
      <c r="Y11" s="642"/>
      <c r="Z11" s="642"/>
      <c r="AA11" s="642"/>
      <c r="AB11" s="642"/>
      <c r="AC11" s="642"/>
      <c r="AD11" s="642"/>
      <c r="AE11" s="642"/>
      <c r="AF11" s="642"/>
      <c r="AG11" s="642"/>
      <c r="AH11" s="642"/>
      <c r="AI11" s="642"/>
      <c r="AJ11" s="642"/>
      <c r="AK11" s="642"/>
      <c r="AL11" s="642"/>
      <c r="AM11" s="642"/>
      <c r="AN11" s="642"/>
      <c r="AO11" s="643"/>
    </row>
    <row r="12" spans="1:41" s="449" customFormat="1" ht="22.5" customHeight="1" thickBot="1" x14ac:dyDescent="0.3">
      <c r="A12" s="536" t="s">
        <v>588</v>
      </c>
      <c r="B12" s="537"/>
      <c r="C12" s="538">
        <v>150</v>
      </c>
      <c r="D12" s="538">
        <v>150</v>
      </c>
      <c r="E12" s="538">
        <v>70</v>
      </c>
      <c r="F12" s="539">
        <f>E12/D12</f>
        <v>0.46666666666666667</v>
      </c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8"/>
    </row>
    <row r="13" spans="1:41" s="644" customFormat="1" ht="22.5" customHeight="1" thickBot="1" x14ac:dyDescent="0.3">
      <c r="A13" s="732" t="s">
        <v>589</v>
      </c>
      <c r="B13" s="640"/>
      <c r="C13" s="647">
        <v>340</v>
      </c>
      <c r="D13" s="647">
        <v>340</v>
      </c>
      <c r="E13" s="647">
        <v>39</v>
      </c>
      <c r="F13" s="539">
        <f>E13/D13</f>
        <v>0.11470588235294117</v>
      </c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3"/>
    </row>
    <row r="14" spans="1:41" s="644" customFormat="1" ht="22.5" customHeight="1" thickBot="1" x14ac:dyDescent="0.3">
      <c r="A14" s="645" t="s">
        <v>548</v>
      </c>
      <c r="B14" s="640"/>
      <c r="C14" s="647"/>
      <c r="D14" s="647"/>
      <c r="E14" s="647"/>
      <c r="F14" s="539"/>
      <c r="G14" s="642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  <c r="AF14" s="642"/>
      <c r="AG14" s="642"/>
      <c r="AH14" s="642"/>
      <c r="AI14" s="642"/>
      <c r="AJ14" s="642"/>
      <c r="AK14" s="642"/>
      <c r="AL14" s="642"/>
      <c r="AM14" s="642"/>
      <c r="AN14" s="642"/>
      <c r="AO14" s="643"/>
    </row>
    <row r="15" spans="1:41" s="644" customFormat="1" ht="38.25" thickBot="1" x14ac:dyDescent="0.3">
      <c r="A15" s="645" t="s">
        <v>590</v>
      </c>
      <c r="B15" s="640">
        <v>0</v>
      </c>
      <c r="C15" s="647"/>
      <c r="D15" s="647"/>
      <c r="E15" s="647"/>
      <c r="F15" s="539"/>
      <c r="G15" s="642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3"/>
    </row>
    <row r="16" spans="1:41" s="644" customFormat="1" ht="22.5" customHeight="1" thickBot="1" x14ac:dyDescent="0.3">
      <c r="A16" s="645" t="s">
        <v>591</v>
      </c>
      <c r="B16" s="640">
        <v>39</v>
      </c>
      <c r="C16" s="647"/>
      <c r="D16" s="647"/>
      <c r="E16" s="647"/>
      <c r="F16" s="539"/>
      <c r="G16" s="642"/>
      <c r="H16" s="642"/>
      <c r="I16" s="642"/>
      <c r="J16" s="642"/>
      <c r="K16" s="642"/>
      <c r="L16" s="642"/>
      <c r="M16" s="642"/>
      <c r="N16" s="642"/>
      <c r="O16" s="642"/>
      <c r="P16" s="642"/>
      <c r="Q16" s="642"/>
      <c r="R16" s="642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  <c r="AF16" s="642"/>
      <c r="AG16" s="642"/>
      <c r="AH16" s="642"/>
      <c r="AI16" s="642"/>
      <c r="AJ16" s="642"/>
      <c r="AK16" s="642"/>
      <c r="AL16" s="642"/>
      <c r="AM16" s="642"/>
      <c r="AN16" s="642"/>
      <c r="AO16" s="643"/>
    </row>
    <row r="17" spans="1:42" s="449" customFormat="1" ht="22.5" customHeight="1" thickBot="1" x14ac:dyDescent="0.3">
      <c r="A17" s="536" t="s">
        <v>592</v>
      </c>
      <c r="B17" s="537"/>
      <c r="C17" s="538">
        <v>50</v>
      </c>
      <c r="D17" s="538">
        <v>50</v>
      </c>
      <c r="E17" s="538">
        <v>18</v>
      </c>
      <c r="F17" s="539">
        <f>E17/D17</f>
        <v>0.36</v>
      </c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8"/>
    </row>
    <row r="18" spans="1:42" s="449" customFormat="1" ht="22.5" customHeight="1" thickBot="1" x14ac:dyDescent="0.3">
      <c r="A18" s="540" t="s">
        <v>548</v>
      </c>
      <c r="B18" s="537"/>
      <c r="C18" s="538"/>
      <c r="D18" s="538"/>
      <c r="E18" s="538"/>
      <c r="F18" s="539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8"/>
    </row>
    <row r="19" spans="1:42" s="449" customFormat="1" ht="22.5" customHeight="1" thickBot="1" x14ac:dyDescent="0.3">
      <c r="A19" s="540" t="s">
        <v>593</v>
      </c>
      <c r="B19" s="537">
        <v>0</v>
      </c>
      <c r="C19" s="538"/>
      <c r="D19" s="538"/>
      <c r="E19" s="538"/>
      <c r="F19" s="539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8"/>
    </row>
    <row r="20" spans="1:42" s="644" customFormat="1" ht="22.5" customHeight="1" thickBot="1" x14ac:dyDescent="0.3">
      <c r="A20" s="732" t="s">
        <v>594</v>
      </c>
      <c r="B20" s="640"/>
      <c r="C20" s="647">
        <v>205</v>
      </c>
      <c r="D20" s="647">
        <v>205</v>
      </c>
      <c r="E20" s="647">
        <v>0</v>
      </c>
      <c r="F20" s="539">
        <f t="shared" ref="F20:F21" si="0">E20/D20</f>
        <v>0</v>
      </c>
      <c r="G20" s="642"/>
      <c r="H20" s="642"/>
      <c r="I20" s="642"/>
      <c r="J20" s="642"/>
      <c r="K20" s="642"/>
      <c r="L20" s="642"/>
      <c r="M20" s="642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2"/>
      <c r="Z20" s="642"/>
      <c r="AA20" s="642"/>
      <c r="AB20" s="642"/>
      <c r="AC20" s="642"/>
      <c r="AD20" s="642"/>
      <c r="AE20" s="642"/>
      <c r="AF20" s="642"/>
      <c r="AG20" s="642"/>
      <c r="AH20" s="642"/>
      <c r="AI20" s="642"/>
      <c r="AJ20" s="642"/>
      <c r="AK20" s="642"/>
      <c r="AL20" s="642"/>
      <c r="AM20" s="642"/>
      <c r="AN20" s="642"/>
      <c r="AO20" s="643"/>
    </row>
    <row r="21" spans="1:42" s="644" customFormat="1" ht="22.5" customHeight="1" thickBot="1" x14ac:dyDescent="0.3">
      <c r="A21" s="732" t="s">
        <v>595</v>
      </c>
      <c r="B21" s="640"/>
      <c r="C21" s="647">
        <v>250</v>
      </c>
      <c r="D21" s="647">
        <v>250</v>
      </c>
      <c r="E21" s="647">
        <v>0</v>
      </c>
      <c r="F21" s="539">
        <f t="shared" si="0"/>
        <v>0</v>
      </c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642"/>
      <c r="AK21" s="642"/>
      <c r="AL21" s="642"/>
      <c r="AM21" s="642"/>
      <c r="AN21" s="642"/>
      <c r="AO21" s="643"/>
    </row>
    <row r="22" spans="1:42" s="449" customFormat="1" ht="22.5" customHeight="1" thickBot="1" x14ac:dyDescent="0.3">
      <c r="A22" s="536" t="s">
        <v>596</v>
      </c>
      <c r="B22" s="537"/>
      <c r="C22" s="538">
        <v>1209</v>
      </c>
      <c r="D22" s="538">
        <v>1209</v>
      </c>
      <c r="E22" s="538">
        <f>SUM(B24:B25)</f>
        <v>1159</v>
      </c>
      <c r="F22" s="539">
        <f>E22/D22</f>
        <v>0.95864350703060386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8"/>
    </row>
    <row r="23" spans="1:42" s="449" customFormat="1" ht="22.5" customHeight="1" thickBot="1" x14ac:dyDescent="0.3">
      <c r="A23" s="540" t="s">
        <v>548</v>
      </c>
      <c r="B23" s="537"/>
      <c r="C23" s="538"/>
      <c r="D23" s="538"/>
      <c r="E23" s="538"/>
      <c r="F23" s="539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8"/>
    </row>
    <row r="24" spans="1:42" s="449" customFormat="1" ht="43.5" customHeight="1" thickBot="1" x14ac:dyDescent="0.3">
      <c r="A24" s="540" t="s">
        <v>597</v>
      </c>
      <c r="B24" s="537">
        <v>909</v>
      </c>
      <c r="C24" s="538"/>
      <c r="D24" s="538"/>
      <c r="E24" s="538"/>
      <c r="F24" s="539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8"/>
    </row>
    <row r="25" spans="1:42" s="449" customFormat="1" ht="30.75" customHeight="1" thickBot="1" x14ac:dyDescent="0.3">
      <c r="A25" s="540" t="s">
        <v>598</v>
      </c>
      <c r="B25" s="537">
        <v>250</v>
      </c>
      <c r="C25" s="538"/>
      <c r="D25" s="538"/>
      <c r="E25" s="538"/>
      <c r="F25" s="539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8"/>
    </row>
    <row r="26" spans="1:42" s="449" customFormat="1" ht="110.25" customHeight="1" thickBot="1" x14ac:dyDescent="0.3">
      <c r="A26" s="891" t="s">
        <v>599</v>
      </c>
      <c r="B26" s="892"/>
      <c r="C26" s="538">
        <v>1000</v>
      </c>
      <c r="D26" s="538">
        <v>1000</v>
      </c>
      <c r="E26" s="538">
        <v>1000</v>
      </c>
      <c r="F26" s="539">
        <f>E26/D26</f>
        <v>1</v>
      </c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8"/>
    </row>
    <row r="27" spans="1:42" s="455" customFormat="1" ht="39.75" customHeight="1" thickBot="1" x14ac:dyDescent="0.35">
      <c r="A27" s="732" t="s">
        <v>600</v>
      </c>
      <c r="B27" s="559"/>
      <c r="C27" s="647"/>
      <c r="D27" s="647">
        <v>1100</v>
      </c>
      <c r="E27" s="647">
        <v>1003</v>
      </c>
      <c r="F27" s="539">
        <f>E27/D27</f>
        <v>0.91181818181818186</v>
      </c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  <c r="AG27" s="657"/>
      <c r="AH27" s="657"/>
      <c r="AI27" s="657"/>
      <c r="AJ27" s="657"/>
      <c r="AK27" s="657"/>
      <c r="AL27" s="657"/>
      <c r="AM27" s="657"/>
      <c r="AN27" s="657"/>
      <c r="AO27" s="657"/>
      <c r="AP27" s="454"/>
    </row>
    <row r="28" spans="1:42" s="449" customFormat="1" ht="38.25" thickBot="1" x14ac:dyDescent="0.3">
      <c r="A28" s="536" t="s">
        <v>601</v>
      </c>
      <c r="B28" s="537"/>
      <c r="C28" s="538">
        <v>487388</v>
      </c>
      <c r="D28" s="538">
        <f>C28+42142+24857+21158+5318</f>
        <v>580863</v>
      </c>
      <c r="E28" s="538">
        <v>580863</v>
      </c>
      <c r="F28" s="539">
        <f t="shared" ref="F28:F34" si="1">E28/D28</f>
        <v>1</v>
      </c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8"/>
    </row>
    <row r="29" spans="1:42" s="449" customFormat="1" ht="57" thickBot="1" x14ac:dyDescent="0.3">
      <c r="A29" s="536" t="s">
        <v>602</v>
      </c>
      <c r="B29" s="537"/>
      <c r="C29" s="538">
        <v>70000</v>
      </c>
      <c r="D29" s="538">
        <f>70000+10000+16122</f>
        <v>96122</v>
      </c>
      <c r="E29" s="538">
        <v>96122</v>
      </c>
      <c r="F29" s="539">
        <f t="shared" si="1"/>
        <v>1</v>
      </c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8"/>
    </row>
    <row r="30" spans="1:42" s="449" customFormat="1" ht="94.5" thickBot="1" x14ac:dyDescent="0.3">
      <c r="A30" s="536" t="s">
        <v>603</v>
      </c>
      <c r="B30" s="537"/>
      <c r="C30" s="538"/>
      <c r="D30" s="538">
        <v>9000</v>
      </c>
      <c r="E30" s="538">
        <v>9000</v>
      </c>
      <c r="F30" s="539">
        <f t="shared" si="1"/>
        <v>1</v>
      </c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8"/>
    </row>
    <row r="31" spans="1:42" s="452" customFormat="1" ht="62.25" customHeight="1" thickBot="1" x14ac:dyDescent="0.3">
      <c r="A31" s="536" t="s">
        <v>604</v>
      </c>
      <c r="B31" s="559"/>
      <c r="C31" s="538"/>
      <c r="D31" s="538">
        <v>4000</v>
      </c>
      <c r="E31" s="538">
        <v>4000</v>
      </c>
      <c r="F31" s="539">
        <f t="shared" si="1"/>
        <v>1</v>
      </c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1"/>
    </row>
    <row r="32" spans="1:42" s="449" customFormat="1" ht="27.75" customHeight="1" thickBot="1" x14ac:dyDescent="0.3">
      <c r="A32" s="536" t="s">
        <v>605</v>
      </c>
      <c r="B32" s="537"/>
      <c r="C32" s="538">
        <v>1032</v>
      </c>
      <c r="D32" s="538">
        <v>1032</v>
      </c>
      <c r="E32" s="538">
        <v>1032</v>
      </c>
      <c r="F32" s="539">
        <f t="shared" si="1"/>
        <v>1</v>
      </c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8"/>
    </row>
    <row r="33" spans="1:41" s="449" customFormat="1" ht="46.5" customHeight="1" thickBot="1" x14ac:dyDescent="0.3">
      <c r="A33" s="536" t="s">
        <v>606</v>
      </c>
      <c r="B33" s="537"/>
      <c r="C33" s="538"/>
      <c r="D33" s="538">
        <v>14000</v>
      </c>
      <c r="E33" s="538">
        <v>14000</v>
      </c>
      <c r="F33" s="539">
        <f t="shared" si="1"/>
        <v>1</v>
      </c>
      <c r="G33" s="456"/>
      <c r="H33" s="456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8"/>
    </row>
    <row r="34" spans="1:41" s="644" customFormat="1" ht="27.75" customHeight="1" thickBot="1" x14ac:dyDescent="0.3">
      <c r="A34" s="732" t="s">
        <v>607</v>
      </c>
      <c r="B34" s="640"/>
      <c r="C34" s="647">
        <v>77094</v>
      </c>
      <c r="D34" s="647">
        <v>77094</v>
      </c>
      <c r="E34" s="647">
        <f>SUM(B35:B37)</f>
        <v>76644</v>
      </c>
      <c r="F34" s="539">
        <f t="shared" si="1"/>
        <v>0.99416296988092456</v>
      </c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2"/>
      <c r="AG34" s="642"/>
      <c r="AH34" s="642"/>
      <c r="AI34" s="642"/>
      <c r="AJ34" s="642"/>
      <c r="AK34" s="642"/>
      <c r="AL34" s="642"/>
      <c r="AM34" s="642"/>
      <c r="AN34" s="642"/>
      <c r="AO34" s="643"/>
    </row>
    <row r="35" spans="1:41" s="644" customFormat="1" ht="37.5" customHeight="1" thickBot="1" x14ac:dyDescent="0.3">
      <c r="A35" s="645" t="s">
        <v>608</v>
      </c>
      <c r="B35" s="640">
        <v>76224</v>
      </c>
      <c r="C35" s="641"/>
      <c r="D35" s="641"/>
      <c r="E35" s="641"/>
      <c r="F35" s="561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642"/>
      <c r="AH35" s="642"/>
      <c r="AI35" s="642"/>
      <c r="AJ35" s="642"/>
      <c r="AK35" s="642"/>
      <c r="AL35" s="642"/>
      <c r="AM35" s="642"/>
      <c r="AN35" s="642"/>
      <c r="AO35" s="643"/>
    </row>
    <row r="36" spans="1:41" s="644" customFormat="1" ht="22.5" customHeight="1" thickBot="1" x14ac:dyDescent="0.3">
      <c r="A36" s="645" t="s">
        <v>609</v>
      </c>
      <c r="B36" s="640"/>
      <c r="C36" s="641"/>
      <c r="D36" s="641"/>
      <c r="E36" s="641"/>
      <c r="F36" s="561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642"/>
      <c r="V36" s="642"/>
      <c r="W36" s="642"/>
      <c r="X36" s="642"/>
      <c r="Y36" s="642"/>
      <c r="Z36" s="642"/>
      <c r="AA36" s="642"/>
      <c r="AB36" s="642"/>
      <c r="AC36" s="642"/>
      <c r="AD36" s="642"/>
      <c r="AE36" s="642"/>
      <c r="AF36" s="642"/>
      <c r="AG36" s="642"/>
      <c r="AH36" s="642"/>
      <c r="AI36" s="642"/>
      <c r="AJ36" s="642"/>
      <c r="AK36" s="642"/>
      <c r="AL36" s="642"/>
      <c r="AM36" s="642"/>
      <c r="AN36" s="642"/>
      <c r="AO36" s="643"/>
    </row>
    <row r="37" spans="1:41" s="644" customFormat="1" ht="30.75" customHeight="1" thickBot="1" x14ac:dyDescent="0.3">
      <c r="A37" s="645" t="s">
        <v>610</v>
      </c>
      <c r="B37" s="640">
        <v>420</v>
      </c>
      <c r="C37" s="641"/>
      <c r="D37" s="641"/>
      <c r="E37" s="641"/>
      <c r="F37" s="561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642"/>
      <c r="W37" s="642"/>
      <c r="X37" s="642"/>
      <c r="Y37" s="642"/>
      <c r="Z37" s="642"/>
      <c r="AA37" s="642"/>
      <c r="AB37" s="642"/>
      <c r="AC37" s="642"/>
      <c r="AD37" s="642"/>
      <c r="AE37" s="642"/>
      <c r="AF37" s="642"/>
      <c r="AG37" s="642"/>
      <c r="AH37" s="642"/>
      <c r="AI37" s="642"/>
      <c r="AJ37" s="642"/>
      <c r="AK37" s="642"/>
      <c r="AL37" s="642"/>
      <c r="AM37" s="642"/>
      <c r="AN37" s="642"/>
      <c r="AO37" s="643"/>
    </row>
    <row r="38" spans="1:41" s="650" customFormat="1" ht="36.75" customHeight="1" thickBot="1" x14ac:dyDescent="0.3">
      <c r="A38" s="891" t="s">
        <v>611</v>
      </c>
      <c r="B38" s="892"/>
      <c r="C38" s="647">
        <v>30443</v>
      </c>
      <c r="D38" s="647">
        <f>C38-30443+280</f>
        <v>280</v>
      </c>
      <c r="E38" s="647">
        <v>278</v>
      </c>
      <c r="F38" s="539">
        <f>E38/D38</f>
        <v>0.99285714285714288</v>
      </c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648"/>
      <c r="AM38" s="648"/>
      <c r="AN38" s="648"/>
      <c r="AO38" s="649"/>
    </row>
    <row r="39" spans="1:41" s="449" customFormat="1" ht="42" customHeight="1" thickBot="1" x14ac:dyDescent="0.3">
      <c r="A39" s="891" t="s">
        <v>612</v>
      </c>
      <c r="B39" s="892"/>
      <c r="C39" s="538">
        <v>78967</v>
      </c>
      <c r="D39" s="538">
        <v>78967</v>
      </c>
      <c r="E39" s="538">
        <f>SUM(B40:B43)</f>
        <v>57165</v>
      </c>
      <c r="F39" s="539">
        <f>E39/D39</f>
        <v>0.72390998771638781</v>
      </c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8"/>
    </row>
    <row r="40" spans="1:41" s="449" customFormat="1" ht="21" customHeight="1" thickBot="1" x14ac:dyDescent="0.3">
      <c r="A40" s="540" t="s">
        <v>613</v>
      </c>
      <c r="B40" s="537">
        <v>30999</v>
      </c>
      <c r="C40" s="538"/>
      <c r="D40" s="538"/>
      <c r="E40" s="538"/>
      <c r="F40" s="539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8"/>
    </row>
    <row r="41" spans="1:41" s="449" customFormat="1" ht="21" customHeight="1" thickBot="1" x14ac:dyDescent="0.3">
      <c r="A41" s="540" t="s">
        <v>614</v>
      </c>
      <c r="B41" s="537">
        <v>3464</v>
      </c>
      <c r="C41" s="538"/>
      <c r="D41" s="538"/>
      <c r="E41" s="538"/>
      <c r="F41" s="539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47"/>
      <c r="AM41" s="447"/>
      <c r="AN41" s="447"/>
      <c r="AO41" s="448"/>
    </row>
    <row r="42" spans="1:41" s="449" customFormat="1" ht="21" customHeight="1" thickBot="1" x14ac:dyDescent="0.3">
      <c r="A42" s="540" t="s">
        <v>615</v>
      </c>
      <c r="B42" s="537">
        <v>18830</v>
      </c>
      <c r="C42" s="538"/>
      <c r="D42" s="538"/>
      <c r="E42" s="538"/>
      <c r="F42" s="539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8"/>
    </row>
    <row r="43" spans="1:41" s="449" customFormat="1" ht="21" customHeight="1" thickBot="1" x14ac:dyDescent="0.3">
      <c r="A43" s="540" t="s">
        <v>616</v>
      </c>
      <c r="B43" s="537">
        <v>3872</v>
      </c>
      <c r="C43" s="538"/>
      <c r="D43" s="538"/>
      <c r="E43" s="538"/>
      <c r="F43" s="539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  <c r="AM43" s="447"/>
      <c r="AN43" s="447"/>
      <c r="AO43" s="448"/>
    </row>
    <row r="44" spans="1:41" s="452" customFormat="1" ht="21" customHeight="1" thickBot="1" x14ac:dyDescent="0.3">
      <c r="A44" s="536" t="s">
        <v>617</v>
      </c>
      <c r="B44" s="549"/>
      <c r="C44" s="538"/>
      <c r="D44" s="538">
        <v>17777</v>
      </c>
      <c r="E44" s="538">
        <v>17777</v>
      </c>
      <c r="F44" s="539">
        <f>E44/D44</f>
        <v>1</v>
      </c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1"/>
    </row>
    <row r="45" spans="1:41" s="449" customFormat="1" ht="23.25" customHeight="1" thickBot="1" x14ac:dyDescent="0.3">
      <c r="A45" s="536" t="s">
        <v>618</v>
      </c>
      <c r="B45" s="537"/>
      <c r="C45" s="538">
        <v>2600</v>
      </c>
      <c r="D45" s="538">
        <f>2600+700</f>
        <v>3300</v>
      </c>
      <c r="E45" s="538">
        <v>2702</v>
      </c>
      <c r="F45" s="539">
        <f>E45/D45</f>
        <v>0.81878787878787884</v>
      </c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8"/>
    </row>
    <row r="46" spans="1:41" s="449" customFormat="1" ht="39" customHeight="1" thickBot="1" x14ac:dyDescent="0.3">
      <c r="A46" s="536" t="s">
        <v>619</v>
      </c>
      <c r="B46" s="537"/>
      <c r="C46" s="538">
        <v>32835</v>
      </c>
      <c r="D46" s="538">
        <f>C46+2494</f>
        <v>35329</v>
      </c>
      <c r="E46" s="538">
        <f>SUM(B48:B49)</f>
        <v>34969</v>
      </c>
      <c r="F46" s="539">
        <f>E46/D46</f>
        <v>0.98981007104644914</v>
      </c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8"/>
    </row>
    <row r="47" spans="1:41" s="449" customFormat="1" ht="27.75" customHeight="1" thickBot="1" x14ac:dyDescent="0.3">
      <c r="A47" s="540" t="s">
        <v>620</v>
      </c>
      <c r="B47" s="537"/>
      <c r="C47" s="538"/>
      <c r="D47" s="538"/>
      <c r="E47" s="538"/>
      <c r="F47" s="539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  <c r="AL47" s="447"/>
      <c r="AM47" s="447"/>
      <c r="AN47" s="447"/>
      <c r="AO47" s="448"/>
    </row>
    <row r="48" spans="1:41" s="449" customFormat="1" ht="37.5" customHeight="1" thickBot="1" x14ac:dyDescent="0.3">
      <c r="A48" s="540" t="s">
        <v>621</v>
      </c>
      <c r="B48" s="537">
        <f>2504+2494</f>
        <v>4998</v>
      </c>
      <c r="C48" s="538"/>
      <c r="D48" s="538"/>
      <c r="E48" s="538"/>
      <c r="F48" s="539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8"/>
    </row>
    <row r="49" spans="1:41" s="449" customFormat="1" ht="24.75" customHeight="1" thickBot="1" x14ac:dyDescent="0.3">
      <c r="A49" s="540" t="s">
        <v>622</v>
      </c>
      <c r="B49" s="537">
        <v>29971</v>
      </c>
      <c r="C49" s="538"/>
      <c r="D49" s="538"/>
      <c r="E49" s="538"/>
      <c r="F49" s="539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8"/>
    </row>
    <row r="50" spans="1:41" s="644" customFormat="1" ht="37.5" customHeight="1" thickBot="1" x14ac:dyDescent="0.3">
      <c r="A50" s="732" t="s">
        <v>623</v>
      </c>
      <c r="B50" s="640"/>
      <c r="C50" s="647">
        <v>15473</v>
      </c>
      <c r="D50" s="647">
        <f>15473+532+1016+499</f>
        <v>17520</v>
      </c>
      <c r="E50" s="647">
        <f>SUM(B51:B55)</f>
        <v>15645</v>
      </c>
      <c r="F50" s="539">
        <f>E50/D50</f>
        <v>0.89297945205479456</v>
      </c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  <c r="AA50" s="642"/>
      <c r="AB50" s="642"/>
      <c r="AC50" s="642"/>
      <c r="AD50" s="642"/>
      <c r="AE50" s="642"/>
      <c r="AF50" s="642"/>
      <c r="AG50" s="642"/>
      <c r="AH50" s="642"/>
      <c r="AI50" s="642"/>
      <c r="AJ50" s="642"/>
      <c r="AK50" s="642"/>
      <c r="AL50" s="642"/>
      <c r="AM50" s="642"/>
      <c r="AN50" s="642"/>
      <c r="AO50" s="643"/>
    </row>
    <row r="51" spans="1:41" s="644" customFormat="1" ht="37.5" customHeight="1" thickBot="1" x14ac:dyDescent="0.3">
      <c r="A51" s="645" t="s">
        <v>863</v>
      </c>
      <c r="B51" s="640">
        <v>8754</v>
      </c>
      <c r="C51" s="647"/>
      <c r="D51" s="647"/>
      <c r="E51" s="647"/>
      <c r="F51" s="539"/>
      <c r="G51" s="642"/>
      <c r="H51" s="642"/>
      <c r="I51" s="642"/>
      <c r="J51" s="642"/>
      <c r="K51" s="642"/>
      <c r="L51" s="642"/>
      <c r="M51" s="642"/>
      <c r="N51" s="642"/>
      <c r="O51" s="642"/>
      <c r="P51" s="642"/>
      <c r="Q51" s="642"/>
      <c r="R51" s="642"/>
      <c r="S51" s="642"/>
      <c r="T51" s="642"/>
      <c r="U51" s="642"/>
      <c r="V51" s="642"/>
      <c r="W51" s="642"/>
      <c r="X51" s="642"/>
      <c r="Y51" s="642"/>
      <c r="Z51" s="642"/>
      <c r="AA51" s="642"/>
      <c r="AB51" s="642"/>
      <c r="AC51" s="642"/>
      <c r="AD51" s="642"/>
      <c r="AE51" s="642"/>
      <c r="AF51" s="642"/>
      <c r="AG51" s="642"/>
      <c r="AH51" s="642"/>
      <c r="AI51" s="642"/>
      <c r="AJ51" s="642"/>
      <c r="AK51" s="642"/>
      <c r="AL51" s="642"/>
      <c r="AM51" s="642"/>
      <c r="AN51" s="642"/>
      <c r="AO51" s="643"/>
    </row>
    <row r="52" spans="1:41" s="644" customFormat="1" ht="24.75" customHeight="1" thickBot="1" x14ac:dyDescent="0.3">
      <c r="A52" s="645" t="s">
        <v>864</v>
      </c>
      <c r="B52" s="640">
        <v>4738</v>
      </c>
      <c r="C52" s="647"/>
      <c r="D52" s="647"/>
      <c r="E52" s="647"/>
      <c r="F52" s="539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2"/>
      <c r="X52" s="642"/>
      <c r="Y52" s="642"/>
      <c r="Z52" s="642"/>
      <c r="AA52" s="642"/>
      <c r="AB52" s="642"/>
      <c r="AC52" s="642"/>
      <c r="AD52" s="642"/>
      <c r="AE52" s="642"/>
      <c r="AF52" s="642"/>
      <c r="AG52" s="642"/>
      <c r="AH52" s="642"/>
      <c r="AI52" s="642"/>
      <c r="AJ52" s="642"/>
      <c r="AK52" s="642"/>
      <c r="AL52" s="642"/>
      <c r="AM52" s="642"/>
      <c r="AN52" s="642"/>
      <c r="AO52" s="643"/>
    </row>
    <row r="53" spans="1:41" s="644" customFormat="1" ht="45.75" customHeight="1" thickBot="1" x14ac:dyDescent="0.3">
      <c r="A53" s="645" t="s">
        <v>624</v>
      </c>
      <c r="B53" s="640">
        <v>532</v>
      </c>
      <c r="C53" s="647"/>
      <c r="D53" s="647"/>
      <c r="E53" s="647"/>
      <c r="F53" s="539"/>
      <c r="G53" s="642"/>
      <c r="H53" s="642"/>
      <c r="I53" s="642"/>
      <c r="J53" s="642"/>
      <c r="K53" s="642"/>
      <c r="L53" s="642"/>
      <c r="M53" s="642"/>
      <c r="N53" s="642"/>
      <c r="O53" s="642"/>
      <c r="P53" s="642"/>
      <c r="Q53" s="642"/>
      <c r="R53" s="642"/>
      <c r="S53" s="642"/>
      <c r="T53" s="642"/>
      <c r="U53" s="642"/>
      <c r="V53" s="642"/>
      <c r="W53" s="642"/>
      <c r="X53" s="642"/>
      <c r="Y53" s="642"/>
      <c r="Z53" s="642"/>
      <c r="AA53" s="642"/>
      <c r="AB53" s="642"/>
      <c r="AC53" s="642"/>
      <c r="AD53" s="642"/>
      <c r="AE53" s="642"/>
      <c r="AF53" s="642"/>
      <c r="AG53" s="642"/>
      <c r="AH53" s="642"/>
      <c r="AI53" s="642"/>
      <c r="AJ53" s="642"/>
      <c r="AK53" s="642"/>
      <c r="AL53" s="642"/>
      <c r="AM53" s="642"/>
      <c r="AN53" s="642"/>
      <c r="AO53" s="643"/>
    </row>
    <row r="54" spans="1:41" s="644" customFormat="1" ht="45.75" customHeight="1" thickBot="1" x14ac:dyDescent="0.3">
      <c r="A54" s="645" t="s">
        <v>625</v>
      </c>
      <c r="B54" s="640">
        <v>1016</v>
      </c>
      <c r="C54" s="647"/>
      <c r="D54" s="647"/>
      <c r="E54" s="647"/>
      <c r="F54" s="539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2"/>
      <c r="X54" s="642"/>
      <c r="Y54" s="642"/>
      <c r="Z54" s="642"/>
      <c r="AA54" s="642"/>
      <c r="AB54" s="642"/>
      <c r="AC54" s="642"/>
      <c r="AD54" s="642"/>
      <c r="AE54" s="642"/>
      <c r="AF54" s="642"/>
      <c r="AG54" s="642"/>
      <c r="AH54" s="642"/>
      <c r="AI54" s="642"/>
      <c r="AJ54" s="642"/>
      <c r="AK54" s="642"/>
      <c r="AL54" s="642"/>
      <c r="AM54" s="642"/>
      <c r="AN54" s="642"/>
      <c r="AO54" s="643"/>
    </row>
    <row r="55" spans="1:41" s="644" customFormat="1" ht="28.5" customHeight="1" thickBot="1" x14ac:dyDescent="0.3">
      <c r="A55" s="645" t="s">
        <v>626</v>
      </c>
      <c r="B55" s="640">
        <v>605</v>
      </c>
      <c r="C55" s="647"/>
      <c r="D55" s="647"/>
      <c r="E55" s="647"/>
      <c r="F55" s="539"/>
      <c r="G55" s="642"/>
      <c r="H55" s="642"/>
      <c r="I55" s="642"/>
      <c r="J55" s="642"/>
      <c r="K55" s="642"/>
      <c r="L55" s="642"/>
      <c r="M55" s="642"/>
      <c r="N55" s="642"/>
      <c r="O55" s="642"/>
      <c r="P55" s="642"/>
      <c r="Q55" s="642"/>
      <c r="R55" s="642"/>
      <c r="S55" s="642"/>
      <c r="T55" s="642"/>
      <c r="U55" s="642"/>
      <c r="V55" s="642"/>
      <c r="W55" s="642"/>
      <c r="X55" s="642"/>
      <c r="Y55" s="642"/>
      <c r="Z55" s="642"/>
      <c r="AA55" s="642"/>
      <c r="AB55" s="642"/>
      <c r="AC55" s="642"/>
      <c r="AD55" s="642"/>
      <c r="AE55" s="642"/>
      <c r="AF55" s="642"/>
      <c r="AG55" s="642"/>
      <c r="AH55" s="642"/>
      <c r="AI55" s="642"/>
      <c r="AJ55" s="642"/>
      <c r="AK55" s="642"/>
      <c r="AL55" s="642"/>
      <c r="AM55" s="642"/>
      <c r="AN55" s="642"/>
      <c r="AO55" s="643"/>
    </row>
    <row r="56" spans="1:41" s="452" customFormat="1" ht="32.25" customHeight="1" thickBot="1" x14ac:dyDescent="0.3">
      <c r="A56" s="536" t="s">
        <v>627</v>
      </c>
      <c r="B56" s="549"/>
      <c r="C56" s="538">
        <v>2400</v>
      </c>
      <c r="D56" s="538">
        <f>2400+2400</f>
        <v>4800</v>
      </c>
      <c r="E56" s="538">
        <v>3745</v>
      </c>
      <c r="F56" s="539">
        <f>E56/D56</f>
        <v>0.78020833333333328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0"/>
      <c r="AH56" s="450"/>
      <c r="AI56" s="450"/>
      <c r="AJ56" s="450"/>
      <c r="AK56" s="450"/>
      <c r="AL56" s="450"/>
      <c r="AM56" s="450"/>
      <c r="AN56" s="450"/>
      <c r="AO56" s="451"/>
    </row>
    <row r="57" spans="1:41" s="449" customFormat="1" ht="87.75" customHeight="1" thickBot="1" x14ac:dyDescent="0.3">
      <c r="A57" s="540" t="s">
        <v>628</v>
      </c>
      <c r="B57" s="640"/>
      <c r="C57" s="560"/>
      <c r="D57" s="560"/>
      <c r="E57" s="560"/>
      <c r="F57" s="561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  <c r="AL57" s="447"/>
      <c r="AM57" s="447"/>
      <c r="AN57" s="447"/>
      <c r="AO57" s="448"/>
    </row>
    <row r="58" spans="1:41" s="449" customFormat="1" ht="39" customHeight="1" thickBot="1" x14ac:dyDescent="0.3">
      <c r="A58" s="540" t="s">
        <v>629</v>
      </c>
      <c r="B58" s="640"/>
      <c r="C58" s="560"/>
      <c r="D58" s="560"/>
      <c r="E58" s="560"/>
      <c r="F58" s="561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  <c r="AM58" s="447"/>
      <c r="AN58" s="447"/>
      <c r="AO58" s="448"/>
    </row>
    <row r="59" spans="1:41" s="449" customFormat="1" ht="25.5" customHeight="1" thickBot="1" x14ac:dyDescent="0.3">
      <c r="A59" s="536" t="s">
        <v>630</v>
      </c>
      <c r="B59" s="537"/>
      <c r="C59" s="538">
        <v>17833</v>
      </c>
      <c r="D59" s="538">
        <v>20773</v>
      </c>
      <c r="E59" s="538">
        <v>20768</v>
      </c>
      <c r="F59" s="539">
        <f>E59/D59</f>
        <v>0.9997593029413181</v>
      </c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  <c r="AL59" s="447"/>
      <c r="AM59" s="447"/>
      <c r="AN59" s="447"/>
      <c r="AO59" s="448"/>
    </row>
    <row r="60" spans="1:41" s="449" customFormat="1" ht="25.5" customHeight="1" thickBot="1" x14ac:dyDescent="0.3">
      <c r="A60" s="540" t="s">
        <v>631</v>
      </c>
      <c r="B60" s="537">
        <v>20768</v>
      </c>
      <c r="C60" s="538"/>
      <c r="D60" s="538"/>
      <c r="E60" s="538"/>
      <c r="F60" s="539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  <c r="AL60" s="447"/>
      <c r="AM60" s="447"/>
      <c r="AN60" s="447"/>
      <c r="AO60" s="448"/>
    </row>
    <row r="61" spans="1:41" s="644" customFormat="1" ht="39.75" customHeight="1" thickBot="1" x14ac:dyDescent="0.3">
      <c r="A61" s="732" t="s">
        <v>632</v>
      </c>
      <c r="B61" s="640"/>
      <c r="C61" s="647">
        <v>21047</v>
      </c>
      <c r="D61" s="647">
        <f>C61+571</f>
        <v>21618</v>
      </c>
      <c r="E61" s="647">
        <f>SUM(B63:B67)</f>
        <v>22397</v>
      </c>
      <c r="F61" s="539">
        <f>E61/D61</f>
        <v>1.0360347858266259</v>
      </c>
      <c r="G61" s="642"/>
      <c r="H61" s="642"/>
      <c r="I61" s="642"/>
      <c r="J61" s="642"/>
      <c r="K61" s="642"/>
      <c r="L61" s="642"/>
      <c r="M61" s="642"/>
      <c r="N61" s="642"/>
      <c r="O61" s="642"/>
      <c r="P61" s="642"/>
      <c r="Q61" s="642"/>
      <c r="R61" s="642"/>
      <c r="S61" s="642"/>
      <c r="T61" s="642"/>
      <c r="U61" s="642"/>
      <c r="V61" s="642"/>
      <c r="W61" s="642"/>
      <c r="X61" s="642"/>
      <c r="Y61" s="642"/>
      <c r="Z61" s="642"/>
      <c r="AA61" s="642"/>
      <c r="AB61" s="642"/>
      <c r="AC61" s="642"/>
      <c r="AD61" s="642"/>
      <c r="AE61" s="642"/>
      <c r="AF61" s="642"/>
      <c r="AG61" s="642"/>
      <c r="AH61" s="642"/>
      <c r="AI61" s="642"/>
      <c r="AJ61" s="642"/>
      <c r="AK61" s="642"/>
      <c r="AL61" s="642"/>
      <c r="AM61" s="642"/>
      <c r="AN61" s="642"/>
      <c r="AO61" s="643"/>
    </row>
    <row r="62" spans="1:41" s="644" customFormat="1" ht="21.75" customHeight="1" thickBot="1" x14ac:dyDescent="0.3">
      <c r="A62" s="645" t="s">
        <v>548</v>
      </c>
      <c r="B62" s="640"/>
      <c r="C62" s="647"/>
      <c r="D62" s="647"/>
      <c r="E62" s="647"/>
      <c r="F62" s="539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2"/>
      <c r="S62" s="642"/>
      <c r="T62" s="642"/>
      <c r="U62" s="642"/>
      <c r="V62" s="642"/>
      <c r="W62" s="642"/>
      <c r="X62" s="642"/>
      <c r="Y62" s="642"/>
      <c r="Z62" s="642"/>
      <c r="AA62" s="642"/>
      <c r="AB62" s="642"/>
      <c r="AC62" s="642"/>
      <c r="AD62" s="642"/>
      <c r="AE62" s="642"/>
      <c r="AF62" s="642"/>
      <c r="AG62" s="642"/>
      <c r="AH62" s="642"/>
      <c r="AI62" s="642"/>
      <c r="AJ62" s="642"/>
      <c r="AK62" s="642"/>
      <c r="AL62" s="642"/>
      <c r="AM62" s="642"/>
      <c r="AN62" s="642"/>
      <c r="AO62" s="643"/>
    </row>
    <row r="63" spans="1:41" s="644" customFormat="1" ht="21.75" customHeight="1" thickBot="1" x14ac:dyDescent="0.3">
      <c r="A63" s="645" t="s">
        <v>633</v>
      </c>
      <c r="B63" s="640">
        <v>12680</v>
      </c>
      <c r="C63" s="647"/>
      <c r="D63" s="647"/>
      <c r="E63" s="647"/>
      <c r="F63" s="539"/>
      <c r="G63" s="642"/>
      <c r="H63" s="642"/>
      <c r="I63" s="642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2"/>
      <c r="AK63" s="642"/>
      <c r="AL63" s="642"/>
      <c r="AM63" s="642"/>
      <c r="AN63" s="642"/>
      <c r="AO63" s="643"/>
    </row>
    <row r="64" spans="1:41" s="644" customFormat="1" ht="21.75" customHeight="1" thickBot="1" x14ac:dyDescent="0.3">
      <c r="A64" s="645" t="s">
        <v>634</v>
      </c>
      <c r="B64" s="640">
        <v>3147</v>
      </c>
      <c r="C64" s="647"/>
      <c r="D64" s="647"/>
      <c r="E64" s="647"/>
      <c r="F64" s="539"/>
      <c r="G64" s="642"/>
      <c r="H64" s="642"/>
      <c r="I64" s="642"/>
      <c r="J64" s="642"/>
      <c r="K64" s="642"/>
      <c r="L64" s="642"/>
      <c r="M64" s="642"/>
      <c r="N64" s="642"/>
      <c r="O64" s="642"/>
      <c r="P64" s="642"/>
      <c r="Q64" s="642"/>
      <c r="R64" s="642"/>
      <c r="S64" s="642"/>
      <c r="T64" s="642"/>
      <c r="U64" s="642"/>
      <c r="V64" s="642"/>
      <c r="W64" s="642"/>
      <c r="X64" s="642"/>
      <c r="Y64" s="642"/>
      <c r="Z64" s="642"/>
      <c r="AA64" s="642"/>
      <c r="AB64" s="642"/>
      <c r="AC64" s="642"/>
      <c r="AD64" s="642"/>
      <c r="AE64" s="642"/>
      <c r="AF64" s="642"/>
      <c r="AG64" s="642"/>
      <c r="AH64" s="642"/>
      <c r="AI64" s="642"/>
      <c r="AJ64" s="642"/>
      <c r="AK64" s="642"/>
      <c r="AL64" s="642"/>
      <c r="AM64" s="642"/>
      <c r="AN64" s="642"/>
      <c r="AO64" s="643"/>
    </row>
    <row r="65" spans="1:41" s="644" customFormat="1" ht="21.75" customHeight="1" thickBot="1" x14ac:dyDescent="0.3">
      <c r="A65" s="645" t="s">
        <v>635</v>
      </c>
      <c r="B65" s="640">
        <v>1975</v>
      </c>
      <c r="C65" s="647"/>
      <c r="D65" s="647"/>
      <c r="E65" s="647"/>
      <c r="F65" s="539"/>
      <c r="G65" s="642"/>
      <c r="H65" s="642"/>
      <c r="I65" s="642"/>
      <c r="J65" s="642"/>
      <c r="K65" s="642"/>
      <c r="L65" s="642"/>
      <c r="M65" s="642"/>
      <c r="N65" s="642"/>
      <c r="O65" s="642"/>
      <c r="P65" s="642"/>
      <c r="Q65" s="642"/>
      <c r="R65" s="642"/>
      <c r="S65" s="642"/>
      <c r="T65" s="642"/>
      <c r="U65" s="642"/>
      <c r="V65" s="642"/>
      <c r="W65" s="642"/>
      <c r="X65" s="642"/>
      <c r="Y65" s="642"/>
      <c r="Z65" s="642"/>
      <c r="AA65" s="642"/>
      <c r="AB65" s="642"/>
      <c r="AC65" s="642"/>
      <c r="AD65" s="642"/>
      <c r="AE65" s="642"/>
      <c r="AF65" s="642"/>
      <c r="AG65" s="642"/>
      <c r="AH65" s="642"/>
      <c r="AI65" s="642"/>
      <c r="AJ65" s="642"/>
      <c r="AK65" s="642"/>
      <c r="AL65" s="642"/>
      <c r="AM65" s="642"/>
      <c r="AN65" s="642"/>
      <c r="AO65" s="643"/>
    </row>
    <row r="66" spans="1:41" s="644" customFormat="1" ht="21.75" customHeight="1" thickBot="1" x14ac:dyDescent="0.3">
      <c r="A66" s="645" t="s">
        <v>636</v>
      </c>
      <c r="B66" s="640">
        <v>691</v>
      </c>
      <c r="C66" s="647"/>
      <c r="D66" s="647"/>
      <c r="E66" s="647"/>
      <c r="F66" s="539"/>
      <c r="G66" s="642"/>
      <c r="H66" s="642"/>
      <c r="I66" s="642"/>
      <c r="J66" s="642"/>
      <c r="K66" s="642"/>
      <c r="L66" s="642"/>
      <c r="M66" s="642"/>
      <c r="N66" s="642"/>
      <c r="O66" s="642"/>
      <c r="P66" s="642"/>
      <c r="Q66" s="642"/>
      <c r="R66" s="642"/>
      <c r="S66" s="642"/>
      <c r="T66" s="642"/>
      <c r="U66" s="642"/>
      <c r="V66" s="642"/>
      <c r="W66" s="642"/>
      <c r="X66" s="642"/>
      <c r="Y66" s="642"/>
      <c r="Z66" s="642"/>
      <c r="AA66" s="642"/>
      <c r="AB66" s="642"/>
      <c r="AC66" s="642"/>
      <c r="AD66" s="642"/>
      <c r="AE66" s="642"/>
      <c r="AF66" s="642"/>
      <c r="AG66" s="642"/>
      <c r="AH66" s="642"/>
      <c r="AI66" s="642"/>
      <c r="AJ66" s="642"/>
      <c r="AK66" s="642"/>
      <c r="AL66" s="642"/>
      <c r="AM66" s="642"/>
      <c r="AN66" s="642"/>
      <c r="AO66" s="643"/>
    </row>
    <row r="67" spans="1:41" s="644" customFormat="1" ht="21.75" customHeight="1" thickBot="1" x14ac:dyDescent="0.3">
      <c r="A67" s="645" t="s">
        <v>637</v>
      </c>
      <c r="B67" s="640">
        <v>3904</v>
      </c>
      <c r="C67" s="742"/>
      <c r="D67" s="742"/>
      <c r="E67" s="742"/>
      <c r="F67" s="758"/>
      <c r="G67" s="642"/>
      <c r="H67" s="642"/>
      <c r="I67" s="642"/>
      <c r="J67" s="642"/>
      <c r="K67" s="642"/>
      <c r="L67" s="642"/>
      <c r="M67" s="642"/>
      <c r="N67" s="642"/>
      <c r="O67" s="642"/>
      <c r="P67" s="642"/>
      <c r="Q67" s="642"/>
      <c r="R67" s="642"/>
      <c r="S67" s="642"/>
      <c r="T67" s="642"/>
      <c r="U67" s="642"/>
      <c r="V67" s="642"/>
      <c r="W67" s="642"/>
      <c r="X67" s="642"/>
      <c r="Y67" s="642"/>
      <c r="Z67" s="642"/>
      <c r="AA67" s="642"/>
      <c r="AB67" s="642"/>
      <c r="AC67" s="642"/>
      <c r="AD67" s="642"/>
      <c r="AE67" s="642"/>
      <c r="AF67" s="642"/>
      <c r="AG67" s="642"/>
      <c r="AH67" s="642"/>
      <c r="AI67" s="642"/>
      <c r="AJ67" s="642"/>
      <c r="AK67" s="642"/>
      <c r="AL67" s="642"/>
      <c r="AM67" s="642"/>
      <c r="AN67" s="642"/>
      <c r="AO67" s="643"/>
    </row>
    <row r="68" spans="1:41" s="644" customFormat="1" ht="38.25" thickBot="1" x14ac:dyDescent="0.3">
      <c r="A68" s="732" t="s">
        <v>638</v>
      </c>
      <c r="B68" s="640"/>
      <c r="C68" s="647"/>
      <c r="D68" s="647">
        <f>10832+3737</f>
        <v>14569</v>
      </c>
      <c r="E68" s="647">
        <v>14646</v>
      </c>
      <c r="F68" s="539">
        <f>E68/D68</f>
        <v>1.0052851945912553</v>
      </c>
      <c r="G68" s="642"/>
      <c r="H68" s="642"/>
      <c r="I68" s="642"/>
      <c r="J68" s="642"/>
      <c r="K68" s="642"/>
      <c r="L68" s="642"/>
      <c r="M68" s="642"/>
      <c r="N68" s="642"/>
      <c r="O68" s="642"/>
      <c r="P68" s="642"/>
      <c r="Q68" s="642"/>
      <c r="R68" s="642"/>
      <c r="S68" s="642"/>
      <c r="T68" s="642"/>
      <c r="U68" s="642"/>
      <c r="V68" s="642"/>
      <c r="W68" s="642"/>
      <c r="X68" s="642"/>
      <c r="Y68" s="642"/>
      <c r="Z68" s="642"/>
      <c r="AA68" s="642"/>
      <c r="AB68" s="642"/>
      <c r="AC68" s="642"/>
      <c r="AD68" s="642"/>
      <c r="AE68" s="642"/>
      <c r="AF68" s="642"/>
      <c r="AG68" s="642"/>
      <c r="AH68" s="642"/>
      <c r="AI68" s="642"/>
      <c r="AJ68" s="642"/>
      <c r="AK68" s="642"/>
      <c r="AL68" s="642"/>
      <c r="AM68" s="642"/>
      <c r="AN68" s="642"/>
      <c r="AO68" s="643"/>
    </row>
    <row r="69" spans="1:41" s="644" customFormat="1" ht="21.75" customHeight="1" thickBot="1" x14ac:dyDescent="0.3">
      <c r="A69" s="740" t="s">
        <v>639</v>
      </c>
      <c r="B69" s="741"/>
      <c r="C69" s="742"/>
      <c r="D69" s="742">
        <v>1410</v>
      </c>
      <c r="E69" s="742">
        <v>1690</v>
      </c>
      <c r="F69" s="539">
        <f t="shared" ref="F69:F70" si="2">E69/D69</f>
        <v>1.198581560283688</v>
      </c>
      <c r="G69" s="642"/>
      <c r="H69" s="642"/>
      <c r="I69" s="642"/>
      <c r="J69" s="642"/>
      <c r="K69" s="642"/>
      <c r="L69" s="642"/>
      <c r="M69" s="642"/>
      <c r="N69" s="642"/>
      <c r="O69" s="642"/>
      <c r="P69" s="642"/>
      <c r="Q69" s="642"/>
      <c r="R69" s="642"/>
      <c r="S69" s="642"/>
      <c r="T69" s="642"/>
      <c r="U69" s="642"/>
      <c r="V69" s="642"/>
      <c r="W69" s="642"/>
      <c r="X69" s="642"/>
      <c r="Y69" s="642"/>
      <c r="Z69" s="642"/>
      <c r="AA69" s="642"/>
      <c r="AB69" s="642"/>
      <c r="AC69" s="642"/>
      <c r="AD69" s="642"/>
      <c r="AE69" s="642"/>
      <c r="AF69" s="642"/>
      <c r="AG69" s="642"/>
      <c r="AH69" s="642"/>
      <c r="AI69" s="642"/>
      <c r="AJ69" s="642"/>
      <c r="AK69" s="642"/>
      <c r="AL69" s="642"/>
      <c r="AM69" s="642"/>
      <c r="AN69" s="642"/>
      <c r="AO69" s="643"/>
    </row>
    <row r="70" spans="1:41" s="644" customFormat="1" ht="27.75" customHeight="1" thickBot="1" x14ac:dyDescent="0.3">
      <c r="A70" s="740" t="s">
        <v>640</v>
      </c>
      <c r="B70" s="741"/>
      <c r="C70" s="742">
        <v>10000</v>
      </c>
      <c r="D70" s="742">
        <f>10000+11715</f>
        <v>21715</v>
      </c>
      <c r="E70" s="742">
        <v>21427</v>
      </c>
      <c r="F70" s="539">
        <f t="shared" si="2"/>
        <v>0.98673727837900072</v>
      </c>
      <c r="G70" s="642"/>
      <c r="H70" s="642"/>
      <c r="I70" s="642"/>
      <c r="J70" s="642"/>
      <c r="K70" s="642"/>
      <c r="L70" s="642"/>
      <c r="M70" s="642"/>
      <c r="N70" s="642"/>
      <c r="O70" s="642"/>
      <c r="P70" s="642"/>
      <c r="Q70" s="642"/>
      <c r="R70" s="642"/>
      <c r="S70" s="642"/>
      <c r="T70" s="642"/>
      <c r="U70" s="642"/>
      <c r="V70" s="642"/>
      <c r="W70" s="642"/>
      <c r="X70" s="642"/>
      <c r="Y70" s="642"/>
      <c r="Z70" s="642"/>
      <c r="AA70" s="642"/>
      <c r="AB70" s="642"/>
      <c r="AC70" s="642"/>
      <c r="AD70" s="642"/>
      <c r="AE70" s="642"/>
      <c r="AF70" s="642"/>
      <c r="AG70" s="642"/>
      <c r="AH70" s="642"/>
      <c r="AI70" s="642"/>
      <c r="AJ70" s="642"/>
      <c r="AK70" s="642"/>
      <c r="AL70" s="642"/>
      <c r="AM70" s="642"/>
      <c r="AN70" s="642"/>
      <c r="AO70" s="643"/>
    </row>
    <row r="71" spans="1:41" s="765" customFormat="1" ht="41.25" customHeight="1" thickBot="1" x14ac:dyDescent="0.35">
      <c r="A71" s="654" t="s">
        <v>641</v>
      </c>
      <c r="B71" s="760"/>
      <c r="C71" s="761">
        <f>SUM(C8:C70)</f>
        <v>919450</v>
      </c>
      <c r="D71" s="761">
        <f>SUM(D8:D70)</f>
        <v>1108417</v>
      </c>
      <c r="E71" s="761">
        <f>SUM(E8:E70)</f>
        <v>1075357</v>
      </c>
      <c r="F71" s="762">
        <f>E71/D71</f>
        <v>0.97017368012219229</v>
      </c>
      <c r="G71" s="763"/>
      <c r="H71" s="763"/>
      <c r="I71" s="763"/>
      <c r="J71" s="763"/>
      <c r="K71" s="763"/>
      <c r="L71" s="763"/>
      <c r="M71" s="763"/>
      <c r="N71" s="763"/>
      <c r="O71" s="763"/>
      <c r="P71" s="763"/>
      <c r="Q71" s="763"/>
      <c r="R71" s="763"/>
      <c r="S71" s="763"/>
      <c r="T71" s="763"/>
      <c r="U71" s="763"/>
      <c r="V71" s="763"/>
      <c r="W71" s="763"/>
      <c r="X71" s="763"/>
      <c r="Y71" s="763"/>
      <c r="Z71" s="763"/>
      <c r="AA71" s="763"/>
      <c r="AB71" s="763"/>
      <c r="AC71" s="763"/>
      <c r="AD71" s="763"/>
      <c r="AE71" s="763"/>
      <c r="AF71" s="763"/>
      <c r="AG71" s="763"/>
      <c r="AH71" s="763"/>
      <c r="AI71" s="763"/>
      <c r="AJ71" s="763"/>
      <c r="AK71" s="763"/>
      <c r="AL71" s="763"/>
      <c r="AM71" s="763"/>
      <c r="AN71" s="763"/>
      <c r="AO71" s="764"/>
    </row>
    <row r="72" spans="1:41" s="765" customFormat="1" ht="26.25" customHeight="1" thickBot="1" x14ac:dyDescent="0.35">
      <c r="A72" s="653"/>
      <c r="B72" s="766"/>
      <c r="C72" s="767"/>
      <c r="D72" s="768"/>
      <c r="E72" s="767"/>
      <c r="F72" s="769"/>
      <c r="G72" s="763"/>
      <c r="H72" s="763"/>
      <c r="I72" s="763"/>
      <c r="J72" s="763"/>
      <c r="K72" s="763"/>
      <c r="L72" s="763"/>
      <c r="M72" s="763"/>
      <c r="N72" s="763"/>
      <c r="O72" s="763"/>
      <c r="P72" s="763"/>
      <c r="Q72" s="763"/>
      <c r="R72" s="763"/>
      <c r="S72" s="763"/>
      <c r="T72" s="763"/>
      <c r="U72" s="763"/>
      <c r="V72" s="763"/>
      <c r="W72" s="763"/>
      <c r="X72" s="763"/>
      <c r="Y72" s="763"/>
      <c r="Z72" s="763"/>
      <c r="AA72" s="763"/>
      <c r="AB72" s="763"/>
      <c r="AC72" s="763"/>
      <c r="AD72" s="763"/>
      <c r="AE72" s="763"/>
      <c r="AF72" s="763"/>
      <c r="AG72" s="763"/>
      <c r="AH72" s="763"/>
      <c r="AI72" s="763"/>
      <c r="AJ72" s="763"/>
      <c r="AK72" s="763"/>
      <c r="AL72" s="763"/>
      <c r="AM72" s="763"/>
      <c r="AN72" s="763"/>
      <c r="AO72" s="764"/>
    </row>
    <row r="73" spans="1:41" s="773" customFormat="1" ht="28.5" customHeight="1" thickBot="1" x14ac:dyDescent="0.35">
      <c r="A73" s="770" t="s">
        <v>642</v>
      </c>
      <c r="B73" s="771"/>
      <c r="C73" s="768"/>
      <c r="D73" s="768"/>
      <c r="E73" s="768"/>
      <c r="F73" s="769"/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772"/>
    </row>
    <row r="74" spans="1:41" s="773" customFormat="1" ht="28.5" customHeight="1" thickBot="1" x14ac:dyDescent="0.35">
      <c r="A74" s="653" t="s">
        <v>643</v>
      </c>
      <c r="B74" s="774"/>
      <c r="C74" s="652">
        <v>19000</v>
      </c>
      <c r="D74" s="652">
        <f>19000-400+26000+9171</f>
        <v>53771</v>
      </c>
      <c r="E74" s="652">
        <f>7113+500+635+9171</f>
        <v>17419</v>
      </c>
      <c r="F74" s="539">
        <f>E74/D74</f>
        <v>0.32394785293187778</v>
      </c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29"/>
      <c r="AL74" s="429"/>
      <c r="AM74" s="429"/>
      <c r="AN74" s="429"/>
      <c r="AO74" s="772"/>
    </row>
    <row r="75" spans="1:41" s="452" customFormat="1" ht="52.5" customHeight="1" thickBot="1" x14ac:dyDescent="0.3">
      <c r="A75" s="536" t="s">
        <v>644</v>
      </c>
      <c r="B75" s="549"/>
      <c r="C75" s="538">
        <v>593</v>
      </c>
      <c r="D75" s="538">
        <v>593</v>
      </c>
      <c r="E75" s="538">
        <v>0</v>
      </c>
      <c r="F75" s="539">
        <v>0</v>
      </c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0"/>
      <c r="AA75" s="450"/>
      <c r="AB75" s="450"/>
      <c r="AC75" s="450"/>
      <c r="AD75" s="450"/>
      <c r="AE75" s="450"/>
      <c r="AF75" s="450"/>
      <c r="AG75" s="450"/>
      <c r="AH75" s="450"/>
      <c r="AI75" s="450"/>
      <c r="AJ75" s="450"/>
      <c r="AK75" s="450"/>
      <c r="AL75" s="450"/>
      <c r="AM75" s="450"/>
      <c r="AN75" s="450"/>
      <c r="AO75" s="451"/>
    </row>
    <row r="76" spans="1:41" s="452" customFormat="1" ht="38.25" customHeight="1" thickBot="1" x14ac:dyDescent="0.3">
      <c r="A76" s="536" t="s">
        <v>645</v>
      </c>
      <c r="B76" s="549"/>
      <c r="C76" s="538"/>
      <c r="D76" s="538">
        <f>98</f>
        <v>98</v>
      </c>
      <c r="E76" s="538">
        <v>98</v>
      </c>
      <c r="F76" s="539">
        <f>E76/D76</f>
        <v>1</v>
      </c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0"/>
      <c r="AA76" s="450"/>
      <c r="AB76" s="450"/>
      <c r="AC76" s="450"/>
      <c r="AD76" s="450"/>
      <c r="AE76" s="450"/>
      <c r="AF76" s="450"/>
      <c r="AG76" s="450"/>
      <c r="AH76" s="450"/>
      <c r="AI76" s="450"/>
      <c r="AJ76" s="450"/>
      <c r="AK76" s="450"/>
      <c r="AL76" s="450"/>
      <c r="AM76" s="450"/>
      <c r="AN76" s="450"/>
      <c r="AO76" s="451"/>
    </row>
    <row r="77" spans="1:41" s="650" customFormat="1" ht="52.5" customHeight="1" thickBot="1" x14ac:dyDescent="0.3">
      <c r="A77" s="732" t="s">
        <v>646</v>
      </c>
      <c r="B77" s="646"/>
      <c r="C77" s="647">
        <v>100</v>
      </c>
      <c r="D77" s="647">
        <v>100</v>
      </c>
      <c r="E77" s="647">
        <v>100</v>
      </c>
      <c r="F77" s="539">
        <f>E77/D77</f>
        <v>1</v>
      </c>
      <c r="G77" s="648"/>
      <c r="H77" s="648"/>
      <c r="I77" s="648"/>
      <c r="J77" s="6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6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8"/>
      <c r="AH77" s="648"/>
      <c r="AI77" s="648"/>
      <c r="AJ77" s="648"/>
      <c r="AK77" s="648"/>
      <c r="AL77" s="648"/>
      <c r="AM77" s="648"/>
      <c r="AN77" s="648"/>
      <c r="AO77" s="649"/>
    </row>
    <row r="78" spans="1:41" s="452" customFormat="1" ht="45" customHeight="1" thickBot="1" x14ac:dyDescent="0.3">
      <c r="A78" s="536" t="s">
        <v>647</v>
      </c>
      <c r="B78" s="549"/>
      <c r="C78" s="538">
        <v>31580</v>
      </c>
      <c r="D78" s="538">
        <f>SUM(B79:B82)</f>
        <v>33024</v>
      </c>
      <c r="E78" s="538">
        <v>33024</v>
      </c>
      <c r="F78" s="539">
        <v>1</v>
      </c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Y78" s="450"/>
      <c r="Z78" s="450"/>
      <c r="AA78" s="450"/>
      <c r="AB78" s="450"/>
      <c r="AC78" s="450"/>
      <c r="AD78" s="450"/>
      <c r="AE78" s="450"/>
      <c r="AF78" s="450"/>
      <c r="AG78" s="450"/>
      <c r="AH78" s="450"/>
      <c r="AI78" s="450"/>
      <c r="AJ78" s="450"/>
      <c r="AK78" s="450"/>
      <c r="AL78" s="450"/>
      <c r="AM78" s="450"/>
      <c r="AN78" s="450"/>
      <c r="AO78" s="451"/>
    </row>
    <row r="79" spans="1:41" s="452" customFormat="1" ht="33.75" customHeight="1" thickBot="1" x14ac:dyDescent="0.3">
      <c r="A79" s="540" t="s">
        <v>648</v>
      </c>
      <c r="B79" s="562">
        <v>1580</v>
      </c>
      <c r="C79" s="538"/>
      <c r="D79" s="538"/>
      <c r="E79" s="538"/>
      <c r="F79" s="539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0"/>
      <c r="AA79" s="450"/>
      <c r="AB79" s="450"/>
      <c r="AC79" s="450"/>
      <c r="AD79" s="450"/>
      <c r="AE79" s="450"/>
      <c r="AF79" s="450"/>
      <c r="AG79" s="450"/>
      <c r="AH79" s="450"/>
      <c r="AI79" s="450"/>
      <c r="AJ79" s="450"/>
      <c r="AK79" s="450"/>
      <c r="AL79" s="450"/>
      <c r="AM79" s="450"/>
      <c r="AN79" s="450"/>
      <c r="AO79" s="451"/>
    </row>
    <row r="80" spans="1:41" s="452" customFormat="1" ht="33.75" customHeight="1" thickBot="1" x14ac:dyDescent="0.3">
      <c r="A80" s="540" t="s">
        <v>649</v>
      </c>
      <c r="B80" s="562">
        <v>30000</v>
      </c>
      <c r="C80" s="538"/>
      <c r="D80" s="538"/>
      <c r="E80" s="538"/>
      <c r="F80" s="539"/>
      <c r="G80" s="450"/>
      <c r="H80" s="450"/>
      <c r="I80" s="450"/>
      <c r="J80" s="450"/>
      <c r="K80" s="450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  <c r="Y80" s="450"/>
      <c r="Z80" s="450"/>
      <c r="AA80" s="450"/>
      <c r="AB80" s="450"/>
      <c r="AC80" s="450"/>
      <c r="AD80" s="450"/>
      <c r="AE80" s="450"/>
      <c r="AF80" s="450"/>
      <c r="AG80" s="450"/>
      <c r="AH80" s="450"/>
      <c r="AI80" s="450"/>
      <c r="AJ80" s="450"/>
      <c r="AK80" s="450"/>
      <c r="AL80" s="450"/>
      <c r="AM80" s="450"/>
      <c r="AN80" s="450"/>
      <c r="AO80" s="451"/>
    </row>
    <row r="81" spans="1:41" s="452" customFormat="1" ht="43.5" customHeight="1" thickBot="1" x14ac:dyDescent="0.3">
      <c r="A81" s="540" t="s">
        <v>650</v>
      </c>
      <c r="B81" s="562">
        <v>1076</v>
      </c>
      <c r="C81" s="538"/>
      <c r="D81" s="538"/>
      <c r="E81" s="538"/>
      <c r="F81" s="539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1"/>
    </row>
    <row r="82" spans="1:41" s="452" customFormat="1" ht="43.5" customHeight="1" thickBot="1" x14ac:dyDescent="0.3">
      <c r="A82" s="540" t="s">
        <v>651</v>
      </c>
      <c r="B82" s="562">
        <v>368</v>
      </c>
      <c r="C82" s="538"/>
      <c r="D82" s="538"/>
      <c r="E82" s="538"/>
      <c r="F82" s="539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1"/>
    </row>
    <row r="83" spans="1:41" s="650" customFormat="1" ht="57" customHeight="1" thickBot="1" x14ac:dyDescent="0.35">
      <c r="A83" s="894" t="s">
        <v>652</v>
      </c>
      <c r="B83" s="895"/>
      <c r="C83" s="647">
        <v>6500</v>
      </c>
      <c r="D83" s="647">
        <f>C83+3000</f>
        <v>9500</v>
      </c>
      <c r="E83" s="647">
        <v>1270</v>
      </c>
      <c r="F83" s="539">
        <v>1</v>
      </c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8"/>
      <c r="S83" s="648"/>
      <c r="T83" s="648"/>
      <c r="U83" s="648"/>
      <c r="V83" s="648"/>
      <c r="W83" s="648"/>
      <c r="X83" s="648"/>
      <c r="Y83" s="648"/>
      <c r="Z83" s="648"/>
      <c r="AA83" s="648"/>
      <c r="AB83" s="648"/>
      <c r="AC83" s="648"/>
      <c r="AD83" s="648"/>
      <c r="AE83" s="648"/>
      <c r="AF83" s="648"/>
      <c r="AG83" s="648"/>
      <c r="AH83" s="648"/>
      <c r="AI83" s="648"/>
      <c r="AJ83" s="648"/>
      <c r="AK83" s="648"/>
      <c r="AL83" s="648"/>
      <c r="AM83" s="648"/>
      <c r="AN83" s="648"/>
      <c r="AO83" s="649"/>
    </row>
    <row r="84" spans="1:41" s="644" customFormat="1" ht="25.5" customHeight="1" thickBot="1" x14ac:dyDescent="0.35">
      <c r="A84" s="705" t="s">
        <v>653</v>
      </c>
      <c r="B84" s="662">
        <v>9500</v>
      </c>
      <c r="C84" s="641"/>
      <c r="D84" s="641"/>
      <c r="E84" s="641"/>
      <c r="F84" s="561"/>
      <c r="G84" s="642"/>
      <c r="H84" s="642"/>
      <c r="I84" s="642"/>
      <c r="J84" s="642"/>
      <c r="K84" s="642"/>
      <c r="L84" s="642"/>
      <c r="M84" s="642"/>
      <c r="N84" s="642"/>
      <c r="O84" s="642"/>
      <c r="P84" s="642"/>
      <c r="Q84" s="642"/>
      <c r="R84" s="642"/>
      <c r="S84" s="642"/>
      <c r="T84" s="642"/>
      <c r="U84" s="642"/>
      <c r="V84" s="642"/>
      <c r="W84" s="642"/>
      <c r="X84" s="642"/>
      <c r="Y84" s="642"/>
      <c r="Z84" s="642"/>
      <c r="AA84" s="642"/>
      <c r="AB84" s="642"/>
      <c r="AC84" s="642"/>
      <c r="AD84" s="642"/>
      <c r="AE84" s="642"/>
      <c r="AF84" s="642"/>
      <c r="AG84" s="642"/>
      <c r="AH84" s="642"/>
      <c r="AI84" s="642"/>
      <c r="AJ84" s="642"/>
      <c r="AK84" s="642"/>
      <c r="AL84" s="642"/>
      <c r="AM84" s="642"/>
      <c r="AN84" s="642"/>
      <c r="AO84" s="643"/>
    </row>
    <row r="85" spans="1:41" s="452" customFormat="1" ht="62.25" customHeight="1" thickBot="1" x14ac:dyDescent="0.3">
      <c r="A85" s="891" t="s">
        <v>654</v>
      </c>
      <c r="B85" s="892"/>
      <c r="C85" s="538">
        <v>21392</v>
      </c>
      <c r="D85" s="538">
        <f>SUM(B86:B88)</f>
        <v>23640</v>
      </c>
      <c r="E85" s="538">
        <v>23640</v>
      </c>
      <c r="F85" s="539">
        <v>1</v>
      </c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1"/>
    </row>
    <row r="86" spans="1:41" s="452" customFormat="1" ht="33.75" customHeight="1" thickBot="1" x14ac:dyDescent="0.3">
      <c r="A86" s="540" t="s">
        <v>655</v>
      </c>
      <c r="B86" s="562">
        <v>1393</v>
      </c>
      <c r="C86" s="538"/>
      <c r="D86" s="538"/>
      <c r="E86" s="538"/>
      <c r="F86" s="539"/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0"/>
      <c r="AA86" s="450"/>
      <c r="AB86" s="450"/>
      <c r="AC86" s="450"/>
      <c r="AD86" s="450"/>
      <c r="AE86" s="450"/>
      <c r="AF86" s="450"/>
      <c r="AG86" s="450"/>
      <c r="AH86" s="450"/>
      <c r="AI86" s="450"/>
      <c r="AJ86" s="450"/>
      <c r="AK86" s="450"/>
      <c r="AL86" s="450"/>
      <c r="AM86" s="450"/>
      <c r="AN86" s="450"/>
      <c r="AO86" s="451"/>
    </row>
    <row r="87" spans="1:41" s="452" customFormat="1" ht="33.75" customHeight="1" thickBot="1" x14ac:dyDescent="0.3">
      <c r="A87" s="540" t="s">
        <v>649</v>
      </c>
      <c r="B87" s="562">
        <v>19999</v>
      </c>
      <c r="C87" s="538"/>
      <c r="D87" s="538"/>
      <c r="E87" s="538"/>
      <c r="F87" s="539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50"/>
      <c r="AC87" s="450"/>
      <c r="AD87" s="450"/>
      <c r="AE87" s="450"/>
      <c r="AF87" s="450"/>
      <c r="AG87" s="450"/>
      <c r="AH87" s="450"/>
      <c r="AI87" s="450"/>
      <c r="AJ87" s="450"/>
      <c r="AK87" s="450"/>
      <c r="AL87" s="450"/>
      <c r="AM87" s="450"/>
      <c r="AN87" s="450"/>
      <c r="AO87" s="451"/>
    </row>
    <row r="88" spans="1:41" s="452" customFormat="1" ht="43.5" customHeight="1" thickBot="1" x14ac:dyDescent="0.3">
      <c r="A88" s="540" t="s">
        <v>651</v>
      </c>
      <c r="B88" s="562">
        <v>2248</v>
      </c>
      <c r="C88" s="538"/>
      <c r="D88" s="538"/>
      <c r="E88" s="538"/>
      <c r="F88" s="539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0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1"/>
    </row>
    <row r="89" spans="1:41" s="700" customFormat="1" ht="63" customHeight="1" thickBot="1" x14ac:dyDescent="0.3">
      <c r="A89" s="891" t="s">
        <v>656</v>
      </c>
      <c r="B89" s="892"/>
      <c r="C89" s="698"/>
      <c r="D89" s="698">
        <f>SUM(B90:B91)</f>
        <v>32942</v>
      </c>
      <c r="E89" s="698">
        <v>650</v>
      </c>
      <c r="F89" s="539">
        <f>SUM(E89/D89)</f>
        <v>1.973164956590371E-2</v>
      </c>
      <c r="G89" s="661"/>
      <c r="H89" s="661"/>
      <c r="I89" s="661"/>
      <c r="J89" s="661"/>
      <c r="K89" s="661"/>
      <c r="L89" s="661"/>
      <c r="M89" s="661"/>
      <c r="N89" s="661"/>
      <c r="O89" s="661"/>
      <c r="P89" s="661"/>
      <c r="Q89" s="661"/>
      <c r="R89" s="661"/>
      <c r="S89" s="661"/>
      <c r="T89" s="661"/>
      <c r="U89" s="661"/>
      <c r="V89" s="661"/>
      <c r="W89" s="661"/>
      <c r="X89" s="661"/>
      <c r="Y89" s="661"/>
      <c r="Z89" s="661"/>
      <c r="AA89" s="661"/>
      <c r="AB89" s="661"/>
      <c r="AC89" s="661"/>
      <c r="AD89" s="661"/>
      <c r="AE89" s="661"/>
      <c r="AF89" s="661"/>
      <c r="AG89" s="661"/>
      <c r="AH89" s="661"/>
      <c r="AI89" s="661"/>
      <c r="AJ89" s="661"/>
      <c r="AK89" s="661"/>
      <c r="AL89" s="661"/>
      <c r="AM89" s="661"/>
      <c r="AN89" s="661"/>
      <c r="AO89" s="699"/>
    </row>
    <row r="90" spans="1:41" s="650" customFormat="1" ht="33.75" customHeight="1" thickBot="1" x14ac:dyDescent="0.3">
      <c r="A90" s="645" t="s">
        <v>657</v>
      </c>
      <c r="B90" s="651">
        <v>28000</v>
      </c>
      <c r="C90" s="647"/>
      <c r="D90" s="647"/>
      <c r="E90" s="647"/>
      <c r="F90" s="539"/>
      <c r="G90" s="648"/>
      <c r="H90" s="648"/>
      <c r="I90" s="648"/>
      <c r="J90" s="648"/>
      <c r="K90" s="648"/>
      <c r="L90" s="648"/>
      <c r="M90" s="648"/>
      <c r="N90" s="648"/>
      <c r="O90" s="648"/>
      <c r="P90" s="648"/>
      <c r="Q90" s="648"/>
      <c r="R90" s="648"/>
      <c r="S90" s="648"/>
      <c r="T90" s="648"/>
      <c r="U90" s="648"/>
      <c r="V90" s="648"/>
      <c r="W90" s="648"/>
      <c r="X90" s="648"/>
      <c r="Y90" s="648"/>
      <c r="Z90" s="648"/>
      <c r="AA90" s="648"/>
      <c r="AB90" s="648"/>
      <c r="AC90" s="648"/>
      <c r="AD90" s="648"/>
      <c r="AE90" s="648"/>
      <c r="AF90" s="648"/>
      <c r="AG90" s="648"/>
      <c r="AH90" s="648"/>
      <c r="AI90" s="648"/>
      <c r="AJ90" s="648"/>
      <c r="AK90" s="648"/>
      <c r="AL90" s="648"/>
      <c r="AM90" s="648"/>
      <c r="AN90" s="648"/>
      <c r="AO90" s="649"/>
    </row>
    <row r="91" spans="1:41" s="650" customFormat="1" ht="33.75" customHeight="1" thickBot="1" x14ac:dyDescent="0.3">
      <c r="A91" s="645" t="s">
        <v>658</v>
      </c>
      <c r="B91" s="651">
        <v>4942</v>
      </c>
      <c r="C91" s="647"/>
      <c r="D91" s="647"/>
      <c r="E91" s="647"/>
      <c r="F91" s="539"/>
      <c r="G91" s="648"/>
      <c r="H91" s="648"/>
      <c r="I91" s="648"/>
      <c r="J91" s="648"/>
      <c r="K91" s="648"/>
      <c r="L91" s="648"/>
      <c r="M91" s="648"/>
      <c r="N91" s="648"/>
      <c r="O91" s="648"/>
      <c r="P91" s="648"/>
      <c r="Q91" s="648"/>
      <c r="R91" s="648"/>
      <c r="S91" s="648"/>
      <c r="T91" s="648"/>
      <c r="U91" s="648"/>
      <c r="V91" s="648"/>
      <c r="W91" s="648"/>
      <c r="X91" s="648"/>
      <c r="Y91" s="648"/>
      <c r="Z91" s="648"/>
      <c r="AA91" s="648"/>
      <c r="AB91" s="648"/>
      <c r="AC91" s="648"/>
      <c r="AD91" s="648"/>
      <c r="AE91" s="648"/>
      <c r="AF91" s="648"/>
      <c r="AG91" s="648"/>
      <c r="AH91" s="648"/>
      <c r="AI91" s="648"/>
      <c r="AJ91" s="648"/>
      <c r="AK91" s="648"/>
      <c r="AL91" s="648"/>
      <c r="AM91" s="648"/>
      <c r="AN91" s="648"/>
      <c r="AO91" s="649"/>
    </row>
    <row r="92" spans="1:41" s="700" customFormat="1" ht="63" customHeight="1" thickBot="1" x14ac:dyDescent="0.3">
      <c r="A92" s="891" t="s">
        <v>659</v>
      </c>
      <c r="B92" s="892"/>
      <c r="C92" s="698"/>
      <c r="D92" s="698">
        <f>SUM(B93:B94)</f>
        <v>24406</v>
      </c>
      <c r="E92" s="698">
        <v>762</v>
      </c>
      <c r="F92" s="539">
        <f>SUM(E92/D92)</f>
        <v>3.1221830697369498E-2</v>
      </c>
      <c r="G92" s="661"/>
      <c r="H92" s="661"/>
      <c r="I92" s="661"/>
      <c r="J92" s="661"/>
      <c r="K92" s="661"/>
      <c r="L92" s="661"/>
      <c r="M92" s="661"/>
      <c r="N92" s="661"/>
      <c r="O92" s="661"/>
      <c r="P92" s="661"/>
      <c r="Q92" s="661"/>
      <c r="R92" s="661"/>
      <c r="S92" s="661"/>
      <c r="T92" s="661"/>
      <c r="U92" s="661"/>
      <c r="V92" s="661"/>
      <c r="W92" s="661"/>
      <c r="X92" s="661"/>
      <c r="Y92" s="661"/>
      <c r="Z92" s="661"/>
      <c r="AA92" s="661"/>
      <c r="AB92" s="661"/>
      <c r="AC92" s="661"/>
      <c r="AD92" s="661"/>
      <c r="AE92" s="661"/>
      <c r="AF92" s="661"/>
      <c r="AG92" s="661"/>
      <c r="AH92" s="661"/>
      <c r="AI92" s="661"/>
      <c r="AJ92" s="661"/>
      <c r="AK92" s="661"/>
      <c r="AL92" s="661"/>
      <c r="AM92" s="661"/>
      <c r="AN92" s="661"/>
      <c r="AO92" s="699"/>
    </row>
    <row r="93" spans="1:41" s="650" customFormat="1" ht="33.75" customHeight="1" thickBot="1" x14ac:dyDescent="0.3">
      <c r="A93" s="645" t="s">
        <v>657</v>
      </c>
      <c r="B93" s="651">
        <v>20606</v>
      </c>
      <c r="C93" s="647"/>
      <c r="D93" s="647"/>
      <c r="E93" s="647"/>
      <c r="F93" s="539"/>
      <c r="G93" s="648"/>
      <c r="H93" s="648"/>
      <c r="I93" s="648"/>
      <c r="J93" s="648"/>
      <c r="K93" s="648"/>
      <c r="L93" s="648"/>
      <c r="M93" s="648"/>
      <c r="N93" s="648"/>
      <c r="O93" s="648"/>
      <c r="P93" s="648"/>
      <c r="Q93" s="648"/>
      <c r="R93" s="648"/>
      <c r="S93" s="648"/>
      <c r="T93" s="648"/>
      <c r="U93" s="648"/>
      <c r="V93" s="648"/>
      <c r="W93" s="648"/>
      <c r="X93" s="648"/>
      <c r="Y93" s="648"/>
      <c r="Z93" s="648"/>
      <c r="AA93" s="648"/>
      <c r="AB93" s="648"/>
      <c r="AC93" s="648"/>
      <c r="AD93" s="648"/>
      <c r="AE93" s="648"/>
      <c r="AF93" s="648"/>
      <c r="AG93" s="648"/>
      <c r="AH93" s="648"/>
      <c r="AI93" s="648"/>
      <c r="AJ93" s="648"/>
      <c r="AK93" s="648"/>
      <c r="AL93" s="648"/>
      <c r="AM93" s="648"/>
      <c r="AN93" s="648"/>
      <c r="AO93" s="649"/>
    </row>
    <row r="94" spans="1:41" s="650" customFormat="1" ht="33.75" customHeight="1" thickBot="1" x14ac:dyDescent="0.3">
      <c r="A94" s="645" t="s">
        <v>658</v>
      </c>
      <c r="B94" s="651">
        <v>3800</v>
      </c>
      <c r="C94" s="647"/>
      <c r="D94" s="647"/>
      <c r="E94" s="647"/>
      <c r="F94" s="539"/>
      <c r="G94" s="648"/>
      <c r="H94" s="648"/>
      <c r="I94" s="648"/>
      <c r="J94" s="648"/>
      <c r="K94" s="648"/>
      <c r="L94" s="648"/>
      <c r="M94" s="648"/>
      <c r="N94" s="648"/>
      <c r="O94" s="648"/>
      <c r="P94" s="648"/>
      <c r="Q94" s="648"/>
      <c r="R94" s="648"/>
      <c r="S94" s="648"/>
      <c r="T94" s="648"/>
      <c r="U94" s="648"/>
      <c r="V94" s="648"/>
      <c r="W94" s="648"/>
      <c r="X94" s="648"/>
      <c r="Y94" s="648"/>
      <c r="Z94" s="648"/>
      <c r="AA94" s="648"/>
      <c r="AB94" s="648"/>
      <c r="AC94" s="648"/>
      <c r="AD94" s="648"/>
      <c r="AE94" s="648"/>
      <c r="AF94" s="648"/>
      <c r="AG94" s="648"/>
      <c r="AH94" s="648"/>
      <c r="AI94" s="648"/>
      <c r="AJ94" s="648"/>
      <c r="AK94" s="648"/>
      <c r="AL94" s="648"/>
      <c r="AM94" s="648"/>
      <c r="AN94" s="648"/>
      <c r="AO94" s="649"/>
    </row>
    <row r="95" spans="1:41" s="650" customFormat="1" ht="72.75" customHeight="1" thickBot="1" x14ac:dyDescent="0.3">
      <c r="A95" s="891" t="s">
        <v>660</v>
      </c>
      <c r="B95" s="892"/>
      <c r="C95" s="647"/>
      <c r="D95" s="647">
        <v>2000</v>
      </c>
      <c r="E95" s="647">
        <v>0</v>
      </c>
      <c r="F95" s="539">
        <f>SUM(E95/D95)</f>
        <v>0</v>
      </c>
      <c r="G95" s="648"/>
      <c r="H95" s="648"/>
      <c r="I95" s="648"/>
      <c r="J95" s="648"/>
      <c r="K95" s="648"/>
      <c r="L95" s="648"/>
      <c r="M95" s="648"/>
      <c r="N95" s="648"/>
      <c r="O95" s="648"/>
      <c r="P95" s="648"/>
      <c r="Q95" s="648"/>
      <c r="R95" s="648"/>
      <c r="S95" s="648"/>
      <c r="T95" s="648"/>
      <c r="U95" s="648"/>
      <c r="V95" s="648"/>
      <c r="W95" s="648"/>
      <c r="X95" s="648"/>
      <c r="Y95" s="648"/>
      <c r="Z95" s="648"/>
      <c r="AA95" s="648"/>
      <c r="AB95" s="648"/>
      <c r="AC95" s="648"/>
      <c r="AD95" s="648"/>
      <c r="AE95" s="648"/>
      <c r="AF95" s="648"/>
      <c r="AG95" s="648"/>
      <c r="AH95" s="648"/>
      <c r="AI95" s="648"/>
      <c r="AJ95" s="648"/>
      <c r="AK95" s="648"/>
      <c r="AL95" s="648"/>
      <c r="AM95" s="648"/>
      <c r="AN95" s="648"/>
      <c r="AO95" s="649"/>
    </row>
    <row r="96" spans="1:41" s="650" customFormat="1" ht="51" customHeight="1" thickBot="1" x14ac:dyDescent="0.3">
      <c r="A96" s="732" t="s">
        <v>661</v>
      </c>
      <c r="B96" s="757"/>
      <c r="C96" s="647"/>
      <c r="D96" s="647">
        <v>1308</v>
      </c>
      <c r="E96" s="647">
        <v>1308</v>
      </c>
      <c r="F96" s="539">
        <f>SUM(E96/D96)</f>
        <v>1</v>
      </c>
      <c r="G96" s="648"/>
      <c r="H96" s="648"/>
      <c r="I96" s="648"/>
      <c r="J96" s="648"/>
      <c r="K96" s="648"/>
      <c r="L96" s="648"/>
      <c r="M96" s="648"/>
      <c r="N96" s="648"/>
      <c r="O96" s="648"/>
      <c r="P96" s="648"/>
      <c r="Q96" s="648"/>
      <c r="R96" s="648"/>
      <c r="S96" s="648"/>
      <c r="T96" s="648"/>
      <c r="U96" s="648"/>
      <c r="V96" s="648"/>
      <c r="W96" s="648"/>
      <c r="X96" s="648"/>
      <c r="Y96" s="648"/>
      <c r="Z96" s="648"/>
      <c r="AA96" s="648"/>
      <c r="AB96" s="648"/>
      <c r="AC96" s="648"/>
      <c r="AD96" s="648"/>
      <c r="AE96" s="648"/>
      <c r="AF96" s="648"/>
      <c r="AG96" s="648"/>
      <c r="AH96" s="648"/>
      <c r="AI96" s="648"/>
      <c r="AJ96" s="648"/>
      <c r="AK96" s="648"/>
      <c r="AL96" s="648"/>
      <c r="AM96" s="648"/>
      <c r="AN96" s="648"/>
      <c r="AO96" s="649"/>
    </row>
    <row r="97" spans="1:41" s="650" customFormat="1" ht="33.75" customHeight="1" thickBot="1" x14ac:dyDescent="0.3">
      <c r="A97" s="732" t="s">
        <v>662</v>
      </c>
      <c r="B97" s="757"/>
      <c r="C97" s="647"/>
      <c r="D97" s="647">
        <v>60000</v>
      </c>
      <c r="E97" s="647">
        <f>SUM(B98:B100)</f>
        <v>14190</v>
      </c>
      <c r="F97" s="539">
        <f>SUM(D98:D100)</f>
        <v>0</v>
      </c>
      <c r="G97" s="648"/>
      <c r="H97" s="648"/>
      <c r="I97" s="648"/>
      <c r="J97" s="648"/>
      <c r="K97" s="648"/>
      <c r="L97" s="648"/>
      <c r="M97" s="648"/>
      <c r="N97" s="648"/>
      <c r="O97" s="648"/>
      <c r="P97" s="648"/>
      <c r="Q97" s="648"/>
      <c r="R97" s="648"/>
      <c r="S97" s="648"/>
      <c r="T97" s="648"/>
      <c r="U97" s="648"/>
      <c r="V97" s="648"/>
      <c r="W97" s="648"/>
      <c r="X97" s="648"/>
      <c r="Y97" s="648"/>
      <c r="Z97" s="648"/>
      <c r="AA97" s="648"/>
      <c r="AB97" s="648"/>
      <c r="AC97" s="648"/>
      <c r="AD97" s="648"/>
      <c r="AE97" s="648"/>
      <c r="AF97" s="648"/>
      <c r="AG97" s="648"/>
      <c r="AH97" s="648"/>
      <c r="AI97" s="648"/>
      <c r="AJ97" s="648"/>
      <c r="AK97" s="648"/>
      <c r="AL97" s="648"/>
      <c r="AM97" s="648"/>
      <c r="AN97" s="648"/>
      <c r="AO97" s="649"/>
    </row>
    <row r="98" spans="1:41" s="650" customFormat="1" ht="33.75" customHeight="1" thickBot="1" x14ac:dyDescent="0.3">
      <c r="A98" s="645" t="s">
        <v>663</v>
      </c>
      <c r="B98" s="651">
        <v>12000</v>
      </c>
      <c r="C98" s="647"/>
      <c r="D98" s="647"/>
      <c r="E98" s="647"/>
      <c r="F98" s="539"/>
      <c r="G98" s="648"/>
      <c r="H98" s="648"/>
      <c r="I98" s="648"/>
      <c r="J98" s="648"/>
      <c r="K98" s="648"/>
      <c r="L98" s="648"/>
      <c r="M98" s="648"/>
      <c r="N98" s="648"/>
      <c r="O98" s="648"/>
      <c r="P98" s="648"/>
      <c r="Q98" s="648"/>
      <c r="R98" s="648"/>
      <c r="S98" s="648"/>
      <c r="T98" s="648"/>
      <c r="U98" s="648"/>
      <c r="V98" s="648"/>
      <c r="W98" s="648"/>
      <c r="X98" s="648"/>
      <c r="Y98" s="648"/>
      <c r="Z98" s="648"/>
      <c r="AA98" s="648"/>
      <c r="AB98" s="648"/>
      <c r="AC98" s="648"/>
      <c r="AD98" s="648"/>
      <c r="AE98" s="648"/>
      <c r="AF98" s="648"/>
      <c r="AG98" s="648"/>
      <c r="AH98" s="648"/>
      <c r="AI98" s="648"/>
      <c r="AJ98" s="648"/>
      <c r="AK98" s="648"/>
      <c r="AL98" s="648"/>
      <c r="AM98" s="648"/>
      <c r="AN98" s="648"/>
      <c r="AO98" s="649"/>
    </row>
    <row r="99" spans="1:41" s="650" customFormat="1" ht="33.75" customHeight="1" thickBot="1" x14ac:dyDescent="0.3">
      <c r="A99" s="645" t="s">
        <v>664</v>
      </c>
      <c r="B99" s="651">
        <v>2190</v>
      </c>
      <c r="C99" s="647"/>
      <c r="D99" s="647"/>
      <c r="E99" s="647"/>
      <c r="F99" s="539"/>
      <c r="G99" s="648"/>
      <c r="H99" s="648"/>
      <c r="I99" s="648"/>
      <c r="J99" s="648"/>
      <c r="K99" s="648"/>
      <c r="L99" s="648"/>
      <c r="M99" s="648"/>
      <c r="N99" s="648"/>
      <c r="O99" s="648"/>
      <c r="P99" s="648"/>
      <c r="Q99" s="648"/>
      <c r="R99" s="648"/>
      <c r="S99" s="648"/>
      <c r="T99" s="648"/>
      <c r="U99" s="648"/>
      <c r="V99" s="648"/>
      <c r="W99" s="648"/>
      <c r="X99" s="648"/>
      <c r="Y99" s="648"/>
      <c r="Z99" s="648"/>
      <c r="AA99" s="648"/>
      <c r="AB99" s="648"/>
      <c r="AC99" s="648"/>
      <c r="AD99" s="648"/>
      <c r="AE99" s="648"/>
      <c r="AF99" s="648"/>
      <c r="AG99" s="648"/>
      <c r="AH99" s="648"/>
      <c r="AI99" s="648"/>
      <c r="AJ99" s="648"/>
      <c r="AK99" s="648"/>
      <c r="AL99" s="648"/>
      <c r="AM99" s="648"/>
      <c r="AN99" s="648"/>
      <c r="AO99" s="649"/>
    </row>
    <row r="100" spans="1:41" s="650" customFormat="1" ht="33.75" customHeight="1" thickBot="1" x14ac:dyDescent="0.3">
      <c r="A100" s="645" t="s">
        <v>665</v>
      </c>
      <c r="B100" s="651">
        <v>0</v>
      </c>
      <c r="C100" s="647"/>
      <c r="D100" s="647"/>
      <c r="E100" s="647"/>
      <c r="F100" s="539"/>
      <c r="G100" s="648"/>
      <c r="H100" s="648"/>
      <c r="I100" s="648"/>
      <c r="J100" s="648"/>
      <c r="K100" s="648"/>
      <c r="L100" s="648"/>
      <c r="M100" s="648"/>
      <c r="N100" s="648"/>
      <c r="O100" s="648"/>
      <c r="P100" s="648"/>
      <c r="Q100" s="648"/>
      <c r="R100" s="648"/>
      <c r="S100" s="648"/>
      <c r="T100" s="648"/>
      <c r="U100" s="648"/>
      <c r="V100" s="648"/>
      <c r="W100" s="648"/>
      <c r="X100" s="648"/>
      <c r="Y100" s="648"/>
      <c r="Z100" s="648"/>
      <c r="AA100" s="648"/>
      <c r="AB100" s="648"/>
      <c r="AC100" s="648"/>
      <c r="AD100" s="648"/>
      <c r="AE100" s="648"/>
      <c r="AF100" s="648"/>
      <c r="AG100" s="648"/>
      <c r="AH100" s="648"/>
      <c r="AI100" s="648"/>
      <c r="AJ100" s="648"/>
      <c r="AK100" s="648"/>
      <c r="AL100" s="648"/>
      <c r="AM100" s="648"/>
      <c r="AN100" s="648"/>
      <c r="AO100" s="649"/>
    </row>
    <row r="101" spans="1:41" s="650" customFormat="1" ht="39" customHeight="1" thickBot="1" x14ac:dyDescent="0.3">
      <c r="A101" s="891" t="s">
        <v>666</v>
      </c>
      <c r="B101" s="892"/>
      <c r="C101" s="647"/>
      <c r="D101" s="647">
        <v>18796</v>
      </c>
      <c r="E101" s="647">
        <v>18755</v>
      </c>
      <c r="F101" s="539">
        <f>E101/D101</f>
        <v>0.99781868482655889</v>
      </c>
      <c r="G101" s="648"/>
      <c r="H101" s="648"/>
      <c r="I101" s="648"/>
      <c r="J101" s="648"/>
      <c r="K101" s="648"/>
      <c r="L101" s="648"/>
      <c r="M101" s="648"/>
      <c r="N101" s="648"/>
      <c r="O101" s="648"/>
      <c r="P101" s="648"/>
      <c r="Q101" s="648"/>
      <c r="R101" s="648"/>
      <c r="S101" s="648"/>
      <c r="T101" s="648"/>
      <c r="U101" s="648"/>
      <c r="V101" s="648"/>
      <c r="W101" s="648"/>
      <c r="X101" s="648"/>
      <c r="Y101" s="648"/>
      <c r="Z101" s="648"/>
      <c r="AA101" s="648"/>
      <c r="AB101" s="648"/>
      <c r="AC101" s="648"/>
      <c r="AD101" s="648"/>
      <c r="AE101" s="648"/>
      <c r="AF101" s="648"/>
      <c r="AG101" s="648"/>
      <c r="AH101" s="648"/>
      <c r="AI101" s="648"/>
      <c r="AJ101" s="648"/>
      <c r="AK101" s="648"/>
      <c r="AL101" s="648"/>
      <c r="AM101" s="648"/>
      <c r="AN101" s="648"/>
      <c r="AO101" s="649"/>
    </row>
    <row r="102" spans="1:41" s="650" customFormat="1" ht="39" customHeight="1" thickBot="1" x14ac:dyDescent="0.3">
      <c r="A102" s="891" t="s">
        <v>667</v>
      </c>
      <c r="B102" s="892"/>
      <c r="C102" s="647"/>
      <c r="D102" s="647">
        <v>3000</v>
      </c>
      <c r="E102" s="647">
        <v>3000</v>
      </c>
      <c r="F102" s="539">
        <f>E102/D102</f>
        <v>1</v>
      </c>
      <c r="G102" s="648"/>
      <c r="H102" s="648"/>
      <c r="I102" s="648"/>
      <c r="J102" s="648"/>
      <c r="K102" s="648"/>
      <c r="L102" s="648"/>
      <c r="M102" s="648"/>
      <c r="N102" s="648"/>
      <c r="O102" s="648"/>
      <c r="P102" s="648"/>
      <c r="Q102" s="648"/>
      <c r="R102" s="648"/>
      <c r="S102" s="648"/>
      <c r="T102" s="648"/>
      <c r="U102" s="648"/>
      <c r="V102" s="648"/>
      <c r="W102" s="648"/>
      <c r="X102" s="648"/>
      <c r="Y102" s="648"/>
      <c r="Z102" s="648"/>
      <c r="AA102" s="648"/>
      <c r="AB102" s="648"/>
      <c r="AC102" s="648"/>
      <c r="AD102" s="648"/>
      <c r="AE102" s="648"/>
      <c r="AF102" s="648"/>
      <c r="AG102" s="648"/>
      <c r="AH102" s="648"/>
      <c r="AI102" s="648"/>
      <c r="AJ102" s="648"/>
      <c r="AK102" s="648"/>
      <c r="AL102" s="648"/>
      <c r="AM102" s="648"/>
      <c r="AN102" s="648"/>
      <c r="AO102" s="649"/>
    </row>
    <row r="103" spans="1:41" s="650" customFormat="1" ht="77.25" customHeight="1" thickBot="1" x14ac:dyDescent="0.3">
      <c r="A103" s="891" t="s">
        <v>668</v>
      </c>
      <c r="B103" s="892"/>
      <c r="C103" s="647"/>
      <c r="D103" s="647">
        <v>10000</v>
      </c>
      <c r="E103" s="647">
        <v>9970</v>
      </c>
      <c r="F103" s="539">
        <f>E103/D103</f>
        <v>0.997</v>
      </c>
      <c r="G103" s="648"/>
      <c r="H103" s="648"/>
      <c r="I103" s="648"/>
      <c r="J103" s="648"/>
      <c r="K103" s="648"/>
      <c r="L103" s="648"/>
      <c r="M103" s="648"/>
      <c r="N103" s="648"/>
      <c r="O103" s="648"/>
      <c r="P103" s="648"/>
      <c r="Q103" s="648"/>
      <c r="R103" s="648"/>
      <c r="S103" s="648"/>
      <c r="T103" s="648"/>
      <c r="U103" s="648"/>
      <c r="V103" s="648"/>
      <c r="W103" s="648"/>
      <c r="X103" s="648"/>
      <c r="Y103" s="648"/>
      <c r="Z103" s="648"/>
      <c r="AA103" s="648"/>
      <c r="AB103" s="648"/>
      <c r="AC103" s="648"/>
      <c r="AD103" s="648"/>
      <c r="AE103" s="648"/>
      <c r="AF103" s="648"/>
      <c r="AG103" s="648"/>
      <c r="AH103" s="648"/>
      <c r="AI103" s="648"/>
      <c r="AJ103" s="648"/>
      <c r="AK103" s="648"/>
      <c r="AL103" s="648"/>
      <c r="AM103" s="648"/>
      <c r="AN103" s="648"/>
      <c r="AO103" s="649"/>
    </row>
    <row r="104" spans="1:41" s="449" customFormat="1" ht="56.25" customHeight="1" thickBot="1" x14ac:dyDescent="0.3">
      <c r="A104" s="536" t="s">
        <v>669</v>
      </c>
      <c r="B104" s="549"/>
      <c r="C104" s="538">
        <v>19050</v>
      </c>
      <c r="D104" s="538">
        <v>19050</v>
      </c>
      <c r="E104" s="538">
        <v>19050</v>
      </c>
      <c r="F104" s="539">
        <f>E104/D104</f>
        <v>1</v>
      </c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7"/>
      <c r="AN104" s="447"/>
      <c r="AO104" s="448"/>
    </row>
    <row r="105" spans="1:41" s="449" customFormat="1" ht="39.75" customHeight="1" thickBot="1" x14ac:dyDescent="0.3">
      <c r="A105" s="536" t="s">
        <v>670</v>
      </c>
      <c r="B105" s="549"/>
      <c r="C105" s="538">
        <v>115000</v>
      </c>
      <c r="D105" s="538">
        <f>SUM(B106:B107)</f>
        <v>131161</v>
      </c>
      <c r="E105" s="538">
        <f>SUM(B106:B107)</f>
        <v>131161</v>
      </c>
      <c r="F105" s="539">
        <f>E105/D105</f>
        <v>1</v>
      </c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7"/>
      <c r="AF105" s="447"/>
      <c r="AG105" s="447"/>
      <c r="AH105" s="447"/>
      <c r="AI105" s="447"/>
      <c r="AJ105" s="447"/>
      <c r="AK105" s="447"/>
      <c r="AL105" s="447"/>
      <c r="AM105" s="447"/>
      <c r="AN105" s="447"/>
      <c r="AO105" s="448"/>
    </row>
    <row r="106" spans="1:41" s="449" customFormat="1" ht="39.75" customHeight="1" thickBot="1" x14ac:dyDescent="0.3">
      <c r="A106" s="540" t="s">
        <v>671</v>
      </c>
      <c r="B106" s="537">
        <v>121006</v>
      </c>
      <c r="C106" s="560"/>
      <c r="D106" s="560"/>
      <c r="E106" s="560"/>
      <c r="F106" s="561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7"/>
      <c r="AD106" s="447"/>
      <c r="AE106" s="447"/>
      <c r="AF106" s="447"/>
      <c r="AG106" s="447"/>
      <c r="AH106" s="447"/>
      <c r="AI106" s="447"/>
      <c r="AJ106" s="447"/>
      <c r="AK106" s="447"/>
      <c r="AL106" s="447"/>
      <c r="AM106" s="447"/>
      <c r="AN106" s="447"/>
      <c r="AO106" s="448"/>
    </row>
    <row r="107" spans="1:41" s="449" customFormat="1" ht="39.75" customHeight="1" thickBot="1" x14ac:dyDescent="0.3">
      <c r="A107" s="540" t="s">
        <v>672</v>
      </c>
      <c r="B107" s="537">
        <v>10155</v>
      </c>
      <c r="C107" s="560"/>
      <c r="D107" s="560"/>
      <c r="E107" s="560"/>
      <c r="F107" s="561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7"/>
      <c r="AK107" s="447"/>
      <c r="AL107" s="447"/>
      <c r="AM107" s="447"/>
      <c r="AN107" s="447"/>
      <c r="AO107" s="448"/>
    </row>
    <row r="108" spans="1:41" s="644" customFormat="1" ht="47.25" customHeight="1" thickBot="1" x14ac:dyDescent="0.3">
      <c r="A108" s="732" t="s">
        <v>673</v>
      </c>
      <c r="B108" s="640"/>
      <c r="C108" s="647">
        <v>133</v>
      </c>
      <c r="D108" s="647">
        <v>133</v>
      </c>
      <c r="E108" s="647">
        <v>133</v>
      </c>
      <c r="F108" s="539">
        <v>133</v>
      </c>
      <c r="G108" s="642"/>
      <c r="H108" s="642"/>
      <c r="I108" s="642"/>
      <c r="J108" s="642"/>
      <c r="K108" s="642"/>
      <c r="L108" s="642"/>
      <c r="M108" s="642"/>
      <c r="N108" s="642"/>
      <c r="O108" s="642"/>
      <c r="P108" s="642"/>
      <c r="Q108" s="642"/>
      <c r="R108" s="642"/>
      <c r="S108" s="642"/>
      <c r="T108" s="642"/>
      <c r="U108" s="642"/>
      <c r="V108" s="642"/>
      <c r="W108" s="642"/>
      <c r="X108" s="642"/>
      <c r="Y108" s="642"/>
      <c r="Z108" s="642"/>
      <c r="AA108" s="642"/>
      <c r="AB108" s="642"/>
      <c r="AC108" s="642"/>
      <c r="AD108" s="642"/>
      <c r="AE108" s="642"/>
      <c r="AF108" s="642"/>
      <c r="AG108" s="642"/>
      <c r="AH108" s="642"/>
      <c r="AI108" s="642"/>
      <c r="AJ108" s="642"/>
      <c r="AK108" s="642"/>
      <c r="AL108" s="642"/>
      <c r="AM108" s="642"/>
      <c r="AN108" s="642"/>
      <c r="AO108" s="643"/>
    </row>
    <row r="109" spans="1:41" s="449" customFormat="1" ht="44.25" customHeight="1" thickBot="1" x14ac:dyDescent="0.3">
      <c r="A109" s="536" t="s">
        <v>674</v>
      </c>
      <c r="B109" s="537"/>
      <c r="C109" s="538">
        <v>3875</v>
      </c>
      <c r="D109" s="538">
        <v>3875</v>
      </c>
      <c r="E109" s="538">
        <v>0</v>
      </c>
      <c r="F109" s="539">
        <v>0</v>
      </c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  <c r="AE109" s="447"/>
      <c r="AF109" s="447"/>
      <c r="AG109" s="447"/>
      <c r="AH109" s="447"/>
      <c r="AI109" s="447"/>
      <c r="AJ109" s="447"/>
      <c r="AK109" s="447"/>
      <c r="AL109" s="447"/>
      <c r="AM109" s="447"/>
      <c r="AN109" s="447"/>
      <c r="AO109" s="448"/>
    </row>
    <row r="110" spans="1:41" s="644" customFormat="1" ht="70.5" customHeight="1" thickBot="1" x14ac:dyDescent="0.3">
      <c r="A110" s="732" t="s">
        <v>675</v>
      </c>
      <c r="B110" s="640"/>
      <c r="C110" s="647">
        <v>1000</v>
      </c>
      <c r="D110" s="647">
        <v>1000</v>
      </c>
      <c r="E110" s="647">
        <v>1000</v>
      </c>
      <c r="F110" s="539">
        <f t="shared" ref="F110:F111" si="3">E110/D110</f>
        <v>1</v>
      </c>
      <c r="G110" s="642"/>
      <c r="H110" s="642"/>
      <c r="I110" s="642"/>
      <c r="J110" s="642"/>
      <c r="K110" s="642"/>
      <c r="L110" s="642"/>
      <c r="M110" s="642"/>
      <c r="N110" s="642"/>
      <c r="O110" s="642"/>
      <c r="P110" s="642"/>
      <c r="Q110" s="642"/>
      <c r="R110" s="642"/>
      <c r="S110" s="642"/>
      <c r="T110" s="642"/>
      <c r="U110" s="642"/>
      <c r="V110" s="642"/>
      <c r="W110" s="642"/>
      <c r="X110" s="642"/>
      <c r="Y110" s="642"/>
      <c r="Z110" s="642"/>
      <c r="AA110" s="642"/>
      <c r="AB110" s="642"/>
      <c r="AC110" s="642"/>
      <c r="AD110" s="642"/>
      <c r="AE110" s="642"/>
      <c r="AF110" s="642"/>
      <c r="AG110" s="642"/>
      <c r="AH110" s="642"/>
      <c r="AI110" s="642"/>
      <c r="AJ110" s="642"/>
      <c r="AK110" s="642"/>
      <c r="AL110" s="642"/>
      <c r="AM110" s="642"/>
      <c r="AN110" s="642"/>
      <c r="AO110" s="643"/>
    </row>
    <row r="111" spans="1:41" s="644" customFormat="1" ht="27.75" customHeight="1" thickBot="1" x14ac:dyDescent="0.3">
      <c r="A111" s="732" t="s">
        <v>676</v>
      </c>
      <c r="B111" s="646"/>
      <c r="C111" s="647">
        <v>8600</v>
      </c>
      <c r="D111" s="647">
        <v>8600</v>
      </c>
      <c r="E111" s="647">
        <f>SUM(B112:B116)</f>
        <v>4381</v>
      </c>
      <c r="F111" s="539">
        <f t="shared" si="3"/>
        <v>0.50941860465116284</v>
      </c>
      <c r="G111" s="642"/>
      <c r="H111" s="642"/>
      <c r="I111" s="642"/>
      <c r="J111" s="642"/>
      <c r="K111" s="642"/>
      <c r="L111" s="642"/>
      <c r="M111" s="642"/>
      <c r="N111" s="642"/>
      <c r="O111" s="642"/>
      <c r="P111" s="642"/>
      <c r="Q111" s="642"/>
      <c r="R111" s="642"/>
      <c r="S111" s="642"/>
      <c r="T111" s="642"/>
      <c r="U111" s="642"/>
      <c r="V111" s="642"/>
      <c r="W111" s="642"/>
      <c r="X111" s="642"/>
      <c r="Y111" s="642"/>
      <c r="Z111" s="642"/>
      <c r="AA111" s="642"/>
      <c r="AB111" s="642"/>
      <c r="AC111" s="642"/>
      <c r="AD111" s="642"/>
      <c r="AE111" s="642"/>
      <c r="AF111" s="642"/>
      <c r="AG111" s="642"/>
      <c r="AH111" s="642"/>
      <c r="AI111" s="642"/>
      <c r="AJ111" s="642"/>
      <c r="AK111" s="642"/>
      <c r="AL111" s="642"/>
      <c r="AM111" s="642"/>
      <c r="AN111" s="642"/>
      <c r="AO111" s="643"/>
    </row>
    <row r="112" spans="1:41" s="644" customFormat="1" ht="30" customHeight="1" thickBot="1" x14ac:dyDescent="0.3">
      <c r="A112" s="645" t="s">
        <v>677</v>
      </c>
      <c r="B112" s="640">
        <v>1611</v>
      </c>
      <c r="C112" s="647"/>
      <c r="D112" s="647"/>
      <c r="E112" s="647"/>
      <c r="F112" s="539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2"/>
      <c r="R112" s="642"/>
      <c r="S112" s="642"/>
      <c r="T112" s="642"/>
      <c r="U112" s="642"/>
      <c r="V112" s="642"/>
      <c r="W112" s="642"/>
      <c r="X112" s="642"/>
      <c r="Y112" s="642"/>
      <c r="Z112" s="642"/>
      <c r="AA112" s="642"/>
      <c r="AB112" s="642"/>
      <c r="AC112" s="642"/>
      <c r="AD112" s="642"/>
      <c r="AE112" s="642"/>
      <c r="AF112" s="642"/>
      <c r="AG112" s="642"/>
      <c r="AH112" s="642"/>
      <c r="AI112" s="642"/>
      <c r="AJ112" s="642"/>
      <c r="AK112" s="642"/>
      <c r="AL112" s="642"/>
      <c r="AM112" s="642"/>
      <c r="AN112" s="642"/>
      <c r="AO112" s="643"/>
    </row>
    <row r="113" spans="1:42" s="644" customFormat="1" ht="38.25" thickBot="1" x14ac:dyDescent="0.3">
      <c r="A113" s="645" t="s">
        <v>678</v>
      </c>
      <c r="B113" s="640">
        <v>50</v>
      </c>
      <c r="C113" s="647"/>
      <c r="D113" s="647"/>
      <c r="E113" s="647"/>
      <c r="F113" s="539"/>
      <c r="G113" s="642"/>
      <c r="H113" s="642"/>
      <c r="I113" s="642"/>
      <c r="J113" s="642"/>
      <c r="K113" s="642"/>
      <c r="L113" s="642"/>
      <c r="M113" s="642"/>
      <c r="N113" s="642"/>
      <c r="O113" s="642"/>
      <c r="P113" s="642"/>
      <c r="Q113" s="642"/>
      <c r="R113" s="642"/>
      <c r="S113" s="642"/>
      <c r="T113" s="642"/>
      <c r="U113" s="642"/>
      <c r="V113" s="642"/>
      <c r="W113" s="642"/>
      <c r="X113" s="642"/>
      <c r="Y113" s="642"/>
      <c r="Z113" s="642"/>
      <c r="AA113" s="642"/>
      <c r="AB113" s="642"/>
      <c r="AC113" s="642"/>
      <c r="AD113" s="642"/>
      <c r="AE113" s="642"/>
      <c r="AF113" s="642"/>
      <c r="AG113" s="642"/>
      <c r="AH113" s="642"/>
      <c r="AI113" s="642"/>
      <c r="AJ113" s="642"/>
      <c r="AK113" s="642"/>
      <c r="AL113" s="642"/>
      <c r="AM113" s="642"/>
      <c r="AN113" s="642"/>
      <c r="AO113" s="643"/>
    </row>
    <row r="114" spans="1:42" s="644" customFormat="1" ht="39.75" customHeight="1" thickBot="1" x14ac:dyDescent="0.3">
      <c r="A114" s="645" t="s">
        <v>679</v>
      </c>
      <c r="B114" s="640">
        <v>2720</v>
      </c>
      <c r="C114" s="647"/>
      <c r="D114" s="647"/>
      <c r="E114" s="647"/>
      <c r="F114" s="539"/>
      <c r="G114" s="642"/>
      <c r="H114" s="642"/>
      <c r="I114" s="642"/>
      <c r="J114" s="642"/>
      <c r="K114" s="642"/>
      <c r="L114" s="642"/>
      <c r="M114" s="642"/>
      <c r="N114" s="642"/>
      <c r="O114" s="642"/>
      <c r="P114" s="642"/>
      <c r="Q114" s="642"/>
      <c r="R114" s="642"/>
      <c r="S114" s="642"/>
      <c r="T114" s="642"/>
      <c r="U114" s="642"/>
      <c r="V114" s="642"/>
      <c r="W114" s="642"/>
      <c r="X114" s="642"/>
      <c r="Y114" s="642"/>
      <c r="Z114" s="642"/>
      <c r="AA114" s="642"/>
      <c r="AB114" s="642"/>
      <c r="AC114" s="642"/>
      <c r="AD114" s="642"/>
      <c r="AE114" s="642"/>
      <c r="AF114" s="642"/>
      <c r="AG114" s="642"/>
      <c r="AH114" s="642"/>
      <c r="AI114" s="642"/>
      <c r="AJ114" s="642"/>
      <c r="AK114" s="642"/>
      <c r="AL114" s="642"/>
      <c r="AM114" s="642"/>
      <c r="AN114" s="642"/>
      <c r="AO114" s="643"/>
    </row>
    <row r="115" spans="1:42" s="644" customFormat="1" ht="36.75" customHeight="1" thickBot="1" x14ac:dyDescent="0.3">
      <c r="A115" s="645" t="s">
        <v>680</v>
      </c>
      <c r="B115" s="640">
        <v>0</v>
      </c>
      <c r="C115" s="641"/>
      <c r="D115" s="641"/>
      <c r="E115" s="641"/>
      <c r="F115" s="561"/>
      <c r="G115" s="642"/>
      <c r="H115" s="642"/>
      <c r="I115" s="642"/>
      <c r="J115" s="642"/>
      <c r="K115" s="642"/>
      <c r="L115" s="642"/>
      <c r="M115" s="642"/>
      <c r="N115" s="642"/>
      <c r="O115" s="642"/>
      <c r="P115" s="642"/>
      <c r="Q115" s="642"/>
      <c r="R115" s="642"/>
      <c r="S115" s="642"/>
      <c r="T115" s="642"/>
      <c r="U115" s="642"/>
      <c r="V115" s="642"/>
      <c r="W115" s="642"/>
      <c r="X115" s="642"/>
      <c r="Y115" s="642"/>
      <c r="Z115" s="642"/>
      <c r="AA115" s="642"/>
      <c r="AB115" s="642"/>
      <c r="AC115" s="642"/>
      <c r="AD115" s="642"/>
      <c r="AE115" s="642"/>
      <c r="AF115" s="642"/>
      <c r="AG115" s="642"/>
      <c r="AH115" s="642"/>
      <c r="AI115" s="642"/>
      <c r="AJ115" s="642"/>
      <c r="AK115" s="642"/>
      <c r="AL115" s="642"/>
      <c r="AM115" s="642"/>
      <c r="AN115" s="642"/>
      <c r="AO115" s="643"/>
    </row>
    <row r="116" spans="1:42" s="644" customFormat="1" ht="36.75" customHeight="1" thickBot="1" x14ac:dyDescent="0.3">
      <c r="A116" s="645" t="s">
        <v>681</v>
      </c>
      <c r="B116" s="640">
        <v>0</v>
      </c>
      <c r="C116" s="641"/>
      <c r="D116" s="641"/>
      <c r="E116" s="641"/>
      <c r="F116" s="561"/>
      <c r="G116" s="642"/>
      <c r="H116" s="642"/>
      <c r="I116" s="642"/>
      <c r="J116" s="642"/>
      <c r="K116" s="642"/>
      <c r="L116" s="642"/>
      <c r="M116" s="642"/>
      <c r="N116" s="642"/>
      <c r="O116" s="642"/>
      <c r="P116" s="642"/>
      <c r="Q116" s="642"/>
      <c r="R116" s="642"/>
      <c r="S116" s="642"/>
      <c r="T116" s="642"/>
      <c r="U116" s="642"/>
      <c r="V116" s="642"/>
      <c r="W116" s="642"/>
      <c r="X116" s="642"/>
      <c r="Y116" s="642"/>
      <c r="Z116" s="642"/>
      <c r="AA116" s="642"/>
      <c r="AB116" s="642"/>
      <c r="AC116" s="642"/>
      <c r="AD116" s="642"/>
      <c r="AE116" s="642"/>
      <c r="AF116" s="642"/>
      <c r="AG116" s="642"/>
      <c r="AH116" s="642"/>
      <c r="AI116" s="642"/>
      <c r="AJ116" s="642"/>
      <c r="AK116" s="642"/>
      <c r="AL116" s="642"/>
      <c r="AM116" s="642"/>
      <c r="AN116" s="642"/>
      <c r="AO116" s="643"/>
    </row>
    <row r="117" spans="1:42" s="644" customFormat="1" ht="51" customHeight="1" thickBot="1" x14ac:dyDescent="0.3">
      <c r="A117" s="732" t="s">
        <v>682</v>
      </c>
      <c r="B117" s="646"/>
      <c r="C117" s="647">
        <v>1000</v>
      </c>
      <c r="D117" s="647">
        <v>1000</v>
      </c>
      <c r="E117" s="647">
        <v>2058</v>
      </c>
      <c r="F117" s="539">
        <f t="shared" ref="F117:F129" si="4">E117/D117</f>
        <v>2.0579999999999998</v>
      </c>
      <c r="G117" s="642"/>
      <c r="H117" s="642"/>
      <c r="I117" s="642"/>
      <c r="J117" s="642"/>
      <c r="K117" s="642"/>
      <c r="L117" s="642"/>
      <c r="M117" s="642"/>
      <c r="N117" s="642"/>
      <c r="O117" s="642"/>
      <c r="P117" s="642"/>
      <c r="Q117" s="642"/>
      <c r="R117" s="642"/>
      <c r="S117" s="642"/>
      <c r="T117" s="642"/>
      <c r="U117" s="642"/>
      <c r="V117" s="642"/>
      <c r="W117" s="642"/>
      <c r="X117" s="642"/>
      <c r="Y117" s="642"/>
      <c r="Z117" s="642"/>
      <c r="AA117" s="642"/>
      <c r="AB117" s="642"/>
      <c r="AC117" s="642"/>
      <c r="AD117" s="642"/>
      <c r="AE117" s="642"/>
      <c r="AF117" s="642"/>
      <c r="AG117" s="642"/>
      <c r="AH117" s="642"/>
      <c r="AI117" s="642"/>
      <c r="AJ117" s="642"/>
      <c r="AK117" s="642"/>
      <c r="AL117" s="642"/>
      <c r="AM117" s="642"/>
      <c r="AN117" s="642"/>
      <c r="AO117" s="643"/>
    </row>
    <row r="118" spans="1:42" s="644" customFormat="1" ht="34.5" customHeight="1" thickBot="1" x14ac:dyDescent="0.3">
      <c r="A118" s="732" t="s">
        <v>683</v>
      </c>
      <c r="B118" s="646"/>
      <c r="C118" s="647">
        <v>2000</v>
      </c>
      <c r="D118" s="647">
        <f>2000+6100+710</f>
        <v>8810</v>
      </c>
      <c r="E118" s="647">
        <v>7562</v>
      </c>
      <c r="F118" s="539">
        <f t="shared" si="4"/>
        <v>0.85834279228149835</v>
      </c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642"/>
      <c r="AI118" s="642"/>
      <c r="AJ118" s="642"/>
      <c r="AK118" s="642"/>
      <c r="AL118" s="642"/>
      <c r="AM118" s="642"/>
      <c r="AN118" s="642"/>
      <c r="AO118" s="643"/>
    </row>
    <row r="119" spans="1:42" s="644" customFormat="1" ht="39.75" customHeight="1" thickBot="1" x14ac:dyDescent="0.3">
      <c r="A119" s="706" t="s">
        <v>684</v>
      </c>
      <c r="B119" s="646"/>
      <c r="C119" s="647"/>
      <c r="D119" s="647">
        <v>2000</v>
      </c>
      <c r="E119" s="647">
        <v>1962</v>
      </c>
      <c r="F119" s="539">
        <f t="shared" si="4"/>
        <v>0.98099999999999998</v>
      </c>
      <c r="G119" s="642"/>
      <c r="H119" s="642"/>
      <c r="I119" s="642"/>
      <c r="J119" s="642"/>
      <c r="K119" s="642"/>
      <c r="L119" s="642"/>
      <c r="M119" s="642"/>
      <c r="N119" s="642"/>
      <c r="O119" s="642"/>
      <c r="P119" s="642"/>
      <c r="Q119" s="642"/>
      <c r="R119" s="642"/>
      <c r="S119" s="642"/>
      <c r="T119" s="642"/>
      <c r="U119" s="642"/>
      <c r="V119" s="642"/>
      <c r="W119" s="642"/>
      <c r="X119" s="642"/>
      <c r="Y119" s="642"/>
      <c r="Z119" s="642"/>
      <c r="AA119" s="642"/>
      <c r="AB119" s="642"/>
      <c r="AC119" s="642"/>
      <c r="AD119" s="642"/>
      <c r="AE119" s="642"/>
      <c r="AF119" s="642"/>
      <c r="AG119" s="642"/>
      <c r="AH119" s="642"/>
      <c r="AI119" s="642"/>
      <c r="AJ119" s="642"/>
      <c r="AK119" s="642"/>
      <c r="AL119" s="642"/>
      <c r="AM119" s="642"/>
      <c r="AN119" s="642"/>
      <c r="AO119" s="643"/>
    </row>
    <row r="120" spans="1:42" s="644" customFormat="1" ht="34.5" customHeight="1" thickBot="1" x14ac:dyDescent="0.3">
      <c r="A120" s="732" t="s">
        <v>685</v>
      </c>
      <c r="B120" s="646"/>
      <c r="C120" s="647"/>
      <c r="D120" s="647">
        <v>50</v>
      </c>
      <c r="E120" s="647">
        <v>50</v>
      </c>
      <c r="F120" s="539">
        <f t="shared" si="4"/>
        <v>1</v>
      </c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642"/>
      <c r="AI120" s="642"/>
      <c r="AJ120" s="642"/>
      <c r="AK120" s="642"/>
      <c r="AL120" s="642"/>
      <c r="AM120" s="642"/>
      <c r="AN120" s="642"/>
      <c r="AO120" s="643"/>
    </row>
    <row r="121" spans="1:42" s="644" customFormat="1" ht="37.5" customHeight="1" thickBot="1" x14ac:dyDescent="0.3">
      <c r="A121" s="706" t="s">
        <v>686</v>
      </c>
      <c r="B121" s="646"/>
      <c r="C121" s="647"/>
      <c r="D121" s="647">
        <f>2512+382</f>
        <v>2894</v>
      </c>
      <c r="E121" s="647">
        <v>2894</v>
      </c>
      <c r="F121" s="539">
        <f t="shared" si="4"/>
        <v>1</v>
      </c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642"/>
      <c r="AI121" s="642"/>
      <c r="AJ121" s="642"/>
      <c r="AK121" s="642"/>
      <c r="AL121" s="642"/>
      <c r="AM121" s="642"/>
      <c r="AN121" s="642"/>
      <c r="AO121" s="643"/>
    </row>
    <row r="122" spans="1:42" s="747" customFormat="1" ht="33.75" customHeight="1" thickBot="1" x14ac:dyDescent="0.3">
      <c r="A122" s="732" t="s">
        <v>687</v>
      </c>
      <c r="B122" s="743"/>
      <c r="C122" s="647"/>
      <c r="D122" s="744">
        <v>2000</v>
      </c>
      <c r="E122" s="647"/>
      <c r="F122" s="539">
        <f t="shared" si="4"/>
        <v>0</v>
      </c>
      <c r="G122" s="745"/>
      <c r="H122" s="745"/>
      <c r="I122" s="745"/>
      <c r="J122" s="745"/>
      <c r="K122" s="745"/>
      <c r="L122" s="745"/>
      <c r="M122" s="745"/>
      <c r="N122" s="745"/>
      <c r="O122" s="745"/>
      <c r="P122" s="745"/>
      <c r="Q122" s="745"/>
      <c r="R122" s="745"/>
      <c r="S122" s="745"/>
      <c r="T122" s="745"/>
      <c r="U122" s="745"/>
      <c r="V122" s="745"/>
      <c r="W122" s="745"/>
      <c r="X122" s="745"/>
      <c r="Y122" s="745"/>
      <c r="Z122" s="745"/>
      <c r="AA122" s="745"/>
      <c r="AB122" s="745"/>
      <c r="AC122" s="745"/>
      <c r="AD122" s="745"/>
      <c r="AE122" s="745"/>
      <c r="AF122" s="745"/>
      <c r="AG122" s="745"/>
      <c r="AH122" s="745"/>
      <c r="AI122" s="745"/>
      <c r="AJ122" s="745"/>
      <c r="AK122" s="745"/>
      <c r="AL122" s="745"/>
      <c r="AM122" s="745"/>
      <c r="AN122" s="745"/>
      <c r="AO122" s="745"/>
      <c r="AP122" s="746"/>
    </row>
    <row r="123" spans="1:42" s="644" customFormat="1" ht="38.25" thickBot="1" x14ac:dyDescent="0.3">
      <c r="A123" s="732" t="s">
        <v>688</v>
      </c>
      <c r="B123" s="646"/>
      <c r="C123" s="647">
        <v>300</v>
      </c>
      <c r="D123" s="647">
        <v>300</v>
      </c>
      <c r="E123" s="647">
        <v>0</v>
      </c>
      <c r="F123" s="539">
        <f t="shared" si="4"/>
        <v>0</v>
      </c>
      <c r="G123" s="642"/>
      <c r="H123" s="642"/>
      <c r="I123" s="642"/>
      <c r="J123" s="642"/>
      <c r="K123" s="642"/>
      <c r="L123" s="642"/>
      <c r="M123" s="642"/>
      <c r="N123" s="642"/>
      <c r="O123" s="642"/>
      <c r="P123" s="642"/>
      <c r="Q123" s="642"/>
      <c r="R123" s="642"/>
      <c r="S123" s="642"/>
      <c r="T123" s="642"/>
      <c r="U123" s="642"/>
      <c r="V123" s="642"/>
      <c r="W123" s="642"/>
      <c r="X123" s="642"/>
      <c r="Y123" s="642"/>
      <c r="Z123" s="642"/>
      <c r="AA123" s="642"/>
      <c r="AB123" s="642"/>
      <c r="AC123" s="642"/>
      <c r="AD123" s="642"/>
      <c r="AE123" s="642"/>
      <c r="AF123" s="642"/>
      <c r="AG123" s="642"/>
      <c r="AH123" s="642"/>
      <c r="AI123" s="642"/>
      <c r="AJ123" s="642"/>
      <c r="AK123" s="642"/>
      <c r="AL123" s="642"/>
      <c r="AM123" s="642"/>
      <c r="AN123" s="642"/>
      <c r="AO123" s="643"/>
    </row>
    <row r="124" spans="1:42" s="644" customFormat="1" ht="30.75" customHeight="1" thickBot="1" x14ac:dyDescent="0.3">
      <c r="A124" s="891" t="s">
        <v>689</v>
      </c>
      <c r="B124" s="892"/>
      <c r="C124" s="552"/>
      <c r="D124" s="552">
        <f>200-200</f>
        <v>0</v>
      </c>
      <c r="E124" s="552">
        <v>0</v>
      </c>
      <c r="F124" s="539">
        <v>0</v>
      </c>
      <c r="G124" s="642"/>
      <c r="H124" s="642"/>
      <c r="I124" s="642"/>
      <c r="J124" s="642"/>
      <c r="K124" s="642"/>
      <c r="L124" s="642"/>
      <c r="M124" s="642"/>
      <c r="N124" s="642"/>
      <c r="O124" s="642"/>
      <c r="P124" s="642"/>
      <c r="Q124" s="642"/>
      <c r="R124" s="642"/>
      <c r="S124" s="642"/>
      <c r="T124" s="642"/>
      <c r="U124" s="642"/>
      <c r="V124" s="642"/>
      <c r="W124" s="642"/>
      <c r="X124" s="642"/>
      <c r="Y124" s="642"/>
      <c r="Z124" s="642"/>
      <c r="AA124" s="642"/>
      <c r="AB124" s="642"/>
      <c r="AC124" s="642"/>
      <c r="AD124" s="642"/>
      <c r="AE124" s="642"/>
      <c r="AF124" s="642"/>
      <c r="AG124" s="642"/>
      <c r="AH124" s="642"/>
      <c r="AI124" s="642"/>
      <c r="AJ124" s="642"/>
      <c r="AK124" s="642"/>
      <c r="AL124" s="642"/>
      <c r="AM124" s="642"/>
      <c r="AN124" s="642"/>
      <c r="AO124" s="643"/>
    </row>
    <row r="125" spans="1:42" s="644" customFormat="1" ht="42.75" customHeight="1" thickBot="1" x14ac:dyDescent="0.3">
      <c r="A125" s="891" t="s">
        <v>690</v>
      </c>
      <c r="B125" s="892"/>
      <c r="C125" s="552"/>
      <c r="D125" s="552">
        <v>100</v>
      </c>
      <c r="E125" s="552">
        <v>100</v>
      </c>
      <c r="F125" s="539">
        <f t="shared" si="4"/>
        <v>1</v>
      </c>
      <c r="G125" s="642"/>
      <c r="H125" s="642"/>
      <c r="I125" s="642"/>
      <c r="J125" s="642"/>
      <c r="K125" s="642"/>
      <c r="L125" s="642"/>
      <c r="M125" s="642"/>
      <c r="N125" s="642"/>
      <c r="O125" s="642"/>
      <c r="P125" s="642"/>
      <c r="Q125" s="642"/>
      <c r="R125" s="642"/>
      <c r="S125" s="642"/>
      <c r="T125" s="642"/>
      <c r="U125" s="642"/>
      <c r="V125" s="642"/>
      <c r="W125" s="642"/>
      <c r="X125" s="642"/>
      <c r="Y125" s="642"/>
      <c r="Z125" s="642"/>
      <c r="AA125" s="642"/>
      <c r="AB125" s="642"/>
      <c r="AC125" s="642"/>
      <c r="AD125" s="642"/>
      <c r="AE125" s="642"/>
      <c r="AF125" s="642"/>
      <c r="AG125" s="642"/>
      <c r="AH125" s="642"/>
      <c r="AI125" s="642"/>
      <c r="AJ125" s="642"/>
      <c r="AK125" s="642"/>
      <c r="AL125" s="642"/>
      <c r="AM125" s="642"/>
      <c r="AN125" s="642"/>
      <c r="AO125" s="643"/>
    </row>
    <row r="126" spans="1:42" s="644" customFormat="1" ht="39.75" customHeight="1" thickBot="1" x14ac:dyDescent="0.3">
      <c r="A126" s="891" t="s">
        <v>691</v>
      </c>
      <c r="B126" s="892"/>
      <c r="C126" s="552"/>
      <c r="D126" s="552">
        <v>200</v>
      </c>
      <c r="E126" s="552">
        <v>200</v>
      </c>
      <c r="F126" s="539">
        <f t="shared" si="4"/>
        <v>1</v>
      </c>
      <c r="G126" s="642"/>
      <c r="H126" s="642"/>
      <c r="I126" s="642"/>
      <c r="J126" s="642"/>
      <c r="K126" s="642"/>
      <c r="L126" s="642"/>
      <c r="M126" s="642"/>
      <c r="N126" s="642"/>
      <c r="O126" s="642"/>
      <c r="P126" s="642"/>
      <c r="Q126" s="642"/>
      <c r="R126" s="642"/>
      <c r="S126" s="642"/>
      <c r="T126" s="642"/>
      <c r="U126" s="642"/>
      <c r="V126" s="642"/>
      <c r="W126" s="642"/>
      <c r="X126" s="642"/>
      <c r="Y126" s="642"/>
      <c r="Z126" s="642"/>
      <c r="AA126" s="642"/>
      <c r="AB126" s="642"/>
      <c r="AC126" s="642"/>
      <c r="AD126" s="642"/>
      <c r="AE126" s="642"/>
      <c r="AF126" s="642"/>
      <c r="AG126" s="642"/>
      <c r="AH126" s="642"/>
      <c r="AI126" s="642"/>
      <c r="AJ126" s="642"/>
      <c r="AK126" s="642"/>
      <c r="AL126" s="642"/>
      <c r="AM126" s="642"/>
      <c r="AN126" s="642"/>
      <c r="AO126" s="643"/>
    </row>
    <row r="127" spans="1:42" s="644" customFormat="1" ht="30.75" customHeight="1" thickBot="1" x14ac:dyDescent="0.3">
      <c r="A127" s="891" t="s">
        <v>692</v>
      </c>
      <c r="B127" s="892"/>
      <c r="C127" s="552"/>
      <c r="D127" s="552">
        <v>10</v>
      </c>
      <c r="E127" s="552">
        <v>10</v>
      </c>
      <c r="F127" s="539">
        <f t="shared" si="4"/>
        <v>1</v>
      </c>
      <c r="G127" s="642"/>
      <c r="H127" s="642"/>
      <c r="I127" s="642"/>
      <c r="J127" s="642"/>
      <c r="K127" s="642"/>
      <c r="L127" s="642"/>
      <c r="M127" s="642"/>
      <c r="N127" s="642"/>
      <c r="O127" s="642"/>
      <c r="P127" s="642"/>
      <c r="Q127" s="642"/>
      <c r="R127" s="642"/>
      <c r="S127" s="642"/>
      <c r="T127" s="642"/>
      <c r="U127" s="642"/>
      <c r="V127" s="642"/>
      <c r="W127" s="642"/>
      <c r="X127" s="642"/>
      <c r="Y127" s="642"/>
      <c r="Z127" s="642"/>
      <c r="AA127" s="642"/>
      <c r="AB127" s="642"/>
      <c r="AC127" s="642"/>
      <c r="AD127" s="642"/>
      <c r="AE127" s="642"/>
      <c r="AF127" s="642"/>
      <c r="AG127" s="642"/>
      <c r="AH127" s="642"/>
      <c r="AI127" s="642"/>
      <c r="AJ127" s="642"/>
      <c r="AK127" s="642"/>
      <c r="AL127" s="642"/>
      <c r="AM127" s="642"/>
      <c r="AN127" s="642"/>
      <c r="AO127" s="643"/>
    </row>
    <row r="128" spans="1:42" s="644" customFormat="1" ht="30.75" customHeight="1" thickBot="1" x14ac:dyDescent="0.3">
      <c r="A128" s="891" t="s">
        <v>693</v>
      </c>
      <c r="B128" s="892"/>
      <c r="C128" s="552"/>
      <c r="D128" s="552">
        <v>10</v>
      </c>
      <c r="E128" s="552">
        <v>10</v>
      </c>
      <c r="F128" s="539">
        <f t="shared" si="4"/>
        <v>1</v>
      </c>
      <c r="G128" s="642"/>
      <c r="H128" s="642"/>
      <c r="I128" s="642"/>
      <c r="J128" s="642"/>
      <c r="K128" s="642"/>
      <c r="L128" s="642"/>
      <c r="M128" s="642"/>
      <c r="N128" s="642"/>
      <c r="O128" s="642"/>
      <c r="P128" s="642"/>
      <c r="Q128" s="642"/>
      <c r="R128" s="642"/>
      <c r="S128" s="642"/>
      <c r="T128" s="642"/>
      <c r="U128" s="642"/>
      <c r="V128" s="642"/>
      <c r="W128" s="642"/>
      <c r="X128" s="642"/>
      <c r="Y128" s="642"/>
      <c r="Z128" s="642"/>
      <c r="AA128" s="642"/>
      <c r="AB128" s="642"/>
      <c r="AC128" s="642"/>
      <c r="AD128" s="642"/>
      <c r="AE128" s="642"/>
      <c r="AF128" s="642"/>
      <c r="AG128" s="642"/>
      <c r="AH128" s="642"/>
      <c r="AI128" s="642"/>
      <c r="AJ128" s="642"/>
      <c r="AK128" s="642"/>
      <c r="AL128" s="642"/>
      <c r="AM128" s="642"/>
      <c r="AN128" s="642"/>
      <c r="AO128" s="643"/>
    </row>
    <row r="129" spans="1:41" s="644" customFormat="1" ht="30.75" customHeight="1" thickBot="1" x14ac:dyDescent="0.3">
      <c r="A129" s="891" t="s">
        <v>694</v>
      </c>
      <c r="B129" s="892"/>
      <c r="C129" s="552"/>
      <c r="D129" s="552">
        <v>200</v>
      </c>
      <c r="E129" s="552">
        <v>200</v>
      </c>
      <c r="F129" s="539">
        <f t="shared" si="4"/>
        <v>1</v>
      </c>
      <c r="G129" s="642"/>
      <c r="H129" s="642"/>
      <c r="I129" s="642"/>
      <c r="J129" s="642"/>
      <c r="K129" s="642"/>
      <c r="L129" s="642"/>
      <c r="M129" s="642"/>
      <c r="N129" s="642"/>
      <c r="O129" s="642"/>
      <c r="P129" s="642"/>
      <c r="Q129" s="642"/>
      <c r="R129" s="642"/>
      <c r="S129" s="642"/>
      <c r="T129" s="642"/>
      <c r="U129" s="642"/>
      <c r="V129" s="642"/>
      <c r="W129" s="642"/>
      <c r="X129" s="642"/>
      <c r="Y129" s="642"/>
      <c r="Z129" s="642"/>
      <c r="AA129" s="642"/>
      <c r="AB129" s="642"/>
      <c r="AC129" s="642"/>
      <c r="AD129" s="642"/>
      <c r="AE129" s="642"/>
      <c r="AF129" s="642"/>
      <c r="AG129" s="642"/>
      <c r="AH129" s="642"/>
      <c r="AI129" s="642"/>
      <c r="AJ129" s="642"/>
      <c r="AK129" s="642"/>
      <c r="AL129" s="642"/>
      <c r="AM129" s="642"/>
      <c r="AN129" s="642"/>
      <c r="AO129" s="643"/>
    </row>
    <row r="130" spans="1:41" s="650" customFormat="1" ht="38.25" thickBot="1" x14ac:dyDescent="0.3">
      <c r="A130" s="550" t="s">
        <v>695</v>
      </c>
      <c r="B130" s="551"/>
      <c r="C130" s="552">
        <v>847</v>
      </c>
      <c r="D130" s="552">
        <f>847+160</f>
        <v>1007</v>
      </c>
      <c r="E130" s="552">
        <v>996</v>
      </c>
      <c r="F130" s="553">
        <f>E130/D130</f>
        <v>0.98907646474677258</v>
      </c>
      <c r="G130" s="648"/>
      <c r="H130" s="648"/>
      <c r="I130" s="648"/>
      <c r="J130" s="648"/>
      <c r="K130" s="648"/>
      <c r="L130" s="648"/>
      <c r="M130" s="648"/>
      <c r="N130" s="648"/>
      <c r="O130" s="648"/>
      <c r="P130" s="648"/>
      <c r="Q130" s="648"/>
      <c r="R130" s="648"/>
      <c r="S130" s="648"/>
      <c r="T130" s="648"/>
      <c r="U130" s="648"/>
      <c r="V130" s="648"/>
      <c r="W130" s="648"/>
      <c r="X130" s="648"/>
      <c r="Y130" s="648"/>
      <c r="Z130" s="648"/>
      <c r="AA130" s="648"/>
      <c r="AB130" s="648"/>
      <c r="AC130" s="648"/>
      <c r="AD130" s="648"/>
      <c r="AE130" s="648"/>
      <c r="AF130" s="648"/>
      <c r="AG130" s="648"/>
      <c r="AH130" s="648"/>
      <c r="AI130" s="648"/>
      <c r="AJ130" s="648"/>
      <c r="AK130" s="648"/>
      <c r="AL130" s="648"/>
      <c r="AM130" s="648"/>
      <c r="AN130" s="648"/>
      <c r="AO130" s="649"/>
    </row>
    <row r="131" spans="1:41" s="449" customFormat="1" ht="32.25" customHeight="1" thickBot="1" x14ac:dyDescent="0.3">
      <c r="A131" s="536" t="s">
        <v>696</v>
      </c>
      <c r="B131" s="549"/>
      <c r="C131" s="538">
        <v>5000</v>
      </c>
      <c r="D131" s="538">
        <f>C131+10000</f>
        <v>15000</v>
      </c>
      <c r="E131" s="538">
        <v>15000</v>
      </c>
      <c r="F131" s="553">
        <f>E131/D131</f>
        <v>1</v>
      </c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  <c r="W131" s="447"/>
      <c r="X131" s="447"/>
      <c r="Y131" s="447"/>
      <c r="Z131" s="447"/>
      <c r="AA131" s="447"/>
      <c r="AB131" s="447"/>
      <c r="AC131" s="447"/>
      <c r="AD131" s="447"/>
      <c r="AE131" s="447"/>
      <c r="AF131" s="447"/>
      <c r="AG131" s="447"/>
      <c r="AH131" s="447"/>
      <c r="AI131" s="447"/>
      <c r="AJ131" s="447"/>
      <c r="AK131" s="447"/>
      <c r="AL131" s="447"/>
      <c r="AM131" s="447"/>
      <c r="AN131" s="447"/>
      <c r="AO131" s="448"/>
    </row>
    <row r="132" spans="1:41" s="644" customFormat="1" ht="32.25" customHeight="1" thickBot="1" x14ac:dyDescent="0.3">
      <c r="A132" s="732" t="s">
        <v>697</v>
      </c>
      <c r="B132" s="646"/>
      <c r="C132" s="647"/>
      <c r="D132" s="647">
        <f>SUM(B133:B134)</f>
        <v>9848</v>
      </c>
      <c r="E132" s="647">
        <f>SUM(B133:B134)</f>
        <v>9848</v>
      </c>
      <c r="F132" s="553">
        <f>E132/D132</f>
        <v>1</v>
      </c>
      <c r="G132" s="642"/>
      <c r="H132" s="642"/>
      <c r="I132" s="642"/>
      <c r="J132" s="642"/>
      <c r="K132" s="642"/>
      <c r="L132" s="642"/>
      <c r="M132" s="642"/>
      <c r="N132" s="642"/>
      <c r="O132" s="642"/>
      <c r="P132" s="642"/>
      <c r="Q132" s="642"/>
      <c r="R132" s="642"/>
      <c r="S132" s="642"/>
      <c r="T132" s="642"/>
      <c r="U132" s="642"/>
      <c r="V132" s="642"/>
      <c r="W132" s="642"/>
      <c r="X132" s="642"/>
      <c r="Y132" s="642"/>
      <c r="Z132" s="642"/>
      <c r="AA132" s="642"/>
      <c r="AB132" s="642"/>
      <c r="AC132" s="642"/>
      <c r="AD132" s="642"/>
      <c r="AE132" s="642"/>
      <c r="AF132" s="642"/>
      <c r="AG132" s="642"/>
      <c r="AH132" s="642"/>
      <c r="AI132" s="642"/>
      <c r="AJ132" s="642"/>
      <c r="AK132" s="642"/>
      <c r="AL132" s="642"/>
      <c r="AM132" s="642"/>
      <c r="AN132" s="642"/>
      <c r="AO132" s="643"/>
    </row>
    <row r="133" spans="1:41" s="644" customFormat="1" ht="43.5" customHeight="1" thickBot="1" x14ac:dyDescent="0.3">
      <c r="A133" s="645" t="s">
        <v>698</v>
      </c>
      <c r="B133" s="640">
        <v>1580</v>
      </c>
      <c r="C133" s="641"/>
      <c r="D133" s="641"/>
      <c r="E133" s="641"/>
      <c r="F133" s="561"/>
      <c r="G133" s="642"/>
      <c r="H133" s="642"/>
      <c r="I133" s="642"/>
      <c r="J133" s="642"/>
      <c r="K133" s="642"/>
      <c r="L133" s="642"/>
      <c r="M133" s="642"/>
      <c r="N133" s="642"/>
      <c r="O133" s="642"/>
      <c r="P133" s="642"/>
      <c r="Q133" s="642"/>
      <c r="R133" s="642"/>
      <c r="S133" s="642"/>
      <c r="T133" s="642"/>
      <c r="U133" s="642"/>
      <c r="V133" s="642"/>
      <c r="W133" s="642"/>
      <c r="X133" s="642"/>
      <c r="Y133" s="642"/>
      <c r="Z133" s="642"/>
      <c r="AA133" s="642"/>
      <c r="AB133" s="642"/>
      <c r="AC133" s="642"/>
      <c r="AD133" s="642"/>
      <c r="AE133" s="642"/>
      <c r="AF133" s="642"/>
      <c r="AG133" s="642"/>
      <c r="AH133" s="642"/>
      <c r="AI133" s="642"/>
      <c r="AJ133" s="642"/>
      <c r="AK133" s="642"/>
      <c r="AL133" s="642"/>
      <c r="AM133" s="642"/>
      <c r="AN133" s="642"/>
      <c r="AO133" s="643"/>
    </row>
    <row r="134" spans="1:41" s="644" customFormat="1" ht="43.5" customHeight="1" thickBot="1" x14ac:dyDescent="0.3">
      <c r="A134" s="645" t="s">
        <v>699</v>
      </c>
      <c r="B134" s="640">
        <v>8268</v>
      </c>
      <c r="C134" s="641"/>
      <c r="D134" s="641"/>
      <c r="E134" s="641"/>
      <c r="F134" s="561"/>
      <c r="G134" s="642"/>
      <c r="H134" s="642"/>
      <c r="I134" s="642"/>
      <c r="J134" s="642"/>
      <c r="K134" s="642"/>
      <c r="L134" s="642"/>
      <c r="M134" s="642"/>
      <c r="N134" s="642"/>
      <c r="O134" s="642"/>
      <c r="P134" s="642"/>
      <c r="Q134" s="642"/>
      <c r="R134" s="642"/>
      <c r="S134" s="642"/>
      <c r="T134" s="642"/>
      <c r="U134" s="642"/>
      <c r="V134" s="642"/>
      <c r="W134" s="642"/>
      <c r="X134" s="642"/>
      <c r="Y134" s="642"/>
      <c r="Z134" s="642"/>
      <c r="AA134" s="642"/>
      <c r="AB134" s="642"/>
      <c r="AC134" s="642"/>
      <c r="AD134" s="642"/>
      <c r="AE134" s="642"/>
      <c r="AF134" s="642"/>
      <c r="AG134" s="642"/>
      <c r="AH134" s="642"/>
      <c r="AI134" s="642"/>
      <c r="AJ134" s="642"/>
      <c r="AK134" s="642"/>
      <c r="AL134" s="642"/>
      <c r="AM134" s="642"/>
      <c r="AN134" s="642"/>
      <c r="AO134" s="643"/>
    </row>
    <row r="135" spans="1:41" s="644" customFormat="1" ht="38.25" thickBot="1" x14ac:dyDescent="0.3">
      <c r="A135" s="732" t="s">
        <v>700</v>
      </c>
      <c r="B135" s="646"/>
      <c r="C135" s="647">
        <v>3750</v>
      </c>
      <c r="D135" s="647">
        <v>3750</v>
      </c>
      <c r="E135" s="647">
        <v>3438</v>
      </c>
      <c r="F135" s="553">
        <f>E135/D135</f>
        <v>0.91679999999999995</v>
      </c>
      <c r="G135" s="642"/>
      <c r="H135" s="642"/>
      <c r="I135" s="642"/>
      <c r="J135" s="642"/>
      <c r="K135" s="642"/>
      <c r="L135" s="642"/>
      <c r="M135" s="642"/>
      <c r="N135" s="642"/>
      <c r="O135" s="642"/>
      <c r="P135" s="642"/>
      <c r="Q135" s="642"/>
      <c r="R135" s="642"/>
      <c r="S135" s="642"/>
      <c r="T135" s="642"/>
      <c r="U135" s="642"/>
      <c r="V135" s="642"/>
      <c r="W135" s="642"/>
      <c r="X135" s="642"/>
      <c r="Y135" s="642"/>
      <c r="Z135" s="642"/>
      <c r="AA135" s="642"/>
      <c r="AB135" s="642"/>
      <c r="AC135" s="642"/>
      <c r="AD135" s="642"/>
      <c r="AE135" s="642"/>
      <c r="AF135" s="642"/>
      <c r="AG135" s="642"/>
      <c r="AH135" s="642"/>
      <c r="AI135" s="642"/>
      <c r="AJ135" s="642"/>
      <c r="AK135" s="642"/>
      <c r="AL135" s="642"/>
      <c r="AM135" s="642"/>
      <c r="AN135" s="642"/>
      <c r="AO135" s="643"/>
    </row>
    <row r="136" spans="1:41" s="644" customFormat="1" ht="26.25" customHeight="1" thickBot="1" x14ac:dyDescent="0.3">
      <c r="A136" s="732" t="s">
        <v>701</v>
      </c>
      <c r="B136" s="646"/>
      <c r="C136" s="647">
        <v>1296</v>
      </c>
      <c r="D136" s="647">
        <v>1296</v>
      </c>
      <c r="E136" s="647">
        <v>819</v>
      </c>
      <c r="F136" s="553">
        <f>E136/D136</f>
        <v>0.63194444444444442</v>
      </c>
      <c r="G136" s="642"/>
      <c r="H136" s="642"/>
      <c r="I136" s="642"/>
      <c r="J136" s="642"/>
      <c r="K136" s="642"/>
      <c r="L136" s="642"/>
      <c r="M136" s="642"/>
      <c r="N136" s="642"/>
      <c r="O136" s="642"/>
      <c r="P136" s="642"/>
      <c r="Q136" s="642"/>
      <c r="R136" s="642"/>
      <c r="S136" s="642"/>
      <c r="T136" s="642"/>
      <c r="U136" s="642"/>
      <c r="V136" s="642"/>
      <c r="W136" s="642"/>
      <c r="X136" s="642"/>
      <c r="Y136" s="642"/>
      <c r="Z136" s="642"/>
      <c r="AA136" s="642"/>
      <c r="AB136" s="642"/>
      <c r="AC136" s="642"/>
      <c r="AD136" s="642"/>
      <c r="AE136" s="642"/>
      <c r="AF136" s="642"/>
      <c r="AG136" s="642"/>
      <c r="AH136" s="642"/>
      <c r="AI136" s="642"/>
      <c r="AJ136" s="642"/>
      <c r="AK136" s="642"/>
      <c r="AL136" s="642"/>
      <c r="AM136" s="642"/>
      <c r="AN136" s="642"/>
      <c r="AO136" s="643"/>
    </row>
    <row r="137" spans="1:41" s="644" customFormat="1" ht="38.25" thickBot="1" x14ac:dyDescent="0.3">
      <c r="A137" s="645" t="s">
        <v>702</v>
      </c>
      <c r="B137" s="640"/>
      <c r="C137" s="647"/>
      <c r="D137" s="647"/>
      <c r="E137" s="647"/>
      <c r="F137" s="539"/>
      <c r="G137" s="642"/>
      <c r="H137" s="642"/>
      <c r="I137" s="642"/>
      <c r="J137" s="642"/>
      <c r="K137" s="642"/>
      <c r="L137" s="642"/>
      <c r="M137" s="642"/>
      <c r="N137" s="642"/>
      <c r="O137" s="642"/>
      <c r="P137" s="642"/>
      <c r="Q137" s="642"/>
      <c r="R137" s="642"/>
      <c r="S137" s="642"/>
      <c r="T137" s="642"/>
      <c r="U137" s="642"/>
      <c r="V137" s="642"/>
      <c r="W137" s="642"/>
      <c r="X137" s="642"/>
      <c r="Y137" s="642"/>
      <c r="Z137" s="642"/>
      <c r="AA137" s="642"/>
      <c r="AB137" s="642"/>
      <c r="AC137" s="642"/>
      <c r="AD137" s="642"/>
      <c r="AE137" s="642"/>
      <c r="AF137" s="642"/>
      <c r="AG137" s="642"/>
      <c r="AH137" s="642"/>
      <c r="AI137" s="642"/>
      <c r="AJ137" s="642"/>
      <c r="AK137" s="642"/>
      <c r="AL137" s="642"/>
      <c r="AM137" s="642"/>
      <c r="AN137" s="642"/>
      <c r="AO137" s="643"/>
    </row>
    <row r="138" spans="1:41" s="644" customFormat="1" ht="24" customHeight="1" thickBot="1" x14ac:dyDescent="0.3">
      <c r="A138" s="645" t="s">
        <v>703</v>
      </c>
      <c r="B138" s="640"/>
      <c r="C138" s="647"/>
      <c r="D138" s="647"/>
      <c r="E138" s="647"/>
      <c r="F138" s="539"/>
      <c r="G138" s="642"/>
      <c r="H138" s="642"/>
      <c r="I138" s="642"/>
      <c r="J138" s="642"/>
      <c r="K138" s="642"/>
      <c r="L138" s="642"/>
      <c r="M138" s="642"/>
      <c r="N138" s="642"/>
      <c r="O138" s="642"/>
      <c r="P138" s="642"/>
      <c r="Q138" s="642"/>
      <c r="R138" s="642"/>
      <c r="S138" s="642"/>
      <c r="T138" s="642"/>
      <c r="U138" s="642"/>
      <c r="V138" s="642"/>
      <c r="W138" s="642"/>
      <c r="X138" s="642"/>
      <c r="Y138" s="642"/>
      <c r="Z138" s="642"/>
      <c r="AA138" s="642"/>
      <c r="AB138" s="642"/>
      <c r="AC138" s="642"/>
      <c r="AD138" s="642"/>
      <c r="AE138" s="642"/>
      <c r="AF138" s="642"/>
      <c r="AG138" s="642"/>
      <c r="AH138" s="642"/>
      <c r="AI138" s="642"/>
      <c r="AJ138" s="642"/>
      <c r="AK138" s="642"/>
      <c r="AL138" s="642"/>
      <c r="AM138" s="642"/>
      <c r="AN138" s="642"/>
      <c r="AO138" s="643"/>
    </row>
    <row r="139" spans="1:41" s="644" customFormat="1" ht="24" customHeight="1" thickBot="1" x14ac:dyDescent="0.3">
      <c r="A139" s="645" t="s">
        <v>704</v>
      </c>
      <c r="B139" s="640"/>
      <c r="C139" s="647"/>
      <c r="D139" s="647"/>
      <c r="E139" s="647"/>
      <c r="F139" s="539"/>
      <c r="G139" s="642"/>
      <c r="H139" s="642"/>
      <c r="I139" s="642"/>
      <c r="J139" s="642"/>
      <c r="K139" s="642"/>
      <c r="L139" s="642"/>
      <c r="M139" s="642"/>
      <c r="N139" s="642"/>
      <c r="O139" s="642"/>
      <c r="P139" s="642"/>
      <c r="Q139" s="642"/>
      <c r="R139" s="642"/>
      <c r="S139" s="642"/>
      <c r="T139" s="642"/>
      <c r="U139" s="642"/>
      <c r="V139" s="642"/>
      <c r="W139" s="642"/>
      <c r="X139" s="642"/>
      <c r="Y139" s="642"/>
      <c r="Z139" s="642"/>
      <c r="AA139" s="642"/>
      <c r="AB139" s="642"/>
      <c r="AC139" s="642"/>
      <c r="AD139" s="642"/>
      <c r="AE139" s="642"/>
      <c r="AF139" s="642"/>
      <c r="AG139" s="642"/>
      <c r="AH139" s="642"/>
      <c r="AI139" s="642"/>
      <c r="AJ139" s="642"/>
      <c r="AK139" s="642"/>
      <c r="AL139" s="642"/>
      <c r="AM139" s="642"/>
      <c r="AN139" s="642"/>
      <c r="AO139" s="643"/>
    </row>
    <row r="140" spans="1:41" s="644" customFormat="1" ht="62.25" customHeight="1" thickBot="1" x14ac:dyDescent="0.3">
      <c r="A140" s="645" t="s">
        <v>705</v>
      </c>
      <c r="B140" s="640"/>
      <c r="C140" s="647"/>
      <c r="D140" s="647"/>
      <c r="E140" s="647"/>
      <c r="F140" s="539"/>
      <c r="G140" s="642"/>
      <c r="H140" s="642"/>
      <c r="I140" s="642"/>
      <c r="J140" s="642"/>
      <c r="K140" s="642"/>
      <c r="L140" s="642"/>
      <c r="M140" s="642"/>
      <c r="N140" s="642"/>
      <c r="O140" s="642"/>
      <c r="P140" s="642"/>
      <c r="Q140" s="642"/>
      <c r="R140" s="642"/>
      <c r="S140" s="642"/>
      <c r="T140" s="642"/>
      <c r="U140" s="642"/>
      <c r="V140" s="642"/>
      <c r="W140" s="642"/>
      <c r="X140" s="642"/>
      <c r="Y140" s="642"/>
      <c r="Z140" s="642"/>
      <c r="AA140" s="642"/>
      <c r="AB140" s="642"/>
      <c r="AC140" s="642"/>
      <c r="AD140" s="642"/>
      <c r="AE140" s="642"/>
      <c r="AF140" s="642"/>
      <c r="AG140" s="642"/>
      <c r="AH140" s="642"/>
      <c r="AI140" s="642"/>
      <c r="AJ140" s="642"/>
      <c r="AK140" s="642"/>
      <c r="AL140" s="642"/>
      <c r="AM140" s="642"/>
      <c r="AN140" s="642"/>
      <c r="AO140" s="643"/>
    </row>
    <row r="141" spans="1:41" s="644" customFormat="1" ht="30.75" customHeight="1" thickBot="1" x14ac:dyDescent="0.3">
      <c r="A141" s="645" t="s">
        <v>706</v>
      </c>
      <c r="B141" s="640"/>
      <c r="C141" s="647"/>
      <c r="D141" s="647"/>
      <c r="E141" s="647"/>
      <c r="F141" s="539"/>
      <c r="G141" s="642"/>
      <c r="H141" s="642"/>
      <c r="I141" s="642"/>
      <c r="J141" s="642"/>
      <c r="K141" s="642"/>
      <c r="L141" s="642"/>
      <c r="M141" s="642"/>
      <c r="N141" s="642"/>
      <c r="O141" s="642"/>
      <c r="P141" s="642"/>
      <c r="Q141" s="642"/>
      <c r="R141" s="642"/>
      <c r="S141" s="642"/>
      <c r="T141" s="642"/>
      <c r="U141" s="642"/>
      <c r="V141" s="642"/>
      <c r="W141" s="642"/>
      <c r="X141" s="642"/>
      <c r="Y141" s="642"/>
      <c r="Z141" s="642"/>
      <c r="AA141" s="642"/>
      <c r="AB141" s="642"/>
      <c r="AC141" s="642"/>
      <c r="AD141" s="642"/>
      <c r="AE141" s="642"/>
      <c r="AF141" s="642"/>
      <c r="AG141" s="642"/>
      <c r="AH141" s="642"/>
      <c r="AI141" s="642"/>
      <c r="AJ141" s="642"/>
      <c r="AK141" s="642"/>
      <c r="AL141" s="642"/>
      <c r="AM141" s="642"/>
      <c r="AN141" s="642"/>
      <c r="AO141" s="643"/>
    </row>
    <row r="142" spans="1:41" s="644" customFormat="1" ht="37.5" customHeight="1" thickBot="1" x14ac:dyDescent="0.3">
      <c r="A142" s="645" t="s">
        <v>707</v>
      </c>
      <c r="B142" s="640"/>
      <c r="C142" s="647"/>
      <c r="D142" s="647"/>
      <c r="E142" s="647"/>
      <c r="F142" s="539"/>
      <c r="G142" s="642"/>
      <c r="H142" s="642"/>
      <c r="I142" s="642"/>
      <c r="J142" s="642"/>
      <c r="K142" s="642"/>
      <c r="L142" s="642"/>
      <c r="M142" s="642"/>
      <c r="N142" s="642"/>
      <c r="O142" s="642"/>
      <c r="P142" s="642"/>
      <c r="Q142" s="642"/>
      <c r="R142" s="642"/>
      <c r="S142" s="642"/>
      <c r="T142" s="642"/>
      <c r="U142" s="642"/>
      <c r="V142" s="642"/>
      <c r="W142" s="642"/>
      <c r="X142" s="642"/>
      <c r="Y142" s="642"/>
      <c r="Z142" s="642"/>
      <c r="AA142" s="642"/>
      <c r="AB142" s="642"/>
      <c r="AC142" s="642"/>
      <c r="AD142" s="642"/>
      <c r="AE142" s="642"/>
      <c r="AF142" s="642"/>
      <c r="AG142" s="642"/>
      <c r="AH142" s="642"/>
      <c r="AI142" s="642"/>
      <c r="AJ142" s="642"/>
      <c r="AK142" s="642"/>
      <c r="AL142" s="642"/>
      <c r="AM142" s="642"/>
      <c r="AN142" s="642"/>
      <c r="AO142" s="643"/>
    </row>
    <row r="143" spans="1:41" s="644" customFormat="1" ht="24" customHeight="1" thickBot="1" x14ac:dyDescent="0.3">
      <c r="A143" s="645" t="s">
        <v>708</v>
      </c>
      <c r="B143" s="640"/>
      <c r="C143" s="647"/>
      <c r="D143" s="647"/>
      <c r="E143" s="647"/>
      <c r="F143" s="539"/>
      <c r="G143" s="642"/>
      <c r="H143" s="642"/>
      <c r="I143" s="642"/>
      <c r="J143" s="642"/>
      <c r="K143" s="642"/>
      <c r="L143" s="642"/>
      <c r="M143" s="642"/>
      <c r="N143" s="642"/>
      <c r="O143" s="642"/>
      <c r="P143" s="642"/>
      <c r="Q143" s="642"/>
      <c r="R143" s="642"/>
      <c r="S143" s="642"/>
      <c r="T143" s="642"/>
      <c r="U143" s="642"/>
      <c r="V143" s="642"/>
      <c r="W143" s="642"/>
      <c r="X143" s="642"/>
      <c r="Y143" s="642"/>
      <c r="Z143" s="642"/>
      <c r="AA143" s="642"/>
      <c r="AB143" s="642"/>
      <c r="AC143" s="642"/>
      <c r="AD143" s="642"/>
      <c r="AE143" s="642"/>
      <c r="AF143" s="642"/>
      <c r="AG143" s="642"/>
      <c r="AH143" s="642"/>
      <c r="AI143" s="642"/>
      <c r="AJ143" s="642"/>
      <c r="AK143" s="642"/>
      <c r="AL143" s="642"/>
      <c r="AM143" s="642"/>
      <c r="AN143" s="642"/>
      <c r="AO143" s="643"/>
    </row>
    <row r="144" spans="1:41" s="644" customFormat="1" ht="24" customHeight="1" thickBot="1" x14ac:dyDescent="0.3">
      <c r="A144" s="645" t="s">
        <v>709</v>
      </c>
      <c r="B144" s="640"/>
      <c r="C144" s="647"/>
      <c r="D144" s="647"/>
      <c r="E144" s="647"/>
      <c r="F144" s="539"/>
      <c r="G144" s="642"/>
      <c r="H144" s="642"/>
      <c r="I144" s="642"/>
      <c r="J144" s="642"/>
      <c r="K144" s="642"/>
      <c r="L144" s="642"/>
      <c r="M144" s="642"/>
      <c r="N144" s="642"/>
      <c r="O144" s="642"/>
      <c r="P144" s="642"/>
      <c r="Q144" s="642"/>
      <c r="R144" s="642"/>
      <c r="S144" s="642"/>
      <c r="T144" s="642"/>
      <c r="U144" s="642"/>
      <c r="V144" s="642"/>
      <c r="W144" s="642"/>
      <c r="X144" s="642"/>
      <c r="Y144" s="642"/>
      <c r="Z144" s="642"/>
      <c r="AA144" s="642"/>
      <c r="AB144" s="642"/>
      <c r="AC144" s="642"/>
      <c r="AD144" s="642"/>
      <c r="AE144" s="642"/>
      <c r="AF144" s="642"/>
      <c r="AG144" s="642"/>
      <c r="AH144" s="642"/>
      <c r="AI144" s="642"/>
      <c r="AJ144" s="642"/>
      <c r="AK144" s="642"/>
      <c r="AL144" s="642"/>
      <c r="AM144" s="642"/>
      <c r="AN144" s="642"/>
      <c r="AO144" s="643"/>
    </row>
    <row r="145" spans="1:41" s="650" customFormat="1" ht="36.75" customHeight="1" thickBot="1" x14ac:dyDescent="0.3">
      <c r="A145" s="706" t="s">
        <v>710</v>
      </c>
      <c r="B145" s="646"/>
      <c r="C145" s="647">
        <v>100</v>
      </c>
      <c r="D145" s="647">
        <v>100</v>
      </c>
      <c r="E145" s="647">
        <v>0</v>
      </c>
      <c r="F145" s="539">
        <v>0</v>
      </c>
      <c r="G145" s="648"/>
      <c r="H145" s="648"/>
      <c r="I145" s="648"/>
      <c r="J145" s="648"/>
      <c r="K145" s="648"/>
      <c r="L145" s="648"/>
      <c r="M145" s="648"/>
      <c r="N145" s="648"/>
      <c r="O145" s="648"/>
      <c r="P145" s="648"/>
      <c r="Q145" s="648"/>
      <c r="R145" s="648"/>
      <c r="S145" s="648"/>
      <c r="T145" s="648"/>
      <c r="U145" s="648"/>
      <c r="V145" s="648"/>
      <c r="W145" s="648"/>
      <c r="X145" s="648"/>
      <c r="Y145" s="648"/>
      <c r="Z145" s="648"/>
      <c r="AA145" s="648"/>
      <c r="AB145" s="648"/>
      <c r="AC145" s="648"/>
      <c r="AD145" s="648"/>
      <c r="AE145" s="648"/>
      <c r="AF145" s="648"/>
      <c r="AG145" s="648"/>
      <c r="AH145" s="648"/>
      <c r="AI145" s="648"/>
      <c r="AJ145" s="648"/>
      <c r="AK145" s="648"/>
      <c r="AL145" s="648"/>
      <c r="AM145" s="648"/>
      <c r="AN145" s="648"/>
      <c r="AO145" s="649"/>
    </row>
    <row r="146" spans="1:41" s="449" customFormat="1" ht="27.75" customHeight="1" thickBot="1" x14ac:dyDescent="0.3">
      <c r="A146" s="536" t="s">
        <v>711</v>
      </c>
      <c r="B146" s="549"/>
      <c r="C146" s="538">
        <v>8130</v>
      </c>
      <c r="D146" s="538">
        <v>8130</v>
      </c>
      <c r="E146" s="538">
        <v>7602</v>
      </c>
      <c r="F146" s="539">
        <f>E146/D146</f>
        <v>0.93505535055350553</v>
      </c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  <c r="AE146" s="447"/>
      <c r="AF146" s="447"/>
      <c r="AG146" s="447"/>
      <c r="AH146" s="447"/>
      <c r="AI146" s="447"/>
      <c r="AJ146" s="447"/>
      <c r="AK146" s="447"/>
      <c r="AL146" s="447"/>
      <c r="AM146" s="447"/>
      <c r="AN146" s="447"/>
      <c r="AO146" s="448"/>
    </row>
    <row r="147" spans="1:41" s="644" customFormat="1" ht="24" customHeight="1" thickBot="1" x14ac:dyDescent="0.3">
      <c r="A147" s="645" t="s">
        <v>712</v>
      </c>
      <c r="B147" s="640">
        <v>8130</v>
      </c>
      <c r="C147" s="647"/>
      <c r="D147" s="647"/>
      <c r="E147" s="647"/>
      <c r="F147" s="539"/>
      <c r="G147" s="642"/>
      <c r="H147" s="642"/>
      <c r="I147" s="642"/>
      <c r="J147" s="642"/>
      <c r="K147" s="642"/>
      <c r="L147" s="642"/>
      <c r="M147" s="642"/>
      <c r="N147" s="642"/>
      <c r="O147" s="642"/>
      <c r="P147" s="642"/>
      <c r="Q147" s="642"/>
      <c r="R147" s="642"/>
      <c r="S147" s="642"/>
      <c r="T147" s="642"/>
      <c r="U147" s="642"/>
      <c r="V147" s="642"/>
      <c r="W147" s="642"/>
      <c r="X147" s="642"/>
      <c r="Y147" s="642"/>
      <c r="Z147" s="642"/>
      <c r="AA147" s="642"/>
      <c r="AB147" s="642"/>
      <c r="AC147" s="642"/>
      <c r="AD147" s="642"/>
      <c r="AE147" s="642"/>
      <c r="AF147" s="642"/>
      <c r="AG147" s="642"/>
      <c r="AH147" s="642"/>
      <c r="AI147" s="642"/>
      <c r="AJ147" s="642"/>
      <c r="AK147" s="642"/>
      <c r="AL147" s="642"/>
      <c r="AM147" s="642"/>
      <c r="AN147" s="642"/>
      <c r="AO147" s="643"/>
    </row>
    <row r="148" spans="1:41" s="452" customFormat="1" ht="44.25" customHeight="1" thickBot="1" x14ac:dyDescent="0.3">
      <c r="A148" s="536" t="s">
        <v>713</v>
      </c>
      <c r="B148" s="549"/>
      <c r="C148" s="538">
        <v>26777</v>
      </c>
      <c r="D148" s="538">
        <v>26777</v>
      </c>
      <c r="E148" s="538">
        <f>SUM(B149:B150)</f>
        <v>26673</v>
      </c>
      <c r="F148" s="539">
        <f>E148/D148</f>
        <v>0.99611606976136235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50"/>
      <c r="R148" s="450"/>
      <c r="S148" s="450"/>
      <c r="T148" s="450"/>
      <c r="U148" s="450"/>
      <c r="V148" s="450"/>
      <c r="W148" s="450"/>
      <c r="X148" s="450"/>
      <c r="Y148" s="450"/>
      <c r="Z148" s="450"/>
      <c r="AA148" s="450"/>
      <c r="AB148" s="450"/>
      <c r="AC148" s="450"/>
      <c r="AD148" s="450"/>
      <c r="AE148" s="450"/>
      <c r="AF148" s="450"/>
      <c r="AG148" s="450"/>
      <c r="AH148" s="450"/>
      <c r="AI148" s="450"/>
      <c r="AJ148" s="450"/>
      <c r="AK148" s="450"/>
      <c r="AL148" s="450"/>
      <c r="AM148" s="450"/>
      <c r="AN148" s="450"/>
      <c r="AO148" s="451"/>
    </row>
    <row r="149" spans="1:41" s="449" customFormat="1" ht="24" customHeight="1" thickBot="1" x14ac:dyDescent="0.3">
      <c r="A149" s="540" t="s">
        <v>714</v>
      </c>
      <c r="B149" s="537">
        <v>4229</v>
      </c>
      <c r="C149" s="538"/>
      <c r="D149" s="538"/>
      <c r="E149" s="538"/>
      <c r="F149" s="539"/>
      <c r="G149" s="447"/>
      <c r="H149" s="447"/>
      <c r="I149" s="447"/>
      <c r="J149" s="447"/>
      <c r="K149" s="447"/>
      <c r="L149" s="447"/>
      <c r="M149" s="447"/>
      <c r="N149" s="447"/>
      <c r="O149" s="447"/>
      <c r="P149" s="447"/>
      <c r="Q149" s="447"/>
      <c r="R149" s="447"/>
      <c r="S149" s="447"/>
      <c r="T149" s="447"/>
      <c r="U149" s="447"/>
      <c r="V149" s="447"/>
      <c r="W149" s="447"/>
      <c r="X149" s="447"/>
      <c r="Y149" s="447"/>
      <c r="Z149" s="447"/>
      <c r="AA149" s="447"/>
      <c r="AB149" s="447"/>
      <c r="AC149" s="447"/>
      <c r="AD149" s="447"/>
      <c r="AE149" s="447"/>
      <c r="AF149" s="447"/>
      <c r="AG149" s="447"/>
      <c r="AH149" s="447"/>
      <c r="AI149" s="447"/>
      <c r="AJ149" s="447"/>
      <c r="AK149" s="447"/>
      <c r="AL149" s="447"/>
      <c r="AM149" s="447"/>
      <c r="AN149" s="447"/>
      <c r="AO149" s="448"/>
    </row>
    <row r="150" spans="1:41" s="449" customFormat="1" ht="24" customHeight="1" thickBot="1" x14ac:dyDescent="0.3">
      <c r="A150" s="540" t="s">
        <v>715</v>
      </c>
      <c r="B150" s="537">
        <v>22444</v>
      </c>
      <c r="C150" s="538"/>
      <c r="D150" s="538"/>
      <c r="E150" s="538"/>
      <c r="F150" s="539"/>
      <c r="G150" s="447"/>
      <c r="H150" s="447"/>
      <c r="I150" s="447"/>
      <c r="J150" s="447"/>
      <c r="K150" s="447"/>
      <c r="L150" s="447"/>
      <c r="M150" s="447"/>
      <c r="N150" s="447"/>
      <c r="O150" s="447"/>
      <c r="P150" s="447"/>
      <c r="Q150" s="447"/>
      <c r="R150" s="447"/>
      <c r="S150" s="447"/>
      <c r="T150" s="447"/>
      <c r="U150" s="447"/>
      <c r="V150" s="447"/>
      <c r="W150" s="447"/>
      <c r="X150" s="447"/>
      <c r="Y150" s="447"/>
      <c r="Z150" s="447"/>
      <c r="AA150" s="447"/>
      <c r="AB150" s="447"/>
      <c r="AC150" s="447"/>
      <c r="AD150" s="447"/>
      <c r="AE150" s="447"/>
      <c r="AF150" s="447"/>
      <c r="AG150" s="447"/>
      <c r="AH150" s="447"/>
      <c r="AI150" s="447"/>
      <c r="AJ150" s="447"/>
      <c r="AK150" s="447"/>
      <c r="AL150" s="447"/>
      <c r="AM150" s="447"/>
      <c r="AN150" s="447"/>
      <c r="AO150" s="448"/>
    </row>
    <row r="151" spans="1:41" s="644" customFormat="1" ht="42.75" customHeight="1" thickBot="1" x14ac:dyDescent="0.3">
      <c r="A151" s="891" t="s">
        <v>632</v>
      </c>
      <c r="B151" s="892"/>
      <c r="C151" s="647">
        <v>5103</v>
      </c>
      <c r="D151" s="647">
        <f>C151+33</f>
        <v>5136</v>
      </c>
      <c r="E151" s="647">
        <f>SUM(B152:B159)</f>
        <v>4354</v>
      </c>
      <c r="F151" s="539">
        <f>E151/D151</f>
        <v>0.84774143302180682</v>
      </c>
      <c r="G151" s="642"/>
      <c r="H151" s="642"/>
      <c r="I151" s="642"/>
      <c r="J151" s="642"/>
      <c r="K151" s="642"/>
      <c r="L151" s="642"/>
      <c r="M151" s="642"/>
      <c r="N151" s="642"/>
      <c r="O151" s="642"/>
      <c r="P151" s="642"/>
      <c r="Q151" s="642"/>
      <c r="R151" s="642"/>
      <c r="S151" s="642"/>
      <c r="T151" s="642"/>
      <c r="U151" s="642"/>
      <c r="V151" s="642"/>
      <c r="W151" s="642"/>
      <c r="X151" s="642"/>
      <c r="Y151" s="642"/>
      <c r="Z151" s="642"/>
      <c r="AA151" s="642"/>
      <c r="AB151" s="642"/>
      <c r="AC151" s="642"/>
      <c r="AD151" s="642"/>
      <c r="AE151" s="642"/>
      <c r="AF151" s="642"/>
      <c r="AG151" s="642"/>
      <c r="AH151" s="642"/>
      <c r="AI151" s="642"/>
      <c r="AJ151" s="642"/>
      <c r="AK151" s="642"/>
      <c r="AL151" s="642"/>
      <c r="AM151" s="642"/>
      <c r="AN151" s="642"/>
      <c r="AO151" s="643"/>
    </row>
    <row r="152" spans="1:41" s="644" customFormat="1" ht="22.5" customHeight="1" thickBot="1" x14ac:dyDescent="0.3">
      <c r="A152" s="645" t="s">
        <v>716</v>
      </c>
      <c r="B152" s="640">
        <v>132</v>
      </c>
      <c r="C152" s="647"/>
      <c r="D152" s="647"/>
      <c r="E152" s="647"/>
      <c r="F152" s="539"/>
      <c r="G152" s="642"/>
      <c r="H152" s="642"/>
      <c r="I152" s="642"/>
      <c r="J152" s="642"/>
      <c r="K152" s="642"/>
      <c r="L152" s="642"/>
      <c r="M152" s="642"/>
      <c r="N152" s="642"/>
      <c r="O152" s="642"/>
      <c r="P152" s="642"/>
      <c r="Q152" s="642"/>
      <c r="R152" s="642"/>
      <c r="S152" s="642"/>
      <c r="T152" s="642"/>
      <c r="U152" s="642"/>
      <c r="V152" s="642"/>
      <c r="W152" s="642"/>
      <c r="X152" s="642"/>
      <c r="Y152" s="642"/>
      <c r="Z152" s="642"/>
      <c r="AA152" s="642"/>
      <c r="AB152" s="642"/>
      <c r="AC152" s="642"/>
      <c r="AD152" s="642"/>
      <c r="AE152" s="642"/>
      <c r="AF152" s="642"/>
      <c r="AG152" s="642"/>
      <c r="AH152" s="642"/>
      <c r="AI152" s="642"/>
      <c r="AJ152" s="642"/>
      <c r="AK152" s="642"/>
      <c r="AL152" s="642"/>
      <c r="AM152" s="642"/>
      <c r="AN152" s="642"/>
      <c r="AO152" s="643"/>
    </row>
    <row r="153" spans="1:41" s="644" customFormat="1" ht="22.5" customHeight="1" thickBot="1" x14ac:dyDescent="0.3">
      <c r="A153" s="645" t="s">
        <v>717</v>
      </c>
      <c r="B153" s="640">
        <v>132</v>
      </c>
      <c r="C153" s="647"/>
      <c r="D153" s="647"/>
      <c r="E153" s="647"/>
      <c r="F153" s="539"/>
      <c r="G153" s="642"/>
      <c r="H153" s="642"/>
      <c r="I153" s="642"/>
      <c r="J153" s="642"/>
      <c r="K153" s="642"/>
      <c r="L153" s="642"/>
      <c r="M153" s="642"/>
      <c r="N153" s="642"/>
      <c r="O153" s="642"/>
      <c r="P153" s="642"/>
      <c r="Q153" s="642"/>
      <c r="R153" s="642"/>
      <c r="S153" s="642"/>
      <c r="T153" s="642"/>
      <c r="U153" s="642"/>
      <c r="V153" s="642"/>
      <c r="W153" s="642"/>
      <c r="X153" s="642"/>
      <c r="Y153" s="642"/>
      <c r="Z153" s="642"/>
      <c r="AA153" s="642"/>
      <c r="AB153" s="642"/>
      <c r="AC153" s="642"/>
      <c r="AD153" s="642"/>
      <c r="AE153" s="642"/>
      <c r="AF153" s="642"/>
      <c r="AG153" s="642"/>
      <c r="AH153" s="642"/>
      <c r="AI153" s="642"/>
      <c r="AJ153" s="642"/>
      <c r="AK153" s="642"/>
      <c r="AL153" s="642"/>
      <c r="AM153" s="642"/>
      <c r="AN153" s="642"/>
      <c r="AO153" s="643"/>
    </row>
    <row r="154" spans="1:41" s="644" customFormat="1" ht="22.5" customHeight="1" thickBot="1" x14ac:dyDescent="0.3">
      <c r="A154" s="645" t="s">
        <v>718</v>
      </c>
      <c r="B154" s="640">
        <v>445</v>
      </c>
      <c r="C154" s="647"/>
      <c r="D154" s="647"/>
      <c r="E154" s="647"/>
      <c r="F154" s="539"/>
      <c r="G154" s="642"/>
      <c r="H154" s="642"/>
      <c r="I154" s="642"/>
      <c r="J154" s="642"/>
      <c r="K154" s="642"/>
      <c r="L154" s="642"/>
      <c r="M154" s="642"/>
      <c r="N154" s="642"/>
      <c r="O154" s="642"/>
      <c r="P154" s="642"/>
      <c r="Q154" s="642"/>
      <c r="R154" s="642"/>
      <c r="S154" s="642"/>
      <c r="T154" s="642"/>
      <c r="U154" s="642"/>
      <c r="V154" s="642"/>
      <c r="W154" s="642"/>
      <c r="X154" s="642"/>
      <c r="Y154" s="642"/>
      <c r="Z154" s="642"/>
      <c r="AA154" s="642"/>
      <c r="AB154" s="642"/>
      <c r="AC154" s="642"/>
      <c r="AD154" s="642"/>
      <c r="AE154" s="642"/>
      <c r="AF154" s="642"/>
      <c r="AG154" s="642"/>
      <c r="AH154" s="642"/>
      <c r="AI154" s="642"/>
      <c r="AJ154" s="642"/>
      <c r="AK154" s="642"/>
      <c r="AL154" s="642"/>
      <c r="AM154" s="642"/>
      <c r="AN154" s="642"/>
      <c r="AO154" s="643"/>
    </row>
    <row r="155" spans="1:41" s="644" customFormat="1" ht="22.5" customHeight="1" thickBot="1" x14ac:dyDescent="0.3">
      <c r="A155" s="645" t="s">
        <v>719</v>
      </c>
      <c r="B155" s="640">
        <v>60</v>
      </c>
      <c r="C155" s="647"/>
      <c r="D155" s="647"/>
      <c r="E155" s="647"/>
      <c r="F155" s="539"/>
      <c r="G155" s="642"/>
      <c r="H155" s="642"/>
      <c r="I155" s="642"/>
      <c r="J155" s="642"/>
      <c r="K155" s="642"/>
      <c r="L155" s="642"/>
      <c r="M155" s="642"/>
      <c r="N155" s="642"/>
      <c r="O155" s="642"/>
      <c r="P155" s="642"/>
      <c r="Q155" s="642"/>
      <c r="R155" s="642"/>
      <c r="S155" s="642"/>
      <c r="T155" s="642"/>
      <c r="U155" s="642"/>
      <c r="V155" s="642"/>
      <c r="W155" s="642"/>
      <c r="X155" s="642"/>
      <c r="Y155" s="642"/>
      <c r="Z155" s="642"/>
      <c r="AA155" s="642"/>
      <c r="AB155" s="642"/>
      <c r="AC155" s="642"/>
      <c r="AD155" s="642"/>
      <c r="AE155" s="642"/>
      <c r="AF155" s="642"/>
      <c r="AG155" s="642"/>
      <c r="AH155" s="642"/>
      <c r="AI155" s="642"/>
      <c r="AJ155" s="642"/>
      <c r="AK155" s="642"/>
      <c r="AL155" s="642"/>
      <c r="AM155" s="642"/>
      <c r="AN155" s="642"/>
      <c r="AO155" s="643"/>
    </row>
    <row r="156" spans="1:41" s="644" customFormat="1" ht="22.5" customHeight="1" thickBot="1" x14ac:dyDescent="0.3">
      <c r="A156" s="645" t="s">
        <v>720</v>
      </c>
      <c r="B156" s="640">
        <v>1585</v>
      </c>
      <c r="C156" s="647"/>
      <c r="D156" s="647"/>
      <c r="E156" s="647"/>
      <c r="F156" s="539"/>
      <c r="G156" s="642"/>
      <c r="H156" s="642"/>
      <c r="I156" s="642"/>
      <c r="J156" s="642"/>
      <c r="K156" s="642"/>
      <c r="L156" s="642"/>
      <c r="M156" s="642"/>
      <c r="N156" s="642"/>
      <c r="O156" s="642"/>
      <c r="P156" s="642"/>
      <c r="Q156" s="642"/>
      <c r="R156" s="642"/>
      <c r="S156" s="642"/>
      <c r="T156" s="642"/>
      <c r="U156" s="642"/>
      <c r="V156" s="642"/>
      <c r="W156" s="642"/>
      <c r="X156" s="642"/>
      <c r="Y156" s="642"/>
      <c r="Z156" s="642"/>
      <c r="AA156" s="642"/>
      <c r="AB156" s="642"/>
      <c r="AC156" s="642"/>
      <c r="AD156" s="642"/>
      <c r="AE156" s="642"/>
      <c r="AF156" s="642"/>
      <c r="AG156" s="642"/>
      <c r="AH156" s="642"/>
      <c r="AI156" s="642"/>
      <c r="AJ156" s="642"/>
      <c r="AK156" s="642"/>
      <c r="AL156" s="642"/>
      <c r="AM156" s="642"/>
      <c r="AN156" s="642"/>
      <c r="AO156" s="643"/>
    </row>
    <row r="157" spans="1:41" s="644" customFormat="1" ht="22.5" customHeight="1" thickBot="1" x14ac:dyDescent="0.3">
      <c r="A157" s="645" t="s">
        <v>721</v>
      </c>
      <c r="B157" s="640">
        <v>270</v>
      </c>
      <c r="C157" s="647"/>
      <c r="D157" s="647"/>
      <c r="E157" s="647"/>
      <c r="F157" s="539"/>
      <c r="G157" s="642"/>
      <c r="H157" s="642"/>
      <c r="I157" s="642"/>
      <c r="J157" s="642"/>
      <c r="K157" s="642"/>
      <c r="L157" s="642"/>
      <c r="M157" s="642"/>
      <c r="N157" s="642"/>
      <c r="O157" s="642"/>
      <c r="P157" s="642"/>
      <c r="Q157" s="642"/>
      <c r="R157" s="642"/>
      <c r="S157" s="642"/>
      <c r="T157" s="642"/>
      <c r="U157" s="642"/>
      <c r="V157" s="642"/>
      <c r="W157" s="642"/>
      <c r="X157" s="642"/>
      <c r="Y157" s="642"/>
      <c r="Z157" s="642"/>
      <c r="AA157" s="642"/>
      <c r="AB157" s="642"/>
      <c r="AC157" s="642"/>
      <c r="AD157" s="642"/>
      <c r="AE157" s="642"/>
      <c r="AF157" s="642"/>
      <c r="AG157" s="642"/>
      <c r="AH157" s="642"/>
      <c r="AI157" s="642"/>
      <c r="AJ157" s="642"/>
      <c r="AK157" s="642"/>
      <c r="AL157" s="642"/>
      <c r="AM157" s="642"/>
      <c r="AN157" s="642"/>
      <c r="AO157" s="643"/>
    </row>
    <row r="158" spans="1:41" s="644" customFormat="1" ht="19.5" hidden="1" thickBot="1" x14ac:dyDescent="0.3">
      <c r="A158" s="645" t="s">
        <v>722</v>
      </c>
      <c r="B158" s="640"/>
      <c r="C158" s="647"/>
      <c r="D158" s="647"/>
      <c r="E158" s="647"/>
      <c r="F158" s="539"/>
      <c r="G158" s="642"/>
      <c r="H158" s="642"/>
      <c r="I158" s="642"/>
      <c r="J158" s="642"/>
      <c r="K158" s="642"/>
      <c r="L158" s="642"/>
      <c r="M158" s="642"/>
      <c r="N158" s="642"/>
      <c r="O158" s="642"/>
      <c r="P158" s="642"/>
      <c r="Q158" s="642"/>
      <c r="R158" s="642"/>
      <c r="S158" s="642"/>
      <c r="T158" s="642"/>
      <c r="U158" s="642"/>
      <c r="V158" s="642"/>
      <c r="W158" s="642"/>
      <c r="X158" s="642"/>
      <c r="Y158" s="642"/>
      <c r="Z158" s="642"/>
      <c r="AA158" s="642"/>
      <c r="AB158" s="642"/>
      <c r="AC158" s="642"/>
      <c r="AD158" s="642"/>
      <c r="AE158" s="642"/>
      <c r="AF158" s="642"/>
      <c r="AG158" s="642"/>
      <c r="AH158" s="642"/>
      <c r="AI158" s="642"/>
      <c r="AJ158" s="642"/>
      <c r="AK158" s="642"/>
      <c r="AL158" s="642"/>
      <c r="AM158" s="642"/>
      <c r="AN158" s="642"/>
      <c r="AO158" s="643"/>
    </row>
    <row r="159" spans="1:41" s="644" customFormat="1" ht="57" thickBot="1" x14ac:dyDescent="0.3">
      <c r="A159" s="645" t="s">
        <v>723</v>
      </c>
      <c r="B159" s="640">
        <v>1730</v>
      </c>
      <c r="C159" s="647"/>
      <c r="D159" s="647"/>
      <c r="E159" s="647"/>
      <c r="F159" s="539"/>
      <c r="G159" s="642"/>
      <c r="H159" s="642"/>
      <c r="I159" s="642"/>
      <c r="J159" s="642"/>
      <c r="K159" s="642"/>
      <c r="L159" s="642"/>
      <c r="M159" s="642"/>
      <c r="N159" s="642"/>
      <c r="O159" s="642"/>
      <c r="P159" s="642"/>
      <c r="Q159" s="642"/>
      <c r="R159" s="642"/>
      <c r="S159" s="642"/>
      <c r="T159" s="642"/>
      <c r="U159" s="642"/>
      <c r="V159" s="642"/>
      <c r="W159" s="642"/>
      <c r="X159" s="642"/>
      <c r="Y159" s="642"/>
      <c r="Z159" s="642"/>
      <c r="AA159" s="642"/>
      <c r="AB159" s="642"/>
      <c r="AC159" s="642"/>
      <c r="AD159" s="642"/>
      <c r="AE159" s="642"/>
      <c r="AF159" s="642"/>
      <c r="AG159" s="642"/>
      <c r="AH159" s="642"/>
      <c r="AI159" s="642"/>
      <c r="AJ159" s="642"/>
      <c r="AK159" s="642"/>
      <c r="AL159" s="642"/>
      <c r="AM159" s="642"/>
      <c r="AN159" s="642"/>
      <c r="AO159" s="643"/>
    </row>
    <row r="160" spans="1:41" s="650" customFormat="1" ht="38.25" thickBot="1" x14ac:dyDescent="0.3">
      <c r="A160" s="732" t="s">
        <v>724</v>
      </c>
      <c r="B160" s="646"/>
      <c r="C160" s="647"/>
      <c r="D160" s="647">
        <v>695</v>
      </c>
      <c r="E160" s="647">
        <v>695</v>
      </c>
      <c r="F160" s="539">
        <f t="shared" ref="F160:F161" si="5">E160/D160</f>
        <v>1</v>
      </c>
      <c r="G160" s="648"/>
      <c r="H160" s="648"/>
      <c r="I160" s="648"/>
      <c r="J160" s="648"/>
      <c r="K160" s="648"/>
      <c r="L160" s="648"/>
      <c r="M160" s="648"/>
      <c r="N160" s="648"/>
      <c r="O160" s="648"/>
      <c r="P160" s="648"/>
      <c r="Q160" s="648"/>
      <c r="R160" s="648"/>
      <c r="S160" s="648"/>
      <c r="T160" s="648"/>
      <c r="U160" s="648"/>
      <c r="V160" s="648"/>
      <c r="W160" s="648"/>
      <c r="X160" s="648"/>
      <c r="Y160" s="648"/>
      <c r="Z160" s="648"/>
      <c r="AA160" s="648"/>
      <c r="AB160" s="648"/>
      <c r="AC160" s="648"/>
      <c r="AD160" s="648"/>
      <c r="AE160" s="648"/>
      <c r="AF160" s="648"/>
      <c r="AG160" s="648"/>
      <c r="AH160" s="648"/>
      <c r="AI160" s="648"/>
      <c r="AJ160" s="648"/>
      <c r="AK160" s="648"/>
      <c r="AL160" s="648"/>
      <c r="AM160" s="648"/>
      <c r="AN160" s="648"/>
      <c r="AO160" s="649"/>
    </row>
    <row r="161" spans="1:41" s="650" customFormat="1" ht="24.75" customHeight="1" thickBot="1" x14ac:dyDescent="0.3">
      <c r="A161" s="732" t="s">
        <v>725</v>
      </c>
      <c r="B161" s="646"/>
      <c r="C161" s="647"/>
      <c r="D161" s="647">
        <f>2527+83</f>
        <v>2610</v>
      </c>
      <c r="E161" s="647">
        <v>2610</v>
      </c>
      <c r="F161" s="539">
        <f t="shared" si="5"/>
        <v>1</v>
      </c>
      <c r="G161" s="648"/>
      <c r="H161" s="648"/>
      <c r="I161" s="648"/>
      <c r="J161" s="648"/>
      <c r="K161" s="648"/>
      <c r="L161" s="648"/>
      <c r="M161" s="648"/>
      <c r="N161" s="648"/>
      <c r="O161" s="648"/>
      <c r="P161" s="648"/>
      <c r="Q161" s="648"/>
      <c r="R161" s="648"/>
      <c r="S161" s="648"/>
      <c r="T161" s="648"/>
      <c r="U161" s="648"/>
      <c r="V161" s="648"/>
      <c r="W161" s="648"/>
      <c r="X161" s="648"/>
      <c r="Y161" s="648"/>
      <c r="Z161" s="648"/>
      <c r="AA161" s="648"/>
      <c r="AB161" s="648"/>
      <c r="AC161" s="648"/>
      <c r="AD161" s="648"/>
      <c r="AE161" s="648"/>
      <c r="AF161" s="648"/>
      <c r="AG161" s="648"/>
      <c r="AH161" s="648"/>
      <c r="AI161" s="648"/>
      <c r="AJ161" s="648"/>
      <c r="AK161" s="648"/>
      <c r="AL161" s="648"/>
      <c r="AM161" s="648"/>
      <c r="AN161" s="648"/>
      <c r="AO161" s="649"/>
    </row>
    <row r="162" spans="1:41" s="650" customFormat="1" ht="35.25" customHeight="1" thickBot="1" x14ac:dyDescent="0.3">
      <c r="A162" s="706" t="s">
        <v>726</v>
      </c>
      <c r="B162" s="646"/>
      <c r="C162" s="647">
        <v>3000</v>
      </c>
      <c r="D162" s="647">
        <f>3000-3000</f>
        <v>0</v>
      </c>
      <c r="E162" s="647">
        <v>0</v>
      </c>
      <c r="F162" s="539">
        <f>3000-3000</f>
        <v>0</v>
      </c>
      <c r="G162" s="648"/>
      <c r="H162" s="648"/>
      <c r="I162" s="648"/>
      <c r="J162" s="648"/>
      <c r="K162" s="648"/>
      <c r="L162" s="648"/>
      <c r="M162" s="648"/>
      <c r="N162" s="648"/>
      <c r="O162" s="648"/>
      <c r="P162" s="648"/>
      <c r="Q162" s="648"/>
      <c r="R162" s="648"/>
      <c r="S162" s="648"/>
      <c r="T162" s="648"/>
      <c r="U162" s="648"/>
      <c r="V162" s="648"/>
      <c r="W162" s="648"/>
      <c r="X162" s="648"/>
      <c r="Y162" s="648"/>
      <c r="Z162" s="648"/>
      <c r="AA162" s="648"/>
      <c r="AB162" s="648"/>
      <c r="AC162" s="648"/>
      <c r="AD162" s="648"/>
      <c r="AE162" s="648"/>
      <c r="AF162" s="648"/>
      <c r="AG162" s="648"/>
      <c r="AH162" s="648"/>
      <c r="AI162" s="648"/>
      <c r="AJ162" s="648"/>
      <c r="AK162" s="648"/>
      <c r="AL162" s="648"/>
      <c r="AM162" s="648"/>
      <c r="AN162" s="648"/>
      <c r="AO162" s="649"/>
    </row>
    <row r="163" spans="1:41" s="452" customFormat="1" ht="33.75" customHeight="1" thickBot="1" x14ac:dyDescent="0.3">
      <c r="A163" s="536" t="s">
        <v>727</v>
      </c>
      <c r="B163" s="549"/>
      <c r="C163" s="538">
        <v>5000</v>
      </c>
      <c r="D163" s="538">
        <f>C163-600+2000+300</f>
        <v>6700</v>
      </c>
      <c r="E163" s="538">
        <v>6717</v>
      </c>
      <c r="F163" s="558">
        <f>E163/D163</f>
        <v>1.0025373134328359</v>
      </c>
      <c r="G163" s="450"/>
      <c r="H163" s="450"/>
      <c r="I163" s="450"/>
      <c r="J163" s="450"/>
      <c r="K163" s="450"/>
      <c r="L163" s="450"/>
      <c r="M163" s="450"/>
      <c r="N163" s="450"/>
      <c r="O163" s="450"/>
      <c r="P163" s="450"/>
      <c r="Q163" s="450"/>
      <c r="R163" s="450"/>
      <c r="S163" s="450"/>
      <c r="T163" s="450"/>
      <c r="U163" s="450"/>
      <c r="V163" s="450"/>
      <c r="W163" s="450"/>
      <c r="X163" s="450"/>
      <c r="Y163" s="450"/>
      <c r="Z163" s="450"/>
      <c r="AA163" s="450"/>
      <c r="AB163" s="450"/>
      <c r="AC163" s="450"/>
      <c r="AD163" s="450"/>
      <c r="AE163" s="450"/>
      <c r="AF163" s="450"/>
      <c r="AG163" s="450"/>
      <c r="AH163" s="450"/>
      <c r="AI163" s="450"/>
      <c r="AJ163" s="450"/>
      <c r="AK163" s="450"/>
      <c r="AL163" s="450"/>
      <c r="AM163" s="450"/>
      <c r="AN163" s="450"/>
      <c r="AO163" s="451"/>
    </row>
    <row r="164" spans="1:41" s="455" customFormat="1" ht="33" customHeight="1" thickBot="1" x14ac:dyDescent="0.35">
      <c r="A164" s="654" t="s">
        <v>728</v>
      </c>
      <c r="B164" s="655"/>
      <c r="C164" s="656">
        <f>SUM(C73:C163)</f>
        <v>289126</v>
      </c>
      <c r="D164" s="656">
        <f>SUM(D73:D163)</f>
        <v>535620</v>
      </c>
      <c r="E164" s="656">
        <f>SUM(E73:E163)</f>
        <v>373709</v>
      </c>
      <c r="F164" s="558">
        <f>E164/D164</f>
        <v>0.69771293080915575</v>
      </c>
      <c r="G164" s="657"/>
      <c r="H164" s="657"/>
      <c r="I164" s="657"/>
      <c r="J164" s="657"/>
      <c r="K164" s="657"/>
      <c r="L164" s="657"/>
      <c r="M164" s="657"/>
      <c r="N164" s="657"/>
      <c r="O164" s="657"/>
      <c r="P164" s="657"/>
      <c r="Q164" s="657"/>
      <c r="R164" s="657"/>
      <c r="S164" s="657"/>
      <c r="T164" s="657"/>
      <c r="U164" s="657"/>
      <c r="V164" s="657"/>
      <c r="W164" s="657"/>
      <c r="X164" s="657"/>
      <c r="Y164" s="657"/>
      <c r="Z164" s="657"/>
      <c r="AA164" s="657"/>
      <c r="AB164" s="657"/>
      <c r="AC164" s="657"/>
      <c r="AD164" s="657"/>
      <c r="AE164" s="657"/>
      <c r="AF164" s="657"/>
      <c r="AG164" s="657"/>
      <c r="AH164" s="657"/>
      <c r="AI164" s="657"/>
      <c r="AJ164" s="657"/>
      <c r="AK164" s="657"/>
      <c r="AL164" s="657"/>
      <c r="AM164" s="657"/>
      <c r="AN164" s="657"/>
      <c r="AO164" s="454"/>
    </row>
    <row r="165" spans="1:41" s="463" customFormat="1" ht="31.5" customHeight="1" thickBot="1" x14ac:dyDescent="0.35">
      <c r="A165" s="458" t="s">
        <v>729</v>
      </c>
      <c r="B165" s="459"/>
      <c r="C165" s="460">
        <f>SUM(C71+C164)</f>
        <v>1208576</v>
      </c>
      <c r="D165" s="460">
        <f>SUM(D71+D164)</f>
        <v>1644037</v>
      </c>
      <c r="E165" s="460">
        <f>SUM(E71+E164)</f>
        <v>1449066</v>
      </c>
      <c r="F165" s="535">
        <f>SUM(E165/D165)</f>
        <v>0.88140717027658133</v>
      </c>
      <c r="G165" s="461"/>
      <c r="H165" s="461"/>
      <c r="I165" s="461"/>
      <c r="J165" s="461"/>
      <c r="K165" s="461"/>
      <c r="L165" s="461"/>
      <c r="M165" s="461"/>
      <c r="N165" s="461"/>
      <c r="O165" s="461"/>
      <c r="P165" s="461"/>
      <c r="Q165" s="461"/>
      <c r="R165" s="461"/>
      <c r="S165" s="461"/>
      <c r="T165" s="461"/>
      <c r="U165" s="461"/>
      <c r="V165" s="461"/>
      <c r="W165" s="461"/>
      <c r="X165" s="461"/>
      <c r="Y165" s="461"/>
      <c r="Z165" s="461"/>
      <c r="AA165" s="461"/>
      <c r="AB165" s="461"/>
      <c r="AC165" s="461"/>
      <c r="AD165" s="461"/>
      <c r="AE165" s="461"/>
      <c r="AF165" s="461"/>
      <c r="AG165" s="461"/>
      <c r="AH165" s="461"/>
      <c r="AI165" s="461"/>
      <c r="AJ165" s="461"/>
      <c r="AK165" s="461"/>
      <c r="AL165" s="461"/>
      <c r="AM165" s="461"/>
      <c r="AN165" s="461"/>
      <c r="AO165" s="462"/>
    </row>
    <row r="166" spans="1:41" s="455" customFormat="1" ht="47.25" customHeight="1" thickBot="1" x14ac:dyDescent="0.35">
      <c r="A166" s="555" t="s">
        <v>730</v>
      </c>
      <c r="B166" s="556"/>
      <c r="C166" s="557">
        <v>1228730</v>
      </c>
      <c r="D166" s="557">
        <f>C166+35363-605-5888-32000</f>
        <v>1225600</v>
      </c>
      <c r="E166" s="557">
        <v>1225600</v>
      </c>
      <c r="F166" s="558">
        <f>E166/D166</f>
        <v>1</v>
      </c>
      <c r="G166" s="453"/>
      <c r="H166" s="453"/>
      <c r="I166" s="453"/>
      <c r="J166" s="453"/>
      <c r="K166" s="453"/>
      <c r="L166" s="453"/>
      <c r="M166" s="453"/>
      <c r="N166" s="453"/>
      <c r="O166" s="453"/>
      <c r="P166" s="453"/>
      <c r="Q166" s="453"/>
      <c r="R166" s="453"/>
      <c r="S166" s="453"/>
      <c r="T166" s="453"/>
      <c r="U166" s="453"/>
      <c r="V166" s="453"/>
      <c r="W166" s="453"/>
      <c r="X166" s="453"/>
      <c r="Y166" s="453"/>
      <c r="Z166" s="453"/>
      <c r="AA166" s="453"/>
      <c r="AB166" s="453"/>
      <c r="AC166" s="453"/>
      <c r="AD166" s="453"/>
      <c r="AE166" s="453"/>
      <c r="AF166" s="453"/>
      <c r="AG166" s="453"/>
      <c r="AH166" s="453"/>
      <c r="AI166" s="453"/>
      <c r="AJ166" s="453"/>
      <c r="AK166" s="453"/>
      <c r="AL166" s="453"/>
      <c r="AM166" s="453"/>
      <c r="AN166" s="453"/>
      <c r="AO166" s="454"/>
    </row>
    <row r="167" spans="1:41" s="659" customFormat="1" ht="38.25" customHeight="1" thickBot="1" x14ac:dyDescent="0.35">
      <c r="A167" s="654" t="s">
        <v>731</v>
      </c>
      <c r="B167" s="655"/>
      <c r="C167" s="656">
        <v>50000</v>
      </c>
      <c r="D167" s="656">
        <f>C167+47728-56408-41320</f>
        <v>0</v>
      </c>
      <c r="E167" s="656">
        <v>0</v>
      </c>
      <c r="F167" s="558">
        <v>0</v>
      </c>
      <c r="G167" s="657"/>
      <c r="H167" s="657"/>
      <c r="I167" s="657"/>
      <c r="J167" s="657"/>
      <c r="K167" s="657"/>
      <c r="L167" s="657"/>
      <c r="M167" s="657"/>
      <c r="N167" s="657"/>
      <c r="O167" s="657"/>
      <c r="P167" s="657"/>
      <c r="Q167" s="657"/>
      <c r="R167" s="657"/>
      <c r="S167" s="657"/>
      <c r="T167" s="657"/>
      <c r="U167" s="657"/>
      <c r="V167" s="657"/>
      <c r="W167" s="657"/>
      <c r="X167" s="657"/>
      <c r="Y167" s="657"/>
      <c r="Z167" s="657"/>
      <c r="AA167" s="657"/>
      <c r="AB167" s="657"/>
      <c r="AC167" s="657"/>
      <c r="AD167" s="657"/>
      <c r="AE167" s="657"/>
      <c r="AF167" s="657"/>
      <c r="AG167" s="657"/>
      <c r="AH167" s="657"/>
      <c r="AI167" s="657"/>
      <c r="AJ167" s="657"/>
      <c r="AK167" s="657"/>
      <c r="AL167" s="657"/>
      <c r="AM167" s="657"/>
      <c r="AN167" s="657"/>
      <c r="AO167" s="658"/>
    </row>
    <row r="168" spans="1:41" s="659" customFormat="1" ht="38.25" customHeight="1" thickBot="1" x14ac:dyDescent="0.35">
      <c r="A168" s="653" t="s">
        <v>732</v>
      </c>
      <c r="B168" s="660"/>
      <c r="C168" s="652">
        <v>175727</v>
      </c>
      <c r="D168" s="652">
        <f>SUM(B170:B171)</f>
        <v>161572</v>
      </c>
      <c r="E168" s="652">
        <v>0</v>
      </c>
      <c r="F168" s="731">
        <f>SUM(D170:D171)</f>
        <v>0</v>
      </c>
      <c r="G168" s="657"/>
      <c r="H168" s="657"/>
      <c r="I168" s="657"/>
      <c r="J168" s="657"/>
      <c r="K168" s="657"/>
      <c r="L168" s="657"/>
      <c r="M168" s="657"/>
      <c r="N168" s="657"/>
      <c r="O168" s="657"/>
      <c r="P168" s="657"/>
      <c r="Q168" s="657"/>
      <c r="R168" s="657"/>
      <c r="S168" s="657"/>
      <c r="T168" s="657"/>
      <c r="U168" s="657"/>
      <c r="V168" s="657"/>
      <c r="W168" s="657"/>
      <c r="X168" s="657"/>
      <c r="Y168" s="657"/>
      <c r="Z168" s="657"/>
      <c r="AA168" s="657"/>
      <c r="AB168" s="657"/>
      <c r="AC168" s="657"/>
      <c r="AD168" s="657"/>
      <c r="AE168" s="657"/>
      <c r="AF168" s="657"/>
      <c r="AG168" s="657"/>
      <c r="AH168" s="657"/>
      <c r="AI168" s="657"/>
      <c r="AJ168" s="657"/>
      <c r="AK168" s="657"/>
      <c r="AL168" s="657"/>
      <c r="AM168" s="657"/>
      <c r="AN168" s="657"/>
      <c r="AO168" s="658"/>
    </row>
    <row r="169" spans="1:41" s="650" customFormat="1" ht="41.25" customHeight="1" thickBot="1" x14ac:dyDescent="0.3">
      <c r="A169" s="706" t="s">
        <v>733</v>
      </c>
      <c r="B169" s="646"/>
      <c r="C169" s="647"/>
      <c r="D169" s="647"/>
      <c r="E169" s="647"/>
      <c r="F169" s="539"/>
      <c r="G169" s="648"/>
      <c r="H169" s="648"/>
      <c r="I169" s="648"/>
      <c r="J169" s="648"/>
      <c r="K169" s="648"/>
      <c r="L169" s="648"/>
      <c r="M169" s="648"/>
      <c r="N169" s="648"/>
      <c r="O169" s="648"/>
      <c r="P169" s="648"/>
      <c r="Q169" s="648"/>
      <c r="R169" s="648"/>
      <c r="S169" s="648"/>
      <c r="T169" s="648"/>
      <c r="U169" s="648"/>
      <c r="V169" s="648"/>
      <c r="W169" s="648"/>
      <c r="X169" s="648"/>
      <c r="Y169" s="648"/>
      <c r="Z169" s="648"/>
      <c r="AA169" s="648"/>
      <c r="AB169" s="648"/>
      <c r="AC169" s="648"/>
      <c r="AD169" s="648"/>
      <c r="AE169" s="648"/>
      <c r="AF169" s="648"/>
      <c r="AG169" s="648"/>
      <c r="AH169" s="648"/>
      <c r="AI169" s="648"/>
      <c r="AJ169" s="648"/>
      <c r="AK169" s="648"/>
      <c r="AL169" s="648"/>
      <c r="AM169" s="648"/>
      <c r="AN169" s="648"/>
      <c r="AO169" s="649"/>
    </row>
    <row r="170" spans="1:41" s="644" customFormat="1" ht="59.25" customHeight="1" thickBot="1" x14ac:dyDescent="0.3">
      <c r="A170" s="645" t="s">
        <v>734</v>
      </c>
      <c r="B170" s="640">
        <v>12166</v>
      </c>
      <c r="C170" s="647"/>
      <c r="D170" s="647"/>
      <c r="E170" s="647"/>
      <c r="F170" s="539"/>
      <c r="G170" s="642"/>
      <c r="H170" s="642"/>
      <c r="I170" s="642"/>
      <c r="J170" s="642"/>
      <c r="K170" s="642"/>
      <c r="L170" s="642"/>
      <c r="M170" s="642"/>
      <c r="N170" s="642"/>
      <c r="O170" s="642"/>
      <c r="P170" s="642"/>
      <c r="Q170" s="642"/>
      <c r="R170" s="642"/>
      <c r="S170" s="642"/>
      <c r="T170" s="642"/>
      <c r="U170" s="642"/>
      <c r="V170" s="642"/>
      <c r="W170" s="642"/>
      <c r="X170" s="642"/>
      <c r="Y170" s="642"/>
      <c r="Z170" s="642"/>
      <c r="AA170" s="642"/>
      <c r="AB170" s="642"/>
      <c r="AC170" s="642"/>
      <c r="AD170" s="642"/>
      <c r="AE170" s="642"/>
      <c r="AF170" s="642"/>
      <c r="AG170" s="642"/>
      <c r="AH170" s="642"/>
      <c r="AI170" s="642"/>
      <c r="AJ170" s="642"/>
      <c r="AK170" s="642"/>
      <c r="AL170" s="642"/>
      <c r="AM170" s="642"/>
      <c r="AN170" s="642"/>
      <c r="AO170" s="643"/>
    </row>
    <row r="171" spans="1:41" s="644" customFormat="1" ht="38.25" thickBot="1" x14ac:dyDescent="0.3">
      <c r="A171" s="706" t="s">
        <v>735</v>
      </c>
      <c r="B171" s="640">
        <f>SUM(B173:B174)</f>
        <v>149406</v>
      </c>
      <c r="C171" s="647"/>
      <c r="D171" s="647"/>
      <c r="E171" s="647"/>
      <c r="F171" s="539"/>
      <c r="G171" s="642"/>
      <c r="H171" s="642"/>
      <c r="I171" s="642"/>
      <c r="J171" s="642"/>
      <c r="K171" s="642"/>
      <c r="L171" s="642"/>
      <c r="M171" s="642"/>
      <c r="N171" s="642"/>
      <c r="O171" s="642"/>
      <c r="P171" s="642"/>
      <c r="Q171" s="642"/>
      <c r="R171" s="642"/>
      <c r="S171" s="642"/>
      <c r="T171" s="642"/>
      <c r="U171" s="642"/>
      <c r="V171" s="642"/>
      <c r="W171" s="642"/>
      <c r="X171" s="642"/>
      <c r="Y171" s="642"/>
      <c r="Z171" s="642"/>
      <c r="AA171" s="642"/>
      <c r="AB171" s="642"/>
      <c r="AC171" s="642"/>
      <c r="AD171" s="642"/>
      <c r="AE171" s="642"/>
      <c r="AF171" s="642"/>
      <c r="AG171" s="642"/>
      <c r="AH171" s="642"/>
      <c r="AI171" s="642"/>
      <c r="AJ171" s="642"/>
      <c r="AK171" s="642"/>
      <c r="AL171" s="642"/>
      <c r="AM171" s="642"/>
      <c r="AN171" s="642"/>
      <c r="AO171" s="643"/>
    </row>
    <row r="172" spans="1:41" s="644" customFormat="1" ht="22.5" customHeight="1" thickBot="1" x14ac:dyDescent="0.3">
      <c r="A172" s="645" t="s">
        <v>548</v>
      </c>
      <c r="B172" s="640"/>
      <c r="C172" s="647"/>
      <c r="D172" s="647"/>
      <c r="E172" s="647"/>
      <c r="F172" s="539"/>
      <c r="G172" s="642"/>
      <c r="H172" s="642"/>
      <c r="I172" s="642"/>
      <c r="J172" s="642"/>
      <c r="K172" s="642"/>
      <c r="L172" s="642"/>
      <c r="M172" s="642"/>
      <c r="N172" s="642"/>
      <c r="O172" s="642"/>
      <c r="P172" s="642"/>
      <c r="Q172" s="642"/>
      <c r="R172" s="642"/>
      <c r="S172" s="642"/>
      <c r="T172" s="642"/>
      <c r="U172" s="642"/>
      <c r="V172" s="642"/>
      <c r="W172" s="642"/>
      <c r="X172" s="642"/>
      <c r="Y172" s="642"/>
      <c r="Z172" s="642"/>
      <c r="AA172" s="642"/>
      <c r="AB172" s="642"/>
      <c r="AC172" s="642"/>
      <c r="AD172" s="642"/>
      <c r="AE172" s="642"/>
      <c r="AF172" s="642"/>
      <c r="AG172" s="642"/>
      <c r="AH172" s="642"/>
      <c r="AI172" s="642"/>
      <c r="AJ172" s="642"/>
      <c r="AK172" s="642"/>
      <c r="AL172" s="642"/>
      <c r="AM172" s="642"/>
      <c r="AN172" s="642"/>
      <c r="AO172" s="643"/>
    </row>
    <row r="173" spans="1:41" s="644" customFormat="1" ht="22.5" customHeight="1" thickBot="1" x14ac:dyDescent="0.3">
      <c r="A173" s="645" t="s">
        <v>736</v>
      </c>
      <c r="B173" s="640">
        <v>49950</v>
      </c>
      <c r="C173" s="647"/>
      <c r="D173" s="647"/>
      <c r="E173" s="647"/>
      <c r="F173" s="539"/>
      <c r="G173" s="642"/>
      <c r="H173" s="642"/>
      <c r="I173" s="642"/>
      <c r="J173" s="642"/>
      <c r="K173" s="642"/>
      <c r="L173" s="642"/>
      <c r="M173" s="642"/>
      <c r="N173" s="642"/>
      <c r="O173" s="642"/>
      <c r="P173" s="642"/>
      <c r="Q173" s="642"/>
      <c r="R173" s="642"/>
      <c r="S173" s="642"/>
      <c r="T173" s="642"/>
      <c r="U173" s="642"/>
      <c r="V173" s="642"/>
      <c r="W173" s="642"/>
      <c r="X173" s="642"/>
      <c r="Y173" s="642"/>
      <c r="Z173" s="642"/>
      <c r="AA173" s="642"/>
      <c r="AB173" s="642"/>
      <c r="AC173" s="642"/>
      <c r="AD173" s="642"/>
      <c r="AE173" s="642"/>
      <c r="AF173" s="642"/>
      <c r="AG173" s="642"/>
      <c r="AH173" s="642"/>
      <c r="AI173" s="642"/>
      <c r="AJ173" s="642"/>
      <c r="AK173" s="642"/>
      <c r="AL173" s="642"/>
      <c r="AM173" s="642"/>
      <c r="AN173" s="642"/>
      <c r="AO173" s="643"/>
    </row>
    <row r="174" spans="1:41" s="644" customFormat="1" ht="37.5" customHeight="1" thickBot="1" x14ac:dyDescent="0.3">
      <c r="A174" s="645" t="s">
        <v>737</v>
      </c>
      <c r="B174" s="640">
        <f>114025-10832-3737</f>
        <v>99456</v>
      </c>
      <c r="C174" s="647"/>
      <c r="D174" s="647"/>
      <c r="E174" s="647"/>
      <c r="F174" s="539"/>
      <c r="G174" s="642"/>
      <c r="H174" s="642"/>
      <c r="I174" s="642"/>
      <c r="J174" s="642"/>
      <c r="K174" s="642"/>
      <c r="L174" s="642"/>
      <c r="M174" s="642"/>
      <c r="N174" s="642"/>
      <c r="O174" s="642"/>
      <c r="P174" s="642"/>
      <c r="Q174" s="642"/>
      <c r="R174" s="642"/>
      <c r="S174" s="642"/>
      <c r="T174" s="642"/>
      <c r="U174" s="642"/>
      <c r="V174" s="642"/>
      <c r="W174" s="642"/>
      <c r="X174" s="642"/>
      <c r="Y174" s="642"/>
      <c r="Z174" s="642"/>
      <c r="AA174" s="642"/>
      <c r="AB174" s="642"/>
      <c r="AC174" s="642"/>
      <c r="AD174" s="642"/>
      <c r="AE174" s="642"/>
      <c r="AF174" s="642"/>
      <c r="AG174" s="642"/>
      <c r="AH174" s="642"/>
      <c r="AI174" s="642"/>
      <c r="AJ174" s="642"/>
      <c r="AK174" s="642"/>
      <c r="AL174" s="642"/>
      <c r="AM174" s="642"/>
      <c r="AN174" s="642"/>
      <c r="AO174" s="643"/>
    </row>
    <row r="175" spans="1:41" s="659" customFormat="1" ht="38.25" customHeight="1" thickBot="1" x14ac:dyDescent="0.35">
      <c r="A175" s="654" t="s">
        <v>738</v>
      </c>
      <c r="B175" s="655"/>
      <c r="C175" s="656">
        <v>49935</v>
      </c>
      <c r="D175" s="656">
        <v>49935</v>
      </c>
      <c r="E175" s="656">
        <v>49935</v>
      </c>
      <c r="F175" s="558">
        <f>E175/D175</f>
        <v>1</v>
      </c>
      <c r="G175" s="657"/>
      <c r="H175" s="657"/>
      <c r="I175" s="657"/>
      <c r="J175" s="657"/>
      <c r="K175" s="657"/>
      <c r="L175" s="657"/>
      <c r="M175" s="657"/>
      <c r="N175" s="657"/>
      <c r="O175" s="657"/>
      <c r="P175" s="657"/>
      <c r="Q175" s="657"/>
      <c r="R175" s="657"/>
      <c r="S175" s="657"/>
      <c r="T175" s="657"/>
      <c r="U175" s="657"/>
      <c r="V175" s="657"/>
      <c r="W175" s="657"/>
      <c r="X175" s="657"/>
      <c r="Y175" s="657"/>
      <c r="Z175" s="657"/>
      <c r="AA175" s="657"/>
      <c r="AB175" s="657"/>
      <c r="AC175" s="657"/>
      <c r="AD175" s="657"/>
      <c r="AE175" s="657"/>
      <c r="AF175" s="657"/>
      <c r="AG175" s="657"/>
      <c r="AH175" s="657"/>
      <c r="AI175" s="657"/>
      <c r="AJ175" s="657"/>
      <c r="AK175" s="657"/>
      <c r="AL175" s="657"/>
      <c r="AM175" s="657"/>
      <c r="AN175" s="657"/>
      <c r="AO175" s="658"/>
    </row>
    <row r="176" spans="1:41" s="659" customFormat="1" ht="38.25" customHeight="1" thickBot="1" x14ac:dyDescent="0.35">
      <c r="A176" s="654" t="s">
        <v>739</v>
      </c>
      <c r="B176" s="663">
        <v>49935</v>
      </c>
      <c r="C176" s="656"/>
      <c r="D176" s="656"/>
      <c r="E176" s="656"/>
      <c r="F176" s="558"/>
      <c r="G176" s="657"/>
      <c r="H176" s="657"/>
      <c r="I176" s="657"/>
      <c r="J176" s="657"/>
      <c r="K176" s="657"/>
      <c r="L176" s="657"/>
      <c r="M176" s="657"/>
      <c r="N176" s="657"/>
      <c r="O176" s="657"/>
      <c r="P176" s="657"/>
      <c r="Q176" s="657"/>
      <c r="R176" s="657"/>
      <c r="S176" s="657"/>
      <c r="T176" s="657"/>
      <c r="U176" s="657"/>
      <c r="V176" s="657"/>
      <c r="W176" s="657"/>
      <c r="X176" s="657"/>
      <c r="Y176" s="657"/>
      <c r="Z176" s="657"/>
      <c r="AA176" s="657"/>
      <c r="AB176" s="657"/>
      <c r="AC176" s="657"/>
      <c r="AD176" s="657"/>
      <c r="AE176" s="657"/>
      <c r="AF176" s="657"/>
      <c r="AG176" s="657"/>
      <c r="AH176" s="657"/>
      <c r="AI176" s="657"/>
      <c r="AJ176" s="657"/>
      <c r="AK176" s="657"/>
      <c r="AL176" s="657"/>
      <c r="AM176" s="657"/>
      <c r="AN176" s="657"/>
      <c r="AO176" s="658"/>
    </row>
    <row r="177" spans="1:41" s="467" customFormat="1" ht="33" customHeight="1" thickBot="1" x14ac:dyDescent="0.35">
      <c r="A177" s="464" t="s">
        <v>740</v>
      </c>
      <c r="B177" s="465"/>
      <c r="C177" s="460">
        <f>SUM(C165:C175)</f>
        <v>2712968</v>
      </c>
      <c r="D177" s="460">
        <f>SUM(D165:D175)</f>
        <v>3081144</v>
      </c>
      <c r="E177" s="460">
        <f>SUM(E165:E175)</f>
        <v>2724601</v>
      </c>
      <c r="F177" s="535">
        <f>SUM(F165:F175)</f>
        <v>2.8814071702765816</v>
      </c>
      <c r="G177" s="461"/>
      <c r="H177" s="461"/>
      <c r="I177" s="461"/>
      <c r="J177" s="461"/>
      <c r="K177" s="461"/>
      <c r="L177" s="461"/>
      <c r="M177" s="461"/>
      <c r="N177" s="461"/>
      <c r="O177" s="461"/>
      <c r="P177" s="461"/>
      <c r="Q177" s="461"/>
      <c r="R177" s="461"/>
      <c r="S177" s="461"/>
      <c r="T177" s="461"/>
      <c r="U177" s="461"/>
      <c r="V177" s="461"/>
      <c r="W177" s="461"/>
      <c r="X177" s="461"/>
      <c r="Y177" s="461"/>
      <c r="Z177" s="461"/>
      <c r="AA177" s="461"/>
      <c r="AB177" s="461"/>
      <c r="AC177" s="461"/>
      <c r="AD177" s="461"/>
      <c r="AE177" s="461"/>
      <c r="AF177" s="461"/>
      <c r="AG177" s="461"/>
      <c r="AH177" s="461"/>
      <c r="AI177" s="461"/>
      <c r="AJ177" s="461"/>
      <c r="AK177" s="461"/>
      <c r="AL177" s="461"/>
      <c r="AM177" s="461"/>
      <c r="AN177" s="461"/>
      <c r="AO177" s="466"/>
    </row>
    <row r="178" spans="1:41" s="447" customFormat="1" ht="93" customHeight="1" thickBot="1" x14ac:dyDescent="0.3">
      <c r="A178" s="457"/>
      <c r="B178" s="457"/>
      <c r="C178" s="468"/>
      <c r="D178" s="468"/>
      <c r="E178" s="456">
        <f>SUM('12. sz. melléklet'!E254)</f>
        <v>2724601</v>
      </c>
    </row>
    <row r="179" spans="1:41" ht="33" customHeight="1" thickBot="1" x14ac:dyDescent="0.3">
      <c r="A179" s="469"/>
      <c r="B179" s="470"/>
      <c r="C179" s="471"/>
      <c r="D179" s="471"/>
      <c r="E179" s="554">
        <f>SUM(E177-E178)</f>
        <v>0</v>
      </c>
    </row>
    <row r="180" spans="1:41" ht="30.75" customHeight="1" thickBot="1" x14ac:dyDescent="0.3">
      <c r="A180" s="474"/>
      <c r="B180" s="475"/>
      <c r="C180" s="471"/>
      <c r="D180" s="471"/>
    </row>
    <row r="181" spans="1:41" ht="34.5" customHeight="1" thickBot="1" x14ac:dyDescent="0.3">
      <c r="A181" s="469"/>
      <c r="B181" s="476"/>
      <c r="C181" s="477"/>
      <c r="D181" s="477"/>
    </row>
    <row r="182" spans="1:41" ht="19.5" thickBot="1" x14ac:dyDescent="0.3">
      <c r="A182" s="474"/>
      <c r="B182" s="475"/>
      <c r="C182" s="477"/>
      <c r="D182" s="477"/>
    </row>
    <row r="183" spans="1:41" ht="19.5" thickBot="1" x14ac:dyDescent="0.3">
      <c r="A183" s="474"/>
      <c r="B183" s="475"/>
      <c r="C183" s="477"/>
      <c r="D183" s="477"/>
    </row>
    <row r="184" spans="1:41" ht="19.5" thickBot="1" x14ac:dyDescent="0.3">
      <c r="A184" s="474"/>
      <c r="B184" s="475"/>
      <c r="C184" s="477"/>
      <c r="D184" s="477"/>
    </row>
    <row r="185" spans="1:41" thickBot="1" x14ac:dyDescent="0.3">
      <c r="A185" s="474"/>
      <c r="B185" s="474"/>
      <c r="C185" s="477"/>
      <c r="D185" s="477"/>
    </row>
    <row r="186" spans="1:41" thickBot="1" x14ac:dyDescent="0.3">
      <c r="A186" s="474"/>
      <c r="B186" s="474"/>
      <c r="C186" s="477"/>
      <c r="D186" s="477"/>
    </row>
    <row r="187" spans="1:41" thickBot="1" x14ac:dyDescent="0.3">
      <c r="A187" s="474"/>
      <c r="B187" s="474"/>
      <c r="C187" s="477"/>
      <c r="D187" s="477"/>
    </row>
    <row r="188" spans="1:41" thickBot="1" x14ac:dyDescent="0.3">
      <c r="A188" s="474"/>
      <c r="B188" s="474"/>
      <c r="C188" s="477"/>
      <c r="D188" s="477"/>
    </row>
    <row r="189" spans="1:41" thickBot="1" x14ac:dyDescent="0.3">
      <c r="A189" s="474"/>
      <c r="B189" s="474"/>
      <c r="C189" s="477"/>
      <c r="D189" s="477"/>
    </row>
    <row r="190" spans="1:41" thickBot="1" x14ac:dyDescent="0.3">
      <c r="A190" s="474"/>
      <c r="B190" s="474"/>
      <c r="C190" s="477"/>
      <c r="D190" s="477"/>
    </row>
    <row r="191" spans="1:41" thickBot="1" x14ac:dyDescent="0.3">
      <c r="A191" s="474"/>
      <c r="B191" s="474"/>
      <c r="C191" s="477"/>
      <c r="D191" s="477"/>
    </row>
    <row r="192" spans="1:41" thickBot="1" x14ac:dyDescent="0.3">
      <c r="A192" s="474"/>
      <c r="B192" s="474"/>
      <c r="C192" s="477"/>
      <c r="D192" s="477"/>
    </row>
    <row r="193" spans="1:4" thickBot="1" x14ac:dyDescent="0.3">
      <c r="A193" s="474"/>
      <c r="B193" s="474"/>
      <c r="C193" s="477"/>
      <c r="D193" s="477"/>
    </row>
    <row r="194" spans="1:4" thickBot="1" x14ac:dyDescent="0.3">
      <c r="A194" s="474"/>
      <c r="B194" s="474"/>
      <c r="C194" s="477"/>
      <c r="D194" s="477"/>
    </row>
    <row r="195" spans="1:4" thickBot="1" x14ac:dyDescent="0.3">
      <c r="A195" s="474"/>
      <c r="B195" s="474"/>
      <c r="C195" s="477"/>
      <c r="D195" s="477"/>
    </row>
    <row r="196" spans="1:4" thickBot="1" x14ac:dyDescent="0.3">
      <c r="A196" s="474"/>
      <c r="B196" s="474"/>
      <c r="C196" s="477"/>
      <c r="D196" s="477"/>
    </row>
    <row r="197" spans="1:4" thickBot="1" x14ac:dyDescent="0.3">
      <c r="A197" s="474"/>
      <c r="B197" s="474"/>
      <c r="C197" s="477"/>
      <c r="D197" s="477"/>
    </row>
    <row r="198" spans="1:4" thickBot="1" x14ac:dyDescent="0.3">
      <c r="A198" s="474"/>
      <c r="B198" s="474"/>
      <c r="C198" s="477"/>
      <c r="D198" s="477"/>
    </row>
    <row r="199" spans="1:4" thickBot="1" x14ac:dyDescent="0.3">
      <c r="A199" s="474"/>
      <c r="B199" s="474"/>
      <c r="C199" s="477"/>
      <c r="D199" s="477"/>
    </row>
    <row r="200" spans="1:4" thickBot="1" x14ac:dyDescent="0.3">
      <c r="A200" s="474"/>
      <c r="B200" s="474"/>
      <c r="C200" s="477"/>
      <c r="D200" s="477"/>
    </row>
    <row r="201" spans="1:4" thickBot="1" x14ac:dyDescent="0.3">
      <c r="A201" s="474"/>
      <c r="B201" s="474"/>
      <c r="C201" s="477"/>
      <c r="D201" s="477"/>
    </row>
    <row r="202" spans="1:4" thickBot="1" x14ac:dyDescent="0.3">
      <c r="A202" s="474"/>
      <c r="B202" s="474"/>
      <c r="C202" s="477"/>
      <c r="D202" s="477"/>
    </row>
    <row r="203" spans="1:4" thickBot="1" x14ac:dyDescent="0.3">
      <c r="A203" s="474"/>
      <c r="B203" s="474"/>
      <c r="C203" s="477"/>
      <c r="D203" s="477"/>
    </row>
    <row r="204" spans="1:4" thickBot="1" x14ac:dyDescent="0.3">
      <c r="A204" s="474"/>
      <c r="B204" s="474"/>
      <c r="C204" s="477"/>
      <c r="D204" s="477"/>
    </row>
    <row r="205" spans="1:4" thickBot="1" x14ac:dyDescent="0.3">
      <c r="A205" s="474"/>
      <c r="B205" s="474"/>
      <c r="C205" s="477"/>
      <c r="D205" s="477"/>
    </row>
    <row r="206" spans="1:4" thickBot="1" x14ac:dyDescent="0.3">
      <c r="A206" s="474"/>
      <c r="B206" s="474"/>
      <c r="C206" s="477"/>
      <c r="D206" s="477"/>
    </row>
    <row r="207" spans="1:4" thickBot="1" x14ac:dyDescent="0.3">
      <c r="A207" s="474"/>
      <c r="B207" s="474"/>
      <c r="C207" s="477"/>
      <c r="D207" s="477"/>
    </row>
    <row r="208" spans="1:4" thickBot="1" x14ac:dyDescent="0.3">
      <c r="A208" s="474"/>
      <c r="B208" s="474"/>
      <c r="C208" s="477"/>
      <c r="D208" s="477"/>
    </row>
    <row r="209" spans="1:4" thickBot="1" x14ac:dyDescent="0.3">
      <c r="A209" s="474"/>
      <c r="B209" s="474"/>
      <c r="C209" s="477"/>
      <c r="D209" s="477"/>
    </row>
    <row r="210" spans="1:4" thickBot="1" x14ac:dyDescent="0.3">
      <c r="A210" s="474"/>
      <c r="B210" s="474"/>
      <c r="C210" s="477"/>
      <c r="D210" s="477"/>
    </row>
    <row r="211" spans="1:4" thickBot="1" x14ac:dyDescent="0.3">
      <c r="A211" s="474"/>
      <c r="B211" s="474"/>
      <c r="C211" s="477"/>
      <c r="D211" s="477"/>
    </row>
    <row r="212" spans="1:4" thickBot="1" x14ac:dyDescent="0.3">
      <c r="A212" s="474"/>
      <c r="B212" s="474"/>
      <c r="C212" s="477"/>
      <c r="D212" s="477"/>
    </row>
    <row r="213" spans="1:4" thickBot="1" x14ac:dyDescent="0.3">
      <c r="A213" s="474"/>
      <c r="B213" s="474"/>
      <c r="C213" s="477"/>
      <c r="D213" s="477"/>
    </row>
    <row r="214" spans="1:4" thickBot="1" x14ac:dyDescent="0.3">
      <c r="A214" s="474"/>
      <c r="B214" s="474"/>
      <c r="C214" s="477"/>
      <c r="D214" s="477"/>
    </row>
    <row r="215" spans="1:4" thickBot="1" x14ac:dyDescent="0.3">
      <c r="A215" s="474"/>
      <c r="B215" s="474"/>
      <c r="C215" s="477"/>
      <c r="D215" s="477"/>
    </row>
    <row r="216" spans="1:4" thickBot="1" x14ac:dyDescent="0.3">
      <c r="A216" s="474"/>
      <c r="B216" s="474"/>
      <c r="C216" s="477"/>
      <c r="D216" s="477"/>
    </row>
    <row r="217" spans="1:4" thickBot="1" x14ac:dyDescent="0.3">
      <c r="A217" s="474"/>
      <c r="B217" s="474"/>
      <c r="C217" s="477"/>
      <c r="D217" s="477"/>
    </row>
    <row r="218" spans="1:4" thickBot="1" x14ac:dyDescent="0.3">
      <c r="A218" s="474"/>
      <c r="B218" s="474"/>
      <c r="C218" s="477"/>
      <c r="D218" s="477"/>
    </row>
    <row r="219" spans="1:4" thickBot="1" x14ac:dyDescent="0.3">
      <c r="A219" s="474"/>
      <c r="B219" s="474"/>
      <c r="C219" s="477"/>
      <c r="D219" s="477"/>
    </row>
    <row r="220" spans="1:4" thickBot="1" x14ac:dyDescent="0.3">
      <c r="A220" s="474"/>
      <c r="B220" s="474"/>
      <c r="C220" s="477"/>
      <c r="D220" s="477"/>
    </row>
    <row r="221" spans="1:4" thickBot="1" x14ac:dyDescent="0.3">
      <c r="A221" s="474"/>
      <c r="B221" s="474"/>
      <c r="C221" s="477"/>
      <c r="D221" s="477"/>
    </row>
    <row r="222" spans="1:4" thickBot="1" x14ac:dyDescent="0.3">
      <c r="A222" s="474"/>
      <c r="B222" s="474"/>
      <c r="C222" s="477"/>
      <c r="D222" s="477"/>
    </row>
    <row r="223" spans="1:4" thickBot="1" x14ac:dyDescent="0.3">
      <c r="A223" s="474"/>
      <c r="B223" s="474"/>
      <c r="C223" s="477"/>
      <c r="D223" s="477"/>
    </row>
    <row r="224" spans="1:4" thickBot="1" x14ac:dyDescent="0.3">
      <c r="A224" s="474"/>
      <c r="B224" s="474"/>
      <c r="C224" s="477"/>
      <c r="D224" s="477"/>
    </row>
    <row r="225" spans="1:4" thickBot="1" x14ac:dyDescent="0.3">
      <c r="A225" s="474"/>
      <c r="B225" s="474"/>
      <c r="C225" s="477"/>
      <c r="D225" s="477"/>
    </row>
    <row r="226" spans="1:4" thickBot="1" x14ac:dyDescent="0.3">
      <c r="A226" s="474"/>
      <c r="B226" s="474"/>
      <c r="C226" s="477"/>
      <c r="D226" s="477"/>
    </row>
    <row r="227" spans="1:4" thickBot="1" x14ac:dyDescent="0.3">
      <c r="A227" s="474"/>
      <c r="B227" s="474"/>
      <c r="C227" s="477"/>
      <c r="D227" s="477"/>
    </row>
    <row r="228" spans="1:4" thickBot="1" x14ac:dyDescent="0.3">
      <c r="A228" s="474"/>
      <c r="B228" s="474"/>
      <c r="C228" s="477"/>
      <c r="D228" s="477"/>
    </row>
    <row r="229" spans="1:4" thickBot="1" x14ac:dyDescent="0.3">
      <c r="A229" s="474"/>
      <c r="B229" s="474"/>
      <c r="C229" s="477"/>
      <c r="D229" s="477"/>
    </row>
    <row r="230" spans="1:4" thickBot="1" x14ac:dyDescent="0.3">
      <c r="A230" s="474"/>
      <c r="B230" s="474"/>
      <c r="C230" s="477"/>
      <c r="D230" s="477"/>
    </row>
    <row r="231" spans="1:4" thickBot="1" x14ac:dyDescent="0.3">
      <c r="A231" s="474"/>
      <c r="B231" s="474"/>
      <c r="C231" s="477"/>
      <c r="D231" s="477"/>
    </row>
    <row r="232" spans="1:4" thickBot="1" x14ac:dyDescent="0.3">
      <c r="A232" s="474"/>
      <c r="B232" s="474"/>
      <c r="C232" s="477"/>
      <c r="D232" s="477"/>
    </row>
    <row r="233" spans="1:4" thickBot="1" x14ac:dyDescent="0.3">
      <c r="A233" s="474"/>
      <c r="B233" s="474"/>
      <c r="C233" s="477"/>
      <c r="D233" s="477"/>
    </row>
    <row r="234" spans="1:4" thickBot="1" x14ac:dyDescent="0.3">
      <c r="A234" s="474"/>
      <c r="B234" s="474"/>
      <c r="C234" s="477"/>
      <c r="D234" s="477"/>
    </row>
    <row r="235" spans="1:4" thickBot="1" x14ac:dyDescent="0.3">
      <c r="A235" s="474"/>
      <c r="B235" s="474"/>
      <c r="C235" s="477"/>
      <c r="D235" s="477"/>
    </row>
    <row r="236" spans="1:4" thickBot="1" x14ac:dyDescent="0.3">
      <c r="A236" s="474"/>
      <c r="B236" s="474"/>
      <c r="C236" s="477"/>
      <c r="D236" s="477"/>
    </row>
    <row r="237" spans="1:4" thickBot="1" x14ac:dyDescent="0.3">
      <c r="A237" s="474"/>
      <c r="B237" s="474"/>
      <c r="C237" s="477"/>
      <c r="D237" s="477"/>
    </row>
    <row r="238" spans="1:4" thickBot="1" x14ac:dyDescent="0.3">
      <c r="A238" s="474"/>
      <c r="B238" s="474"/>
      <c r="C238" s="477"/>
      <c r="D238" s="477"/>
    </row>
    <row r="239" spans="1:4" thickBot="1" x14ac:dyDescent="0.3">
      <c r="A239" s="474"/>
      <c r="B239" s="474"/>
      <c r="C239" s="477"/>
      <c r="D239" s="477"/>
    </row>
    <row r="240" spans="1:4" thickBot="1" x14ac:dyDescent="0.3">
      <c r="A240" s="474"/>
      <c r="B240" s="474"/>
      <c r="C240" s="477"/>
      <c r="D240" s="477"/>
    </row>
    <row r="241" spans="1:4" thickBot="1" x14ac:dyDescent="0.3">
      <c r="A241" s="474"/>
      <c r="B241" s="474"/>
      <c r="C241" s="477"/>
      <c r="D241" s="477"/>
    </row>
    <row r="242" spans="1:4" thickBot="1" x14ac:dyDescent="0.3">
      <c r="A242" s="474"/>
      <c r="B242" s="474"/>
      <c r="C242" s="477"/>
      <c r="D242" s="477"/>
    </row>
    <row r="243" spans="1:4" thickBot="1" x14ac:dyDescent="0.3">
      <c r="A243" s="474"/>
      <c r="B243" s="474"/>
      <c r="C243" s="477"/>
      <c r="D243" s="477"/>
    </row>
    <row r="244" spans="1:4" thickBot="1" x14ac:dyDescent="0.3">
      <c r="A244" s="474"/>
      <c r="B244" s="474"/>
      <c r="C244" s="477"/>
      <c r="D244" s="477"/>
    </row>
    <row r="245" spans="1:4" thickBot="1" x14ac:dyDescent="0.3">
      <c r="A245" s="474"/>
      <c r="B245" s="474"/>
      <c r="C245" s="477"/>
      <c r="D245" s="477"/>
    </row>
    <row r="246" spans="1:4" thickBot="1" x14ac:dyDescent="0.3">
      <c r="A246" s="474"/>
      <c r="B246" s="474"/>
      <c r="C246" s="477"/>
      <c r="D246" s="477"/>
    </row>
    <row r="247" spans="1:4" thickBot="1" x14ac:dyDescent="0.3">
      <c r="A247" s="474"/>
      <c r="B247" s="474"/>
      <c r="C247" s="477"/>
      <c r="D247" s="477"/>
    </row>
    <row r="248" spans="1:4" thickBot="1" x14ac:dyDescent="0.3">
      <c r="A248" s="474"/>
      <c r="B248" s="474"/>
      <c r="C248" s="477"/>
      <c r="D248" s="477"/>
    </row>
    <row r="249" spans="1:4" thickBot="1" x14ac:dyDescent="0.3">
      <c r="A249" s="474"/>
      <c r="B249" s="474"/>
      <c r="C249" s="477"/>
      <c r="D249" s="477"/>
    </row>
    <row r="250" spans="1:4" thickBot="1" x14ac:dyDescent="0.3">
      <c r="A250" s="474"/>
      <c r="B250" s="474"/>
      <c r="C250" s="477"/>
      <c r="D250" s="477"/>
    </row>
    <row r="251" spans="1:4" thickBot="1" x14ac:dyDescent="0.3">
      <c r="A251" s="474"/>
      <c r="B251" s="474"/>
      <c r="C251" s="477"/>
      <c r="D251" s="477"/>
    </row>
    <row r="252" spans="1:4" thickBot="1" x14ac:dyDescent="0.3">
      <c r="A252" s="474"/>
      <c r="B252" s="474"/>
      <c r="C252" s="477"/>
      <c r="D252" s="477"/>
    </row>
    <row r="253" spans="1:4" thickBot="1" x14ac:dyDescent="0.3">
      <c r="A253" s="474"/>
      <c r="B253" s="474"/>
      <c r="C253" s="433"/>
      <c r="D253" s="433"/>
    </row>
    <row r="254" spans="1:4" thickBot="1" x14ac:dyDescent="0.3">
      <c r="A254" s="474"/>
      <c r="B254" s="474"/>
      <c r="C254" s="433"/>
      <c r="D254" s="433"/>
    </row>
    <row r="255" spans="1:4" thickBot="1" x14ac:dyDescent="0.3">
      <c r="A255" s="474"/>
      <c r="B255" s="474"/>
      <c r="C255" s="433"/>
      <c r="D255" s="433"/>
    </row>
    <row r="256" spans="1:4" thickBot="1" x14ac:dyDescent="0.3">
      <c r="A256" s="474"/>
      <c r="B256" s="474"/>
      <c r="C256" s="433"/>
      <c r="D256" s="433"/>
    </row>
    <row r="257" spans="1:4" thickBot="1" x14ac:dyDescent="0.3">
      <c r="A257" s="474"/>
      <c r="B257" s="474"/>
      <c r="C257" s="433"/>
      <c r="D257" s="433"/>
    </row>
    <row r="258" spans="1:4" thickBot="1" x14ac:dyDescent="0.3">
      <c r="A258" s="474"/>
      <c r="B258" s="474"/>
      <c r="C258" s="433"/>
      <c r="D258" s="433"/>
    </row>
    <row r="259" spans="1:4" thickBot="1" x14ac:dyDescent="0.3">
      <c r="A259" s="474"/>
      <c r="B259" s="474"/>
      <c r="C259" s="433"/>
      <c r="D259" s="433"/>
    </row>
    <row r="260" spans="1:4" thickBot="1" x14ac:dyDescent="0.3">
      <c r="A260" s="474"/>
      <c r="B260" s="474"/>
      <c r="C260" s="433"/>
      <c r="D260" s="433"/>
    </row>
    <row r="261" spans="1:4" thickBot="1" x14ac:dyDescent="0.3">
      <c r="A261" s="474"/>
      <c r="B261" s="474"/>
      <c r="C261" s="433"/>
      <c r="D261" s="433"/>
    </row>
    <row r="262" spans="1:4" thickBot="1" x14ac:dyDescent="0.3">
      <c r="A262" s="474"/>
      <c r="B262" s="474"/>
      <c r="C262" s="433"/>
      <c r="D262" s="433"/>
    </row>
    <row r="263" spans="1:4" thickBot="1" x14ac:dyDescent="0.3">
      <c r="A263" s="474"/>
      <c r="B263" s="474"/>
      <c r="C263" s="433"/>
      <c r="D263" s="433"/>
    </row>
    <row r="264" spans="1:4" thickBot="1" x14ac:dyDescent="0.3">
      <c r="A264" s="474"/>
      <c r="B264" s="474"/>
      <c r="C264" s="433"/>
      <c r="D264" s="433"/>
    </row>
    <row r="265" spans="1:4" thickBot="1" x14ac:dyDescent="0.3">
      <c r="A265" s="474"/>
      <c r="B265" s="474"/>
      <c r="C265" s="433"/>
      <c r="D265" s="433"/>
    </row>
    <row r="266" spans="1:4" thickBot="1" x14ac:dyDescent="0.3">
      <c r="A266" s="474"/>
      <c r="B266" s="474"/>
      <c r="C266" s="433"/>
      <c r="D266" s="433"/>
    </row>
    <row r="267" spans="1:4" thickBot="1" x14ac:dyDescent="0.3">
      <c r="A267" s="474"/>
      <c r="B267" s="474"/>
      <c r="C267" s="433"/>
      <c r="D267" s="433"/>
    </row>
    <row r="268" spans="1:4" thickBot="1" x14ac:dyDescent="0.3">
      <c r="A268" s="474"/>
      <c r="B268" s="474"/>
      <c r="C268" s="433"/>
      <c r="D268" s="433"/>
    </row>
    <row r="269" spans="1:4" thickBot="1" x14ac:dyDescent="0.3">
      <c r="A269" s="474"/>
      <c r="B269" s="474"/>
      <c r="C269" s="433"/>
      <c r="D269" s="433"/>
    </row>
    <row r="270" spans="1:4" thickBot="1" x14ac:dyDescent="0.3">
      <c r="A270" s="474"/>
      <c r="B270" s="474"/>
      <c r="C270" s="433"/>
      <c r="D270" s="433"/>
    </row>
    <row r="271" spans="1:4" thickBot="1" x14ac:dyDescent="0.3">
      <c r="A271" s="474"/>
      <c r="B271" s="474"/>
      <c r="C271" s="433"/>
      <c r="D271" s="433"/>
    </row>
    <row r="272" spans="1:4" thickBot="1" x14ac:dyDescent="0.3">
      <c r="A272" s="474"/>
      <c r="B272" s="474"/>
      <c r="C272" s="433"/>
      <c r="D272" s="433"/>
    </row>
    <row r="273" spans="1:4" thickBot="1" x14ac:dyDescent="0.3">
      <c r="A273" s="474"/>
      <c r="B273" s="474"/>
      <c r="C273" s="433"/>
      <c r="D273" s="433"/>
    </row>
    <row r="274" spans="1:4" thickBot="1" x14ac:dyDescent="0.3">
      <c r="A274" s="474"/>
      <c r="B274" s="474"/>
      <c r="C274" s="433"/>
      <c r="D274" s="433"/>
    </row>
    <row r="275" spans="1:4" thickBot="1" x14ac:dyDescent="0.3">
      <c r="A275" s="474"/>
      <c r="B275" s="474"/>
      <c r="C275" s="433"/>
      <c r="D275" s="433"/>
    </row>
    <row r="276" spans="1:4" thickBot="1" x14ac:dyDescent="0.3">
      <c r="A276" s="474"/>
      <c r="B276" s="474"/>
      <c r="C276" s="433"/>
      <c r="D276" s="433"/>
    </row>
    <row r="277" spans="1:4" thickBot="1" x14ac:dyDescent="0.3">
      <c r="A277" s="474"/>
      <c r="B277" s="474"/>
      <c r="C277" s="433"/>
      <c r="D277" s="433"/>
    </row>
    <row r="278" spans="1:4" thickBot="1" x14ac:dyDescent="0.3">
      <c r="A278" s="474"/>
      <c r="B278" s="474"/>
      <c r="C278" s="433"/>
      <c r="D278" s="433"/>
    </row>
    <row r="279" spans="1:4" thickBot="1" x14ac:dyDescent="0.3">
      <c r="A279" s="474"/>
      <c r="B279" s="474"/>
      <c r="C279" s="433"/>
      <c r="D279" s="433"/>
    </row>
    <row r="280" spans="1:4" thickBot="1" x14ac:dyDescent="0.3">
      <c r="A280" s="474"/>
      <c r="B280" s="474"/>
      <c r="C280" s="433"/>
      <c r="D280" s="433"/>
    </row>
    <row r="281" spans="1:4" thickBot="1" x14ac:dyDescent="0.3">
      <c r="A281" s="474"/>
      <c r="B281" s="474"/>
      <c r="C281" s="433"/>
      <c r="D281" s="433"/>
    </row>
    <row r="282" spans="1:4" thickBot="1" x14ac:dyDescent="0.3">
      <c r="A282" s="474"/>
      <c r="B282" s="474"/>
      <c r="C282" s="433"/>
      <c r="D282" s="433"/>
    </row>
    <row r="283" spans="1:4" thickBot="1" x14ac:dyDescent="0.3">
      <c r="A283" s="474"/>
      <c r="B283" s="474"/>
      <c r="C283" s="433"/>
      <c r="D283" s="433"/>
    </row>
    <row r="284" spans="1:4" thickBot="1" x14ac:dyDescent="0.3">
      <c r="A284" s="474"/>
      <c r="B284" s="474"/>
      <c r="C284" s="433"/>
      <c r="D284" s="433"/>
    </row>
    <row r="285" spans="1:4" thickBot="1" x14ac:dyDescent="0.3">
      <c r="A285" s="474"/>
      <c r="B285" s="474"/>
      <c r="C285" s="433"/>
      <c r="D285" s="433"/>
    </row>
    <row r="286" spans="1:4" thickBot="1" x14ac:dyDescent="0.3">
      <c r="A286" s="474"/>
      <c r="B286" s="474"/>
      <c r="C286" s="433"/>
      <c r="D286" s="433"/>
    </row>
    <row r="287" spans="1:4" thickBot="1" x14ac:dyDescent="0.3">
      <c r="A287" s="474"/>
      <c r="B287" s="474"/>
      <c r="C287" s="433"/>
      <c r="D287" s="433"/>
    </row>
    <row r="288" spans="1:4" thickBot="1" x14ac:dyDescent="0.3">
      <c r="A288" s="474"/>
      <c r="B288" s="474"/>
      <c r="C288" s="433"/>
      <c r="D288" s="433"/>
    </row>
    <row r="289" spans="1:4" thickBot="1" x14ac:dyDescent="0.3">
      <c r="A289" s="474"/>
      <c r="B289" s="474"/>
      <c r="C289" s="433"/>
      <c r="D289" s="433"/>
    </row>
    <row r="290" spans="1:4" thickBot="1" x14ac:dyDescent="0.3">
      <c r="A290" s="474"/>
      <c r="B290" s="474"/>
      <c r="C290" s="433"/>
      <c r="D290" s="433"/>
    </row>
    <row r="291" spans="1:4" thickBot="1" x14ac:dyDescent="0.3">
      <c r="A291" s="474"/>
      <c r="B291" s="474"/>
      <c r="C291" s="433"/>
      <c r="D291" s="433"/>
    </row>
    <row r="292" spans="1:4" thickBot="1" x14ac:dyDescent="0.3">
      <c r="A292" s="474"/>
      <c r="B292" s="474"/>
      <c r="C292" s="433"/>
      <c r="D292" s="433"/>
    </row>
    <row r="293" spans="1:4" thickBot="1" x14ac:dyDescent="0.3">
      <c r="A293" s="474"/>
      <c r="B293" s="474"/>
      <c r="C293" s="433"/>
      <c r="D293" s="433"/>
    </row>
    <row r="294" spans="1:4" thickBot="1" x14ac:dyDescent="0.3">
      <c r="A294" s="474"/>
      <c r="B294" s="474"/>
      <c r="C294" s="433"/>
      <c r="D294" s="433"/>
    </row>
    <row r="295" spans="1:4" thickBot="1" x14ac:dyDescent="0.3">
      <c r="A295" s="474"/>
      <c r="B295" s="474"/>
      <c r="C295" s="433"/>
      <c r="D295" s="433"/>
    </row>
    <row r="296" spans="1:4" thickBot="1" x14ac:dyDescent="0.3">
      <c r="A296" s="474"/>
      <c r="B296" s="474"/>
      <c r="C296" s="433"/>
      <c r="D296" s="433"/>
    </row>
    <row r="297" spans="1:4" thickBot="1" x14ac:dyDescent="0.3">
      <c r="A297" s="474"/>
      <c r="B297" s="474"/>
      <c r="C297" s="433"/>
      <c r="D297" s="433"/>
    </row>
    <row r="298" spans="1:4" thickBot="1" x14ac:dyDescent="0.3">
      <c r="A298" s="474"/>
      <c r="B298" s="474"/>
      <c r="C298" s="433"/>
      <c r="D298" s="433"/>
    </row>
    <row r="299" spans="1:4" thickBot="1" x14ac:dyDescent="0.3">
      <c r="A299" s="474"/>
      <c r="B299" s="474"/>
      <c r="C299" s="433"/>
      <c r="D299" s="433"/>
    </row>
    <row r="300" spans="1:4" thickBot="1" x14ac:dyDescent="0.3">
      <c r="A300" s="474"/>
      <c r="B300" s="474"/>
      <c r="C300" s="433"/>
      <c r="D300" s="433"/>
    </row>
    <row r="301" spans="1:4" thickBot="1" x14ac:dyDescent="0.3">
      <c r="A301" s="474"/>
      <c r="B301" s="474"/>
      <c r="C301" s="433"/>
      <c r="D301" s="433"/>
    </row>
    <row r="302" spans="1:4" thickBot="1" x14ac:dyDescent="0.3">
      <c r="A302" s="474"/>
      <c r="B302" s="474"/>
      <c r="C302" s="433"/>
      <c r="D302" s="433"/>
    </row>
    <row r="303" spans="1:4" thickBot="1" x14ac:dyDescent="0.3">
      <c r="A303" s="474"/>
      <c r="B303" s="474"/>
      <c r="C303" s="433"/>
      <c r="D303" s="433"/>
    </row>
    <row r="304" spans="1:4" thickBot="1" x14ac:dyDescent="0.3">
      <c r="A304" s="474"/>
      <c r="B304" s="474"/>
      <c r="C304" s="433"/>
      <c r="D304" s="433"/>
    </row>
    <row r="305" spans="1:4" thickBot="1" x14ac:dyDescent="0.3">
      <c r="A305" s="474"/>
      <c r="B305" s="474"/>
      <c r="C305" s="433"/>
      <c r="D305" s="433"/>
    </row>
    <row r="306" spans="1:4" thickBot="1" x14ac:dyDescent="0.3">
      <c r="A306" s="474"/>
      <c r="B306" s="474"/>
      <c r="C306" s="433"/>
      <c r="D306" s="433"/>
    </row>
    <row r="307" spans="1:4" thickBot="1" x14ac:dyDescent="0.3">
      <c r="A307" s="474"/>
      <c r="B307" s="474"/>
      <c r="C307" s="433"/>
      <c r="D307" s="433"/>
    </row>
    <row r="308" spans="1:4" thickBot="1" x14ac:dyDescent="0.3">
      <c r="A308" s="474"/>
      <c r="B308" s="474"/>
      <c r="C308" s="433"/>
      <c r="D308" s="433"/>
    </row>
    <row r="309" spans="1:4" thickBot="1" x14ac:dyDescent="0.3">
      <c r="A309" s="474"/>
      <c r="B309" s="474"/>
      <c r="C309" s="433"/>
      <c r="D309" s="433"/>
    </row>
    <row r="310" spans="1:4" thickBot="1" x14ac:dyDescent="0.3">
      <c r="A310" s="474"/>
      <c r="B310" s="474"/>
      <c r="C310" s="433"/>
      <c r="D310" s="433"/>
    </row>
    <row r="311" spans="1:4" thickBot="1" x14ac:dyDescent="0.3">
      <c r="A311" s="474"/>
      <c r="B311" s="474"/>
      <c r="C311" s="433"/>
      <c r="D311" s="433"/>
    </row>
    <row r="312" spans="1:4" thickBot="1" x14ac:dyDescent="0.3">
      <c r="A312" s="474"/>
      <c r="B312" s="474"/>
      <c r="C312" s="433"/>
      <c r="D312" s="433"/>
    </row>
    <row r="313" spans="1:4" thickBot="1" x14ac:dyDescent="0.3">
      <c r="A313" s="474"/>
      <c r="B313" s="474"/>
      <c r="C313" s="433"/>
      <c r="D313" s="433"/>
    </row>
    <row r="314" spans="1:4" thickBot="1" x14ac:dyDescent="0.3">
      <c r="A314" s="474"/>
      <c r="B314" s="474"/>
      <c r="C314" s="433"/>
      <c r="D314" s="433"/>
    </row>
    <row r="315" spans="1:4" thickBot="1" x14ac:dyDescent="0.3">
      <c r="A315" s="474"/>
      <c r="B315" s="474"/>
      <c r="C315" s="433"/>
      <c r="D315" s="433"/>
    </row>
    <row r="316" spans="1:4" thickBot="1" x14ac:dyDescent="0.3">
      <c r="A316" s="474"/>
      <c r="B316" s="474"/>
      <c r="C316" s="433"/>
      <c r="D316" s="433"/>
    </row>
    <row r="317" spans="1:4" thickBot="1" x14ac:dyDescent="0.3">
      <c r="A317" s="474"/>
      <c r="B317" s="474"/>
      <c r="C317" s="433"/>
      <c r="D317" s="433"/>
    </row>
    <row r="318" spans="1:4" thickBot="1" x14ac:dyDescent="0.3">
      <c r="A318" s="474"/>
      <c r="B318" s="474"/>
      <c r="C318" s="433"/>
      <c r="D318" s="433"/>
    </row>
    <row r="319" spans="1:4" thickBot="1" x14ac:dyDescent="0.3">
      <c r="A319" s="474"/>
      <c r="B319" s="474"/>
      <c r="C319" s="433"/>
      <c r="D319" s="433"/>
    </row>
    <row r="320" spans="1:4" thickBot="1" x14ac:dyDescent="0.3">
      <c r="A320" s="474"/>
      <c r="B320" s="474"/>
      <c r="C320" s="433"/>
      <c r="D320" s="433"/>
    </row>
    <row r="321" spans="1:4" thickBot="1" x14ac:dyDescent="0.3">
      <c r="A321" s="474"/>
      <c r="B321" s="474"/>
      <c r="C321" s="433"/>
      <c r="D321" s="433"/>
    </row>
    <row r="322" spans="1:4" thickBot="1" x14ac:dyDescent="0.3">
      <c r="A322" s="474"/>
      <c r="B322" s="474"/>
      <c r="C322" s="433"/>
      <c r="D322" s="433"/>
    </row>
    <row r="323" spans="1:4" thickBot="1" x14ac:dyDescent="0.3">
      <c r="A323" s="474"/>
      <c r="B323" s="474"/>
      <c r="C323" s="433"/>
      <c r="D323" s="433"/>
    </row>
    <row r="324" spans="1:4" thickBot="1" x14ac:dyDescent="0.3">
      <c r="A324" s="474"/>
      <c r="B324" s="474"/>
      <c r="C324" s="433"/>
      <c r="D324" s="433"/>
    </row>
    <row r="325" spans="1:4" thickBot="1" x14ac:dyDescent="0.3">
      <c r="A325" s="474"/>
      <c r="B325" s="474"/>
      <c r="C325" s="433"/>
      <c r="D325" s="433"/>
    </row>
    <row r="326" spans="1:4" thickBot="1" x14ac:dyDescent="0.3">
      <c r="A326" s="474"/>
      <c r="B326" s="474"/>
      <c r="C326" s="433"/>
      <c r="D326" s="433"/>
    </row>
    <row r="327" spans="1:4" thickBot="1" x14ac:dyDescent="0.3">
      <c r="A327" s="474"/>
      <c r="B327" s="474"/>
      <c r="C327" s="433"/>
      <c r="D327" s="433"/>
    </row>
    <row r="328" spans="1:4" thickBot="1" x14ac:dyDescent="0.3">
      <c r="A328" s="474"/>
      <c r="B328" s="474"/>
      <c r="C328" s="433"/>
      <c r="D328" s="433"/>
    </row>
    <row r="329" spans="1:4" thickBot="1" x14ac:dyDescent="0.3">
      <c r="A329" s="474"/>
      <c r="B329" s="474"/>
      <c r="C329" s="433"/>
      <c r="D329" s="433"/>
    </row>
    <row r="330" spans="1:4" thickBot="1" x14ac:dyDescent="0.3">
      <c r="A330" s="474"/>
      <c r="B330" s="474"/>
      <c r="C330" s="433"/>
      <c r="D330" s="433"/>
    </row>
    <row r="331" spans="1:4" thickBot="1" x14ac:dyDescent="0.3">
      <c r="A331" s="474"/>
      <c r="B331" s="474"/>
      <c r="C331" s="433"/>
      <c r="D331" s="433"/>
    </row>
    <row r="332" spans="1:4" thickBot="1" x14ac:dyDescent="0.3">
      <c r="A332" s="474"/>
      <c r="B332" s="474"/>
      <c r="C332" s="433"/>
      <c r="D332" s="433"/>
    </row>
    <row r="333" spans="1:4" thickBot="1" x14ac:dyDescent="0.3">
      <c r="A333" s="474"/>
      <c r="B333" s="474"/>
      <c r="C333" s="433"/>
      <c r="D333" s="433"/>
    </row>
    <row r="334" spans="1:4" thickBot="1" x14ac:dyDescent="0.3">
      <c r="A334" s="474"/>
      <c r="B334" s="474"/>
      <c r="C334" s="433"/>
      <c r="D334" s="433"/>
    </row>
    <row r="335" spans="1:4" thickBot="1" x14ac:dyDescent="0.3">
      <c r="A335" s="474"/>
      <c r="B335" s="474"/>
      <c r="C335" s="433"/>
      <c r="D335" s="433"/>
    </row>
    <row r="336" spans="1:4" thickBot="1" x14ac:dyDescent="0.3">
      <c r="A336" s="474"/>
      <c r="B336" s="474"/>
      <c r="C336" s="433"/>
      <c r="D336" s="433"/>
    </row>
    <row r="337" spans="1:4" thickBot="1" x14ac:dyDescent="0.3">
      <c r="A337" s="474"/>
      <c r="B337" s="474"/>
      <c r="C337" s="433"/>
      <c r="D337" s="433"/>
    </row>
    <row r="338" spans="1:4" thickBot="1" x14ac:dyDescent="0.3">
      <c r="A338" s="474"/>
      <c r="B338" s="474"/>
      <c r="C338" s="433"/>
      <c r="D338" s="433"/>
    </row>
    <row r="339" spans="1:4" thickBot="1" x14ac:dyDescent="0.3">
      <c r="A339" s="474"/>
      <c r="B339" s="474"/>
      <c r="C339" s="433"/>
      <c r="D339" s="433"/>
    </row>
    <row r="340" spans="1:4" thickBot="1" x14ac:dyDescent="0.3">
      <c r="A340" s="474"/>
      <c r="B340" s="474"/>
      <c r="C340" s="433"/>
      <c r="D340" s="433"/>
    </row>
    <row r="341" spans="1:4" thickBot="1" x14ac:dyDescent="0.3">
      <c r="A341" s="474"/>
      <c r="B341" s="474"/>
      <c r="C341" s="433"/>
      <c r="D341" s="433"/>
    </row>
    <row r="342" spans="1:4" thickBot="1" x14ac:dyDescent="0.3">
      <c r="A342" s="474"/>
      <c r="B342" s="474"/>
      <c r="C342" s="433"/>
      <c r="D342" s="433"/>
    </row>
    <row r="343" spans="1:4" thickBot="1" x14ac:dyDescent="0.3">
      <c r="A343" s="474"/>
      <c r="B343" s="474"/>
      <c r="C343" s="433"/>
      <c r="D343" s="433"/>
    </row>
    <row r="344" spans="1:4" thickBot="1" x14ac:dyDescent="0.3">
      <c r="A344" s="474"/>
      <c r="B344" s="474"/>
      <c r="C344" s="433"/>
      <c r="D344" s="433"/>
    </row>
    <row r="345" spans="1:4" thickBot="1" x14ac:dyDescent="0.3">
      <c r="A345" s="474"/>
      <c r="B345" s="474"/>
      <c r="C345" s="433"/>
      <c r="D345" s="433"/>
    </row>
    <row r="346" spans="1:4" thickBot="1" x14ac:dyDescent="0.3">
      <c r="A346" s="474"/>
      <c r="B346" s="474"/>
      <c r="C346" s="433"/>
      <c r="D346" s="433"/>
    </row>
    <row r="347" spans="1:4" thickBot="1" x14ac:dyDescent="0.3">
      <c r="A347" s="474"/>
      <c r="B347" s="474"/>
      <c r="C347" s="433"/>
      <c r="D347" s="433"/>
    </row>
    <row r="348" spans="1:4" thickBot="1" x14ac:dyDescent="0.3">
      <c r="A348" s="474"/>
      <c r="B348" s="474"/>
      <c r="C348" s="433"/>
      <c r="D348" s="433"/>
    </row>
    <row r="349" spans="1:4" thickBot="1" x14ac:dyDescent="0.3">
      <c r="A349" s="474"/>
      <c r="B349" s="474"/>
      <c r="C349" s="433"/>
      <c r="D349" s="433"/>
    </row>
    <row r="350" spans="1:4" thickBot="1" x14ac:dyDescent="0.3">
      <c r="A350" s="474"/>
      <c r="B350" s="474"/>
      <c r="C350" s="433"/>
      <c r="D350" s="433"/>
    </row>
    <row r="351" spans="1:4" thickBot="1" x14ac:dyDescent="0.3">
      <c r="A351" s="474"/>
      <c r="B351" s="474"/>
      <c r="C351" s="433"/>
      <c r="D351" s="433"/>
    </row>
    <row r="352" spans="1:4" thickBot="1" x14ac:dyDescent="0.3">
      <c r="A352" s="474"/>
      <c r="B352" s="474"/>
      <c r="C352" s="433"/>
      <c r="D352" s="433"/>
    </row>
    <row r="353" spans="1:4" thickBot="1" x14ac:dyDescent="0.3">
      <c r="A353" s="474"/>
      <c r="B353" s="474"/>
      <c r="C353" s="433"/>
      <c r="D353" s="433"/>
    </row>
    <row r="354" spans="1:4" thickBot="1" x14ac:dyDescent="0.3">
      <c r="A354" s="474"/>
      <c r="B354" s="474"/>
      <c r="C354" s="433"/>
      <c r="D354" s="433"/>
    </row>
    <row r="355" spans="1:4" thickBot="1" x14ac:dyDescent="0.3">
      <c r="A355" s="474"/>
      <c r="B355" s="474"/>
      <c r="C355" s="433"/>
      <c r="D355" s="433"/>
    </row>
    <row r="356" spans="1:4" thickBot="1" x14ac:dyDescent="0.3">
      <c r="A356" s="474"/>
      <c r="B356" s="474"/>
      <c r="C356" s="433"/>
      <c r="D356" s="433"/>
    </row>
    <row r="357" spans="1:4" thickBot="1" x14ac:dyDescent="0.3">
      <c r="A357" s="474"/>
      <c r="B357" s="474"/>
      <c r="C357" s="433"/>
      <c r="D357" s="433"/>
    </row>
    <row r="358" spans="1:4" thickBot="1" x14ac:dyDescent="0.3">
      <c r="A358" s="474"/>
      <c r="B358" s="474"/>
      <c r="C358" s="433"/>
      <c r="D358" s="433"/>
    </row>
    <row r="359" spans="1:4" thickBot="1" x14ac:dyDescent="0.3">
      <c r="A359" s="474"/>
      <c r="B359" s="474"/>
      <c r="C359" s="433"/>
      <c r="D359" s="433"/>
    </row>
    <row r="360" spans="1:4" thickBot="1" x14ac:dyDescent="0.3">
      <c r="A360" s="474"/>
      <c r="B360" s="474"/>
      <c r="C360" s="433"/>
      <c r="D360" s="433"/>
    </row>
    <row r="361" spans="1:4" thickBot="1" x14ac:dyDescent="0.3">
      <c r="A361" s="474"/>
      <c r="B361" s="474"/>
      <c r="C361" s="433"/>
      <c r="D361" s="433"/>
    </row>
    <row r="362" spans="1:4" thickBot="1" x14ac:dyDescent="0.3">
      <c r="A362" s="474"/>
      <c r="B362" s="474"/>
      <c r="C362" s="433"/>
      <c r="D362" s="433"/>
    </row>
    <row r="363" spans="1:4" thickBot="1" x14ac:dyDescent="0.3">
      <c r="A363" s="474"/>
      <c r="B363" s="474"/>
      <c r="C363" s="433"/>
      <c r="D363" s="433"/>
    </row>
    <row r="364" spans="1:4" thickBot="1" x14ac:dyDescent="0.3">
      <c r="A364" s="474"/>
      <c r="B364" s="474"/>
      <c r="C364" s="433"/>
      <c r="D364" s="433"/>
    </row>
    <row r="365" spans="1:4" thickBot="1" x14ac:dyDescent="0.3">
      <c r="A365" s="474"/>
      <c r="B365" s="474"/>
      <c r="C365" s="433"/>
      <c r="D365" s="433"/>
    </row>
    <row r="366" spans="1:4" thickBot="1" x14ac:dyDescent="0.3">
      <c r="A366" s="474"/>
      <c r="B366" s="474"/>
      <c r="C366" s="433"/>
      <c r="D366" s="433"/>
    </row>
    <row r="367" spans="1:4" thickBot="1" x14ac:dyDescent="0.3">
      <c r="A367" s="474"/>
      <c r="B367" s="474"/>
      <c r="C367" s="433"/>
      <c r="D367" s="433"/>
    </row>
    <row r="368" spans="1:4" thickBot="1" x14ac:dyDescent="0.3">
      <c r="A368" s="474"/>
      <c r="B368" s="474"/>
      <c r="C368" s="433"/>
      <c r="D368" s="433"/>
    </row>
    <row r="369" spans="1:4" thickBot="1" x14ac:dyDescent="0.3">
      <c r="A369" s="474"/>
      <c r="B369" s="474"/>
      <c r="C369" s="433"/>
      <c r="D369" s="433"/>
    </row>
    <row r="370" spans="1:4" thickBot="1" x14ac:dyDescent="0.3">
      <c r="A370" s="474"/>
      <c r="B370" s="474"/>
      <c r="C370" s="433"/>
      <c r="D370" s="433"/>
    </row>
    <row r="371" spans="1:4" thickBot="1" x14ac:dyDescent="0.3">
      <c r="A371" s="474"/>
      <c r="B371" s="474"/>
      <c r="C371" s="433"/>
      <c r="D371" s="433"/>
    </row>
    <row r="372" spans="1:4" thickBot="1" x14ac:dyDescent="0.3">
      <c r="A372" s="474"/>
      <c r="B372" s="474"/>
      <c r="C372" s="433"/>
      <c r="D372" s="433"/>
    </row>
    <row r="373" spans="1:4" thickBot="1" x14ac:dyDescent="0.3">
      <c r="A373" s="474"/>
      <c r="B373" s="474"/>
      <c r="C373" s="433"/>
      <c r="D373" s="433"/>
    </row>
    <row r="374" spans="1:4" thickBot="1" x14ac:dyDescent="0.3">
      <c r="A374" s="474"/>
      <c r="B374" s="474"/>
      <c r="C374" s="433"/>
      <c r="D374" s="433"/>
    </row>
    <row r="375" spans="1:4" thickBot="1" x14ac:dyDescent="0.3">
      <c r="A375" s="474"/>
      <c r="B375" s="474"/>
      <c r="C375" s="433"/>
      <c r="D375" s="433"/>
    </row>
    <row r="376" spans="1:4" thickBot="1" x14ac:dyDescent="0.3">
      <c r="A376" s="474"/>
      <c r="B376" s="474"/>
      <c r="C376" s="433"/>
      <c r="D376" s="433"/>
    </row>
    <row r="377" spans="1:4" thickBot="1" x14ac:dyDescent="0.3">
      <c r="A377" s="474"/>
      <c r="B377" s="474"/>
      <c r="C377" s="433"/>
      <c r="D377" s="433"/>
    </row>
    <row r="378" spans="1:4" thickBot="1" x14ac:dyDescent="0.3">
      <c r="A378" s="474"/>
      <c r="B378" s="474"/>
      <c r="C378" s="433"/>
      <c r="D378" s="433"/>
    </row>
    <row r="379" spans="1:4" thickBot="1" x14ac:dyDescent="0.3">
      <c r="A379" s="474"/>
      <c r="B379" s="474"/>
      <c r="C379" s="433"/>
      <c r="D379" s="433"/>
    </row>
    <row r="380" spans="1:4" thickBot="1" x14ac:dyDescent="0.3">
      <c r="A380" s="474"/>
      <c r="B380" s="474"/>
      <c r="C380" s="433"/>
      <c r="D380" s="433"/>
    </row>
    <row r="381" spans="1:4" thickBot="1" x14ac:dyDescent="0.3">
      <c r="A381" s="474"/>
      <c r="B381" s="474"/>
      <c r="C381" s="433"/>
      <c r="D381" s="433"/>
    </row>
    <row r="382" spans="1:4" thickBot="1" x14ac:dyDescent="0.3">
      <c r="A382" s="474"/>
      <c r="B382" s="474"/>
      <c r="C382" s="433"/>
      <c r="D382" s="433"/>
    </row>
    <row r="383" spans="1:4" thickBot="1" x14ac:dyDescent="0.3">
      <c r="A383" s="474"/>
      <c r="B383" s="474"/>
      <c r="C383" s="433"/>
      <c r="D383" s="433"/>
    </row>
    <row r="384" spans="1:4" thickBot="1" x14ac:dyDescent="0.3">
      <c r="A384" s="474"/>
      <c r="B384" s="474"/>
      <c r="C384" s="433"/>
      <c r="D384" s="433"/>
    </row>
    <row r="385" spans="1:4" thickBot="1" x14ac:dyDescent="0.3">
      <c r="A385" s="474"/>
      <c r="B385" s="474"/>
      <c r="C385" s="433"/>
      <c r="D385" s="433"/>
    </row>
    <row r="386" spans="1:4" thickBot="1" x14ac:dyDescent="0.3">
      <c r="A386" s="474"/>
      <c r="B386" s="474"/>
      <c r="C386" s="433"/>
      <c r="D386" s="433"/>
    </row>
    <row r="387" spans="1:4" thickBot="1" x14ac:dyDescent="0.3">
      <c r="A387" s="474"/>
      <c r="B387" s="474"/>
      <c r="C387" s="433"/>
      <c r="D387" s="433"/>
    </row>
    <row r="388" spans="1:4" thickBot="1" x14ac:dyDescent="0.3">
      <c r="A388" s="474"/>
      <c r="B388" s="474"/>
      <c r="C388" s="433"/>
      <c r="D388" s="433"/>
    </row>
    <row r="389" spans="1:4" thickBot="1" x14ac:dyDescent="0.3">
      <c r="A389" s="474"/>
      <c r="B389" s="474"/>
      <c r="C389" s="433"/>
      <c r="D389" s="433"/>
    </row>
    <row r="390" spans="1:4" thickBot="1" x14ac:dyDescent="0.3">
      <c r="A390" s="474"/>
      <c r="B390" s="474"/>
      <c r="C390" s="433"/>
      <c r="D390" s="433"/>
    </row>
    <row r="391" spans="1:4" thickBot="1" x14ac:dyDescent="0.3">
      <c r="A391" s="474"/>
      <c r="B391" s="474"/>
      <c r="C391" s="433"/>
      <c r="D391" s="433"/>
    </row>
    <row r="392" spans="1:4" thickBot="1" x14ac:dyDescent="0.3">
      <c r="A392" s="474"/>
      <c r="B392" s="474"/>
      <c r="C392" s="433"/>
      <c r="D392" s="433"/>
    </row>
    <row r="393" spans="1:4" thickBot="1" x14ac:dyDescent="0.3">
      <c r="A393" s="474"/>
      <c r="B393" s="474"/>
      <c r="C393" s="433"/>
      <c r="D393" s="433"/>
    </row>
    <row r="394" spans="1:4" thickBot="1" x14ac:dyDescent="0.3">
      <c r="A394" s="474"/>
      <c r="B394" s="474"/>
      <c r="C394" s="433"/>
      <c r="D394" s="433"/>
    </row>
    <row r="395" spans="1:4" thickBot="1" x14ac:dyDescent="0.3">
      <c r="A395" s="474"/>
      <c r="B395" s="474"/>
      <c r="C395" s="433"/>
      <c r="D395" s="433"/>
    </row>
    <row r="396" spans="1:4" thickBot="1" x14ac:dyDescent="0.3">
      <c r="A396" s="474"/>
      <c r="B396" s="474"/>
      <c r="C396" s="433"/>
      <c r="D396" s="433"/>
    </row>
    <row r="397" spans="1:4" thickBot="1" x14ac:dyDescent="0.3">
      <c r="A397" s="474"/>
      <c r="B397" s="474"/>
      <c r="C397" s="433"/>
      <c r="D397" s="433"/>
    </row>
    <row r="398" spans="1:4" thickBot="1" x14ac:dyDescent="0.3">
      <c r="A398" s="474"/>
      <c r="B398" s="474"/>
      <c r="C398" s="433"/>
      <c r="D398" s="433"/>
    </row>
    <row r="399" spans="1:4" thickBot="1" x14ac:dyDescent="0.3">
      <c r="A399" s="474"/>
      <c r="B399" s="474"/>
      <c r="C399" s="433"/>
      <c r="D399" s="433"/>
    </row>
    <row r="400" spans="1:4" thickBot="1" x14ac:dyDescent="0.3">
      <c r="A400" s="474"/>
      <c r="B400" s="474"/>
      <c r="C400" s="433"/>
      <c r="D400" s="433"/>
    </row>
    <row r="401" spans="1:4" thickBot="1" x14ac:dyDescent="0.3">
      <c r="A401" s="474"/>
      <c r="B401" s="474"/>
      <c r="C401" s="433"/>
      <c r="D401" s="433"/>
    </row>
    <row r="402" spans="1:4" thickBot="1" x14ac:dyDescent="0.3">
      <c r="A402" s="474"/>
      <c r="B402" s="474"/>
      <c r="C402" s="433"/>
      <c r="D402" s="433"/>
    </row>
    <row r="403" spans="1:4" thickBot="1" x14ac:dyDescent="0.3">
      <c r="A403" s="474"/>
      <c r="B403" s="474"/>
      <c r="C403" s="433"/>
      <c r="D403" s="433"/>
    </row>
    <row r="404" spans="1:4" thickBot="1" x14ac:dyDescent="0.3">
      <c r="A404" s="474"/>
      <c r="B404" s="474"/>
      <c r="C404" s="433"/>
      <c r="D404" s="433"/>
    </row>
    <row r="405" spans="1:4" thickBot="1" x14ac:dyDescent="0.3">
      <c r="A405" s="474"/>
      <c r="B405" s="474"/>
      <c r="C405" s="433"/>
      <c r="D405" s="433"/>
    </row>
    <row r="406" spans="1:4" thickBot="1" x14ac:dyDescent="0.3">
      <c r="A406" s="474"/>
      <c r="B406" s="474"/>
      <c r="C406" s="433"/>
      <c r="D406" s="433"/>
    </row>
    <row r="407" spans="1:4" thickBot="1" x14ac:dyDescent="0.3">
      <c r="A407" s="474"/>
      <c r="B407" s="474"/>
      <c r="C407" s="433"/>
      <c r="D407" s="433"/>
    </row>
    <row r="408" spans="1:4" thickBot="1" x14ac:dyDescent="0.3">
      <c r="A408" s="474"/>
      <c r="B408" s="474"/>
      <c r="C408" s="433"/>
      <c r="D408" s="433"/>
    </row>
    <row r="409" spans="1:4" thickBot="1" x14ac:dyDescent="0.3">
      <c r="A409" s="474"/>
      <c r="B409" s="474"/>
      <c r="C409" s="433"/>
      <c r="D409" s="433"/>
    </row>
    <row r="410" spans="1:4" thickBot="1" x14ac:dyDescent="0.3">
      <c r="A410" s="474"/>
      <c r="B410" s="474"/>
      <c r="C410" s="433"/>
      <c r="D410" s="433"/>
    </row>
    <row r="411" spans="1:4" thickBot="1" x14ac:dyDescent="0.3">
      <c r="A411" s="474"/>
      <c r="B411" s="474"/>
      <c r="C411" s="433"/>
      <c r="D411" s="433"/>
    </row>
    <row r="412" spans="1:4" thickBot="1" x14ac:dyDescent="0.3">
      <c r="A412" s="474"/>
      <c r="B412" s="474"/>
      <c r="C412" s="433"/>
      <c r="D412" s="433"/>
    </row>
    <row r="413" spans="1:4" thickBot="1" x14ac:dyDescent="0.3">
      <c r="A413" s="474"/>
      <c r="B413" s="474"/>
      <c r="C413" s="433"/>
      <c r="D413" s="433"/>
    </row>
    <row r="414" spans="1:4" thickBot="1" x14ac:dyDescent="0.3">
      <c r="A414" s="474"/>
      <c r="B414" s="474"/>
      <c r="C414" s="433"/>
      <c r="D414" s="433"/>
    </row>
    <row r="415" spans="1:4" thickBot="1" x14ac:dyDescent="0.3">
      <c r="A415" s="474"/>
      <c r="B415" s="474"/>
      <c r="C415" s="433"/>
      <c r="D415" s="433"/>
    </row>
    <row r="416" spans="1:4" thickBot="1" x14ac:dyDescent="0.3">
      <c r="A416" s="474"/>
      <c r="B416" s="474"/>
      <c r="C416" s="433"/>
      <c r="D416" s="433"/>
    </row>
    <row r="417" spans="1:4" thickBot="1" x14ac:dyDescent="0.3">
      <c r="A417" s="474"/>
      <c r="B417" s="474"/>
      <c r="C417" s="433"/>
      <c r="D417" s="433"/>
    </row>
    <row r="418" spans="1:4" thickBot="1" x14ac:dyDescent="0.3">
      <c r="A418" s="474"/>
      <c r="B418" s="474"/>
      <c r="C418" s="433"/>
      <c r="D418" s="433"/>
    </row>
    <row r="419" spans="1:4" thickBot="1" x14ac:dyDescent="0.3">
      <c r="A419" s="474"/>
      <c r="B419" s="474"/>
      <c r="C419" s="433"/>
      <c r="D419" s="433"/>
    </row>
    <row r="420" spans="1:4" thickBot="1" x14ac:dyDescent="0.3">
      <c r="A420" s="474"/>
      <c r="B420" s="474"/>
      <c r="C420" s="433"/>
      <c r="D420" s="433"/>
    </row>
    <row r="421" spans="1:4" thickBot="1" x14ac:dyDescent="0.3">
      <c r="A421" s="474"/>
      <c r="B421" s="474"/>
      <c r="C421" s="433"/>
      <c r="D421" s="433"/>
    </row>
    <row r="422" spans="1:4" thickBot="1" x14ac:dyDescent="0.3">
      <c r="A422" s="474"/>
      <c r="B422" s="474"/>
      <c r="C422" s="433"/>
      <c r="D422" s="433"/>
    </row>
    <row r="423" spans="1:4" thickBot="1" x14ac:dyDescent="0.3">
      <c r="A423" s="474"/>
      <c r="B423" s="474"/>
      <c r="C423" s="433"/>
      <c r="D423" s="433"/>
    </row>
    <row r="424" spans="1:4" thickBot="1" x14ac:dyDescent="0.3">
      <c r="A424" s="474"/>
      <c r="B424" s="474"/>
      <c r="C424" s="433"/>
      <c r="D424" s="433"/>
    </row>
    <row r="425" spans="1:4" thickBot="1" x14ac:dyDescent="0.3">
      <c r="A425" s="474"/>
      <c r="B425" s="474"/>
      <c r="C425" s="433"/>
      <c r="D425" s="433"/>
    </row>
    <row r="426" spans="1:4" thickBot="1" x14ac:dyDescent="0.3">
      <c r="A426" s="474"/>
      <c r="B426" s="474"/>
      <c r="C426" s="433"/>
      <c r="D426" s="433"/>
    </row>
    <row r="427" spans="1:4" thickBot="1" x14ac:dyDescent="0.3">
      <c r="A427" s="474"/>
      <c r="B427" s="474"/>
      <c r="C427" s="433"/>
      <c r="D427" s="433"/>
    </row>
    <row r="428" spans="1:4" thickBot="1" x14ac:dyDescent="0.3">
      <c r="A428" s="474"/>
      <c r="B428" s="474"/>
      <c r="C428" s="433"/>
      <c r="D428" s="433"/>
    </row>
    <row r="429" spans="1:4" thickBot="1" x14ac:dyDescent="0.3">
      <c r="A429" s="474"/>
      <c r="B429" s="474"/>
      <c r="C429" s="433"/>
      <c r="D429" s="433"/>
    </row>
    <row r="430" spans="1:4" thickBot="1" x14ac:dyDescent="0.3">
      <c r="A430" s="474"/>
      <c r="B430" s="474"/>
      <c r="C430" s="433"/>
      <c r="D430" s="433"/>
    </row>
    <row r="431" spans="1:4" thickBot="1" x14ac:dyDescent="0.3">
      <c r="A431" s="474"/>
      <c r="B431" s="474"/>
      <c r="C431" s="433"/>
      <c r="D431" s="433"/>
    </row>
    <row r="432" spans="1:4" thickBot="1" x14ac:dyDescent="0.3">
      <c r="A432" s="474"/>
      <c r="B432" s="474"/>
      <c r="C432" s="433"/>
      <c r="D432" s="433"/>
    </row>
    <row r="433" spans="1:4" thickBot="1" x14ac:dyDescent="0.3">
      <c r="A433" s="474"/>
      <c r="B433" s="474"/>
      <c r="C433" s="433"/>
      <c r="D433" s="433"/>
    </row>
    <row r="434" spans="1:4" thickBot="1" x14ac:dyDescent="0.3">
      <c r="A434" s="474"/>
      <c r="B434" s="474"/>
      <c r="C434" s="433"/>
      <c r="D434" s="433"/>
    </row>
    <row r="435" spans="1:4" thickBot="1" x14ac:dyDescent="0.3">
      <c r="A435" s="474"/>
      <c r="B435" s="474"/>
      <c r="C435" s="433"/>
      <c r="D435" s="433"/>
    </row>
    <row r="436" spans="1:4" thickBot="1" x14ac:dyDescent="0.3">
      <c r="A436" s="474"/>
      <c r="B436" s="474"/>
      <c r="C436" s="433"/>
      <c r="D436" s="433"/>
    </row>
    <row r="437" spans="1:4" thickBot="1" x14ac:dyDescent="0.3">
      <c r="A437" s="474"/>
      <c r="B437" s="474"/>
      <c r="C437" s="433"/>
      <c r="D437" s="433"/>
    </row>
    <row r="438" spans="1:4" thickBot="1" x14ac:dyDescent="0.3">
      <c r="A438" s="474"/>
      <c r="B438" s="474"/>
      <c r="C438" s="433"/>
      <c r="D438" s="433"/>
    </row>
    <row r="439" spans="1:4" thickBot="1" x14ac:dyDescent="0.3">
      <c r="A439" s="474"/>
      <c r="B439" s="474"/>
      <c r="C439" s="433"/>
      <c r="D439" s="433"/>
    </row>
    <row r="440" spans="1:4" thickBot="1" x14ac:dyDescent="0.3">
      <c r="A440" s="474"/>
      <c r="B440" s="474"/>
      <c r="C440" s="433"/>
      <c r="D440" s="433"/>
    </row>
    <row r="441" spans="1:4" thickBot="1" x14ac:dyDescent="0.3">
      <c r="A441" s="474"/>
      <c r="B441" s="474"/>
      <c r="C441" s="433"/>
      <c r="D441" s="433"/>
    </row>
    <row r="442" spans="1:4" thickBot="1" x14ac:dyDescent="0.3">
      <c r="A442" s="474"/>
      <c r="B442" s="474"/>
      <c r="C442" s="433"/>
      <c r="D442" s="433"/>
    </row>
    <row r="443" spans="1:4" thickBot="1" x14ac:dyDescent="0.3">
      <c r="A443" s="474"/>
      <c r="B443" s="474"/>
      <c r="C443" s="433"/>
      <c r="D443" s="433"/>
    </row>
    <row r="444" spans="1:4" thickBot="1" x14ac:dyDescent="0.3">
      <c r="A444" s="474"/>
      <c r="B444" s="474"/>
      <c r="C444" s="433"/>
      <c r="D444" s="433"/>
    </row>
    <row r="445" spans="1:4" thickBot="1" x14ac:dyDescent="0.3">
      <c r="A445" s="474"/>
      <c r="B445" s="474"/>
      <c r="C445" s="433"/>
      <c r="D445" s="433"/>
    </row>
    <row r="446" spans="1:4" thickBot="1" x14ac:dyDescent="0.3">
      <c r="A446" s="474"/>
      <c r="B446" s="474"/>
      <c r="C446" s="433"/>
      <c r="D446" s="433"/>
    </row>
    <row r="447" spans="1:4" thickBot="1" x14ac:dyDescent="0.3">
      <c r="A447" s="474"/>
      <c r="B447" s="474"/>
      <c r="C447" s="433"/>
      <c r="D447" s="433"/>
    </row>
    <row r="448" spans="1:4" thickBot="1" x14ac:dyDescent="0.3">
      <c r="A448" s="474"/>
      <c r="B448" s="474"/>
      <c r="C448" s="433"/>
      <c r="D448" s="433"/>
    </row>
    <row r="449" spans="1:4" thickBot="1" x14ac:dyDescent="0.3">
      <c r="A449" s="474"/>
      <c r="B449" s="474"/>
      <c r="C449" s="433"/>
      <c r="D449" s="433"/>
    </row>
    <row r="450" spans="1:4" thickBot="1" x14ac:dyDescent="0.3">
      <c r="A450" s="474"/>
      <c r="B450" s="474"/>
      <c r="C450" s="433"/>
      <c r="D450" s="433"/>
    </row>
    <row r="451" spans="1:4" thickBot="1" x14ac:dyDescent="0.3">
      <c r="A451" s="474"/>
      <c r="B451" s="474"/>
      <c r="C451" s="433"/>
      <c r="D451" s="433"/>
    </row>
    <row r="452" spans="1:4" thickBot="1" x14ac:dyDescent="0.3">
      <c r="A452" s="474"/>
      <c r="B452" s="474"/>
      <c r="C452" s="433"/>
      <c r="D452" s="433"/>
    </row>
    <row r="453" spans="1:4" thickBot="1" x14ac:dyDescent="0.3">
      <c r="A453" s="474"/>
      <c r="B453" s="474"/>
      <c r="C453" s="433"/>
      <c r="D453" s="433"/>
    </row>
    <row r="454" spans="1:4" thickBot="1" x14ac:dyDescent="0.3">
      <c r="A454" s="474"/>
      <c r="B454" s="474"/>
      <c r="C454" s="433"/>
      <c r="D454" s="433"/>
    </row>
    <row r="455" spans="1:4" thickBot="1" x14ac:dyDescent="0.3">
      <c r="A455" s="474"/>
      <c r="B455" s="474"/>
      <c r="C455" s="433"/>
      <c r="D455" s="433"/>
    </row>
    <row r="456" spans="1:4" thickBot="1" x14ac:dyDescent="0.3">
      <c r="A456" s="474"/>
      <c r="B456" s="474"/>
      <c r="C456" s="433"/>
      <c r="D456" s="433"/>
    </row>
    <row r="457" spans="1:4" thickBot="1" x14ac:dyDescent="0.3">
      <c r="A457" s="474"/>
      <c r="B457" s="474"/>
      <c r="C457" s="433"/>
      <c r="D457" s="433"/>
    </row>
    <row r="458" spans="1:4" thickBot="1" x14ac:dyDescent="0.3">
      <c r="A458" s="474"/>
      <c r="B458" s="474"/>
      <c r="C458" s="433"/>
      <c r="D458" s="433"/>
    </row>
    <row r="459" spans="1:4" thickBot="1" x14ac:dyDescent="0.3">
      <c r="A459" s="474"/>
      <c r="B459" s="474"/>
      <c r="C459" s="433"/>
      <c r="D459" s="433"/>
    </row>
    <row r="460" spans="1:4" thickBot="1" x14ac:dyDescent="0.3">
      <c r="A460" s="474"/>
      <c r="B460" s="474"/>
      <c r="C460" s="433"/>
      <c r="D460" s="433"/>
    </row>
    <row r="461" spans="1:4" thickBot="1" x14ac:dyDescent="0.3">
      <c r="A461" s="474"/>
      <c r="B461" s="474"/>
      <c r="C461" s="433"/>
      <c r="D461" s="433"/>
    </row>
    <row r="462" spans="1:4" thickBot="1" x14ac:dyDescent="0.3">
      <c r="A462" s="474"/>
      <c r="B462" s="474"/>
      <c r="C462" s="433"/>
      <c r="D462" s="433"/>
    </row>
    <row r="463" spans="1:4" thickBot="1" x14ac:dyDescent="0.3">
      <c r="A463" s="474"/>
      <c r="B463" s="474"/>
      <c r="C463" s="433"/>
      <c r="D463" s="433"/>
    </row>
    <row r="464" spans="1:4" thickBot="1" x14ac:dyDescent="0.3">
      <c r="A464" s="474"/>
      <c r="B464" s="474"/>
      <c r="C464" s="433"/>
      <c r="D464" s="433"/>
    </row>
    <row r="465" spans="1:4" thickBot="1" x14ac:dyDescent="0.3">
      <c r="A465" s="474"/>
      <c r="B465" s="474"/>
      <c r="C465" s="433"/>
      <c r="D465" s="433"/>
    </row>
    <row r="466" spans="1:4" thickBot="1" x14ac:dyDescent="0.3">
      <c r="A466" s="474"/>
      <c r="B466" s="474"/>
      <c r="C466" s="433"/>
      <c r="D466" s="433"/>
    </row>
    <row r="467" spans="1:4" thickBot="1" x14ac:dyDescent="0.3">
      <c r="A467" s="474"/>
      <c r="B467" s="474"/>
      <c r="C467" s="433"/>
      <c r="D467" s="433"/>
    </row>
    <row r="468" spans="1:4" thickBot="1" x14ac:dyDescent="0.3">
      <c r="A468" s="474"/>
      <c r="B468" s="474"/>
      <c r="C468" s="433"/>
      <c r="D468" s="433"/>
    </row>
    <row r="469" spans="1:4" thickBot="1" x14ac:dyDescent="0.3">
      <c r="A469" s="474"/>
      <c r="B469" s="474"/>
      <c r="C469" s="433"/>
      <c r="D469" s="433"/>
    </row>
    <row r="470" spans="1:4" thickBot="1" x14ac:dyDescent="0.3">
      <c r="A470" s="474"/>
      <c r="B470" s="474"/>
      <c r="C470" s="433"/>
      <c r="D470" s="433"/>
    </row>
    <row r="471" spans="1:4" thickBot="1" x14ac:dyDescent="0.3">
      <c r="A471" s="474"/>
      <c r="B471" s="474"/>
      <c r="C471" s="433"/>
      <c r="D471" s="433"/>
    </row>
    <row r="472" spans="1:4" thickBot="1" x14ac:dyDescent="0.3">
      <c r="A472" s="474"/>
      <c r="B472" s="474"/>
      <c r="C472" s="433"/>
      <c r="D472" s="433"/>
    </row>
    <row r="473" spans="1:4" thickBot="1" x14ac:dyDescent="0.3">
      <c r="A473" s="474"/>
      <c r="B473" s="474"/>
      <c r="C473" s="433"/>
      <c r="D473" s="433"/>
    </row>
    <row r="474" spans="1:4" thickBot="1" x14ac:dyDescent="0.3">
      <c r="A474" s="474"/>
      <c r="B474" s="474"/>
      <c r="C474" s="433"/>
      <c r="D474" s="433"/>
    </row>
    <row r="475" spans="1:4" thickBot="1" x14ac:dyDescent="0.3">
      <c r="A475" s="474"/>
      <c r="B475" s="474"/>
      <c r="C475" s="433"/>
      <c r="D475" s="433"/>
    </row>
    <row r="476" spans="1:4" thickBot="1" x14ac:dyDescent="0.3">
      <c r="A476" s="474"/>
      <c r="B476" s="474"/>
      <c r="C476" s="433"/>
      <c r="D476" s="433"/>
    </row>
    <row r="477" spans="1:4" thickBot="1" x14ac:dyDescent="0.3">
      <c r="A477" s="474"/>
      <c r="B477" s="474"/>
      <c r="C477" s="433"/>
      <c r="D477" s="433"/>
    </row>
    <row r="478" spans="1:4" thickBot="1" x14ac:dyDescent="0.3">
      <c r="A478" s="474"/>
      <c r="B478" s="474"/>
      <c r="C478" s="433"/>
      <c r="D478" s="433"/>
    </row>
    <row r="479" spans="1:4" thickBot="1" x14ac:dyDescent="0.3">
      <c r="A479" s="474"/>
      <c r="B479" s="474"/>
      <c r="C479" s="433"/>
      <c r="D479" s="433"/>
    </row>
    <row r="480" spans="1:4" thickBot="1" x14ac:dyDescent="0.3">
      <c r="A480" s="474"/>
      <c r="B480" s="474"/>
      <c r="C480" s="433"/>
      <c r="D480" s="433"/>
    </row>
    <row r="481" spans="1:4" thickBot="1" x14ac:dyDescent="0.3">
      <c r="A481" s="474"/>
      <c r="B481" s="474"/>
      <c r="C481" s="433"/>
      <c r="D481" s="433"/>
    </row>
    <row r="482" spans="1:4" thickBot="1" x14ac:dyDescent="0.3">
      <c r="A482" s="474"/>
      <c r="B482" s="474"/>
      <c r="C482" s="433"/>
      <c r="D482" s="433"/>
    </row>
    <row r="483" spans="1:4" thickBot="1" x14ac:dyDescent="0.3">
      <c r="A483" s="474"/>
      <c r="B483" s="474"/>
      <c r="C483" s="433"/>
      <c r="D483" s="433"/>
    </row>
    <row r="484" spans="1:4" thickBot="1" x14ac:dyDescent="0.3">
      <c r="A484" s="474"/>
      <c r="B484" s="474"/>
      <c r="C484" s="433"/>
      <c r="D484" s="433"/>
    </row>
    <row r="485" spans="1:4" thickBot="1" x14ac:dyDescent="0.3">
      <c r="A485" s="474"/>
      <c r="B485" s="474"/>
      <c r="C485" s="433"/>
      <c r="D485" s="433"/>
    </row>
    <row r="486" spans="1:4" thickBot="1" x14ac:dyDescent="0.3">
      <c r="A486" s="474"/>
      <c r="B486" s="474"/>
      <c r="C486" s="433"/>
      <c r="D486" s="433"/>
    </row>
    <row r="487" spans="1:4" thickBot="1" x14ac:dyDescent="0.3">
      <c r="A487" s="474"/>
      <c r="B487" s="474"/>
      <c r="C487" s="433"/>
      <c r="D487" s="433"/>
    </row>
    <row r="488" spans="1:4" thickBot="1" x14ac:dyDescent="0.3">
      <c r="A488" s="474"/>
      <c r="B488" s="474"/>
      <c r="C488" s="433"/>
      <c r="D488" s="433"/>
    </row>
    <row r="489" spans="1:4" thickBot="1" x14ac:dyDescent="0.3">
      <c r="A489" s="474"/>
      <c r="B489" s="474"/>
      <c r="C489" s="433"/>
      <c r="D489" s="433"/>
    </row>
    <row r="490" spans="1:4" thickBot="1" x14ac:dyDescent="0.3">
      <c r="A490" s="474"/>
      <c r="B490" s="474"/>
      <c r="C490" s="433"/>
      <c r="D490" s="433"/>
    </row>
    <row r="491" spans="1:4" thickBot="1" x14ac:dyDescent="0.3">
      <c r="A491" s="474"/>
      <c r="B491" s="474"/>
      <c r="C491" s="433"/>
      <c r="D491" s="433"/>
    </row>
    <row r="492" spans="1:4" thickBot="1" x14ac:dyDescent="0.3">
      <c r="A492" s="474"/>
      <c r="B492" s="474"/>
      <c r="C492" s="433"/>
      <c r="D492" s="433"/>
    </row>
    <row r="493" spans="1:4" thickBot="1" x14ac:dyDescent="0.3">
      <c r="A493" s="474"/>
      <c r="B493" s="474"/>
      <c r="C493" s="433"/>
      <c r="D493" s="433"/>
    </row>
    <row r="494" spans="1:4" thickBot="1" x14ac:dyDescent="0.3">
      <c r="A494" s="474"/>
      <c r="B494" s="474"/>
      <c r="C494" s="433"/>
      <c r="D494" s="433"/>
    </row>
    <row r="495" spans="1:4" thickBot="1" x14ac:dyDescent="0.3">
      <c r="A495" s="474"/>
      <c r="B495" s="474"/>
      <c r="C495" s="433"/>
      <c r="D495" s="433"/>
    </row>
    <row r="496" spans="1:4" thickBot="1" x14ac:dyDescent="0.3">
      <c r="A496" s="474"/>
      <c r="B496" s="474"/>
      <c r="C496" s="433"/>
      <c r="D496" s="433"/>
    </row>
    <row r="497" spans="1:4" thickBot="1" x14ac:dyDescent="0.3">
      <c r="A497" s="474"/>
      <c r="B497" s="474"/>
      <c r="C497" s="433"/>
      <c r="D497" s="433"/>
    </row>
    <row r="498" spans="1:4" thickBot="1" x14ac:dyDescent="0.3">
      <c r="A498" s="474"/>
      <c r="B498" s="474"/>
      <c r="C498" s="433"/>
      <c r="D498" s="433"/>
    </row>
    <row r="499" spans="1:4" thickBot="1" x14ac:dyDescent="0.3">
      <c r="A499" s="474"/>
      <c r="B499" s="474"/>
      <c r="C499" s="433"/>
      <c r="D499" s="433"/>
    </row>
    <row r="500" spans="1:4" thickBot="1" x14ac:dyDescent="0.3">
      <c r="A500" s="474"/>
      <c r="B500" s="474"/>
      <c r="C500" s="433"/>
      <c r="D500" s="433"/>
    </row>
    <row r="501" spans="1:4" thickBot="1" x14ac:dyDescent="0.3">
      <c r="A501" s="474"/>
      <c r="B501" s="474"/>
      <c r="C501" s="433"/>
      <c r="D501" s="433"/>
    </row>
    <row r="502" spans="1:4" thickBot="1" x14ac:dyDescent="0.3">
      <c r="A502" s="474"/>
      <c r="B502" s="474"/>
      <c r="C502" s="433"/>
      <c r="D502" s="433"/>
    </row>
    <row r="503" spans="1:4" thickBot="1" x14ac:dyDescent="0.3">
      <c r="A503" s="474"/>
      <c r="B503" s="474"/>
      <c r="C503" s="433"/>
      <c r="D503" s="433"/>
    </row>
    <row r="504" spans="1:4" thickBot="1" x14ac:dyDescent="0.3">
      <c r="A504" s="474"/>
      <c r="B504" s="474"/>
      <c r="C504" s="433"/>
      <c r="D504" s="433"/>
    </row>
    <row r="505" spans="1:4" thickBot="1" x14ac:dyDescent="0.3">
      <c r="A505" s="474"/>
      <c r="B505" s="474"/>
      <c r="C505" s="433"/>
      <c r="D505" s="433"/>
    </row>
    <row r="506" spans="1:4" thickBot="1" x14ac:dyDescent="0.3">
      <c r="A506" s="474"/>
      <c r="B506" s="474"/>
      <c r="C506" s="433"/>
      <c r="D506" s="433"/>
    </row>
    <row r="507" spans="1:4" thickBot="1" x14ac:dyDescent="0.3">
      <c r="A507" s="474"/>
      <c r="B507" s="474"/>
      <c r="C507" s="433"/>
      <c r="D507" s="433"/>
    </row>
    <row r="508" spans="1:4" thickBot="1" x14ac:dyDescent="0.3">
      <c r="A508" s="474"/>
      <c r="B508" s="474"/>
      <c r="C508" s="433"/>
      <c r="D508" s="433"/>
    </row>
    <row r="509" spans="1:4" thickBot="1" x14ac:dyDescent="0.3">
      <c r="A509" s="474"/>
      <c r="B509" s="474"/>
      <c r="C509" s="433"/>
      <c r="D509" s="433"/>
    </row>
    <row r="510" spans="1:4" thickBot="1" x14ac:dyDescent="0.3">
      <c r="A510" s="474"/>
      <c r="B510" s="474"/>
      <c r="C510" s="433"/>
      <c r="D510" s="433"/>
    </row>
    <row r="511" spans="1:4" thickBot="1" x14ac:dyDescent="0.3">
      <c r="A511" s="474"/>
      <c r="B511" s="474"/>
      <c r="C511" s="433"/>
      <c r="D511" s="433"/>
    </row>
    <row r="512" spans="1:4" thickBot="1" x14ac:dyDescent="0.3">
      <c r="A512" s="474"/>
      <c r="B512" s="474"/>
      <c r="C512" s="433"/>
      <c r="D512" s="433"/>
    </row>
    <row r="513" spans="1:4" thickBot="1" x14ac:dyDescent="0.3">
      <c r="A513" s="474"/>
      <c r="B513" s="474"/>
      <c r="C513" s="433"/>
      <c r="D513" s="433"/>
    </row>
    <row r="514" spans="1:4" thickBot="1" x14ac:dyDescent="0.3">
      <c r="A514" s="474"/>
      <c r="B514" s="474"/>
      <c r="C514" s="433"/>
      <c r="D514" s="433"/>
    </row>
    <row r="515" spans="1:4" thickBot="1" x14ac:dyDescent="0.3">
      <c r="A515" s="474"/>
      <c r="B515" s="474"/>
      <c r="C515" s="433"/>
      <c r="D515" s="433"/>
    </row>
    <row r="516" spans="1:4" thickBot="1" x14ac:dyDescent="0.3">
      <c r="A516" s="474"/>
      <c r="B516" s="474"/>
      <c r="C516" s="433"/>
      <c r="D516" s="433"/>
    </row>
    <row r="517" spans="1:4" thickBot="1" x14ac:dyDescent="0.3">
      <c r="A517" s="474"/>
      <c r="B517" s="474"/>
      <c r="C517" s="433"/>
      <c r="D517" s="433"/>
    </row>
    <row r="518" spans="1:4" thickBot="1" x14ac:dyDescent="0.3">
      <c r="A518" s="474"/>
      <c r="B518" s="474"/>
      <c r="C518" s="433"/>
      <c r="D518" s="433"/>
    </row>
    <row r="519" spans="1:4" thickBot="1" x14ac:dyDescent="0.3">
      <c r="A519" s="474"/>
      <c r="B519" s="474"/>
      <c r="C519" s="433"/>
      <c r="D519" s="433"/>
    </row>
    <row r="520" spans="1:4" thickBot="1" x14ac:dyDescent="0.3">
      <c r="A520" s="474"/>
      <c r="B520" s="474"/>
      <c r="C520" s="433"/>
      <c r="D520" s="433"/>
    </row>
    <row r="521" spans="1:4" thickBot="1" x14ac:dyDescent="0.3">
      <c r="A521" s="474"/>
      <c r="B521" s="474"/>
      <c r="C521" s="433"/>
      <c r="D521" s="433"/>
    </row>
    <row r="522" spans="1:4" thickBot="1" x14ac:dyDescent="0.3">
      <c r="A522" s="474"/>
      <c r="B522" s="474"/>
      <c r="C522" s="433"/>
      <c r="D522" s="433"/>
    </row>
    <row r="523" spans="1:4" thickBot="1" x14ac:dyDescent="0.3">
      <c r="A523" s="474"/>
      <c r="B523" s="474"/>
      <c r="C523" s="433"/>
      <c r="D523" s="433"/>
    </row>
    <row r="524" spans="1:4" thickBot="1" x14ac:dyDescent="0.3">
      <c r="A524" s="474"/>
      <c r="B524" s="474"/>
      <c r="C524" s="433"/>
      <c r="D524" s="433"/>
    </row>
    <row r="525" spans="1:4" thickBot="1" x14ac:dyDescent="0.3">
      <c r="A525" s="474"/>
      <c r="B525" s="474"/>
      <c r="C525" s="433"/>
      <c r="D525" s="433"/>
    </row>
    <row r="526" spans="1:4" thickBot="1" x14ac:dyDescent="0.3">
      <c r="A526" s="474"/>
      <c r="B526" s="474"/>
      <c r="C526" s="433"/>
      <c r="D526" s="433"/>
    </row>
    <row r="527" spans="1:4" thickBot="1" x14ac:dyDescent="0.3">
      <c r="A527" s="474"/>
      <c r="B527" s="474"/>
      <c r="C527" s="433"/>
      <c r="D527" s="433"/>
    </row>
    <row r="528" spans="1:4" thickBot="1" x14ac:dyDescent="0.3">
      <c r="A528" s="474"/>
      <c r="B528" s="474"/>
      <c r="C528" s="433"/>
      <c r="D528" s="433"/>
    </row>
    <row r="529" spans="1:4" thickBot="1" x14ac:dyDescent="0.3">
      <c r="A529" s="474"/>
      <c r="B529" s="474"/>
      <c r="C529" s="433"/>
      <c r="D529" s="433"/>
    </row>
    <row r="530" spans="1:4" thickBot="1" x14ac:dyDescent="0.3">
      <c r="A530" s="474"/>
      <c r="B530" s="474"/>
      <c r="C530" s="433"/>
      <c r="D530" s="433"/>
    </row>
    <row r="531" spans="1:4" thickBot="1" x14ac:dyDescent="0.3">
      <c r="A531" s="474"/>
      <c r="B531" s="474"/>
      <c r="C531" s="433"/>
      <c r="D531" s="433"/>
    </row>
    <row r="532" spans="1:4" thickBot="1" x14ac:dyDescent="0.3">
      <c r="A532" s="474"/>
      <c r="B532" s="474"/>
      <c r="C532" s="433"/>
      <c r="D532" s="433"/>
    </row>
    <row r="533" spans="1:4" thickBot="1" x14ac:dyDescent="0.3">
      <c r="A533" s="474"/>
      <c r="B533" s="474"/>
      <c r="C533" s="433"/>
      <c r="D533" s="433"/>
    </row>
    <row r="534" spans="1:4" thickBot="1" x14ac:dyDescent="0.3">
      <c r="A534" s="474"/>
      <c r="B534" s="474"/>
      <c r="C534" s="433"/>
      <c r="D534" s="433"/>
    </row>
    <row r="535" spans="1:4" thickBot="1" x14ac:dyDescent="0.3">
      <c r="A535" s="474"/>
      <c r="B535" s="474"/>
      <c r="C535" s="433"/>
      <c r="D535" s="433"/>
    </row>
    <row r="536" spans="1:4" thickBot="1" x14ac:dyDescent="0.3">
      <c r="A536" s="474"/>
      <c r="B536" s="474"/>
      <c r="C536" s="433"/>
      <c r="D536" s="433"/>
    </row>
    <row r="537" spans="1:4" thickBot="1" x14ac:dyDescent="0.3">
      <c r="A537" s="474"/>
      <c r="B537" s="474"/>
      <c r="C537" s="433"/>
      <c r="D537" s="433"/>
    </row>
    <row r="538" spans="1:4" thickBot="1" x14ac:dyDescent="0.3">
      <c r="A538" s="474"/>
      <c r="B538" s="474"/>
      <c r="C538" s="433"/>
      <c r="D538" s="433"/>
    </row>
    <row r="539" spans="1:4" thickBot="1" x14ac:dyDescent="0.3">
      <c r="A539" s="474"/>
      <c r="B539" s="474"/>
      <c r="C539" s="433"/>
      <c r="D539" s="433"/>
    </row>
    <row r="540" spans="1:4" thickBot="1" x14ac:dyDescent="0.3">
      <c r="A540" s="474"/>
      <c r="B540" s="474"/>
      <c r="C540" s="433"/>
      <c r="D540" s="433"/>
    </row>
    <row r="541" spans="1:4" thickBot="1" x14ac:dyDescent="0.3">
      <c r="A541" s="474"/>
      <c r="B541" s="474"/>
      <c r="C541" s="433"/>
      <c r="D541" s="433"/>
    </row>
    <row r="542" spans="1:4" thickBot="1" x14ac:dyDescent="0.3">
      <c r="A542" s="474"/>
      <c r="B542" s="474"/>
      <c r="C542" s="433"/>
      <c r="D542" s="433"/>
    </row>
    <row r="543" spans="1:4" thickBot="1" x14ac:dyDescent="0.3">
      <c r="A543" s="474"/>
      <c r="B543" s="474"/>
      <c r="C543" s="433"/>
      <c r="D543" s="433"/>
    </row>
    <row r="544" spans="1:4" thickBot="1" x14ac:dyDescent="0.3">
      <c r="A544" s="474"/>
      <c r="B544" s="474"/>
      <c r="C544" s="433"/>
      <c r="D544" s="433"/>
    </row>
    <row r="545" spans="1:4" thickBot="1" x14ac:dyDescent="0.3">
      <c r="A545" s="474"/>
      <c r="B545" s="474"/>
      <c r="C545" s="433"/>
      <c r="D545" s="433"/>
    </row>
    <row r="546" spans="1:4" thickBot="1" x14ac:dyDescent="0.3">
      <c r="A546" s="474"/>
      <c r="B546" s="474"/>
      <c r="C546" s="433"/>
      <c r="D546" s="433"/>
    </row>
    <row r="547" spans="1:4" thickBot="1" x14ac:dyDescent="0.3">
      <c r="A547" s="474"/>
      <c r="B547" s="474"/>
      <c r="C547" s="433"/>
      <c r="D547" s="433"/>
    </row>
    <row r="548" spans="1:4" thickBot="1" x14ac:dyDescent="0.3">
      <c r="A548" s="474"/>
      <c r="B548" s="474"/>
      <c r="C548" s="433"/>
      <c r="D548" s="433"/>
    </row>
    <row r="549" spans="1:4" thickBot="1" x14ac:dyDescent="0.3">
      <c r="A549" s="474"/>
      <c r="B549" s="474"/>
      <c r="C549" s="433"/>
      <c r="D549" s="433"/>
    </row>
    <row r="550" spans="1:4" thickBot="1" x14ac:dyDescent="0.3">
      <c r="A550" s="474"/>
      <c r="B550" s="474"/>
      <c r="C550" s="433"/>
      <c r="D550" s="433"/>
    </row>
    <row r="551" spans="1:4" thickBot="1" x14ac:dyDescent="0.3">
      <c r="A551" s="474"/>
      <c r="B551" s="474"/>
      <c r="C551" s="433"/>
      <c r="D551" s="433"/>
    </row>
    <row r="552" spans="1:4" thickBot="1" x14ac:dyDescent="0.3">
      <c r="A552" s="474"/>
      <c r="B552" s="474"/>
      <c r="C552" s="433"/>
      <c r="D552" s="433"/>
    </row>
    <row r="553" spans="1:4" thickBot="1" x14ac:dyDescent="0.3">
      <c r="A553" s="474"/>
      <c r="B553" s="474"/>
      <c r="C553" s="433"/>
      <c r="D553" s="433"/>
    </row>
    <row r="554" spans="1:4" thickBot="1" x14ac:dyDescent="0.3">
      <c r="A554" s="474"/>
      <c r="B554" s="474"/>
      <c r="C554" s="433"/>
      <c r="D554" s="433"/>
    </row>
    <row r="555" spans="1:4" thickBot="1" x14ac:dyDescent="0.3">
      <c r="A555" s="474"/>
      <c r="B555" s="474"/>
      <c r="C555" s="433"/>
      <c r="D555" s="433"/>
    </row>
    <row r="556" spans="1:4" thickBot="1" x14ac:dyDescent="0.3">
      <c r="A556" s="474"/>
      <c r="B556" s="474"/>
      <c r="C556" s="433"/>
      <c r="D556" s="433"/>
    </row>
    <row r="557" spans="1:4" thickBot="1" x14ac:dyDescent="0.3">
      <c r="A557" s="474"/>
      <c r="B557" s="474"/>
      <c r="C557" s="433"/>
      <c r="D557" s="433"/>
    </row>
    <row r="558" spans="1:4" thickBot="1" x14ac:dyDescent="0.3">
      <c r="A558" s="474"/>
      <c r="B558" s="474"/>
      <c r="C558" s="433"/>
      <c r="D558" s="433"/>
    </row>
    <row r="559" spans="1:4" thickBot="1" x14ac:dyDescent="0.3">
      <c r="A559" s="474"/>
      <c r="B559" s="474"/>
      <c r="C559" s="433"/>
      <c r="D559" s="433"/>
    </row>
    <row r="560" spans="1:4" thickBot="1" x14ac:dyDescent="0.3">
      <c r="A560" s="474"/>
      <c r="B560" s="474"/>
      <c r="C560" s="433"/>
      <c r="D560" s="433"/>
    </row>
    <row r="561" spans="1:4" thickBot="1" x14ac:dyDescent="0.3">
      <c r="A561" s="474"/>
      <c r="B561" s="474"/>
      <c r="C561" s="433"/>
      <c r="D561" s="433"/>
    </row>
    <row r="562" spans="1:4" thickBot="1" x14ac:dyDescent="0.3">
      <c r="A562" s="474"/>
      <c r="B562" s="474"/>
      <c r="C562" s="433"/>
      <c r="D562" s="433"/>
    </row>
    <row r="563" spans="1:4" thickBot="1" x14ac:dyDescent="0.3">
      <c r="A563" s="474"/>
      <c r="B563" s="474"/>
      <c r="C563" s="433"/>
      <c r="D563" s="433"/>
    </row>
    <row r="564" spans="1:4" thickBot="1" x14ac:dyDescent="0.3">
      <c r="A564" s="474"/>
      <c r="B564" s="474"/>
      <c r="C564" s="433"/>
      <c r="D564" s="433"/>
    </row>
    <row r="565" spans="1:4" thickBot="1" x14ac:dyDescent="0.3">
      <c r="A565" s="474"/>
      <c r="B565" s="474"/>
      <c r="C565" s="433"/>
      <c r="D565" s="433"/>
    </row>
    <row r="566" spans="1:4" thickBot="1" x14ac:dyDescent="0.3">
      <c r="A566" s="474"/>
      <c r="B566" s="474"/>
      <c r="C566" s="433"/>
      <c r="D566" s="433"/>
    </row>
    <row r="567" spans="1:4" thickBot="1" x14ac:dyDescent="0.3">
      <c r="A567" s="474"/>
      <c r="B567" s="474"/>
      <c r="C567" s="433"/>
      <c r="D567" s="433"/>
    </row>
    <row r="568" spans="1:4" thickBot="1" x14ac:dyDescent="0.3">
      <c r="A568" s="474"/>
      <c r="B568" s="474"/>
      <c r="C568" s="433"/>
      <c r="D568" s="433"/>
    </row>
    <row r="569" spans="1:4" thickBot="1" x14ac:dyDescent="0.3">
      <c r="A569" s="474"/>
      <c r="B569" s="474"/>
      <c r="C569" s="433"/>
      <c r="D569" s="433"/>
    </row>
    <row r="570" spans="1:4" thickBot="1" x14ac:dyDescent="0.3">
      <c r="A570" s="474"/>
      <c r="B570" s="474"/>
      <c r="C570" s="433"/>
      <c r="D570" s="433"/>
    </row>
    <row r="571" spans="1:4" thickBot="1" x14ac:dyDescent="0.3">
      <c r="A571" s="474"/>
      <c r="B571" s="474"/>
      <c r="C571" s="433"/>
      <c r="D571" s="433"/>
    </row>
    <row r="572" spans="1:4" thickBot="1" x14ac:dyDescent="0.3">
      <c r="A572" s="474"/>
      <c r="B572" s="474"/>
      <c r="C572" s="433"/>
      <c r="D572" s="433"/>
    </row>
    <row r="573" spans="1:4" thickBot="1" x14ac:dyDescent="0.3">
      <c r="A573" s="474"/>
      <c r="B573" s="474"/>
      <c r="C573" s="433"/>
      <c r="D573" s="433"/>
    </row>
    <row r="574" spans="1:4" thickBot="1" x14ac:dyDescent="0.3">
      <c r="A574" s="474"/>
      <c r="B574" s="474"/>
      <c r="C574" s="433"/>
      <c r="D574" s="433"/>
    </row>
    <row r="575" spans="1:4" thickBot="1" x14ac:dyDescent="0.3">
      <c r="A575" s="474"/>
      <c r="B575" s="474"/>
      <c r="C575" s="433"/>
      <c r="D575" s="433"/>
    </row>
    <row r="576" spans="1:4" thickBot="1" x14ac:dyDescent="0.3">
      <c r="A576" s="474"/>
      <c r="B576" s="474"/>
      <c r="C576" s="433"/>
      <c r="D576" s="433"/>
    </row>
    <row r="577" spans="1:4" thickBot="1" x14ac:dyDescent="0.3">
      <c r="A577" s="474"/>
      <c r="B577" s="474"/>
      <c r="C577" s="433"/>
      <c r="D577" s="433"/>
    </row>
    <row r="578" spans="1:4" thickBot="1" x14ac:dyDescent="0.3">
      <c r="A578" s="474"/>
      <c r="B578" s="474"/>
      <c r="C578" s="433"/>
      <c r="D578" s="433"/>
    </row>
    <row r="579" spans="1:4" thickBot="1" x14ac:dyDescent="0.3">
      <c r="A579" s="474"/>
      <c r="B579" s="474"/>
      <c r="C579" s="433"/>
      <c r="D579" s="433"/>
    </row>
    <row r="580" spans="1:4" thickBot="1" x14ac:dyDescent="0.3">
      <c r="A580" s="474"/>
      <c r="B580" s="474"/>
      <c r="C580" s="433"/>
      <c r="D580" s="433"/>
    </row>
    <row r="581" spans="1:4" thickBot="1" x14ac:dyDescent="0.3">
      <c r="A581" s="474"/>
      <c r="B581" s="474"/>
      <c r="C581" s="433"/>
      <c r="D581" s="433"/>
    </row>
    <row r="582" spans="1:4" thickBot="1" x14ac:dyDescent="0.3">
      <c r="A582" s="474"/>
      <c r="B582" s="474"/>
      <c r="C582" s="433"/>
      <c r="D582" s="433"/>
    </row>
    <row r="583" spans="1:4" thickBot="1" x14ac:dyDescent="0.3">
      <c r="A583" s="474"/>
      <c r="B583" s="474"/>
      <c r="C583" s="433"/>
      <c r="D583" s="433"/>
    </row>
    <row r="584" spans="1:4" thickBot="1" x14ac:dyDescent="0.3">
      <c r="A584" s="474"/>
      <c r="B584" s="474"/>
      <c r="C584" s="433"/>
      <c r="D584" s="433"/>
    </row>
    <row r="585" spans="1:4" thickBot="1" x14ac:dyDescent="0.3">
      <c r="A585" s="474"/>
      <c r="B585" s="474"/>
      <c r="C585" s="433"/>
      <c r="D585" s="433"/>
    </row>
    <row r="586" spans="1:4" thickBot="1" x14ac:dyDescent="0.3">
      <c r="A586" s="474"/>
      <c r="B586" s="474"/>
      <c r="C586" s="433"/>
      <c r="D586" s="433"/>
    </row>
    <row r="587" spans="1:4" thickBot="1" x14ac:dyDescent="0.3">
      <c r="A587" s="474"/>
      <c r="B587" s="474"/>
      <c r="C587" s="433"/>
      <c r="D587" s="433"/>
    </row>
    <row r="588" spans="1:4" thickBot="1" x14ac:dyDescent="0.3">
      <c r="A588" s="474"/>
      <c r="B588" s="474"/>
      <c r="C588" s="433"/>
      <c r="D588" s="433"/>
    </row>
    <row r="589" spans="1:4" thickBot="1" x14ac:dyDescent="0.3">
      <c r="A589" s="474"/>
      <c r="B589" s="474"/>
      <c r="C589" s="433"/>
      <c r="D589" s="433"/>
    </row>
    <row r="590" spans="1:4" thickBot="1" x14ac:dyDescent="0.3">
      <c r="A590" s="474"/>
      <c r="B590" s="474"/>
      <c r="C590" s="433"/>
      <c r="D590" s="433"/>
    </row>
    <row r="591" spans="1:4" thickBot="1" x14ac:dyDescent="0.3">
      <c r="A591" s="474"/>
      <c r="B591" s="474"/>
      <c r="C591" s="433"/>
      <c r="D591" s="433"/>
    </row>
    <row r="592" spans="1:4" thickBot="1" x14ac:dyDescent="0.3">
      <c r="A592" s="474"/>
      <c r="B592" s="474"/>
      <c r="C592" s="433"/>
      <c r="D592" s="433"/>
    </row>
    <row r="593" spans="1:4" thickBot="1" x14ac:dyDescent="0.3">
      <c r="A593" s="474"/>
      <c r="B593" s="474"/>
      <c r="C593" s="433"/>
      <c r="D593" s="433"/>
    </row>
    <row r="594" spans="1:4" thickBot="1" x14ac:dyDescent="0.3">
      <c r="A594" s="474"/>
      <c r="B594" s="474"/>
      <c r="C594" s="433"/>
      <c r="D594" s="433"/>
    </row>
    <row r="595" spans="1:4" thickBot="1" x14ac:dyDescent="0.3">
      <c r="A595" s="474"/>
      <c r="B595" s="474"/>
      <c r="C595" s="433"/>
      <c r="D595" s="433"/>
    </row>
    <row r="596" spans="1:4" thickBot="1" x14ac:dyDescent="0.3">
      <c r="A596" s="474"/>
      <c r="B596" s="474"/>
      <c r="C596" s="433"/>
      <c r="D596" s="433"/>
    </row>
    <row r="597" spans="1:4" thickBot="1" x14ac:dyDescent="0.3">
      <c r="A597" s="474"/>
      <c r="B597" s="474"/>
      <c r="C597" s="433"/>
      <c r="D597" s="433"/>
    </row>
    <row r="598" spans="1:4" thickBot="1" x14ac:dyDescent="0.3">
      <c r="A598" s="474"/>
      <c r="B598" s="474"/>
      <c r="C598" s="433"/>
      <c r="D598" s="433"/>
    </row>
    <row r="599" spans="1:4" thickBot="1" x14ac:dyDescent="0.3">
      <c r="A599" s="474"/>
      <c r="B599" s="474"/>
      <c r="C599" s="433"/>
      <c r="D599" s="433"/>
    </row>
    <row r="600" spans="1:4" thickBot="1" x14ac:dyDescent="0.3">
      <c r="A600" s="474"/>
      <c r="B600" s="474"/>
      <c r="C600" s="433"/>
      <c r="D600" s="433"/>
    </row>
    <row r="601" spans="1:4" thickBot="1" x14ac:dyDescent="0.3">
      <c r="A601" s="474"/>
      <c r="B601" s="474"/>
      <c r="C601" s="433"/>
      <c r="D601" s="433"/>
    </row>
    <row r="602" spans="1:4" thickBot="1" x14ac:dyDescent="0.3">
      <c r="A602" s="474"/>
      <c r="B602" s="474"/>
      <c r="C602" s="433"/>
      <c r="D602" s="433"/>
    </row>
    <row r="603" spans="1:4" thickBot="1" x14ac:dyDescent="0.3">
      <c r="A603" s="474"/>
      <c r="B603" s="474"/>
      <c r="C603" s="433"/>
      <c r="D603" s="433"/>
    </row>
    <row r="604" spans="1:4" thickBot="1" x14ac:dyDescent="0.3">
      <c r="A604" s="474"/>
      <c r="B604" s="474"/>
      <c r="C604" s="433"/>
      <c r="D604" s="433"/>
    </row>
    <row r="605" spans="1:4" thickBot="1" x14ac:dyDescent="0.3">
      <c r="A605" s="474"/>
      <c r="B605" s="474"/>
      <c r="C605" s="433"/>
      <c r="D605" s="433"/>
    </row>
    <row r="606" spans="1:4" thickBot="1" x14ac:dyDescent="0.3">
      <c r="A606" s="474"/>
      <c r="B606" s="474"/>
      <c r="C606" s="433"/>
      <c r="D606" s="433"/>
    </row>
    <row r="607" spans="1:4" thickBot="1" x14ac:dyDescent="0.3">
      <c r="A607" s="474"/>
      <c r="B607" s="474"/>
      <c r="C607" s="433"/>
      <c r="D607" s="433"/>
    </row>
    <row r="608" spans="1:4" thickBot="1" x14ac:dyDescent="0.3">
      <c r="A608" s="474"/>
      <c r="B608" s="474"/>
      <c r="C608" s="433"/>
      <c r="D608" s="433"/>
    </row>
    <row r="609" spans="1:4" thickBot="1" x14ac:dyDescent="0.3">
      <c r="A609" s="474"/>
      <c r="B609" s="474"/>
      <c r="C609" s="433"/>
      <c r="D609" s="433"/>
    </row>
    <row r="610" spans="1:4" thickBot="1" x14ac:dyDescent="0.3">
      <c r="A610" s="474"/>
      <c r="B610" s="474"/>
      <c r="C610" s="433"/>
      <c r="D610" s="433"/>
    </row>
    <row r="611" spans="1:4" thickBot="1" x14ac:dyDescent="0.3">
      <c r="A611" s="474"/>
      <c r="B611" s="474"/>
      <c r="C611" s="433"/>
      <c r="D611" s="433"/>
    </row>
    <row r="612" spans="1:4" thickBot="1" x14ac:dyDescent="0.3">
      <c r="A612" s="474"/>
      <c r="B612" s="474"/>
      <c r="C612" s="433"/>
      <c r="D612" s="433"/>
    </row>
    <row r="613" spans="1:4" thickBot="1" x14ac:dyDescent="0.3">
      <c r="A613" s="474"/>
      <c r="B613" s="474"/>
      <c r="C613" s="433"/>
      <c r="D613" s="433"/>
    </row>
    <row r="614" spans="1:4" thickBot="1" x14ac:dyDescent="0.3">
      <c r="A614" s="474"/>
      <c r="B614" s="474"/>
      <c r="C614" s="433"/>
      <c r="D614" s="433"/>
    </row>
    <row r="615" spans="1:4" thickBot="1" x14ac:dyDescent="0.3">
      <c r="A615" s="474"/>
      <c r="B615" s="474"/>
      <c r="C615" s="433"/>
      <c r="D615" s="433"/>
    </row>
    <row r="616" spans="1:4" thickBot="1" x14ac:dyDescent="0.3">
      <c r="A616" s="474"/>
      <c r="B616" s="474"/>
      <c r="C616" s="433"/>
      <c r="D616" s="433"/>
    </row>
    <row r="617" spans="1:4" thickBot="1" x14ac:dyDescent="0.3">
      <c r="A617" s="474"/>
      <c r="B617" s="474"/>
      <c r="C617" s="433"/>
      <c r="D617" s="433"/>
    </row>
    <row r="618" spans="1:4" thickBot="1" x14ac:dyDescent="0.3">
      <c r="A618" s="474"/>
      <c r="B618" s="474"/>
      <c r="C618" s="433"/>
      <c r="D618" s="433"/>
    </row>
    <row r="619" spans="1:4" thickBot="1" x14ac:dyDescent="0.3">
      <c r="A619" s="474"/>
      <c r="B619" s="474"/>
      <c r="C619" s="433"/>
      <c r="D619" s="433"/>
    </row>
    <row r="620" spans="1:4" thickBot="1" x14ac:dyDescent="0.3">
      <c r="A620" s="474"/>
      <c r="B620" s="474"/>
      <c r="C620" s="433"/>
      <c r="D620" s="433"/>
    </row>
    <row r="621" spans="1:4" thickBot="1" x14ac:dyDescent="0.3">
      <c r="A621" s="474"/>
      <c r="B621" s="474"/>
      <c r="C621" s="433"/>
      <c r="D621" s="433"/>
    </row>
    <row r="622" spans="1:4" thickBot="1" x14ac:dyDescent="0.3">
      <c r="A622" s="474"/>
      <c r="B622" s="474"/>
      <c r="C622" s="433"/>
      <c r="D622" s="433"/>
    </row>
    <row r="623" spans="1:4" thickBot="1" x14ac:dyDescent="0.3">
      <c r="A623" s="474"/>
      <c r="B623" s="474"/>
      <c r="C623" s="433"/>
      <c r="D623" s="433"/>
    </row>
    <row r="624" spans="1:4" thickBot="1" x14ac:dyDescent="0.3">
      <c r="A624" s="474"/>
      <c r="B624" s="474"/>
      <c r="C624" s="433"/>
      <c r="D624" s="433"/>
    </row>
    <row r="625" spans="1:4" thickBot="1" x14ac:dyDescent="0.3">
      <c r="A625" s="474"/>
      <c r="B625" s="474"/>
      <c r="C625" s="433"/>
      <c r="D625" s="433"/>
    </row>
    <row r="626" spans="1:4" thickBot="1" x14ac:dyDescent="0.3">
      <c r="A626" s="474"/>
      <c r="B626" s="474"/>
      <c r="C626" s="433"/>
      <c r="D626" s="433"/>
    </row>
    <row r="627" spans="1:4" thickBot="1" x14ac:dyDescent="0.3">
      <c r="A627" s="474"/>
      <c r="B627" s="474"/>
      <c r="C627" s="433"/>
      <c r="D627" s="433"/>
    </row>
    <row r="628" spans="1:4" thickBot="1" x14ac:dyDescent="0.3">
      <c r="A628" s="474"/>
      <c r="B628" s="474"/>
      <c r="C628" s="433"/>
      <c r="D628" s="433"/>
    </row>
    <row r="629" spans="1:4" thickBot="1" x14ac:dyDescent="0.3">
      <c r="A629" s="474"/>
      <c r="B629" s="474"/>
      <c r="C629" s="433"/>
      <c r="D629" s="433"/>
    </row>
    <row r="630" spans="1:4" thickBot="1" x14ac:dyDescent="0.3">
      <c r="A630" s="474"/>
      <c r="B630" s="474"/>
      <c r="C630" s="433"/>
      <c r="D630" s="433"/>
    </row>
    <row r="631" spans="1:4" thickBot="1" x14ac:dyDescent="0.3">
      <c r="A631" s="474"/>
      <c r="B631" s="474"/>
      <c r="C631" s="433"/>
      <c r="D631" s="433"/>
    </row>
    <row r="632" spans="1:4" thickBot="1" x14ac:dyDescent="0.3">
      <c r="A632" s="474"/>
      <c r="B632" s="474"/>
      <c r="C632" s="433"/>
      <c r="D632" s="433"/>
    </row>
    <row r="633" spans="1:4" thickBot="1" x14ac:dyDescent="0.3">
      <c r="A633" s="474"/>
      <c r="B633" s="474"/>
      <c r="C633" s="433"/>
      <c r="D633" s="433"/>
    </row>
    <row r="634" spans="1:4" thickBot="1" x14ac:dyDescent="0.3">
      <c r="A634" s="474"/>
      <c r="B634" s="474"/>
      <c r="C634" s="433"/>
      <c r="D634" s="433"/>
    </row>
    <row r="635" spans="1:4" thickBot="1" x14ac:dyDescent="0.3">
      <c r="A635" s="474"/>
      <c r="B635" s="474"/>
      <c r="C635" s="433"/>
      <c r="D635" s="433"/>
    </row>
    <row r="636" spans="1:4" thickBot="1" x14ac:dyDescent="0.3">
      <c r="A636" s="474"/>
      <c r="B636" s="474"/>
      <c r="C636" s="433"/>
      <c r="D636" s="433"/>
    </row>
    <row r="637" spans="1:4" thickBot="1" x14ac:dyDescent="0.3">
      <c r="A637" s="474"/>
      <c r="B637" s="474"/>
      <c r="C637" s="433"/>
      <c r="D637" s="433"/>
    </row>
    <row r="638" spans="1:4" thickBot="1" x14ac:dyDescent="0.3">
      <c r="A638" s="474"/>
      <c r="B638" s="474"/>
      <c r="C638" s="433"/>
      <c r="D638" s="433"/>
    </row>
    <row r="639" spans="1:4" thickBot="1" x14ac:dyDescent="0.3">
      <c r="A639" s="474"/>
      <c r="B639" s="474"/>
      <c r="C639" s="433"/>
      <c r="D639" s="433"/>
    </row>
    <row r="640" spans="1:4" thickBot="1" x14ac:dyDescent="0.3">
      <c r="A640" s="474"/>
      <c r="B640" s="474"/>
      <c r="C640" s="433"/>
      <c r="D640" s="433"/>
    </row>
    <row r="641" spans="1:4" thickBot="1" x14ac:dyDescent="0.3">
      <c r="A641" s="474"/>
      <c r="B641" s="474"/>
      <c r="C641" s="433"/>
      <c r="D641" s="433"/>
    </row>
    <row r="642" spans="1:4" thickBot="1" x14ac:dyDescent="0.3">
      <c r="A642" s="474"/>
      <c r="B642" s="474"/>
      <c r="C642" s="433"/>
      <c r="D642" s="433"/>
    </row>
    <row r="643" spans="1:4" thickBot="1" x14ac:dyDescent="0.3">
      <c r="A643" s="474"/>
      <c r="B643" s="474"/>
      <c r="C643" s="433"/>
      <c r="D643" s="433"/>
    </row>
    <row r="644" spans="1:4" thickBot="1" x14ac:dyDescent="0.3">
      <c r="A644" s="474"/>
      <c r="B644" s="474"/>
      <c r="C644" s="433"/>
      <c r="D644" s="433"/>
    </row>
    <row r="645" spans="1:4" thickBot="1" x14ac:dyDescent="0.3">
      <c r="A645" s="474"/>
      <c r="B645" s="474"/>
      <c r="C645" s="433"/>
      <c r="D645" s="433"/>
    </row>
    <row r="646" spans="1:4" thickBot="1" x14ac:dyDescent="0.3">
      <c r="A646" s="474"/>
      <c r="B646" s="474"/>
      <c r="C646" s="433"/>
      <c r="D646" s="433"/>
    </row>
    <row r="647" spans="1:4" thickBot="1" x14ac:dyDescent="0.3">
      <c r="A647" s="474"/>
      <c r="B647" s="474"/>
      <c r="C647" s="433"/>
      <c r="D647" s="433"/>
    </row>
    <row r="648" spans="1:4" thickBot="1" x14ac:dyDescent="0.3">
      <c r="A648" s="474"/>
      <c r="B648" s="474"/>
      <c r="C648" s="433"/>
      <c r="D648" s="433"/>
    </row>
    <row r="649" spans="1:4" thickBot="1" x14ac:dyDescent="0.3">
      <c r="A649" s="474"/>
      <c r="B649" s="474"/>
      <c r="C649" s="433"/>
      <c r="D649" s="433"/>
    </row>
    <row r="650" spans="1:4" thickBot="1" x14ac:dyDescent="0.3">
      <c r="A650" s="474"/>
      <c r="B650" s="474"/>
      <c r="C650" s="433"/>
      <c r="D650" s="433"/>
    </row>
    <row r="651" spans="1:4" thickBot="1" x14ac:dyDescent="0.3">
      <c r="A651" s="474"/>
      <c r="B651" s="474"/>
      <c r="C651" s="433"/>
      <c r="D651" s="433"/>
    </row>
    <row r="652" spans="1:4" thickBot="1" x14ac:dyDescent="0.3">
      <c r="A652" s="474"/>
      <c r="B652" s="474"/>
      <c r="C652" s="433"/>
      <c r="D652" s="433"/>
    </row>
    <row r="653" spans="1:4" thickBot="1" x14ac:dyDescent="0.3">
      <c r="A653" s="474"/>
      <c r="B653" s="474"/>
      <c r="C653" s="433"/>
      <c r="D653" s="433"/>
    </row>
    <row r="654" spans="1:4" thickBot="1" x14ac:dyDescent="0.3">
      <c r="A654" s="474"/>
      <c r="B654" s="474"/>
      <c r="C654" s="433"/>
      <c r="D654" s="433"/>
    </row>
    <row r="655" spans="1:4" thickBot="1" x14ac:dyDescent="0.3">
      <c r="A655" s="474"/>
      <c r="B655" s="474"/>
      <c r="C655" s="433"/>
      <c r="D655" s="433"/>
    </row>
    <row r="656" spans="1:4" thickBot="1" x14ac:dyDescent="0.3">
      <c r="A656" s="474"/>
      <c r="B656" s="474"/>
      <c r="C656" s="433"/>
      <c r="D656" s="433"/>
    </row>
    <row r="657" spans="1:4" thickBot="1" x14ac:dyDescent="0.3">
      <c r="A657" s="474"/>
      <c r="B657" s="474"/>
      <c r="C657" s="433"/>
      <c r="D657" s="433"/>
    </row>
    <row r="658" spans="1:4" thickBot="1" x14ac:dyDescent="0.3">
      <c r="A658" s="474"/>
      <c r="B658" s="474"/>
      <c r="C658" s="433"/>
      <c r="D658" s="433"/>
    </row>
    <row r="659" spans="1:4" thickBot="1" x14ac:dyDescent="0.3">
      <c r="A659" s="474"/>
      <c r="B659" s="474"/>
      <c r="C659" s="433"/>
      <c r="D659" s="433"/>
    </row>
    <row r="660" spans="1:4" thickBot="1" x14ac:dyDescent="0.3">
      <c r="A660" s="474"/>
      <c r="B660" s="474"/>
      <c r="C660" s="433"/>
      <c r="D660" s="433"/>
    </row>
    <row r="661" spans="1:4" thickBot="1" x14ac:dyDescent="0.3">
      <c r="A661" s="474"/>
      <c r="B661" s="474"/>
      <c r="C661" s="433"/>
      <c r="D661" s="433"/>
    </row>
    <row r="662" spans="1:4" thickBot="1" x14ac:dyDescent="0.3">
      <c r="A662" s="474"/>
      <c r="B662" s="474"/>
      <c r="C662" s="433"/>
      <c r="D662" s="433"/>
    </row>
    <row r="663" spans="1:4" thickBot="1" x14ac:dyDescent="0.3">
      <c r="A663" s="474"/>
      <c r="B663" s="474"/>
      <c r="C663" s="433"/>
      <c r="D663" s="433"/>
    </row>
    <row r="664" spans="1:4" thickBot="1" x14ac:dyDescent="0.3">
      <c r="A664" s="474"/>
      <c r="B664" s="474"/>
      <c r="C664" s="433"/>
      <c r="D664" s="433"/>
    </row>
    <row r="665" spans="1:4" thickBot="1" x14ac:dyDescent="0.3">
      <c r="A665" s="474"/>
      <c r="B665" s="474"/>
      <c r="C665" s="433"/>
      <c r="D665" s="433"/>
    </row>
    <row r="666" spans="1:4" thickBot="1" x14ac:dyDescent="0.3">
      <c r="A666" s="474"/>
      <c r="B666" s="474"/>
      <c r="C666" s="433"/>
      <c r="D666" s="433"/>
    </row>
    <row r="667" spans="1:4" thickBot="1" x14ac:dyDescent="0.3">
      <c r="A667" s="474"/>
      <c r="B667" s="474"/>
      <c r="C667" s="433"/>
      <c r="D667" s="433"/>
    </row>
    <row r="668" spans="1:4" thickBot="1" x14ac:dyDescent="0.3">
      <c r="A668" s="474"/>
      <c r="B668" s="474"/>
      <c r="C668" s="433"/>
      <c r="D668" s="433"/>
    </row>
    <row r="669" spans="1:4" thickBot="1" x14ac:dyDescent="0.3">
      <c r="A669" s="474"/>
      <c r="B669" s="474"/>
      <c r="C669" s="433"/>
      <c r="D669" s="433"/>
    </row>
    <row r="670" spans="1:4" thickBot="1" x14ac:dyDescent="0.3">
      <c r="A670" s="474"/>
      <c r="B670" s="474"/>
      <c r="C670" s="433"/>
      <c r="D670" s="433"/>
    </row>
    <row r="671" spans="1:4" thickBot="1" x14ac:dyDescent="0.3">
      <c r="A671" s="474"/>
      <c r="B671" s="474"/>
      <c r="C671" s="433"/>
      <c r="D671" s="433"/>
    </row>
    <row r="672" spans="1:4" thickBot="1" x14ac:dyDescent="0.3">
      <c r="A672" s="474"/>
      <c r="B672" s="474"/>
      <c r="C672" s="433"/>
      <c r="D672" s="433"/>
    </row>
    <row r="673" spans="1:4" thickBot="1" x14ac:dyDescent="0.3">
      <c r="A673" s="474"/>
      <c r="B673" s="474"/>
      <c r="C673" s="433"/>
      <c r="D673" s="433"/>
    </row>
    <row r="674" spans="1:4" thickBot="1" x14ac:dyDescent="0.3">
      <c r="A674" s="474"/>
      <c r="B674" s="474"/>
      <c r="C674" s="433"/>
      <c r="D674" s="433"/>
    </row>
    <row r="675" spans="1:4" thickBot="1" x14ac:dyDescent="0.3">
      <c r="A675" s="474"/>
      <c r="B675" s="474"/>
      <c r="C675" s="433"/>
      <c r="D675" s="433"/>
    </row>
    <row r="676" spans="1:4" thickBot="1" x14ac:dyDescent="0.3">
      <c r="A676" s="474"/>
      <c r="B676" s="474"/>
      <c r="C676" s="433"/>
      <c r="D676" s="433"/>
    </row>
    <row r="677" spans="1:4" thickBot="1" x14ac:dyDescent="0.3">
      <c r="A677" s="474"/>
      <c r="B677" s="474"/>
      <c r="C677" s="433"/>
      <c r="D677" s="433"/>
    </row>
    <row r="678" spans="1:4" thickBot="1" x14ac:dyDescent="0.3">
      <c r="A678" s="474"/>
      <c r="B678" s="474"/>
      <c r="C678" s="433"/>
      <c r="D678" s="433"/>
    </row>
    <row r="679" spans="1:4" thickBot="1" x14ac:dyDescent="0.3">
      <c r="A679" s="474"/>
      <c r="B679" s="474"/>
      <c r="C679" s="433"/>
      <c r="D679" s="433"/>
    </row>
    <row r="680" spans="1:4" thickBot="1" x14ac:dyDescent="0.3">
      <c r="A680" s="474"/>
      <c r="B680" s="474"/>
      <c r="C680" s="433"/>
      <c r="D680" s="433"/>
    </row>
    <row r="681" spans="1:4" thickBot="1" x14ac:dyDescent="0.3">
      <c r="A681" s="474"/>
      <c r="B681" s="474"/>
      <c r="C681" s="433"/>
      <c r="D681" s="433"/>
    </row>
    <row r="682" spans="1:4" thickBot="1" x14ac:dyDescent="0.3">
      <c r="A682" s="474"/>
      <c r="B682" s="474"/>
      <c r="C682" s="433"/>
      <c r="D682" s="433"/>
    </row>
    <row r="683" spans="1:4" thickBot="1" x14ac:dyDescent="0.3">
      <c r="A683" s="474"/>
      <c r="B683" s="474"/>
      <c r="C683" s="433"/>
      <c r="D683" s="433"/>
    </row>
    <row r="684" spans="1:4" thickBot="1" x14ac:dyDescent="0.3">
      <c r="A684" s="474"/>
      <c r="B684" s="474"/>
      <c r="C684" s="433"/>
      <c r="D684" s="433"/>
    </row>
    <row r="685" spans="1:4" thickBot="1" x14ac:dyDescent="0.3">
      <c r="A685" s="474"/>
      <c r="B685" s="474"/>
      <c r="C685" s="433"/>
      <c r="D685" s="433"/>
    </row>
    <row r="686" spans="1:4" thickBot="1" x14ac:dyDescent="0.3">
      <c r="A686" s="474"/>
      <c r="B686" s="474"/>
      <c r="C686" s="433"/>
      <c r="D686" s="433"/>
    </row>
    <row r="687" spans="1:4" thickBot="1" x14ac:dyDescent="0.3">
      <c r="A687" s="474"/>
      <c r="B687" s="474"/>
      <c r="C687" s="433"/>
      <c r="D687" s="433"/>
    </row>
    <row r="688" spans="1:4" thickBot="1" x14ac:dyDescent="0.3">
      <c r="A688" s="474"/>
      <c r="B688" s="474"/>
      <c r="C688" s="433"/>
      <c r="D688" s="433"/>
    </row>
    <row r="689" spans="1:4" thickBot="1" x14ac:dyDescent="0.3">
      <c r="A689" s="474"/>
      <c r="B689" s="474"/>
      <c r="C689" s="433"/>
      <c r="D689" s="433"/>
    </row>
    <row r="690" spans="1:4" thickBot="1" x14ac:dyDescent="0.3">
      <c r="A690" s="474"/>
      <c r="B690" s="474"/>
      <c r="C690" s="433"/>
      <c r="D690" s="433"/>
    </row>
    <row r="691" spans="1:4" thickBot="1" x14ac:dyDescent="0.3">
      <c r="A691" s="474"/>
      <c r="B691" s="474"/>
      <c r="C691" s="433"/>
      <c r="D691" s="433"/>
    </row>
    <row r="692" spans="1:4" thickBot="1" x14ac:dyDescent="0.3">
      <c r="A692" s="474"/>
      <c r="B692" s="474"/>
      <c r="C692" s="433"/>
      <c r="D692" s="433"/>
    </row>
    <row r="693" spans="1:4" thickBot="1" x14ac:dyDescent="0.3">
      <c r="A693" s="474"/>
      <c r="B693" s="474"/>
      <c r="C693" s="433"/>
      <c r="D693" s="433"/>
    </row>
    <row r="694" spans="1:4" thickBot="1" x14ac:dyDescent="0.3">
      <c r="A694" s="474"/>
      <c r="B694" s="474"/>
      <c r="C694" s="433"/>
      <c r="D694" s="433"/>
    </row>
    <row r="695" spans="1:4" thickBot="1" x14ac:dyDescent="0.3">
      <c r="A695" s="474"/>
      <c r="B695" s="474"/>
      <c r="C695" s="433"/>
      <c r="D695" s="433"/>
    </row>
    <row r="696" spans="1:4" thickBot="1" x14ac:dyDescent="0.3">
      <c r="A696" s="474"/>
      <c r="B696" s="474"/>
      <c r="C696" s="433"/>
      <c r="D696" s="433"/>
    </row>
    <row r="697" spans="1:4" thickBot="1" x14ac:dyDescent="0.3">
      <c r="A697" s="474"/>
      <c r="B697" s="474"/>
      <c r="C697" s="433"/>
      <c r="D697" s="433"/>
    </row>
    <row r="698" spans="1:4" thickBot="1" x14ac:dyDescent="0.3">
      <c r="A698" s="474"/>
      <c r="B698" s="474"/>
      <c r="C698" s="433"/>
      <c r="D698" s="433"/>
    </row>
    <row r="699" spans="1:4" thickBot="1" x14ac:dyDescent="0.3">
      <c r="A699" s="474"/>
      <c r="B699" s="474"/>
      <c r="C699" s="433"/>
      <c r="D699" s="433"/>
    </row>
    <row r="700" spans="1:4" thickBot="1" x14ac:dyDescent="0.3">
      <c r="A700" s="474"/>
      <c r="B700" s="474"/>
      <c r="C700" s="433"/>
      <c r="D700" s="433"/>
    </row>
    <row r="701" spans="1:4" thickBot="1" x14ac:dyDescent="0.3">
      <c r="A701" s="474"/>
      <c r="B701" s="474"/>
      <c r="C701" s="433"/>
      <c r="D701" s="433"/>
    </row>
    <row r="702" spans="1:4" thickBot="1" x14ac:dyDescent="0.3">
      <c r="A702" s="474"/>
      <c r="B702" s="474"/>
      <c r="C702" s="433"/>
      <c r="D702" s="433"/>
    </row>
    <row r="703" spans="1:4" thickBot="1" x14ac:dyDescent="0.3">
      <c r="A703" s="474"/>
      <c r="B703" s="474"/>
      <c r="C703" s="433"/>
      <c r="D703" s="433"/>
    </row>
    <row r="704" spans="1:4" thickBot="1" x14ac:dyDescent="0.3">
      <c r="A704" s="474"/>
      <c r="B704" s="474"/>
      <c r="C704" s="433"/>
      <c r="D704" s="433"/>
    </row>
    <row r="705" spans="1:4" thickBot="1" x14ac:dyDescent="0.3">
      <c r="A705" s="474"/>
      <c r="B705" s="474"/>
      <c r="C705" s="433"/>
      <c r="D705" s="433"/>
    </row>
    <row r="706" spans="1:4" thickBot="1" x14ac:dyDescent="0.3">
      <c r="A706" s="474"/>
      <c r="B706" s="474"/>
      <c r="C706" s="433"/>
      <c r="D706" s="433"/>
    </row>
    <row r="707" spans="1:4" thickBot="1" x14ac:dyDescent="0.3">
      <c r="A707" s="474"/>
      <c r="B707" s="474"/>
      <c r="C707" s="433"/>
      <c r="D707" s="433"/>
    </row>
    <row r="708" spans="1:4" thickBot="1" x14ac:dyDescent="0.3">
      <c r="A708" s="474"/>
      <c r="B708" s="474"/>
      <c r="C708" s="433"/>
      <c r="D708" s="433"/>
    </row>
    <row r="709" spans="1:4" thickBot="1" x14ac:dyDescent="0.3">
      <c r="A709" s="474"/>
      <c r="B709" s="474"/>
      <c r="C709" s="433"/>
      <c r="D709" s="433"/>
    </row>
    <row r="710" spans="1:4" thickBot="1" x14ac:dyDescent="0.3">
      <c r="A710" s="474"/>
      <c r="B710" s="474"/>
      <c r="C710" s="433"/>
      <c r="D710" s="433"/>
    </row>
    <row r="711" spans="1:4" thickBot="1" x14ac:dyDescent="0.3">
      <c r="A711" s="474"/>
      <c r="B711" s="474"/>
      <c r="C711" s="433"/>
      <c r="D711" s="433"/>
    </row>
    <row r="712" spans="1:4" thickBot="1" x14ac:dyDescent="0.3">
      <c r="A712" s="474"/>
      <c r="B712" s="474"/>
      <c r="C712" s="433"/>
      <c r="D712" s="433"/>
    </row>
    <row r="713" spans="1:4" thickBot="1" x14ac:dyDescent="0.3">
      <c r="A713" s="474"/>
      <c r="B713" s="474"/>
      <c r="C713" s="433"/>
      <c r="D713" s="433"/>
    </row>
    <row r="714" spans="1:4" thickBot="1" x14ac:dyDescent="0.3">
      <c r="A714" s="474"/>
      <c r="B714" s="474"/>
      <c r="C714" s="433"/>
      <c r="D714" s="433"/>
    </row>
    <row r="715" spans="1:4" thickBot="1" x14ac:dyDescent="0.3">
      <c r="A715" s="474"/>
      <c r="B715" s="474"/>
      <c r="C715" s="433"/>
      <c r="D715" s="433"/>
    </row>
    <row r="716" spans="1:4" thickBot="1" x14ac:dyDescent="0.3">
      <c r="A716" s="474"/>
      <c r="B716" s="474"/>
      <c r="C716" s="433"/>
      <c r="D716" s="433"/>
    </row>
    <row r="717" spans="1:4" thickBot="1" x14ac:dyDescent="0.3">
      <c r="A717" s="474"/>
      <c r="B717" s="474"/>
      <c r="C717" s="433"/>
      <c r="D717" s="433"/>
    </row>
    <row r="718" spans="1:4" thickBot="1" x14ac:dyDescent="0.3">
      <c r="A718" s="474"/>
      <c r="B718" s="474"/>
      <c r="C718" s="433"/>
      <c r="D718" s="433"/>
    </row>
    <row r="719" spans="1:4" thickBot="1" x14ac:dyDescent="0.3">
      <c r="A719" s="474"/>
      <c r="B719" s="474"/>
      <c r="C719" s="433"/>
      <c r="D719" s="433"/>
    </row>
    <row r="720" spans="1:4" thickBot="1" x14ac:dyDescent="0.3">
      <c r="A720" s="474"/>
      <c r="B720" s="474"/>
      <c r="C720" s="433"/>
      <c r="D720" s="433"/>
    </row>
    <row r="721" spans="1:4" thickBot="1" x14ac:dyDescent="0.3">
      <c r="A721" s="474"/>
      <c r="B721" s="474"/>
      <c r="C721" s="433"/>
      <c r="D721" s="433"/>
    </row>
    <row r="722" spans="1:4" thickBot="1" x14ac:dyDescent="0.3">
      <c r="A722" s="474"/>
      <c r="B722" s="474"/>
      <c r="C722" s="433"/>
      <c r="D722" s="433"/>
    </row>
    <row r="723" spans="1:4" thickBot="1" x14ac:dyDescent="0.3">
      <c r="A723" s="474"/>
      <c r="B723" s="474"/>
      <c r="C723" s="433"/>
      <c r="D723" s="433"/>
    </row>
    <row r="724" spans="1:4" thickBot="1" x14ac:dyDescent="0.3">
      <c r="A724" s="474"/>
      <c r="B724" s="474"/>
      <c r="C724" s="433"/>
      <c r="D724" s="433"/>
    </row>
    <row r="725" spans="1:4" thickBot="1" x14ac:dyDescent="0.3">
      <c r="A725" s="474"/>
      <c r="B725" s="474"/>
      <c r="C725" s="433"/>
      <c r="D725" s="433"/>
    </row>
    <row r="726" spans="1:4" thickBot="1" x14ac:dyDescent="0.3">
      <c r="A726" s="474"/>
      <c r="B726" s="474"/>
      <c r="C726" s="433"/>
      <c r="D726" s="433"/>
    </row>
    <row r="727" spans="1:4" thickBot="1" x14ac:dyDescent="0.3">
      <c r="A727" s="474"/>
      <c r="B727" s="474"/>
      <c r="C727" s="433"/>
      <c r="D727" s="433"/>
    </row>
    <row r="728" spans="1:4" thickBot="1" x14ac:dyDescent="0.3">
      <c r="A728" s="474"/>
      <c r="B728" s="474"/>
      <c r="C728" s="433"/>
      <c r="D728" s="433"/>
    </row>
    <row r="729" spans="1:4" thickBot="1" x14ac:dyDescent="0.3">
      <c r="A729" s="474"/>
      <c r="B729" s="474"/>
      <c r="C729" s="433"/>
      <c r="D729" s="433"/>
    </row>
    <row r="730" spans="1:4" thickBot="1" x14ac:dyDescent="0.3">
      <c r="A730" s="474"/>
      <c r="B730" s="474"/>
      <c r="C730" s="433"/>
      <c r="D730" s="433"/>
    </row>
    <row r="731" spans="1:4" thickBot="1" x14ac:dyDescent="0.3">
      <c r="A731" s="474"/>
      <c r="B731" s="474"/>
      <c r="C731" s="433"/>
      <c r="D731" s="433"/>
    </row>
    <row r="732" spans="1:4" thickBot="1" x14ac:dyDescent="0.3">
      <c r="A732" s="474"/>
      <c r="B732" s="474"/>
      <c r="C732" s="433"/>
      <c r="D732" s="433"/>
    </row>
    <row r="733" spans="1:4" thickBot="1" x14ac:dyDescent="0.3">
      <c r="A733" s="474"/>
      <c r="B733" s="474"/>
      <c r="C733" s="433"/>
      <c r="D733" s="433"/>
    </row>
    <row r="734" spans="1:4" thickBot="1" x14ac:dyDescent="0.3">
      <c r="A734" s="474"/>
      <c r="B734" s="474"/>
      <c r="C734" s="433"/>
      <c r="D734" s="433"/>
    </row>
    <row r="735" spans="1:4" thickBot="1" x14ac:dyDescent="0.3">
      <c r="A735" s="474"/>
      <c r="B735" s="474"/>
      <c r="C735" s="433"/>
      <c r="D735" s="433"/>
    </row>
    <row r="736" spans="1:4" thickBot="1" x14ac:dyDescent="0.3">
      <c r="A736" s="474"/>
      <c r="B736" s="474"/>
      <c r="C736" s="433"/>
      <c r="D736" s="433"/>
    </row>
    <row r="737" spans="1:4" thickBot="1" x14ac:dyDescent="0.3">
      <c r="A737" s="474"/>
      <c r="B737" s="474"/>
      <c r="C737" s="433"/>
      <c r="D737" s="433"/>
    </row>
    <row r="738" spans="1:4" thickBot="1" x14ac:dyDescent="0.3">
      <c r="A738" s="474"/>
      <c r="B738" s="474"/>
      <c r="C738" s="433"/>
      <c r="D738" s="433"/>
    </row>
    <row r="739" spans="1:4" thickBot="1" x14ac:dyDescent="0.3">
      <c r="A739" s="474"/>
      <c r="B739" s="474"/>
      <c r="C739" s="433"/>
      <c r="D739" s="433"/>
    </row>
    <row r="740" spans="1:4" thickBot="1" x14ac:dyDescent="0.3">
      <c r="A740" s="474"/>
      <c r="B740" s="474"/>
      <c r="C740" s="433"/>
      <c r="D740" s="433"/>
    </row>
    <row r="741" spans="1:4" thickBot="1" x14ac:dyDescent="0.3">
      <c r="A741" s="474"/>
      <c r="B741" s="474"/>
      <c r="C741" s="433"/>
      <c r="D741" s="433"/>
    </row>
    <row r="742" spans="1:4" thickBot="1" x14ac:dyDescent="0.3">
      <c r="A742" s="474"/>
      <c r="B742" s="474"/>
      <c r="C742" s="433"/>
      <c r="D742" s="433"/>
    </row>
    <row r="743" spans="1:4" thickBot="1" x14ac:dyDescent="0.3">
      <c r="A743" s="474"/>
      <c r="B743" s="474"/>
      <c r="C743" s="433"/>
      <c r="D743" s="433"/>
    </row>
    <row r="744" spans="1:4" thickBot="1" x14ac:dyDescent="0.3">
      <c r="A744" s="474"/>
      <c r="B744" s="474"/>
      <c r="C744" s="433"/>
      <c r="D744" s="433"/>
    </row>
    <row r="745" spans="1:4" thickBot="1" x14ac:dyDescent="0.3">
      <c r="A745" s="474"/>
      <c r="B745" s="474"/>
      <c r="C745" s="433"/>
      <c r="D745" s="433"/>
    </row>
    <row r="746" spans="1:4" thickBot="1" x14ac:dyDescent="0.3">
      <c r="A746" s="474"/>
      <c r="B746" s="474"/>
      <c r="C746" s="433"/>
      <c r="D746" s="433"/>
    </row>
    <row r="747" spans="1:4" thickBot="1" x14ac:dyDescent="0.3">
      <c r="A747" s="474"/>
      <c r="B747" s="474"/>
      <c r="C747" s="433"/>
      <c r="D747" s="433"/>
    </row>
    <row r="748" spans="1:4" thickBot="1" x14ac:dyDescent="0.3">
      <c r="A748" s="474"/>
      <c r="B748" s="474"/>
      <c r="C748" s="433"/>
      <c r="D748" s="433"/>
    </row>
    <row r="749" spans="1:4" thickBot="1" x14ac:dyDescent="0.3">
      <c r="A749" s="474"/>
      <c r="B749" s="474"/>
      <c r="C749" s="433"/>
      <c r="D749" s="433"/>
    </row>
    <row r="750" spans="1:4" thickBot="1" x14ac:dyDescent="0.3">
      <c r="A750" s="474"/>
      <c r="B750" s="474"/>
      <c r="C750" s="433"/>
      <c r="D750" s="433"/>
    </row>
    <row r="751" spans="1:4" thickBot="1" x14ac:dyDescent="0.3">
      <c r="A751" s="474"/>
      <c r="B751" s="474"/>
      <c r="C751" s="433"/>
      <c r="D751" s="433"/>
    </row>
    <row r="752" spans="1:4" thickBot="1" x14ac:dyDescent="0.3">
      <c r="A752" s="474"/>
      <c r="B752" s="474"/>
      <c r="C752" s="433"/>
      <c r="D752" s="433"/>
    </row>
    <row r="753" spans="1:4" thickBot="1" x14ac:dyDescent="0.3">
      <c r="A753" s="474"/>
      <c r="B753" s="474"/>
      <c r="C753" s="433"/>
      <c r="D753" s="433"/>
    </row>
    <row r="754" spans="1:4" thickBot="1" x14ac:dyDescent="0.3">
      <c r="A754" s="474"/>
      <c r="B754" s="474"/>
      <c r="C754" s="433"/>
      <c r="D754" s="433"/>
    </row>
    <row r="755" spans="1:4" thickBot="1" x14ac:dyDescent="0.3">
      <c r="A755" s="474"/>
      <c r="B755" s="474"/>
      <c r="C755" s="433"/>
      <c r="D755" s="433"/>
    </row>
    <row r="756" spans="1:4" thickBot="1" x14ac:dyDescent="0.3">
      <c r="A756" s="474"/>
      <c r="B756" s="474"/>
      <c r="C756" s="433"/>
      <c r="D756" s="433"/>
    </row>
    <row r="757" spans="1:4" thickBot="1" x14ac:dyDescent="0.3">
      <c r="A757" s="474"/>
      <c r="B757" s="474"/>
      <c r="C757" s="433"/>
      <c r="D757" s="433"/>
    </row>
    <row r="758" spans="1:4" thickBot="1" x14ac:dyDescent="0.3">
      <c r="A758" s="474"/>
      <c r="B758" s="474"/>
      <c r="C758" s="433"/>
      <c r="D758" s="433"/>
    </row>
    <row r="759" spans="1:4" thickBot="1" x14ac:dyDescent="0.3">
      <c r="A759" s="474"/>
      <c r="B759" s="474"/>
      <c r="C759" s="433"/>
      <c r="D759" s="433"/>
    </row>
    <row r="760" spans="1:4" thickBot="1" x14ac:dyDescent="0.3">
      <c r="A760" s="474"/>
      <c r="B760" s="474"/>
      <c r="C760" s="433"/>
      <c r="D760" s="433"/>
    </row>
    <row r="761" spans="1:4" thickBot="1" x14ac:dyDescent="0.3">
      <c r="A761" s="474"/>
      <c r="B761" s="474"/>
      <c r="C761" s="433"/>
      <c r="D761" s="433"/>
    </row>
    <row r="762" spans="1:4" thickBot="1" x14ac:dyDescent="0.3">
      <c r="A762" s="474"/>
      <c r="B762" s="474"/>
      <c r="C762" s="433"/>
      <c r="D762" s="433"/>
    </row>
    <row r="763" spans="1:4" thickBot="1" x14ac:dyDescent="0.3">
      <c r="A763" s="474"/>
      <c r="B763" s="474"/>
      <c r="C763" s="433"/>
      <c r="D763" s="433"/>
    </row>
    <row r="764" spans="1:4" thickBot="1" x14ac:dyDescent="0.3">
      <c r="A764" s="474"/>
      <c r="B764" s="474"/>
      <c r="C764" s="433"/>
      <c r="D764" s="433"/>
    </row>
    <row r="765" spans="1:4" thickBot="1" x14ac:dyDescent="0.3">
      <c r="A765" s="474"/>
      <c r="B765" s="474"/>
      <c r="C765" s="433"/>
      <c r="D765" s="433"/>
    </row>
    <row r="766" spans="1:4" thickBot="1" x14ac:dyDescent="0.3">
      <c r="A766" s="474"/>
      <c r="B766" s="474"/>
      <c r="C766" s="433"/>
      <c r="D766" s="433"/>
    </row>
    <row r="767" spans="1:4" thickBot="1" x14ac:dyDescent="0.3">
      <c r="A767" s="474"/>
      <c r="B767" s="474"/>
      <c r="C767" s="433"/>
      <c r="D767" s="433"/>
    </row>
    <row r="768" spans="1:4" thickBot="1" x14ac:dyDescent="0.3">
      <c r="A768" s="474"/>
      <c r="B768" s="474"/>
      <c r="C768" s="433"/>
      <c r="D768" s="433"/>
    </row>
    <row r="769" spans="1:4" thickBot="1" x14ac:dyDescent="0.3">
      <c r="A769" s="474"/>
      <c r="B769" s="474"/>
      <c r="C769" s="433"/>
      <c r="D769" s="433"/>
    </row>
    <row r="770" spans="1:4" thickBot="1" x14ac:dyDescent="0.3">
      <c r="A770" s="474"/>
      <c r="B770" s="474"/>
      <c r="C770" s="433"/>
      <c r="D770" s="433"/>
    </row>
    <row r="771" spans="1:4" thickBot="1" x14ac:dyDescent="0.3">
      <c r="A771" s="474"/>
      <c r="B771" s="474"/>
      <c r="C771" s="433"/>
      <c r="D771" s="433"/>
    </row>
    <row r="772" spans="1:4" thickBot="1" x14ac:dyDescent="0.3">
      <c r="A772" s="474"/>
      <c r="B772" s="474"/>
      <c r="C772" s="433"/>
      <c r="D772" s="433"/>
    </row>
    <row r="773" spans="1:4" thickBot="1" x14ac:dyDescent="0.3">
      <c r="A773" s="474"/>
      <c r="B773" s="474"/>
      <c r="C773" s="433"/>
      <c r="D773" s="433"/>
    </row>
    <row r="774" spans="1:4" thickBot="1" x14ac:dyDescent="0.3">
      <c r="A774" s="474"/>
      <c r="B774" s="474"/>
      <c r="C774" s="433"/>
      <c r="D774" s="433"/>
    </row>
    <row r="775" spans="1:4" thickBot="1" x14ac:dyDescent="0.3">
      <c r="A775" s="474"/>
      <c r="B775" s="474"/>
      <c r="C775" s="433"/>
      <c r="D775" s="433"/>
    </row>
    <row r="776" spans="1:4" thickBot="1" x14ac:dyDescent="0.3">
      <c r="A776" s="474"/>
      <c r="B776" s="474"/>
      <c r="C776" s="433"/>
      <c r="D776" s="433"/>
    </row>
    <row r="777" spans="1:4" thickBot="1" x14ac:dyDescent="0.3">
      <c r="A777" s="474"/>
      <c r="B777" s="474"/>
      <c r="C777" s="433"/>
      <c r="D777" s="433"/>
    </row>
    <row r="778" spans="1:4" thickBot="1" x14ac:dyDescent="0.3">
      <c r="A778" s="474"/>
      <c r="B778" s="474"/>
      <c r="C778" s="433"/>
      <c r="D778" s="433"/>
    </row>
    <row r="779" spans="1:4" thickBot="1" x14ac:dyDescent="0.3">
      <c r="A779" s="474"/>
      <c r="B779" s="474"/>
      <c r="C779" s="433"/>
      <c r="D779" s="433"/>
    </row>
    <row r="780" spans="1:4" thickBot="1" x14ac:dyDescent="0.3">
      <c r="A780" s="474"/>
      <c r="B780" s="474"/>
      <c r="C780" s="433"/>
      <c r="D780" s="433"/>
    </row>
    <row r="781" spans="1:4" thickBot="1" x14ac:dyDescent="0.3">
      <c r="A781" s="474"/>
      <c r="B781" s="474"/>
      <c r="C781" s="433"/>
      <c r="D781" s="433"/>
    </row>
    <row r="782" spans="1:4" thickBot="1" x14ac:dyDescent="0.3">
      <c r="A782" s="474"/>
      <c r="B782" s="474"/>
      <c r="C782" s="433"/>
      <c r="D782" s="433"/>
    </row>
    <row r="783" spans="1:4" thickBot="1" x14ac:dyDescent="0.3">
      <c r="A783" s="474"/>
      <c r="B783" s="474"/>
      <c r="C783" s="433"/>
      <c r="D783" s="433"/>
    </row>
    <row r="784" spans="1:4" thickBot="1" x14ac:dyDescent="0.3">
      <c r="A784" s="474"/>
      <c r="B784" s="474"/>
      <c r="C784" s="433"/>
      <c r="D784" s="433"/>
    </row>
    <row r="785" spans="1:4" thickBot="1" x14ac:dyDescent="0.3">
      <c r="A785" s="474"/>
      <c r="B785" s="474"/>
      <c r="C785" s="433"/>
      <c r="D785" s="433"/>
    </row>
    <row r="786" spans="1:4" thickBot="1" x14ac:dyDescent="0.3">
      <c r="A786" s="474"/>
      <c r="B786" s="474"/>
      <c r="C786" s="433"/>
      <c r="D786" s="433"/>
    </row>
    <row r="787" spans="1:4" thickBot="1" x14ac:dyDescent="0.3">
      <c r="A787" s="474"/>
      <c r="B787" s="474"/>
      <c r="C787" s="433"/>
      <c r="D787" s="433"/>
    </row>
    <row r="788" spans="1:4" thickBot="1" x14ac:dyDescent="0.3">
      <c r="A788" s="474"/>
      <c r="B788" s="474"/>
      <c r="C788" s="433"/>
      <c r="D788" s="433"/>
    </row>
    <row r="789" spans="1:4" thickBot="1" x14ac:dyDescent="0.3">
      <c r="A789" s="474"/>
      <c r="B789" s="474"/>
      <c r="C789" s="433"/>
      <c r="D789" s="433"/>
    </row>
    <row r="790" spans="1:4" thickBot="1" x14ac:dyDescent="0.3">
      <c r="A790" s="474"/>
      <c r="B790" s="474"/>
      <c r="C790" s="433"/>
      <c r="D790" s="433"/>
    </row>
    <row r="791" spans="1:4" thickBot="1" x14ac:dyDescent="0.3">
      <c r="A791" s="474"/>
      <c r="B791" s="474"/>
      <c r="C791" s="433"/>
      <c r="D791" s="433"/>
    </row>
    <row r="792" spans="1:4" thickBot="1" x14ac:dyDescent="0.3">
      <c r="A792" s="474"/>
      <c r="B792" s="474"/>
      <c r="C792" s="433"/>
      <c r="D792" s="433"/>
    </row>
    <row r="793" spans="1:4" thickBot="1" x14ac:dyDescent="0.3">
      <c r="A793" s="474"/>
      <c r="B793" s="474"/>
      <c r="C793" s="433"/>
      <c r="D793" s="433"/>
    </row>
    <row r="794" spans="1:4" thickBot="1" x14ac:dyDescent="0.3">
      <c r="A794" s="474"/>
      <c r="B794" s="474"/>
      <c r="C794" s="433"/>
      <c r="D794" s="433"/>
    </row>
    <row r="795" spans="1:4" thickBot="1" x14ac:dyDescent="0.3">
      <c r="A795" s="474"/>
      <c r="B795" s="474"/>
      <c r="C795" s="433"/>
      <c r="D795" s="433"/>
    </row>
    <row r="796" spans="1:4" thickBot="1" x14ac:dyDescent="0.3">
      <c r="A796" s="474"/>
      <c r="B796" s="474"/>
      <c r="C796" s="433"/>
      <c r="D796" s="433"/>
    </row>
    <row r="797" spans="1:4" thickBot="1" x14ac:dyDescent="0.3">
      <c r="A797" s="474"/>
      <c r="B797" s="474"/>
      <c r="C797" s="433"/>
      <c r="D797" s="433"/>
    </row>
    <row r="798" spans="1:4" thickBot="1" x14ac:dyDescent="0.3">
      <c r="A798" s="474"/>
      <c r="B798" s="474"/>
      <c r="C798" s="433"/>
      <c r="D798" s="433"/>
    </row>
    <row r="799" spans="1:4" thickBot="1" x14ac:dyDescent="0.3">
      <c r="A799" s="474"/>
      <c r="B799" s="474"/>
      <c r="C799" s="433"/>
      <c r="D799" s="433"/>
    </row>
    <row r="800" spans="1:4" thickBot="1" x14ac:dyDescent="0.3">
      <c r="A800" s="474"/>
      <c r="B800" s="474"/>
      <c r="C800" s="433"/>
      <c r="D800" s="433"/>
    </row>
    <row r="801" spans="1:4" thickBot="1" x14ac:dyDescent="0.3">
      <c r="A801" s="474"/>
      <c r="B801" s="474"/>
      <c r="C801" s="433"/>
      <c r="D801" s="433"/>
    </row>
    <row r="802" spans="1:4" thickBot="1" x14ac:dyDescent="0.3">
      <c r="A802" s="474"/>
      <c r="B802" s="474"/>
      <c r="C802" s="433"/>
      <c r="D802" s="433"/>
    </row>
    <row r="803" spans="1:4" thickBot="1" x14ac:dyDescent="0.3">
      <c r="A803" s="474"/>
      <c r="B803" s="474"/>
      <c r="C803" s="433"/>
      <c r="D803" s="433"/>
    </row>
    <row r="804" spans="1:4" thickBot="1" x14ac:dyDescent="0.3">
      <c r="A804" s="474"/>
      <c r="B804" s="474"/>
      <c r="C804" s="433"/>
      <c r="D804" s="433"/>
    </row>
    <row r="805" spans="1:4" thickBot="1" x14ac:dyDescent="0.3">
      <c r="A805" s="474"/>
      <c r="B805" s="474"/>
      <c r="C805" s="433"/>
      <c r="D805" s="433"/>
    </row>
    <row r="806" spans="1:4" thickBot="1" x14ac:dyDescent="0.3">
      <c r="A806" s="474"/>
      <c r="B806" s="474"/>
      <c r="C806" s="433"/>
      <c r="D806" s="433"/>
    </row>
    <row r="807" spans="1:4" thickBot="1" x14ac:dyDescent="0.3">
      <c r="A807" s="474"/>
      <c r="B807" s="474"/>
      <c r="C807" s="433"/>
      <c r="D807" s="433"/>
    </row>
    <row r="808" spans="1:4" thickBot="1" x14ac:dyDescent="0.3">
      <c r="A808" s="474"/>
      <c r="B808" s="474"/>
      <c r="C808" s="433"/>
      <c r="D808" s="433"/>
    </row>
    <row r="809" spans="1:4" thickBot="1" x14ac:dyDescent="0.3">
      <c r="A809" s="474"/>
      <c r="B809" s="474"/>
      <c r="C809" s="433"/>
      <c r="D809" s="433"/>
    </row>
    <row r="810" spans="1:4" thickBot="1" x14ac:dyDescent="0.3">
      <c r="A810" s="474"/>
      <c r="B810" s="474"/>
      <c r="C810" s="433"/>
      <c r="D810" s="433"/>
    </row>
    <row r="811" spans="1:4" thickBot="1" x14ac:dyDescent="0.3">
      <c r="A811" s="474"/>
      <c r="B811" s="474"/>
      <c r="C811" s="433"/>
      <c r="D811" s="433"/>
    </row>
    <row r="812" spans="1:4" thickBot="1" x14ac:dyDescent="0.3">
      <c r="A812" s="474"/>
      <c r="B812" s="474"/>
      <c r="C812" s="433"/>
      <c r="D812" s="433"/>
    </row>
    <row r="813" spans="1:4" thickBot="1" x14ac:dyDescent="0.3">
      <c r="A813" s="474"/>
      <c r="B813" s="474"/>
      <c r="C813" s="433"/>
      <c r="D813" s="433"/>
    </row>
    <row r="814" spans="1:4" thickBot="1" x14ac:dyDescent="0.3">
      <c r="A814" s="474"/>
      <c r="B814" s="474"/>
      <c r="C814" s="433"/>
      <c r="D814" s="433"/>
    </row>
    <row r="815" spans="1:4" thickBot="1" x14ac:dyDescent="0.3">
      <c r="A815" s="474"/>
      <c r="B815" s="474"/>
      <c r="C815" s="433"/>
      <c r="D815" s="433"/>
    </row>
    <row r="816" spans="1:4" thickBot="1" x14ac:dyDescent="0.3">
      <c r="A816" s="474"/>
      <c r="B816" s="474"/>
      <c r="C816" s="433"/>
      <c r="D816" s="433"/>
    </row>
    <row r="817" spans="1:4" thickBot="1" x14ac:dyDescent="0.3">
      <c r="A817" s="474"/>
      <c r="B817" s="474"/>
      <c r="C817" s="433"/>
      <c r="D817" s="433"/>
    </row>
    <row r="818" spans="1:4" thickBot="1" x14ac:dyDescent="0.3">
      <c r="A818" s="474"/>
      <c r="B818" s="474"/>
      <c r="C818" s="433"/>
      <c r="D818" s="433"/>
    </row>
    <row r="819" spans="1:4" thickBot="1" x14ac:dyDescent="0.3">
      <c r="A819" s="474"/>
      <c r="B819" s="474"/>
      <c r="C819" s="433"/>
      <c r="D819" s="433"/>
    </row>
    <row r="820" spans="1:4" thickBot="1" x14ac:dyDescent="0.3">
      <c r="A820" s="474"/>
      <c r="B820" s="474"/>
      <c r="C820" s="433"/>
      <c r="D820" s="433"/>
    </row>
    <row r="821" spans="1:4" thickBot="1" x14ac:dyDescent="0.3">
      <c r="A821" s="474"/>
      <c r="B821" s="474"/>
      <c r="C821" s="433"/>
      <c r="D821" s="433"/>
    </row>
    <row r="822" spans="1:4" thickBot="1" x14ac:dyDescent="0.3">
      <c r="A822" s="474"/>
      <c r="B822" s="474"/>
      <c r="C822" s="433"/>
      <c r="D822" s="433"/>
    </row>
    <row r="823" spans="1:4" thickBot="1" x14ac:dyDescent="0.3">
      <c r="A823" s="474"/>
      <c r="B823" s="474"/>
      <c r="C823" s="433"/>
      <c r="D823" s="433"/>
    </row>
    <row r="824" spans="1:4" thickBot="1" x14ac:dyDescent="0.3">
      <c r="A824" s="474"/>
      <c r="B824" s="474"/>
      <c r="C824" s="433"/>
      <c r="D824" s="433"/>
    </row>
    <row r="825" spans="1:4" thickBot="1" x14ac:dyDescent="0.3">
      <c r="A825" s="474"/>
      <c r="B825" s="474"/>
      <c r="C825" s="433"/>
      <c r="D825" s="433"/>
    </row>
    <row r="826" spans="1:4" thickBot="1" x14ac:dyDescent="0.3">
      <c r="A826" s="474"/>
      <c r="B826" s="474"/>
      <c r="C826" s="433"/>
      <c r="D826" s="433"/>
    </row>
    <row r="827" spans="1:4" thickBot="1" x14ac:dyDescent="0.3">
      <c r="A827" s="474"/>
      <c r="B827" s="474"/>
      <c r="C827" s="433"/>
      <c r="D827" s="433"/>
    </row>
    <row r="828" spans="1:4" thickBot="1" x14ac:dyDescent="0.3">
      <c r="A828" s="474"/>
      <c r="B828" s="474"/>
      <c r="C828" s="433"/>
      <c r="D828" s="433"/>
    </row>
    <row r="829" spans="1:4" thickBot="1" x14ac:dyDescent="0.3">
      <c r="A829" s="474"/>
      <c r="B829" s="474"/>
      <c r="C829" s="433"/>
      <c r="D829" s="433"/>
    </row>
    <row r="830" spans="1:4" thickBot="1" x14ac:dyDescent="0.3">
      <c r="A830" s="474"/>
      <c r="B830" s="474"/>
      <c r="C830" s="433"/>
      <c r="D830" s="433"/>
    </row>
    <row r="831" spans="1:4" thickBot="1" x14ac:dyDescent="0.3">
      <c r="A831" s="474"/>
      <c r="B831" s="474"/>
      <c r="C831" s="433"/>
      <c r="D831" s="433"/>
    </row>
    <row r="832" spans="1:4" thickBot="1" x14ac:dyDescent="0.3">
      <c r="A832" s="474"/>
      <c r="B832" s="474"/>
      <c r="C832" s="433"/>
      <c r="D832" s="433"/>
    </row>
    <row r="833" spans="1:4" thickBot="1" x14ac:dyDescent="0.3">
      <c r="A833" s="474"/>
      <c r="B833" s="474"/>
      <c r="C833" s="433"/>
      <c r="D833" s="433"/>
    </row>
    <row r="834" spans="1:4" thickBot="1" x14ac:dyDescent="0.3">
      <c r="A834" s="474"/>
      <c r="B834" s="474"/>
      <c r="C834" s="433"/>
      <c r="D834" s="433"/>
    </row>
    <row r="835" spans="1:4" thickBot="1" x14ac:dyDescent="0.3">
      <c r="A835" s="474"/>
      <c r="B835" s="474"/>
      <c r="C835" s="433"/>
      <c r="D835" s="433"/>
    </row>
    <row r="836" spans="1:4" thickBot="1" x14ac:dyDescent="0.3">
      <c r="A836" s="474"/>
      <c r="B836" s="474"/>
      <c r="C836" s="433"/>
      <c r="D836" s="433"/>
    </row>
    <row r="837" spans="1:4" thickBot="1" x14ac:dyDescent="0.3">
      <c r="A837" s="474"/>
      <c r="B837" s="474"/>
      <c r="C837" s="433"/>
      <c r="D837" s="433"/>
    </row>
    <row r="838" spans="1:4" thickBot="1" x14ac:dyDescent="0.3">
      <c r="A838" s="474"/>
      <c r="B838" s="474"/>
      <c r="C838" s="433"/>
      <c r="D838" s="433"/>
    </row>
    <row r="839" spans="1:4" thickBot="1" x14ac:dyDescent="0.3">
      <c r="A839" s="474"/>
      <c r="B839" s="474"/>
      <c r="C839" s="433"/>
      <c r="D839" s="433"/>
    </row>
    <row r="840" spans="1:4" thickBot="1" x14ac:dyDescent="0.3">
      <c r="A840" s="474"/>
      <c r="B840" s="474"/>
      <c r="C840" s="433"/>
      <c r="D840" s="433"/>
    </row>
    <row r="841" spans="1:4" thickBot="1" x14ac:dyDescent="0.3">
      <c r="A841" s="474"/>
      <c r="B841" s="474"/>
      <c r="C841" s="433"/>
      <c r="D841" s="433"/>
    </row>
    <row r="842" spans="1:4" thickBot="1" x14ac:dyDescent="0.3">
      <c r="A842" s="474"/>
      <c r="B842" s="474"/>
      <c r="C842" s="433"/>
      <c r="D842" s="433"/>
    </row>
    <row r="843" spans="1:4" thickBot="1" x14ac:dyDescent="0.3">
      <c r="A843" s="474"/>
      <c r="B843" s="474"/>
      <c r="C843" s="433"/>
      <c r="D843" s="433"/>
    </row>
    <row r="844" spans="1:4" thickBot="1" x14ac:dyDescent="0.3">
      <c r="A844" s="474"/>
      <c r="B844" s="474"/>
      <c r="C844" s="433"/>
      <c r="D844" s="433"/>
    </row>
    <row r="845" spans="1:4" thickBot="1" x14ac:dyDescent="0.3">
      <c r="A845" s="474"/>
      <c r="B845" s="474"/>
      <c r="C845" s="433"/>
      <c r="D845" s="433"/>
    </row>
    <row r="846" spans="1:4" thickBot="1" x14ac:dyDescent="0.3">
      <c r="A846" s="474"/>
      <c r="B846" s="474"/>
      <c r="C846" s="433"/>
      <c r="D846" s="433"/>
    </row>
    <row r="847" spans="1:4" thickBot="1" x14ac:dyDescent="0.3">
      <c r="A847" s="474"/>
      <c r="B847" s="474"/>
      <c r="C847" s="433"/>
      <c r="D847" s="433"/>
    </row>
    <row r="848" spans="1:4" thickBot="1" x14ac:dyDescent="0.3">
      <c r="A848" s="474"/>
      <c r="B848" s="474"/>
      <c r="C848" s="433"/>
      <c r="D848" s="433"/>
    </row>
    <row r="849" spans="1:4" thickBot="1" x14ac:dyDescent="0.3">
      <c r="A849" s="474"/>
      <c r="B849" s="474"/>
      <c r="C849" s="433"/>
      <c r="D849" s="433"/>
    </row>
    <row r="850" spans="1:4" thickBot="1" x14ac:dyDescent="0.3">
      <c r="A850" s="474"/>
      <c r="B850" s="474"/>
      <c r="C850" s="433"/>
      <c r="D850" s="433"/>
    </row>
    <row r="851" spans="1:4" thickBot="1" x14ac:dyDescent="0.3">
      <c r="A851" s="474"/>
      <c r="B851" s="474"/>
      <c r="C851" s="433"/>
      <c r="D851" s="433"/>
    </row>
    <row r="852" spans="1:4" thickBot="1" x14ac:dyDescent="0.3">
      <c r="A852" s="474"/>
      <c r="B852" s="474"/>
      <c r="C852" s="433"/>
      <c r="D852" s="433"/>
    </row>
    <row r="853" spans="1:4" thickBot="1" x14ac:dyDescent="0.3">
      <c r="A853" s="474"/>
      <c r="B853" s="474"/>
      <c r="C853" s="433"/>
      <c r="D853" s="433"/>
    </row>
    <row r="854" spans="1:4" thickBot="1" x14ac:dyDescent="0.3">
      <c r="A854" s="474"/>
      <c r="B854" s="474"/>
      <c r="C854" s="433"/>
      <c r="D854" s="433"/>
    </row>
    <row r="855" spans="1:4" thickBot="1" x14ac:dyDescent="0.3">
      <c r="A855" s="474"/>
      <c r="B855" s="474"/>
      <c r="C855" s="433"/>
      <c r="D855" s="433"/>
    </row>
    <row r="856" spans="1:4" thickBot="1" x14ac:dyDescent="0.3">
      <c r="A856" s="474"/>
      <c r="B856" s="474"/>
      <c r="C856" s="433"/>
      <c r="D856" s="433"/>
    </row>
    <row r="857" spans="1:4" thickBot="1" x14ac:dyDescent="0.3">
      <c r="A857" s="474"/>
      <c r="B857" s="474"/>
      <c r="C857" s="433"/>
      <c r="D857" s="433"/>
    </row>
    <row r="858" spans="1:4" thickBot="1" x14ac:dyDescent="0.3">
      <c r="A858" s="474"/>
      <c r="B858" s="474"/>
      <c r="C858" s="433"/>
      <c r="D858" s="433"/>
    </row>
    <row r="859" spans="1:4" thickBot="1" x14ac:dyDescent="0.3">
      <c r="A859" s="474"/>
      <c r="B859" s="474"/>
      <c r="C859" s="433"/>
      <c r="D859" s="433"/>
    </row>
    <row r="860" spans="1:4" thickBot="1" x14ac:dyDescent="0.3">
      <c r="A860" s="474"/>
      <c r="B860" s="474"/>
      <c r="C860" s="433"/>
      <c r="D860" s="433"/>
    </row>
    <row r="861" spans="1:4" thickBot="1" x14ac:dyDescent="0.3">
      <c r="A861" s="474"/>
      <c r="B861" s="474"/>
      <c r="C861" s="433"/>
      <c r="D861" s="433"/>
    </row>
    <row r="862" spans="1:4" thickBot="1" x14ac:dyDescent="0.3">
      <c r="A862" s="474"/>
      <c r="B862" s="474"/>
      <c r="C862" s="433"/>
      <c r="D862" s="433"/>
    </row>
    <row r="863" spans="1:4" thickBot="1" x14ac:dyDescent="0.3">
      <c r="A863" s="474"/>
      <c r="B863" s="474"/>
      <c r="C863" s="433"/>
      <c r="D863" s="433"/>
    </row>
    <row r="864" spans="1:4" thickBot="1" x14ac:dyDescent="0.3">
      <c r="A864" s="474"/>
      <c r="B864" s="474"/>
      <c r="C864" s="433"/>
      <c r="D864" s="433"/>
    </row>
    <row r="865" spans="1:4" thickBot="1" x14ac:dyDescent="0.3">
      <c r="A865" s="474"/>
      <c r="B865" s="474"/>
      <c r="C865" s="433"/>
      <c r="D865" s="433"/>
    </row>
    <row r="866" spans="1:4" thickBot="1" x14ac:dyDescent="0.3">
      <c r="A866" s="474"/>
      <c r="B866" s="474"/>
      <c r="C866" s="433"/>
      <c r="D866" s="433"/>
    </row>
    <row r="867" spans="1:4" thickBot="1" x14ac:dyDescent="0.3">
      <c r="A867" s="474"/>
      <c r="B867" s="474"/>
      <c r="C867" s="433"/>
      <c r="D867" s="433"/>
    </row>
    <row r="868" spans="1:4" thickBot="1" x14ac:dyDescent="0.3">
      <c r="A868" s="474"/>
      <c r="B868" s="474"/>
      <c r="C868" s="433"/>
      <c r="D868" s="433"/>
    </row>
    <row r="869" spans="1:4" thickBot="1" x14ac:dyDescent="0.3">
      <c r="A869" s="474"/>
      <c r="B869" s="474"/>
      <c r="C869" s="433"/>
      <c r="D869" s="433"/>
    </row>
    <row r="870" spans="1:4" thickBot="1" x14ac:dyDescent="0.3">
      <c r="A870" s="474"/>
      <c r="B870" s="474"/>
      <c r="C870" s="433"/>
      <c r="D870" s="433"/>
    </row>
    <row r="871" spans="1:4" thickBot="1" x14ac:dyDescent="0.3">
      <c r="A871" s="474"/>
      <c r="B871" s="474"/>
      <c r="C871" s="433"/>
      <c r="D871" s="433"/>
    </row>
    <row r="872" spans="1:4" thickBot="1" x14ac:dyDescent="0.3">
      <c r="A872" s="474"/>
      <c r="B872" s="474"/>
      <c r="C872" s="433"/>
      <c r="D872" s="433"/>
    </row>
    <row r="873" spans="1:4" thickBot="1" x14ac:dyDescent="0.3">
      <c r="A873" s="474"/>
      <c r="B873" s="474"/>
      <c r="C873" s="433"/>
      <c r="D873" s="433"/>
    </row>
    <row r="874" spans="1:4" thickBot="1" x14ac:dyDescent="0.3">
      <c r="A874" s="474"/>
      <c r="B874" s="474"/>
      <c r="C874" s="433"/>
      <c r="D874" s="433"/>
    </row>
    <row r="875" spans="1:4" thickBot="1" x14ac:dyDescent="0.3">
      <c r="A875" s="474"/>
      <c r="B875" s="474"/>
      <c r="C875" s="433"/>
      <c r="D875" s="433"/>
    </row>
    <row r="876" spans="1:4" thickBot="1" x14ac:dyDescent="0.3">
      <c r="A876" s="474"/>
      <c r="B876" s="474"/>
      <c r="C876" s="433"/>
      <c r="D876" s="433"/>
    </row>
    <row r="877" spans="1:4" thickBot="1" x14ac:dyDescent="0.3">
      <c r="A877" s="474"/>
      <c r="B877" s="474"/>
      <c r="C877" s="433"/>
      <c r="D877" s="433"/>
    </row>
    <row r="878" spans="1:4" thickBot="1" x14ac:dyDescent="0.3">
      <c r="A878" s="474"/>
      <c r="B878" s="474"/>
      <c r="C878" s="433"/>
      <c r="D878" s="433"/>
    </row>
    <row r="879" spans="1:4" thickBot="1" x14ac:dyDescent="0.3">
      <c r="A879" s="474"/>
      <c r="B879" s="474"/>
      <c r="C879" s="433"/>
      <c r="D879" s="433"/>
    </row>
    <row r="880" spans="1:4" thickBot="1" x14ac:dyDescent="0.3">
      <c r="A880" s="474"/>
      <c r="B880" s="474"/>
      <c r="C880" s="433"/>
      <c r="D880" s="433"/>
    </row>
    <row r="881" spans="1:4" thickBot="1" x14ac:dyDescent="0.3">
      <c r="A881" s="474"/>
      <c r="B881" s="474"/>
      <c r="C881" s="433"/>
      <c r="D881" s="433"/>
    </row>
    <row r="882" spans="1:4" thickBot="1" x14ac:dyDescent="0.3">
      <c r="A882" s="474"/>
      <c r="B882" s="474"/>
      <c r="C882" s="433"/>
      <c r="D882" s="433"/>
    </row>
    <row r="883" spans="1:4" thickBot="1" x14ac:dyDescent="0.3">
      <c r="A883" s="474"/>
      <c r="B883" s="474"/>
      <c r="C883" s="433"/>
      <c r="D883" s="433"/>
    </row>
    <row r="884" spans="1:4" thickBot="1" x14ac:dyDescent="0.3">
      <c r="A884" s="474"/>
      <c r="B884" s="474"/>
      <c r="C884" s="433"/>
      <c r="D884" s="433"/>
    </row>
    <row r="885" spans="1:4" thickBot="1" x14ac:dyDescent="0.3">
      <c r="A885" s="474"/>
      <c r="B885" s="474"/>
      <c r="C885" s="433"/>
      <c r="D885" s="433"/>
    </row>
    <row r="886" spans="1:4" thickBot="1" x14ac:dyDescent="0.3">
      <c r="A886" s="474"/>
      <c r="B886" s="474"/>
      <c r="C886" s="433"/>
      <c r="D886" s="433"/>
    </row>
    <row r="887" spans="1:4" thickBot="1" x14ac:dyDescent="0.3">
      <c r="A887" s="474"/>
      <c r="B887" s="474"/>
      <c r="C887" s="433"/>
      <c r="D887" s="433"/>
    </row>
    <row r="888" spans="1:4" thickBot="1" x14ac:dyDescent="0.3">
      <c r="A888" s="474"/>
      <c r="B888" s="474"/>
      <c r="C888" s="433"/>
      <c r="D888" s="433"/>
    </row>
    <row r="889" spans="1:4" thickBot="1" x14ac:dyDescent="0.3">
      <c r="A889" s="474"/>
      <c r="B889" s="474"/>
      <c r="C889" s="433"/>
      <c r="D889" s="433"/>
    </row>
    <row r="890" spans="1:4" thickBot="1" x14ac:dyDescent="0.3">
      <c r="A890" s="474"/>
      <c r="B890" s="474"/>
      <c r="C890" s="433"/>
      <c r="D890" s="433"/>
    </row>
    <row r="891" spans="1:4" thickBot="1" x14ac:dyDescent="0.3">
      <c r="A891" s="474"/>
      <c r="B891" s="474"/>
      <c r="C891" s="433"/>
      <c r="D891" s="433"/>
    </row>
    <row r="892" spans="1:4" thickBot="1" x14ac:dyDescent="0.3">
      <c r="A892" s="474"/>
      <c r="B892" s="474"/>
      <c r="C892" s="433"/>
      <c r="D892" s="433"/>
    </row>
    <row r="893" spans="1:4" thickBot="1" x14ac:dyDescent="0.3">
      <c r="A893" s="474"/>
      <c r="B893" s="474"/>
      <c r="C893" s="433"/>
      <c r="D893" s="433"/>
    </row>
    <row r="894" spans="1:4" thickBot="1" x14ac:dyDescent="0.3">
      <c r="A894" s="474"/>
      <c r="B894" s="474"/>
      <c r="C894" s="433"/>
      <c r="D894" s="433"/>
    </row>
    <row r="895" spans="1:4" thickBot="1" x14ac:dyDescent="0.3">
      <c r="A895" s="474"/>
      <c r="B895" s="474"/>
      <c r="C895" s="433"/>
      <c r="D895" s="433"/>
    </row>
    <row r="896" spans="1:4" thickBot="1" x14ac:dyDescent="0.3">
      <c r="A896" s="474"/>
      <c r="B896" s="474"/>
      <c r="C896" s="433"/>
      <c r="D896" s="433"/>
    </row>
    <row r="897" spans="1:4" thickBot="1" x14ac:dyDescent="0.3">
      <c r="A897" s="474"/>
      <c r="B897" s="474"/>
      <c r="C897" s="433"/>
      <c r="D897" s="433"/>
    </row>
    <row r="898" spans="1:4" thickBot="1" x14ac:dyDescent="0.3">
      <c r="A898" s="474"/>
      <c r="B898" s="474"/>
      <c r="C898" s="433"/>
      <c r="D898" s="433"/>
    </row>
    <row r="899" spans="1:4" thickBot="1" x14ac:dyDescent="0.3">
      <c r="A899" s="474"/>
      <c r="B899" s="474"/>
      <c r="C899" s="433"/>
      <c r="D899" s="433"/>
    </row>
    <row r="900" spans="1:4" thickBot="1" x14ac:dyDescent="0.3">
      <c r="A900" s="474"/>
      <c r="B900" s="474"/>
      <c r="C900" s="433"/>
      <c r="D900" s="433"/>
    </row>
    <row r="901" spans="1:4" thickBot="1" x14ac:dyDescent="0.3">
      <c r="A901" s="474"/>
      <c r="B901" s="474"/>
      <c r="C901" s="433"/>
      <c r="D901" s="433"/>
    </row>
    <row r="902" spans="1:4" thickBot="1" x14ac:dyDescent="0.3">
      <c r="A902" s="474"/>
      <c r="B902" s="474"/>
      <c r="C902" s="433"/>
      <c r="D902" s="433"/>
    </row>
    <row r="903" spans="1:4" thickBot="1" x14ac:dyDescent="0.3">
      <c r="A903" s="474"/>
      <c r="B903" s="474"/>
      <c r="C903" s="433"/>
      <c r="D903" s="433"/>
    </row>
    <row r="904" spans="1:4" thickBot="1" x14ac:dyDescent="0.3">
      <c r="A904" s="474"/>
      <c r="B904" s="474"/>
      <c r="C904" s="433"/>
      <c r="D904" s="433"/>
    </row>
    <row r="905" spans="1:4" thickBot="1" x14ac:dyDescent="0.3">
      <c r="A905" s="474"/>
      <c r="B905" s="474"/>
      <c r="C905" s="433"/>
      <c r="D905" s="433"/>
    </row>
    <row r="906" spans="1:4" thickBot="1" x14ac:dyDescent="0.3">
      <c r="A906" s="474"/>
      <c r="B906" s="474"/>
      <c r="C906" s="433"/>
      <c r="D906" s="433"/>
    </row>
    <row r="907" spans="1:4" thickBot="1" x14ac:dyDescent="0.3">
      <c r="A907" s="474"/>
      <c r="B907" s="474"/>
      <c r="C907" s="433"/>
      <c r="D907" s="433"/>
    </row>
    <row r="908" spans="1:4" thickBot="1" x14ac:dyDescent="0.3">
      <c r="A908" s="474"/>
      <c r="B908" s="474"/>
      <c r="C908" s="433"/>
      <c r="D908" s="433"/>
    </row>
    <row r="909" spans="1:4" thickBot="1" x14ac:dyDescent="0.3">
      <c r="A909" s="474"/>
      <c r="B909" s="474"/>
      <c r="C909" s="433"/>
      <c r="D909" s="433"/>
    </row>
    <row r="910" spans="1:4" thickBot="1" x14ac:dyDescent="0.3">
      <c r="A910" s="474"/>
      <c r="B910" s="474"/>
      <c r="C910" s="433"/>
      <c r="D910" s="433"/>
    </row>
    <row r="911" spans="1:4" thickBot="1" x14ac:dyDescent="0.3">
      <c r="A911" s="474"/>
      <c r="B911" s="474"/>
      <c r="C911" s="433"/>
      <c r="D911" s="433"/>
    </row>
    <row r="912" spans="1:4" thickBot="1" x14ac:dyDescent="0.3">
      <c r="A912" s="474"/>
      <c r="B912" s="474"/>
      <c r="C912" s="433"/>
      <c r="D912" s="433"/>
    </row>
    <row r="913" spans="1:4" thickBot="1" x14ac:dyDescent="0.3">
      <c r="A913" s="474"/>
      <c r="B913" s="474"/>
      <c r="C913" s="433"/>
      <c r="D913" s="433"/>
    </row>
    <row r="914" spans="1:4" thickBot="1" x14ac:dyDescent="0.3">
      <c r="A914" s="474"/>
      <c r="B914" s="474"/>
      <c r="C914" s="433"/>
      <c r="D914" s="433"/>
    </row>
    <row r="915" spans="1:4" thickBot="1" x14ac:dyDescent="0.3">
      <c r="A915" s="474"/>
      <c r="B915" s="474"/>
      <c r="C915" s="433"/>
      <c r="D915" s="433"/>
    </row>
    <row r="916" spans="1:4" thickBot="1" x14ac:dyDescent="0.3">
      <c r="A916" s="474"/>
      <c r="B916" s="474"/>
      <c r="C916" s="433"/>
      <c r="D916" s="433"/>
    </row>
    <row r="917" spans="1:4" thickBot="1" x14ac:dyDescent="0.3">
      <c r="A917" s="474"/>
      <c r="B917" s="474"/>
      <c r="C917" s="433"/>
      <c r="D917" s="433"/>
    </row>
    <row r="918" spans="1:4" thickBot="1" x14ac:dyDescent="0.3">
      <c r="A918" s="474"/>
      <c r="B918" s="474"/>
      <c r="C918" s="433"/>
      <c r="D918" s="433"/>
    </row>
    <row r="919" spans="1:4" thickBot="1" x14ac:dyDescent="0.3">
      <c r="A919" s="474"/>
      <c r="B919" s="474"/>
      <c r="C919" s="433"/>
      <c r="D919" s="433"/>
    </row>
    <row r="920" spans="1:4" thickBot="1" x14ac:dyDescent="0.3">
      <c r="A920" s="474"/>
      <c r="B920" s="474"/>
      <c r="C920" s="433"/>
      <c r="D920" s="433"/>
    </row>
    <row r="921" spans="1:4" thickBot="1" x14ac:dyDescent="0.3">
      <c r="A921" s="474"/>
      <c r="B921" s="474"/>
      <c r="C921" s="433"/>
      <c r="D921" s="433"/>
    </row>
    <row r="922" spans="1:4" thickBot="1" x14ac:dyDescent="0.3">
      <c r="A922" s="474"/>
      <c r="B922" s="474"/>
      <c r="C922" s="433"/>
      <c r="D922" s="433"/>
    </row>
    <row r="923" spans="1:4" thickBot="1" x14ac:dyDescent="0.3">
      <c r="A923" s="474"/>
      <c r="B923" s="474"/>
      <c r="C923" s="433"/>
      <c r="D923" s="433"/>
    </row>
    <row r="924" spans="1:4" thickBot="1" x14ac:dyDescent="0.3">
      <c r="A924" s="474"/>
      <c r="B924" s="474"/>
      <c r="C924" s="433"/>
      <c r="D924" s="433"/>
    </row>
    <row r="925" spans="1:4" thickBot="1" x14ac:dyDescent="0.3">
      <c r="A925" s="474"/>
      <c r="B925" s="474"/>
      <c r="C925" s="433"/>
      <c r="D925" s="433"/>
    </row>
    <row r="926" spans="1:4" thickBot="1" x14ac:dyDescent="0.3">
      <c r="A926" s="474"/>
      <c r="B926" s="474"/>
      <c r="C926" s="433"/>
      <c r="D926" s="433"/>
    </row>
    <row r="927" spans="1:4" thickBot="1" x14ac:dyDescent="0.3">
      <c r="A927" s="474"/>
      <c r="B927" s="474"/>
      <c r="C927" s="433"/>
      <c r="D927" s="433"/>
    </row>
    <row r="928" spans="1:4" thickBot="1" x14ac:dyDescent="0.3">
      <c r="A928" s="474"/>
      <c r="B928" s="474"/>
      <c r="C928" s="433"/>
      <c r="D928" s="433"/>
    </row>
    <row r="929" spans="1:4" thickBot="1" x14ac:dyDescent="0.3">
      <c r="A929" s="474"/>
      <c r="B929" s="474"/>
      <c r="C929" s="433"/>
      <c r="D929" s="433"/>
    </row>
    <row r="930" spans="1:4" thickBot="1" x14ac:dyDescent="0.3">
      <c r="A930" s="474"/>
      <c r="B930" s="474"/>
      <c r="C930" s="433"/>
      <c r="D930" s="433"/>
    </row>
    <row r="931" spans="1:4" thickBot="1" x14ac:dyDescent="0.3">
      <c r="A931" s="474"/>
      <c r="B931" s="474"/>
      <c r="C931" s="433"/>
      <c r="D931" s="433"/>
    </row>
    <row r="932" spans="1:4" thickBot="1" x14ac:dyDescent="0.3">
      <c r="A932" s="474"/>
      <c r="B932" s="474"/>
      <c r="C932" s="433"/>
      <c r="D932" s="433"/>
    </row>
    <row r="933" spans="1:4" thickBot="1" x14ac:dyDescent="0.3">
      <c r="A933" s="474"/>
      <c r="B933" s="474"/>
      <c r="C933" s="433"/>
      <c r="D933" s="433"/>
    </row>
    <row r="934" spans="1:4" thickBot="1" x14ac:dyDescent="0.3">
      <c r="A934" s="474"/>
      <c r="B934" s="474"/>
      <c r="C934" s="433"/>
      <c r="D934" s="433"/>
    </row>
    <row r="935" spans="1:4" thickBot="1" x14ac:dyDescent="0.3">
      <c r="A935" s="474"/>
      <c r="B935" s="474"/>
      <c r="C935" s="433"/>
      <c r="D935" s="433"/>
    </row>
    <row r="936" spans="1:4" thickBot="1" x14ac:dyDescent="0.3">
      <c r="A936" s="474"/>
      <c r="B936" s="474"/>
      <c r="C936" s="433"/>
      <c r="D936" s="433"/>
    </row>
    <row r="937" spans="1:4" thickBot="1" x14ac:dyDescent="0.3">
      <c r="A937" s="474"/>
      <c r="B937" s="474"/>
      <c r="C937" s="433"/>
      <c r="D937" s="433"/>
    </row>
    <row r="938" spans="1:4" thickBot="1" x14ac:dyDescent="0.3">
      <c r="A938" s="474"/>
      <c r="B938" s="474"/>
      <c r="C938" s="433"/>
      <c r="D938" s="433"/>
    </row>
    <row r="939" spans="1:4" thickBot="1" x14ac:dyDescent="0.3">
      <c r="A939" s="474"/>
      <c r="B939" s="474"/>
      <c r="C939" s="433"/>
      <c r="D939" s="433"/>
    </row>
    <row r="940" spans="1:4" thickBot="1" x14ac:dyDescent="0.3">
      <c r="A940" s="474"/>
      <c r="B940" s="474"/>
      <c r="C940" s="433"/>
      <c r="D940" s="433"/>
    </row>
    <row r="941" spans="1:4" thickBot="1" x14ac:dyDescent="0.3">
      <c r="A941" s="474"/>
      <c r="B941" s="474"/>
      <c r="C941" s="433"/>
      <c r="D941" s="433"/>
    </row>
    <row r="942" spans="1:4" thickBot="1" x14ac:dyDescent="0.3">
      <c r="A942" s="474"/>
      <c r="B942" s="474"/>
      <c r="C942" s="433"/>
      <c r="D942" s="433"/>
    </row>
    <row r="943" spans="1:4" thickBot="1" x14ac:dyDescent="0.3">
      <c r="A943" s="474"/>
      <c r="B943" s="474"/>
      <c r="C943" s="433"/>
      <c r="D943" s="433"/>
    </row>
    <row r="944" spans="1:4" thickBot="1" x14ac:dyDescent="0.3">
      <c r="A944" s="474"/>
      <c r="B944" s="474"/>
      <c r="C944" s="433"/>
      <c r="D944" s="433"/>
    </row>
    <row r="945" spans="1:4" thickBot="1" x14ac:dyDescent="0.3">
      <c r="A945" s="474"/>
      <c r="B945" s="474"/>
      <c r="C945" s="433"/>
      <c r="D945" s="433"/>
    </row>
    <row r="946" spans="1:4" thickBot="1" x14ac:dyDescent="0.3">
      <c r="A946" s="474"/>
      <c r="B946" s="474"/>
      <c r="C946" s="433"/>
      <c r="D946" s="433"/>
    </row>
    <row r="947" spans="1:4" thickBot="1" x14ac:dyDescent="0.3">
      <c r="A947" s="474"/>
      <c r="B947" s="474"/>
      <c r="C947" s="433"/>
      <c r="D947" s="433"/>
    </row>
    <row r="948" spans="1:4" thickBot="1" x14ac:dyDescent="0.3">
      <c r="A948" s="474"/>
      <c r="B948" s="474"/>
      <c r="C948" s="433"/>
      <c r="D948" s="433"/>
    </row>
    <row r="949" spans="1:4" thickBot="1" x14ac:dyDescent="0.3">
      <c r="A949" s="474"/>
      <c r="B949" s="474"/>
      <c r="C949" s="433"/>
      <c r="D949" s="433"/>
    </row>
    <row r="950" spans="1:4" thickBot="1" x14ac:dyDescent="0.3">
      <c r="A950" s="474"/>
      <c r="B950" s="474"/>
      <c r="C950" s="433"/>
      <c r="D950" s="433"/>
    </row>
    <row r="951" spans="1:4" thickBot="1" x14ac:dyDescent="0.3">
      <c r="A951" s="474"/>
      <c r="B951" s="474"/>
      <c r="C951" s="433"/>
      <c r="D951" s="433"/>
    </row>
    <row r="952" spans="1:4" thickBot="1" x14ac:dyDescent="0.3">
      <c r="A952" s="474"/>
      <c r="B952" s="474"/>
      <c r="C952" s="433"/>
      <c r="D952" s="433"/>
    </row>
    <row r="953" spans="1:4" thickBot="1" x14ac:dyDescent="0.3">
      <c r="A953" s="474"/>
      <c r="B953" s="474"/>
      <c r="C953" s="433"/>
      <c r="D953" s="433"/>
    </row>
    <row r="954" spans="1:4" thickBot="1" x14ac:dyDescent="0.3">
      <c r="A954" s="474"/>
      <c r="B954" s="474"/>
      <c r="C954" s="433"/>
      <c r="D954" s="433"/>
    </row>
    <row r="955" spans="1:4" thickBot="1" x14ac:dyDescent="0.3">
      <c r="A955" s="474"/>
      <c r="B955" s="474"/>
      <c r="C955" s="433"/>
      <c r="D955" s="433"/>
    </row>
    <row r="956" spans="1:4" thickBot="1" x14ac:dyDescent="0.3">
      <c r="A956" s="474"/>
      <c r="B956" s="474"/>
      <c r="C956" s="433"/>
      <c r="D956" s="433"/>
    </row>
    <row r="957" spans="1:4" thickBot="1" x14ac:dyDescent="0.3">
      <c r="A957" s="474"/>
      <c r="B957" s="474"/>
      <c r="C957" s="433"/>
      <c r="D957" s="433"/>
    </row>
    <row r="958" spans="1:4" thickBot="1" x14ac:dyDescent="0.3">
      <c r="A958" s="474"/>
      <c r="B958" s="474"/>
      <c r="C958" s="433"/>
      <c r="D958" s="433"/>
    </row>
    <row r="959" spans="1:4" thickBot="1" x14ac:dyDescent="0.3">
      <c r="A959" s="474"/>
      <c r="B959" s="474"/>
      <c r="C959" s="433"/>
      <c r="D959" s="433"/>
    </row>
    <row r="960" spans="1:4" thickBot="1" x14ac:dyDescent="0.3">
      <c r="A960" s="474"/>
      <c r="B960" s="474"/>
      <c r="C960" s="433"/>
      <c r="D960" s="433"/>
    </row>
    <row r="961" spans="1:4" thickBot="1" x14ac:dyDescent="0.3">
      <c r="A961" s="474"/>
      <c r="B961" s="474"/>
      <c r="C961" s="433"/>
      <c r="D961" s="433"/>
    </row>
    <row r="962" spans="1:4" thickBot="1" x14ac:dyDescent="0.3">
      <c r="A962" s="474"/>
      <c r="B962" s="474"/>
      <c r="C962" s="433"/>
      <c r="D962" s="433"/>
    </row>
    <row r="963" spans="1:4" thickBot="1" x14ac:dyDescent="0.3">
      <c r="A963" s="474"/>
      <c r="B963" s="474"/>
      <c r="C963" s="433"/>
      <c r="D963" s="433"/>
    </row>
  </sheetData>
  <mergeCells count="19">
    <mergeCell ref="A151:B151"/>
    <mergeCell ref="A124:B124"/>
    <mergeCell ref="A125:B125"/>
    <mergeCell ref="A126:B126"/>
    <mergeCell ref="A127:B127"/>
    <mergeCell ref="A128:B128"/>
    <mergeCell ref="A129:B129"/>
    <mergeCell ref="A103:B103"/>
    <mergeCell ref="A3:D3"/>
    <mergeCell ref="A26:B26"/>
    <mergeCell ref="A38:B38"/>
    <mergeCell ref="A39:B39"/>
    <mergeCell ref="A83:B83"/>
    <mergeCell ref="A85:B85"/>
    <mergeCell ref="A89:B89"/>
    <mergeCell ref="A92:B92"/>
    <mergeCell ref="A95:B95"/>
    <mergeCell ref="A101:B101"/>
    <mergeCell ref="A102:B102"/>
  </mergeCells>
  <pageMargins left="0.7" right="0.7" top="0.75" bottom="0.75" header="0.3" footer="0.3"/>
  <pageSetup paperSize="9" scale="4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6"/>
  <sheetViews>
    <sheetView view="pageBreakPreview" zoomScale="82" zoomScaleNormal="100" zoomScaleSheetLayoutView="82" workbookViewId="0"/>
  </sheetViews>
  <sheetFormatPr defaultRowHeight="19.5" thickBottom="1" x14ac:dyDescent="0.35"/>
  <cols>
    <col min="1" max="1" width="84.42578125" style="533" customWidth="1"/>
    <col min="2" max="2" width="18.28515625" style="533" customWidth="1"/>
    <col min="3" max="4" width="21.42578125" style="534" customWidth="1"/>
    <col min="5" max="6" width="14.5703125" style="483" customWidth="1"/>
    <col min="7" max="41" width="9.140625" style="483"/>
    <col min="42" max="42" width="9.140625" style="530"/>
    <col min="43" max="16384" width="9.140625" style="531"/>
  </cols>
  <sheetData>
    <row r="1" spans="1:42" s="482" customFormat="1" ht="18.75" x14ac:dyDescent="0.3">
      <c r="A1" s="429" t="s">
        <v>970</v>
      </c>
      <c r="B1" s="480"/>
      <c r="C1" s="481"/>
      <c r="D1" s="481"/>
    </row>
    <row r="2" spans="1:42" s="483" customFormat="1" ht="18.75" x14ac:dyDescent="0.3">
      <c r="A2" s="480"/>
      <c r="B2" s="480"/>
      <c r="C2" s="481"/>
      <c r="D2" s="481"/>
    </row>
    <row r="3" spans="1:42" s="483" customFormat="1" ht="41.25" customHeight="1" x14ac:dyDescent="0.3">
      <c r="A3" s="899" t="s">
        <v>743</v>
      </c>
      <c r="B3" s="899"/>
      <c r="C3" s="899"/>
      <c r="D3" s="899"/>
    </row>
    <row r="4" spans="1:42" s="483" customFormat="1" ht="18.75" x14ac:dyDescent="0.3">
      <c r="C4" s="481"/>
      <c r="D4" s="481"/>
    </row>
    <row r="5" spans="1:42" s="484" customFormat="1" thickBot="1" x14ac:dyDescent="0.35">
      <c r="A5" s="483"/>
      <c r="B5" s="483"/>
      <c r="C5" s="421"/>
      <c r="D5" s="421"/>
      <c r="E5" s="421"/>
      <c r="F5" s="421" t="s">
        <v>308</v>
      </c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</row>
    <row r="6" spans="1:42" s="442" customFormat="1" ht="66.75" customHeight="1" thickBot="1" x14ac:dyDescent="0.35">
      <c r="A6" s="485" t="s">
        <v>583</v>
      </c>
      <c r="B6" s="486"/>
      <c r="C6" s="487" t="s">
        <v>443</v>
      </c>
      <c r="D6" s="487" t="s">
        <v>444</v>
      </c>
      <c r="E6" s="487" t="s">
        <v>741</v>
      </c>
      <c r="F6" s="487" t="s">
        <v>742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1"/>
    </row>
    <row r="7" spans="1:42" s="442" customFormat="1" ht="33" customHeight="1" thickBot="1" x14ac:dyDescent="0.35">
      <c r="A7" s="488" t="s">
        <v>744</v>
      </c>
      <c r="B7" s="489"/>
      <c r="C7" s="490"/>
      <c r="D7" s="490"/>
      <c r="E7" s="490"/>
      <c r="F7" s="775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1"/>
    </row>
    <row r="8" spans="1:42" s="449" customFormat="1" ht="22.5" customHeight="1" thickBot="1" x14ac:dyDescent="0.3">
      <c r="A8" s="519" t="s">
        <v>596</v>
      </c>
      <c r="B8" s="492"/>
      <c r="C8" s="493">
        <v>120</v>
      </c>
      <c r="D8" s="493">
        <v>120</v>
      </c>
      <c r="E8" s="493">
        <v>129</v>
      </c>
      <c r="F8" s="541">
        <f>E8/D8</f>
        <v>1.075</v>
      </c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8"/>
    </row>
    <row r="9" spans="1:42" s="449" customFormat="1" ht="22.5" customHeight="1" thickBot="1" x14ac:dyDescent="0.3">
      <c r="A9" s="494" t="s">
        <v>548</v>
      </c>
      <c r="B9" s="492"/>
      <c r="C9" s="493"/>
      <c r="D9" s="493"/>
      <c r="E9" s="493"/>
      <c r="F9" s="541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8"/>
    </row>
    <row r="10" spans="1:42" s="449" customFormat="1" ht="30.75" customHeight="1" thickBot="1" x14ac:dyDescent="0.3">
      <c r="A10" s="494" t="s">
        <v>598</v>
      </c>
      <c r="B10" s="492">
        <v>120</v>
      </c>
      <c r="C10" s="493"/>
      <c r="D10" s="493"/>
      <c r="E10" s="493"/>
      <c r="F10" s="541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8"/>
    </row>
    <row r="11" spans="1:42" s="449" customFormat="1" ht="25.5" customHeight="1" thickBot="1" x14ac:dyDescent="0.3">
      <c r="A11" s="519" t="s">
        <v>630</v>
      </c>
      <c r="B11" s="492"/>
      <c r="C11" s="493">
        <v>13984</v>
      </c>
      <c r="D11" s="493">
        <v>16564</v>
      </c>
      <c r="E11" s="493">
        <v>16332</v>
      </c>
      <c r="F11" s="541">
        <f>E11/D11</f>
        <v>0.98599372132335183</v>
      </c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8"/>
    </row>
    <row r="12" spans="1:42" s="449" customFormat="1" ht="25.5" customHeight="1" thickBot="1" x14ac:dyDescent="0.3">
      <c r="A12" s="494" t="s">
        <v>631</v>
      </c>
      <c r="B12" s="492">
        <v>16332</v>
      </c>
      <c r="C12" s="493"/>
      <c r="D12" s="493"/>
      <c r="E12" s="493"/>
      <c r="F12" s="541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8"/>
    </row>
    <row r="13" spans="1:42" s="644" customFormat="1" ht="51" customHeight="1" thickBot="1" x14ac:dyDescent="0.3">
      <c r="A13" s="733" t="s">
        <v>682</v>
      </c>
      <c r="B13" s="673"/>
      <c r="C13" s="671">
        <v>737</v>
      </c>
      <c r="D13" s="671">
        <v>737</v>
      </c>
      <c r="E13" s="671">
        <v>442</v>
      </c>
      <c r="F13" s="541">
        <f t="shared" ref="F13:F14" si="0">E13/D13</f>
        <v>0.59972862957937589</v>
      </c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3"/>
    </row>
    <row r="14" spans="1:42" s="644" customFormat="1" ht="34.5" customHeight="1" thickBot="1" x14ac:dyDescent="0.3">
      <c r="A14" s="733" t="s">
        <v>683</v>
      </c>
      <c r="B14" s="673"/>
      <c r="C14" s="671">
        <v>1474</v>
      </c>
      <c r="D14" s="671">
        <v>1474</v>
      </c>
      <c r="E14" s="671">
        <v>1938</v>
      </c>
      <c r="F14" s="541">
        <f t="shared" si="0"/>
        <v>1.3147896879240162</v>
      </c>
      <c r="G14" s="642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  <c r="AF14" s="642"/>
      <c r="AG14" s="642"/>
      <c r="AH14" s="642"/>
      <c r="AI14" s="642"/>
      <c r="AJ14" s="642"/>
      <c r="AK14" s="642"/>
      <c r="AL14" s="642"/>
      <c r="AM14" s="642"/>
      <c r="AN14" s="642"/>
      <c r="AO14" s="642"/>
      <c r="AP14" s="643"/>
    </row>
    <row r="15" spans="1:42" s="650" customFormat="1" ht="16.5" thickBot="1" x14ac:dyDescent="0.3">
      <c r="A15" s="733" t="s">
        <v>695</v>
      </c>
      <c r="B15" s="673"/>
      <c r="C15" s="671">
        <v>667</v>
      </c>
      <c r="D15" s="671">
        <v>667</v>
      </c>
      <c r="E15" s="671">
        <v>647</v>
      </c>
      <c r="F15" s="541">
        <f>E15/D15</f>
        <v>0.97001499250374812</v>
      </c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8"/>
      <c r="T15" s="648"/>
      <c r="U15" s="648"/>
      <c r="V15" s="648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8"/>
      <c r="AK15" s="648"/>
      <c r="AL15" s="648"/>
      <c r="AM15" s="648"/>
      <c r="AN15" s="648"/>
      <c r="AO15" s="648"/>
      <c r="AP15" s="649"/>
    </row>
    <row r="16" spans="1:42" s="650" customFormat="1" ht="44.25" customHeight="1" thickBot="1" x14ac:dyDescent="0.3">
      <c r="A16" s="733" t="s">
        <v>713</v>
      </c>
      <c r="B16" s="673"/>
      <c r="C16" s="671">
        <v>21084</v>
      </c>
      <c r="D16" s="671">
        <v>21084</v>
      </c>
      <c r="E16" s="671">
        <f>SUM(B17:B18)</f>
        <v>21149</v>
      </c>
      <c r="F16" s="541">
        <f>E16/D16</f>
        <v>1.0030829064693607</v>
      </c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9"/>
    </row>
    <row r="17" spans="1:42" s="449" customFormat="1" ht="24" customHeight="1" thickBot="1" x14ac:dyDescent="0.3">
      <c r="A17" s="494" t="s">
        <v>714</v>
      </c>
      <c r="B17" s="492">
        <v>3312</v>
      </c>
      <c r="C17" s="493"/>
      <c r="D17" s="493"/>
      <c r="E17" s="493"/>
      <c r="F17" s="541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8"/>
    </row>
    <row r="18" spans="1:42" s="449" customFormat="1" ht="24" customHeight="1" thickBot="1" x14ac:dyDescent="0.3">
      <c r="A18" s="494" t="s">
        <v>715</v>
      </c>
      <c r="B18" s="492">
        <v>17837</v>
      </c>
      <c r="C18" s="493"/>
      <c r="D18" s="493"/>
      <c r="E18" s="493"/>
      <c r="F18" s="541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8"/>
    </row>
    <row r="19" spans="1:42" s="644" customFormat="1" ht="39.75" customHeight="1" thickBot="1" x14ac:dyDescent="0.3">
      <c r="A19" s="669" t="s">
        <v>684</v>
      </c>
      <c r="B19" s="696"/>
      <c r="C19" s="671"/>
      <c r="D19" s="708">
        <v>967</v>
      </c>
      <c r="E19" s="671">
        <v>967</v>
      </c>
      <c r="F19" s="541">
        <f>E19/D19</f>
        <v>1</v>
      </c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2"/>
      <c r="X19" s="642"/>
      <c r="Y19" s="642"/>
      <c r="Z19" s="642"/>
      <c r="AA19" s="642"/>
      <c r="AB19" s="642"/>
      <c r="AC19" s="642"/>
      <c r="AD19" s="642"/>
      <c r="AE19" s="642"/>
      <c r="AF19" s="642"/>
      <c r="AG19" s="642"/>
      <c r="AH19" s="642"/>
      <c r="AI19" s="642"/>
      <c r="AJ19" s="642"/>
      <c r="AK19" s="642"/>
      <c r="AL19" s="642"/>
      <c r="AM19" s="642"/>
      <c r="AN19" s="642"/>
      <c r="AO19" s="643"/>
    </row>
    <row r="20" spans="1:42" s="704" customFormat="1" ht="42" customHeight="1" thickBot="1" x14ac:dyDescent="0.3">
      <c r="A20" s="669" t="s">
        <v>686</v>
      </c>
      <c r="B20" s="697"/>
      <c r="C20" s="701"/>
      <c r="D20" s="671">
        <f>1355+69</f>
        <v>1424</v>
      </c>
      <c r="E20" s="701">
        <v>1424</v>
      </c>
      <c r="F20" s="541">
        <f>E20/D20</f>
        <v>1</v>
      </c>
      <c r="G20" s="702"/>
      <c r="H20" s="702"/>
      <c r="I20" s="702"/>
      <c r="J20" s="702"/>
      <c r="K20" s="702"/>
      <c r="L20" s="702"/>
      <c r="M20" s="702"/>
      <c r="N20" s="702"/>
      <c r="O20" s="702"/>
      <c r="P20" s="702"/>
      <c r="Q20" s="702"/>
      <c r="R20" s="702"/>
      <c r="S20" s="702"/>
      <c r="T20" s="702"/>
      <c r="U20" s="702"/>
      <c r="V20" s="702"/>
      <c r="W20" s="702"/>
      <c r="X20" s="702"/>
      <c r="Y20" s="702"/>
      <c r="Z20" s="702"/>
      <c r="AA20" s="702"/>
      <c r="AB20" s="702"/>
      <c r="AC20" s="702"/>
      <c r="AD20" s="702"/>
      <c r="AE20" s="702"/>
      <c r="AF20" s="702"/>
      <c r="AG20" s="702"/>
      <c r="AH20" s="702"/>
      <c r="AI20" s="702"/>
      <c r="AJ20" s="702"/>
      <c r="AK20" s="702"/>
      <c r="AL20" s="702"/>
      <c r="AM20" s="702"/>
      <c r="AN20" s="702"/>
      <c r="AO20" s="703"/>
    </row>
    <row r="21" spans="1:42" s="502" customFormat="1" ht="30" customHeight="1" thickBot="1" x14ac:dyDescent="0.3">
      <c r="A21" s="519" t="s">
        <v>745</v>
      </c>
      <c r="B21" s="498"/>
      <c r="C21" s="499"/>
      <c r="D21" s="493">
        <v>1980</v>
      </c>
      <c r="E21" s="499">
        <v>1986</v>
      </c>
      <c r="F21" s="541">
        <f>E21/D21</f>
        <v>1.0030303030303029</v>
      </c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1"/>
    </row>
    <row r="22" spans="1:42" s="650" customFormat="1" ht="35.25" customHeight="1" thickBot="1" x14ac:dyDescent="0.3">
      <c r="A22" s="669" t="s">
        <v>726</v>
      </c>
      <c r="B22" s="673"/>
      <c r="C22" s="671">
        <v>2362</v>
      </c>
      <c r="D22" s="671">
        <f>2362-2362</f>
        <v>0</v>
      </c>
      <c r="E22" s="671">
        <v>0</v>
      </c>
      <c r="F22" s="541">
        <f>2362-2362</f>
        <v>0</v>
      </c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8"/>
      <c r="AH22" s="648"/>
      <c r="AI22" s="648"/>
      <c r="AJ22" s="648"/>
      <c r="AK22" s="648"/>
      <c r="AL22" s="648"/>
      <c r="AM22" s="648"/>
      <c r="AN22" s="648"/>
      <c r="AO22" s="648"/>
      <c r="AP22" s="649"/>
    </row>
    <row r="23" spans="1:42" s="455" customFormat="1" ht="31.5" customHeight="1" thickBot="1" x14ac:dyDescent="0.35">
      <c r="A23" s="503" t="s">
        <v>746</v>
      </c>
      <c r="B23" s="504"/>
      <c r="C23" s="505">
        <f>SUM(C8:C22)</f>
        <v>40428</v>
      </c>
      <c r="D23" s="505">
        <f>SUM(D8:D22)</f>
        <v>45017</v>
      </c>
      <c r="E23" s="505">
        <f>SUM(E8:E22)</f>
        <v>45014</v>
      </c>
      <c r="F23" s="543">
        <f>E23/D23</f>
        <v>0.99993335850900766</v>
      </c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4"/>
    </row>
    <row r="24" spans="1:42" s="455" customFormat="1" ht="31.5" customHeight="1" thickBot="1" x14ac:dyDescent="0.35">
      <c r="A24" s="506"/>
      <c r="B24" s="507"/>
      <c r="C24" s="508"/>
      <c r="D24" s="509"/>
      <c r="E24" s="508"/>
      <c r="F24" s="544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4"/>
    </row>
    <row r="25" spans="1:42" s="442" customFormat="1" ht="33" customHeight="1" thickBot="1" x14ac:dyDescent="0.35">
      <c r="A25" s="488" t="s">
        <v>747</v>
      </c>
      <c r="B25" s="489"/>
      <c r="C25" s="491"/>
      <c r="D25" s="491"/>
      <c r="E25" s="491"/>
      <c r="F25" s="545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1"/>
    </row>
    <row r="26" spans="1:42" s="449" customFormat="1" ht="22.5" customHeight="1" thickBot="1" x14ac:dyDescent="0.3">
      <c r="A26" s="519" t="s">
        <v>596</v>
      </c>
      <c r="B26" s="492"/>
      <c r="C26" s="493">
        <v>32</v>
      </c>
      <c r="D26" s="493">
        <v>32</v>
      </c>
      <c r="E26" s="493">
        <v>31</v>
      </c>
      <c r="F26" s="541">
        <f>E26/D26</f>
        <v>0.96875</v>
      </c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8"/>
    </row>
    <row r="27" spans="1:42" s="449" customFormat="1" ht="22.5" customHeight="1" thickBot="1" x14ac:dyDescent="0.3">
      <c r="A27" s="494" t="s">
        <v>548</v>
      </c>
      <c r="B27" s="492"/>
      <c r="C27" s="493"/>
      <c r="D27" s="493"/>
      <c r="E27" s="493"/>
      <c r="F27" s="541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8"/>
    </row>
    <row r="28" spans="1:42" s="449" customFormat="1" ht="30.75" customHeight="1" thickBot="1" x14ac:dyDescent="0.3">
      <c r="A28" s="494" t="s">
        <v>748</v>
      </c>
      <c r="B28" s="492">
        <v>31</v>
      </c>
      <c r="C28" s="493"/>
      <c r="D28" s="493"/>
      <c r="E28" s="493"/>
      <c r="F28" s="541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8"/>
    </row>
    <row r="29" spans="1:42" s="449" customFormat="1" ht="25.5" customHeight="1" thickBot="1" x14ac:dyDescent="0.3">
      <c r="A29" s="519" t="s">
        <v>630</v>
      </c>
      <c r="B29" s="492"/>
      <c r="C29" s="493">
        <v>3849</v>
      </c>
      <c r="D29" s="493">
        <v>4209</v>
      </c>
      <c r="E29" s="493">
        <v>4436</v>
      </c>
      <c r="F29" s="541">
        <f>E29/D29</f>
        <v>1.0539320503682585</v>
      </c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8"/>
    </row>
    <row r="30" spans="1:42" s="449" customFormat="1" ht="25.5" customHeight="1" thickBot="1" x14ac:dyDescent="0.3">
      <c r="A30" s="494" t="s">
        <v>631</v>
      </c>
      <c r="B30" s="492">
        <v>4436</v>
      </c>
      <c r="C30" s="493"/>
      <c r="D30" s="493"/>
      <c r="E30" s="493"/>
      <c r="F30" s="541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8"/>
    </row>
    <row r="31" spans="1:42" s="644" customFormat="1" ht="51" customHeight="1" thickBot="1" x14ac:dyDescent="0.3">
      <c r="A31" s="733" t="s">
        <v>682</v>
      </c>
      <c r="B31" s="673"/>
      <c r="C31" s="671">
        <v>263</v>
      </c>
      <c r="D31" s="671">
        <v>263</v>
      </c>
      <c r="E31" s="671">
        <v>155</v>
      </c>
      <c r="F31" s="541">
        <f>E31/D31</f>
        <v>0.58935361216730042</v>
      </c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  <c r="AF31" s="642"/>
      <c r="AG31" s="642"/>
      <c r="AH31" s="642"/>
      <c r="AI31" s="642"/>
      <c r="AJ31" s="642"/>
      <c r="AK31" s="642"/>
      <c r="AL31" s="642"/>
      <c r="AM31" s="642"/>
      <c r="AN31" s="642"/>
      <c r="AO31" s="642"/>
      <c r="AP31" s="643"/>
    </row>
    <row r="32" spans="1:42" s="644" customFormat="1" ht="34.5" customHeight="1" thickBot="1" x14ac:dyDescent="0.3">
      <c r="A32" s="733" t="s">
        <v>683</v>
      </c>
      <c r="B32" s="673"/>
      <c r="C32" s="671">
        <v>526</v>
      </c>
      <c r="D32" s="671">
        <f>526+1000</f>
        <v>1526</v>
      </c>
      <c r="E32" s="671">
        <v>1276</v>
      </c>
      <c r="F32" s="541">
        <f>E32/D32</f>
        <v>0.836173001310616</v>
      </c>
      <c r="G32" s="642"/>
      <c r="H32" s="642"/>
      <c r="I32" s="642"/>
      <c r="J32" s="642"/>
      <c r="K32" s="642"/>
      <c r="L32" s="642"/>
      <c r="M32" s="642"/>
      <c r="N32" s="642"/>
      <c r="O32" s="642"/>
      <c r="P32" s="642"/>
      <c r="Q32" s="642"/>
      <c r="R32" s="642"/>
      <c r="S32" s="642"/>
      <c r="T32" s="642"/>
      <c r="U32" s="642"/>
      <c r="V32" s="642"/>
      <c r="W32" s="642"/>
      <c r="X32" s="642"/>
      <c r="Y32" s="642"/>
      <c r="Z32" s="642"/>
      <c r="AA32" s="642"/>
      <c r="AB32" s="642"/>
      <c r="AC32" s="642"/>
      <c r="AD32" s="642"/>
      <c r="AE32" s="642"/>
      <c r="AF32" s="642"/>
      <c r="AG32" s="642"/>
      <c r="AH32" s="642"/>
      <c r="AI32" s="642"/>
      <c r="AJ32" s="642"/>
      <c r="AK32" s="642"/>
      <c r="AL32" s="642"/>
      <c r="AM32" s="642"/>
      <c r="AN32" s="642"/>
      <c r="AO32" s="642"/>
      <c r="AP32" s="643"/>
    </row>
    <row r="33" spans="1:42" s="452" customFormat="1" ht="16.5" thickBot="1" x14ac:dyDescent="0.3">
      <c r="A33" s="519" t="s">
        <v>695</v>
      </c>
      <c r="B33" s="495"/>
      <c r="C33" s="493">
        <v>180</v>
      </c>
      <c r="D33" s="493">
        <f>180+60</f>
        <v>240</v>
      </c>
      <c r="E33" s="493">
        <v>242</v>
      </c>
      <c r="F33" s="541">
        <f>E33/D33</f>
        <v>1.0083333333333333</v>
      </c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451"/>
    </row>
    <row r="34" spans="1:42" s="452" customFormat="1" ht="44.25" customHeight="1" thickBot="1" x14ac:dyDescent="0.3">
      <c r="A34" s="519" t="s">
        <v>713</v>
      </c>
      <c r="B34" s="495"/>
      <c r="C34" s="493">
        <v>5693</v>
      </c>
      <c r="D34" s="493">
        <v>5693</v>
      </c>
      <c r="E34" s="493">
        <f>SUM(B35:B36)</f>
        <v>5524</v>
      </c>
      <c r="F34" s="541">
        <f>E34/D34</f>
        <v>0.97031442121904088</v>
      </c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1"/>
    </row>
    <row r="35" spans="1:42" s="449" customFormat="1" ht="24" customHeight="1" thickBot="1" x14ac:dyDescent="0.3">
      <c r="A35" s="494" t="s">
        <v>714</v>
      </c>
      <c r="B35" s="492">
        <v>917</v>
      </c>
      <c r="C35" s="493"/>
      <c r="D35" s="493"/>
      <c r="E35" s="493"/>
      <c r="F35" s="541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8"/>
    </row>
    <row r="36" spans="1:42" s="449" customFormat="1" ht="24" customHeight="1" thickBot="1" x14ac:dyDescent="0.3">
      <c r="A36" s="494" t="s">
        <v>715</v>
      </c>
      <c r="B36" s="492">
        <v>4607</v>
      </c>
      <c r="C36" s="493"/>
      <c r="D36" s="493"/>
      <c r="E36" s="493"/>
      <c r="F36" s="541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8"/>
    </row>
    <row r="37" spans="1:42" s="644" customFormat="1" ht="39.75" customHeight="1" thickBot="1" x14ac:dyDescent="0.3">
      <c r="A37" s="669" t="s">
        <v>684</v>
      </c>
      <c r="B37" s="696"/>
      <c r="C37" s="671"/>
      <c r="D37" s="708">
        <v>531</v>
      </c>
      <c r="E37" s="671">
        <v>531</v>
      </c>
      <c r="F37" s="541">
        <f>E37/D37</f>
        <v>1</v>
      </c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642"/>
      <c r="W37" s="642"/>
      <c r="X37" s="642"/>
      <c r="Y37" s="642"/>
      <c r="Z37" s="642"/>
      <c r="AA37" s="642"/>
      <c r="AB37" s="642"/>
      <c r="AC37" s="642"/>
      <c r="AD37" s="642"/>
      <c r="AE37" s="642"/>
      <c r="AF37" s="642"/>
      <c r="AG37" s="642"/>
      <c r="AH37" s="642"/>
      <c r="AI37" s="642"/>
      <c r="AJ37" s="642"/>
      <c r="AK37" s="642"/>
      <c r="AL37" s="642"/>
      <c r="AM37" s="642"/>
      <c r="AN37" s="642"/>
      <c r="AO37" s="643"/>
    </row>
    <row r="38" spans="1:42" s="704" customFormat="1" ht="42" customHeight="1" thickBot="1" x14ac:dyDescent="0.3">
      <c r="A38" s="669" t="s">
        <v>686</v>
      </c>
      <c r="B38" s="697"/>
      <c r="C38" s="701"/>
      <c r="D38" s="671">
        <f>477+308</f>
        <v>785</v>
      </c>
      <c r="E38" s="701">
        <v>785</v>
      </c>
      <c r="F38" s="541">
        <f>E38/D38</f>
        <v>1</v>
      </c>
      <c r="G38" s="702"/>
      <c r="H38" s="702"/>
      <c r="I38" s="702"/>
      <c r="J38" s="702"/>
      <c r="K38" s="702"/>
      <c r="L38" s="702"/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702"/>
      <c r="Z38" s="702"/>
      <c r="AA38" s="702"/>
      <c r="AB38" s="702"/>
      <c r="AC38" s="702"/>
      <c r="AD38" s="702"/>
      <c r="AE38" s="702"/>
      <c r="AF38" s="702"/>
      <c r="AG38" s="702"/>
      <c r="AH38" s="702"/>
      <c r="AI38" s="702"/>
      <c r="AJ38" s="702"/>
      <c r="AK38" s="702"/>
      <c r="AL38" s="702"/>
      <c r="AM38" s="702"/>
      <c r="AN38" s="702"/>
      <c r="AO38" s="703"/>
    </row>
    <row r="39" spans="1:42" s="502" customFormat="1" ht="30" customHeight="1" thickBot="1" x14ac:dyDescent="0.3">
      <c r="A39" s="519" t="s">
        <v>745</v>
      </c>
      <c r="B39" s="498"/>
      <c r="C39" s="499"/>
      <c r="D39" s="493">
        <v>1037</v>
      </c>
      <c r="E39" s="499">
        <v>1037</v>
      </c>
      <c r="F39" s="541">
        <f>E39/D39</f>
        <v>1</v>
      </c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00"/>
      <c r="AP39" s="501"/>
    </row>
    <row r="40" spans="1:42" s="650" customFormat="1" ht="35.25" customHeight="1" thickBot="1" x14ac:dyDescent="0.3">
      <c r="A40" s="669" t="s">
        <v>726</v>
      </c>
      <c r="B40" s="673"/>
      <c r="C40" s="671">
        <v>638</v>
      </c>
      <c r="D40" s="671">
        <f>638-638</f>
        <v>0</v>
      </c>
      <c r="E40" s="671">
        <v>0</v>
      </c>
      <c r="F40" s="541">
        <f>638-638</f>
        <v>0</v>
      </c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648"/>
      <c r="AM40" s="648"/>
      <c r="AN40" s="648"/>
      <c r="AO40" s="648"/>
      <c r="AP40" s="649"/>
    </row>
    <row r="41" spans="1:42" s="455" customFormat="1" ht="31.5" customHeight="1" thickBot="1" x14ac:dyDescent="0.35">
      <c r="A41" s="503" t="s">
        <v>749</v>
      </c>
      <c r="B41" s="504"/>
      <c r="C41" s="505">
        <f>SUM(C26:C40)</f>
        <v>11181</v>
      </c>
      <c r="D41" s="505">
        <f>SUM(D26:D40)</f>
        <v>14316</v>
      </c>
      <c r="E41" s="505">
        <f>SUM(E26:E40)</f>
        <v>14017</v>
      </c>
      <c r="F41" s="543">
        <f>SUM(F26:F40)</f>
        <v>8.4268564183985504</v>
      </c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4"/>
    </row>
    <row r="42" spans="1:42" s="455" customFormat="1" ht="31.5" customHeight="1" thickBot="1" x14ac:dyDescent="0.35">
      <c r="A42" s="506"/>
      <c r="B42" s="507"/>
      <c r="C42" s="508"/>
      <c r="D42" s="509"/>
      <c r="E42" s="508"/>
      <c r="F42" s="544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4"/>
    </row>
    <row r="43" spans="1:42" s="442" customFormat="1" ht="33" customHeight="1" thickBot="1" x14ac:dyDescent="0.35">
      <c r="A43" s="488" t="s">
        <v>750</v>
      </c>
      <c r="B43" s="489"/>
      <c r="C43" s="491"/>
      <c r="D43" s="491"/>
      <c r="E43" s="491"/>
      <c r="F43" s="545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1"/>
    </row>
    <row r="44" spans="1:42" s="449" customFormat="1" ht="21" customHeight="1" thickBot="1" x14ac:dyDescent="0.3">
      <c r="A44" s="519" t="s">
        <v>584</v>
      </c>
      <c r="B44" s="492"/>
      <c r="C44" s="493">
        <v>63134</v>
      </c>
      <c r="D44" s="493">
        <v>63134</v>
      </c>
      <c r="E44" s="493">
        <v>57544</v>
      </c>
      <c r="F44" s="541">
        <f>E44/D44</f>
        <v>0.91145816834035542</v>
      </c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8"/>
    </row>
    <row r="45" spans="1:42" s="650" customFormat="1" ht="28.5" customHeight="1" thickBot="1" x14ac:dyDescent="0.3">
      <c r="A45" s="733" t="s">
        <v>585</v>
      </c>
      <c r="B45" s="673"/>
      <c r="C45" s="671">
        <v>2000</v>
      </c>
      <c r="D45" s="671">
        <v>2000</v>
      </c>
      <c r="E45" s="671">
        <v>1234</v>
      </c>
      <c r="F45" s="541">
        <f>E45/D45</f>
        <v>0.61699999999999999</v>
      </c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8"/>
      <c r="Z45" s="648"/>
      <c r="AA45" s="648"/>
      <c r="AB45" s="648"/>
      <c r="AC45" s="648"/>
      <c r="AD45" s="648"/>
      <c r="AE45" s="648"/>
      <c r="AF45" s="648"/>
      <c r="AG45" s="648"/>
      <c r="AH45" s="648"/>
      <c r="AI45" s="648"/>
      <c r="AJ45" s="648"/>
      <c r="AK45" s="648"/>
      <c r="AL45" s="648"/>
      <c r="AM45" s="648"/>
      <c r="AN45" s="648"/>
      <c r="AO45" s="648"/>
      <c r="AP45" s="649"/>
    </row>
    <row r="46" spans="1:42" s="644" customFormat="1" ht="19.5" customHeight="1" thickBot="1" x14ac:dyDescent="0.3">
      <c r="A46" s="733" t="s">
        <v>586</v>
      </c>
      <c r="B46" s="670"/>
      <c r="C46" s="671">
        <v>4000</v>
      </c>
      <c r="D46" s="671">
        <f>C46+254-254+1150+4552</f>
        <v>9702</v>
      </c>
      <c r="E46" s="671">
        <f>4552+4955</f>
        <v>9507</v>
      </c>
      <c r="F46" s="541">
        <f>E46/D46</f>
        <v>0.9799010513296228</v>
      </c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  <c r="AC46" s="642"/>
      <c r="AD46" s="642"/>
      <c r="AE46" s="642"/>
      <c r="AF46" s="642"/>
      <c r="AG46" s="642"/>
      <c r="AH46" s="642"/>
      <c r="AI46" s="642"/>
      <c r="AJ46" s="642"/>
      <c r="AK46" s="642"/>
      <c r="AL46" s="642"/>
      <c r="AM46" s="642"/>
      <c r="AN46" s="642"/>
      <c r="AO46" s="642"/>
      <c r="AP46" s="643"/>
    </row>
    <row r="47" spans="1:42" s="644" customFormat="1" ht="39.75" customHeight="1" thickBot="1" x14ac:dyDescent="0.3">
      <c r="A47" s="672" t="s">
        <v>587</v>
      </c>
      <c r="B47" s="674">
        <f>4000+254-254+1150+4552</f>
        <v>9702</v>
      </c>
      <c r="C47" s="671"/>
      <c r="D47" s="671"/>
      <c r="E47" s="671"/>
      <c r="F47" s="541"/>
      <c r="G47" s="642"/>
      <c r="H47" s="642"/>
      <c r="I47" s="642"/>
      <c r="J47" s="642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Y47" s="642"/>
      <c r="Z47" s="642"/>
      <c r="AA47" s="642"/>
      <c r="AB47" s="642"/>
      <c r="AC47" s="642"/>
      <c r="AD47" s="642"/>
      <c r="AE47" s="642"/>
      <c r="AF47" s="642"/>
      <c r="AG47" s="642"/>
      <c r="AH47" s="642"/>
      <c r="AI47" s="642"/>
      <c r="AJ47" s="642"/>
      <c r="AK47" s="642"/>
      <c r="AL47" s="642"/>
      <c r="AM47" s="642"/>
      <c r="AN47" s="642"/>
      <c r="AO47" s="642"/>
      <c r="AP47" s="643"/>
    </row>
    <row r="48" spans="1:42" s="644" customFormat="1" ht="22.5" customHeight="1" thickBot="1" x14ac:dyDescent="0.3">
      <c r="A48" s="733" t="s">
        <v>588</v>
      </c>
      <c r="B48" s="670"/>
      <c r="C48" s="671">
        <v>150</v>
      </c>
      <c r="D48" s="671">
        <v>150</v>
      </c>
      <c r="E48" s="671">
        <v>70</v>
      </c>
      <c r="F48" s="541">
        <f>E48/D48</f>
        <v>0.46666666666666667</v>
      </c>
      <c r="G48" s="642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2"/>
      <c r="T48" s="642"/>
      <c r="U48" s="642"/>
      <c r="V48" s="642"/>
      <c r="W48" s="642"/>
      <c r="X48" s="642"/>
      <c r="Y48" s="642"/>
      <c r="Z48" s="642"/>
      <c r="AA48" s="642"/>
      <c r="AB48" s="642"/>
      <c r="AC48" s="642"/>
      <c r="AD48" s="642"/>
      <c r="AE48" s="642"/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3"/>
    </row>
    <row r="49" spans="1:42" s="644" customFormat="1" ht="22.5" customHeight="1" thickBot="1" x14ac:dyDescent="0.3">
      <c r="A49" s="733" t="s">
        <v>589</v>
      </c>
      <c r="B49" s="670"/>
      <c r="C49" s="671">
        <v>340</v>
      </c>
      <c r="D49" s="671">
        <v>340</v>
      </c>
      <c r="E49" s="671">
        <v>39</v>
      </c>
      <c r="F49" s="541">
        <f>E49/D49</f>
        <v>0.11470588235294117</v>
      </c>
      <c r="G49" s="642"/>
      <c r="H49" s="642"/>
      <c r="I49" s="642"/>
      <c r="J49" s="642"/>
      <c r="K49" s="642"/>
      <c r="L49" s="642"/>
      <c r="M49" s="642"/>
      <c r="N49" s="642"/>
      <c r="O49" s="642"/>
      <c r="P49" s="642"/>
      <c r="Q49" s="642"/>
      <c r="R49" s="642"/>
      <c r="S49" s="642"/>
      <c r="T49" s="642"/>
      <c r="U49" s="642"/>
      <c r="V49" s="642"/>
      <c r="W49" s="642"/>
      <c r="X49" s="642"/>
      <c r="Y49" s="642"/>
      <c r="Z49" s="642"/>
      <c r="AA49" s="642"/>
      <c r="AB49" s="642"/>
      <c r="AC49" s="642"/>
      <c r="AD49" s="642"/>
      <c r="AE49" s="642"/>
      <c r="AF49" s="642"/>
      <c r="AG49" s="642"/>
      <c r="AH49" s="642"/>
      <c r="AI49" s="642"/>
      <c r="AJ49" s="642"/>
      <c r="AK49" s="642"/>
      <c r="AL49" s="642"/>
      <c r="AM49" s="642"/>
      <c r="AN49" s="642"/>
      <c r="AO49" s="642"/>
      <c r="AP49" s="643"/>
    </row>
    <row r="50" spans="1:42" s="644" customFormat="1" ht="22.5" customHeight="1" thickBot="1" x14ac:dyDescent="0.3">
      <c r="A50" s="672" t="s">
        <v>548</v>
      </c>
      <c r="B50" s="670"/>
      <c r="C50" s="671"/>
      <c r="D50" s="671"/>
      <c r="E50" s="671"/>
      <c r="F50" s="541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  <c r="AA50" s="642"/>
      <c r="AB50" s="642"/>
      <c r="AC50" s="642"/>
      <c r="AD50" s="642"/>
      <c r="AE50" s="642"/>
      <c r="AF50" s="642"/>
      <c r="AG50" s="642"/>
      <c r="AH50" s="642"/>
      <c r="AI50" s="642"/>
      <c r="AJ50" s="642"/>
      <c r="AK50" s="642"/>
      <c r="AL50" s="642"/>
      <c r="AM50" s="642"/>
      <c r="AN50" s="642"/>
      <c r="AO50" s="642"/>
      <c r="AP50" s="643"/>
    </row>
    <row r="51" spans="1:42" s="644" customFormat="1" ht="32.25" thickBot="1" x14ac:dyDescent="0.3">
      <c r="A51" s="672" t="s">
        <v>590</v>
      </c>
      <c r="B51" s="670">
        <v>0</v>
      </c>
      <c r="C51" s="671"/>
      <c r="D51" s="671"/>
      <c r="E51" s="671"/>
      <c r="F51" s="541"/>
      <c r="G51" s="642"/>
      <c r="H51" s="642"/>
      <c r="I51" s="642"/>
      <c r="J51" s="642"/>
      <c r="K51" s="642"/>
      <c r="L51" s="642"/>
      <c r="M51" s="642"/>
      <c r="N51" s="642"/>
      <c r="O51" s="642"/>
      <c r="P51" s="642"/>
      <c r="Q51" s="642"/>
      <c r="R51" s="642"/>
      <c r="S51" s="642"/>
      <c r="T51" s="642"/>
      <c r="U51" s="642"/>
      <c r="V51" s="642"/>
      <c r="W51" s="642"/>
      <c r="X51" s="642"/>
      <c r="Y51" s="642"/>
      <c r="Z51" s="642"/>
      <c r="AA51" s="642"/>
      <c r="AB51" s="642"/>
      <c r="AC51" s="642"/>
      <c r="AD51" s="642"/>
      <c r="AE51" s="642"/>
      <c r="AF51" s="642"/>
      <c r="AG51" s="642"/>
      <c r="AH51" s="642"/>
      <c r="AI51" s="642"/>
      <c r="AJ51" s="642"/>
      <c r="AK51" s="642"/>
      <c r="AL51" s="642"/>
      <c r="AM51" s="642"/>
      <c r="AN51" s="642"/>
      <c r="AO51" s="642"/>
      <c r="AP51" s="643"/>
    </row>
    <row r="52" spans="1:42" s="644" customFormat="1" ht="22.5" customHeight="1" thickBot="1" x14ac:dyDescent="0.3">
      <c r="A52" s="672" t="s">
        <v>591</v>
      </c>
      <c r="B52" s="670">
        <v>39</v>
      </c>
      <c r="C52" s="671"/>
      <c r="D52" s="671"/>
      <c r="E52" s="671"/>
      <c r="F52" s="541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2"/>
      <c r="X52" s="642"/>
      <c r="Y52" s="642"/>
      <c r="Z52" s="642"/>
      <c r="AA52" s="642"/>
      <c r="AB52" s="642"/>
      <c r="AC52" s="642"/>
      <c r="AD52" s="642"/>
      <c r="AE52" s="642"/>
      <c r="AF52" s="642"/>
      <c r="AG52" s="642"/>
      <c r="AH52" s="642"/>
      <c r="AI52" s="642"/>
      <c r="AJ52" s="642"/>
      <c r="AK52" s="642"/>
      <c r="AL52" s="642"/>
      <c r="AM52" s="642"/>
      <c r="AN52" s="642"/>
      <c r="AO52" s="642"/>
      <c r="AP52" s="643"/>
    </row>
    <row r="53" spans="1:42" s="449" customFormat="1" ht="22.5" customHeight="1" thickBot="1" x14ac:dyDescent="0.3">
      <c r="A53" s="519" t="s">
        <v>592</v>
      </c>
      <c r="B53" s="492"/>
      <c r="C53" s="493">
        <v>50</v>
      </c>
      <c r="D53" s="493">
        <v>50</v>
      </c>
      <c r="E53" s="493">
        <v>18</v>
      </c>
      <c r="F53" s="541">
        <f>E53/D53</f>
        <v>0.36</v>
      </c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8"/>
    </row>
    <row r="54" spans="1:42" s="449" customFormat="1" ht="22.5" customHeight="1" thickBot="1" x14ac:dyDescent="0.3">
      <c r="A54" s="494" t="s">
        <v>548</v>
      </c>
      <c r="B54" s="492"/>
      <c r="C54" s="493"/>
      <c r="D54" s="493"/>
      <c r="E54" s="493"/>
      <c r="F54" s="541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  <c r="AM54" s="447"/>
      <c r="AN54" s="447"/>
      <c r="AO54" s="447"/>
      <c r="AP54" s="448"/>
    </row>
    <row r="55" spans="1:42" s="449" customFormat="1" ht="22.5" customHeight="1" thickBot="1" x14ac:dyDescent="0.3">
      <c r="A55" s="494" t="s">
        <v>593</v>
      </c>
      <c r="B55" s="492">
        <v>0</v>
      </c>
      <c r="C55" s="493"/>
      <c r="D55" s="493"/>
      <c r="E55" s="493"/>
      <c r="F55" s="541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8"/>
    </row>
    <row r="56" spans="1:42" s="449" customFormat="1" ht="22.5" customHeight="1" thickBot="1" x14ac:dyDescent="0.3">
      <c r="A56" s="519" t="s">
        <v>596</v>
      </c>
      <c r="B56" s="492"/>
      <c r="C56" s="493">
        <v>1057</v>
      </c>
      <c r="D56" s="493">
        <v>1057</v>
      </c>
      <c r="E56" s="493">
        <f>SUM(B58:B59)</f>
        <v>999</v>
      </c>
      <c r="F56" s="541">
        <f>E56/D56</f>
        <v>0.94512771996215705</v>
      </c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  <c r="AM56" s="447"/>
      <c r="AN56" s="447"/>
      <c r="AO56" s="447"/>
      <c r="AP56" s="448"/>
    </row>
    <row r="57" spans="1:42" s="449" customFormat="1" ht="22.5" customHeight="1" thickBot="1" x14ac:dyDescent="0.3">
      <c r="A57" s="494" t="s">
        <v>548</v>
      </c>
      <c r="B57" s="492"/>
      <c r="C57" s="493"/>
      <c r="D57" s="493"/>
      <c r="E57" s="493"/>
      <c r="F57" s="541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  <c r="AL57" s="447"/>
      <c r="AM57" s="447"/>
      <c r="AN57" s="447"/>
      <c r="AO57" s="447"/>
      <c r="AP57" s="448"/>
    </row>
    <row r="58" spans="1:42" s="449" customFormat="1" ht="43.5" customHeight="1" thickBot="1" x14ac:dyDescent="0.3">
      <c r="A58" s="494" t="s">
        <v>597</v>
      </c>
      <c r="B58" s="492">
        <v>909</v>
      </c>
      <c r="C58" s="493"/>
      <c r="D58" s="493"/>
      <c r="E58" s="493"/>
      <c r="F58" s="541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  <c r="AM58" s="447"/>
      <c r="AN58" s="447"/>
      <c r="AO58" s="447"/>
      <c r="AP58" s="448"/>
    </row>
    <row r="59" spans="1:42" s="449" customFormat="1" ht="30.75" customHeight="1" thickBot="1" x14ac:dyDescent="0.3">
      <c r="A59" s="494" t="s">
        <v>598</v>
      </c>
      <c r="B59" s="492">
        <v>90</v>
      </c>
      <c r="C59" s="493"/>
      <c r="D59" s="493"/>
      <c r="E59" s="493"/>
      <c r="F59" s="541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  <c r="AL59" s="447"/>
      <c r="AM59" s="447"/>
      <c r="AN59" s="447"/>
      <c r="AO59" s="447"/>
      <c r="AP59" s="448"/>
    </row>
    <row r="60" spans="1:42" s="644" customFormat="1" ht="27.75" customHeight="1" thickBot="1" x14ac:dyDescent="0.3">
      <c r="A60" s="733" t="s">
        <v>607</v>
      </c>
      <c r="B60" s="670"/>
      <c r="C60" s="671">
        <v>870</v>
      </c>
      <c r="D60" s="671">
        <v>870</v>
      </c>
      <c r="E60" s="671">
        <f>SUM(B61:B62)</f>
        <v>420</v>
      </c>
      <c r="F60" s="541">
        <f>E60/D60</f>
        <v>0.48275862068965519</v>
      </c>
      <c r="G60" s="642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2"/>
      <c r="Y60" s="642"/>
      <c r="Z60" s="642"/>
      <c r="AA60" s="642"/>
      <c r="AB60" s="642"/>
      <c r="AC60" s="642"/>
      <c r="AD60" s="642"/>
      <c r="AE60" s="642"/>
      <c r="AF60" s="642"/>
      <c r="AG60" s="642"/>
      <c r="AH60" s="642"/>
      <c r="AI60" s="642"/>
      <c r="AJ60" s="642"/>
      <c r="AK60" s="642"/>
      <c r="AL60" s="642"/>
      <c r="AM60" s="642"/>
      <c r="AN60" s="642"/>
      <c r="AO60" s="642"/>
      <c r="AP60" s="643"/>
    </row>
    <row r="61" spans="1:42" s="644" customFormat="1" ht="22.5" customHeight="1" thickBot="1" x14ac:dyDescent="0.3">
      <c r="A61" s="672" t="s">
        <v>609</v>
      </c>
      <c r="B61" s="670"/>
      <c r="C61" s="675"/>
      <c r="D61" s="675"/>
      <c r="E61" s="675"/>
      <c r="F61" s="546"/>
      <c r="G61" s="642"/>
      <c r="H61" s="642"/>
      <c r="I61" s="642"/>
      <c r="J61" s="642"/>
      <c r="K61" s="642"/>
      <c r="L61" s="642"/>
      <c r="M61" s="642"/>
      <c r="N61" s="642"/>
      <c r="O61" s="642"/>
      <c r="P61" s="642"/>
      <c r="Q61" s="642"/>
      <c r="R61" s="642"/>
      <c r="S61" s="642"/>
      <c r="T61" s="642"/>
      <c r="U61" s="642"/>
      <c r="V61" s="642"/>
      <c r="W61" s="642"/>
      <c r="X61" s="642"/>
      <c r="Y61" s="642"/>
      <c r="Z61" s="642"/>
      <c r="AA61" s="642"/>
      <c r="AB61" s="642"/>
      <c r="AC61" s="642"/>
      <c r="AD61" s="642"/>
      <c r="AE61" s="642"/>
      <c r="AF61" s="642"/>
      <c r="AG61" s="642"/>
      <c r="AH61" s="642"/>
      <c r="AI61" s="642"/>
      <c r="AJ61" s="642"/>
      <c r="AK61" s="642"/>
      <c r="AL61" s="642"/>
      <c r="AM61" s="642"/>
      <c r="AN61" s="642"/>
      <c r="AO61" s="642"/>
      <c r="AP61" s="643"/>
    </row>
    <row r="62" spans="1:42" s="449" customFormat="1" ht="30.75" customHeight="1" thickBot="1" x14ac:dyDescent="0.3">
      <c r="A62" s="494" t="s">
        <v>610</v>
      </c>
      <c r="B62" s="492">
        <v>420</v>
      </c>
      <c r="C62" s="511"/>
      <c r="D62" s="511"/>
      <c r="E62" s="511"/>
      <c r="F62" s="546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  <c r="AL62" s="447"/>
      <c r="AM62" s="447"/>
      <c r="AN62" s="447"/>
      <c r="AO62" s="447"/>
      <c r="AP62" s="448"/>
    </row>
    <row r="63" spans="1:42" s="650" customFormat="1" ht="36.75" customHeight="1" thickBot="1" x14ac:dyDescent="0.3">
      <c r="A63" s="676" t="s">
        <v>751</v>
      </c>
      <c r="B63" s="677"/>
      <c r="C63" s="671">
        <v>30443</v>
      </c>
      <c r="D63" s="671">
        <f>C63-30443+280</f>
        <v>280</v>
      </c>
      <c r="E63" s="671">
        <v>278</v>
      </c>
      <c r="F63" s="541">
        <f>E63/D63</f>
        <v>0.99285714285714288</v>
      </c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8"/>
      <c r="S63" s="648"/>
      <c r="T63" s="648"/>
      <c r="U63" s="648"/>
      <c r="V63" s="648"/>
      <c r="W63" s="648"/>
      <c r="X63" s="648"/>
      <c r="Y63" s="648"/>
      <c r="Z63" s="648"/>
      <c r="AA63" s="648"/>
      <c r="AB63" s="648"/>
      <c r="AC63" s="648"/>
      <c r="AD63" s="648"/>
      <c r="AE63" s="648"/>
      <c r="AF63" s="648"/>
      <c r="AG63" s="648"/>
      <c r="AH63" s="648"/>
      <c r="AI63" s="648"/>
      <c r="AJ63" s="648"/>
      <c r="AK63" s="648"/>
      <c r="AL63" s="648"/>
      <c r="AM63" s="648"/>
      <c r="AN63" s="648"/>
      <c r="AO63" s="648"/>
      <c r="AP63" s="649"/>
    </row>
    <row r="64" spans="1:42" s="449" customFormat="1" ht="23.25" customHeight="1" thickBot="1" x14ac:dyDescent="0.3">
      <c r="A64" s="519" t="s">
        <v>618</v>
      </c>
      <c r="B64" s="492"/>
      <c r="C64" s="493">
        <v>2600</v>
      </c>
      <c r="D64" s="493">
        <f>2600+700</f>
        <v>3300</v>
      </c>
      <c r="E64" s="493">
        <v>2702</v>
      </c>
      <c r="F64" s="541">
        <f>E64/D64</f>
        <v>0.81878787878787884</v>
      </c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  <c r="AL64" s="447"/>
      <c r="AM64" s="447"/>
      <c r="AN64" s="447"/>
      <c r="AO64" s="447"/>
      <c r="AP64" s="448"/>
    </row>
    <row r="65" spans="1:42" s="449" customFormat="1" ht="39" customHeight="1" thickBot="1" x14ac:dyDescent="0.3">
      <c r="A65" s="519" t="s">
        <v>619</v>
      </c>
      <c r="B65" s="492"/>
      <c r="C65" s="493">
        <v>32835</v>
      </c>
      <c r="D65" s="493">
        <f>C65+2494</f>
        <v>35329</v>
      </c>
      <c r="E65" s="493">
        <f>SUM(B67:B68)</f>
        <v>34969</v>
      </c>
      <c r="F65" s="541">
        <f>E65/D65</f>
        <v>0.98981007104644914</v>
      </c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8"/>
    </row>
    <row r="66" spans="1:42" s="449" customFormat="1" ht="27.75" customHeight="1" thickBot="1" x14ac:dyDescent="0.3">
      <c r="A66" s="494" t="s">
        <v>620</v>
      </c>
      <c r="B66" s="492"/>
      <c r="C66" s="493"/>
      <c r="D66" s="493"/>
      <c r="E66" s="493"/>
      <c r="F66" s="541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8"/>
    </row>
    <row r="67" spans="1:42" s="449" customFormat="1" ht="37.5" customHeight="1" thickBot="1" x14ac:dyDescent="0.3">
      <c r="A67" s="494" t="s">
        <v>621</v>
      </c>
      <c r="B67" s="492">
        <f>2504+2494</f>
        <v>4998</v>
      </c>
      <c r="C67" s="493"/>
      <c r="D67" s="493"/>
      <c r="E67" s="493"/>
      <c r="F67" s="541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8"/>
    </row>
    <row r="68" spans="1:42" s="449" customFormat="1" ht="24.75" customHeight="1" thickBot="1" x14ac:dyDescent="0.3">
      <c r="A68" s="494" t="s">
        <v>622</v>
      </c>
      <c r="B68" s="492">
        <v>29971</v>
      </c>
      <c r="C68" s="493"/>
      <c r="D68" s="493"/>
      <c r="E68" s="493"/>
      <c r="F68" s="541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8"/>
    </row>
    <row r="69" spans="1:42" s="452" customFormat="1" ht="32.25" customHeight="1" thickBot="1" x14ac:dyDescent="0.3">
      <c r="A69" s="519" t="s">
        <v>627</v>
      </c>
      <c r="B69" s="495"/>
      <c r="C69" s="493">
        <v>2400</v>
      </c>
      <c r="D69" s="493">
        <f>2400+2400</f>
        <v>4800</v>
      </c>
      <c r="E69" s="493">
        <v>3745</v>
      </c>
      <c r="F69" s="541">
        <f>E69/D69</f>
        <v>0.78020833333333328</v>
      </c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50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0"/>
      <c r="AO69" s="450"/>
      <c r="AP69" s="451"/>
    </row>
    <row r="70" spans="1:42" s="449" customFormat="1" ht="87.75" customHeight="1" thickBot="1" x14ac:dyDescent="0.3">
      <c r="A70" s="494" t="s">
        <v>628</v>
      </c>
      <c r="B70" s="670"/>
      <c r="C70" s="511"/>
      <c r="D70" s="511"/>
      <c r="E70" s="511"/>
      <c r="F70" s="546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7"/>
      <c r="AL70" s="447"/>
      <c r="AM70" s="447"/>
      <c r="AN70" s="447"/>
      <c r="AO70" s="447"/>
      <c r="AP70" s="448"/>
    </row>
    <row r="71" spans="1:42" s="449" customFormat="1" ht="30.75" customHeight="1" thickBot="1" x14ac:dyDescent="0.3">
      <c r="A71" s="494" t="s">
        <v>629</v>
      </c>
      <c r="B71" s="670"/>
      <c r="C71" s="511"/>
      <c r="D71" s="511"/>
      <c r="E71" s="511"/>
      <c r="F71" s="546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  <c r="AL71" s="447"/>
      <c r="AM71" s="447"/>
      <c r="AN71" s="447"/>
      <c r="AO71" s="447"/>
      <c r="AP71" s="448"/>
    </row>
    <row r="72" spans="1:42" s="644" customFormat="1" ht="39.75" customHeight="1" thickBot="1" x14ac:dyDescent="0.3">
      <c r="A72" s="733" t="s">
        <v>632</v>
      </c>
      <c r="B72" s="670"/>
      <c r="C72" s="671">
        <v>21047</v>
      </c>
      <c r="D72" s="671">
        <f>C72+571</f>
        <v>21618</v>
      </c>
      <c r="E72" s="671">
        <f>SUM(B74:B78)</f>
        <v>22397</v>
      </c>
      <c r="F72" s="541">
        <f>E72/D72</f>
        <v>1.0360347858266259</v>
      </c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3"/>
    </row>
    <row r="73" spans="1:42" s="644" customFormat="1" ht="21.75" customHeight="1" thickBot="1" x14ac:dyDescent="0.3">
      <c r="A73" s="672" t="s">
        <v>548</v>
      </c>
      <c r="B73" s="670"/>
      <c r="C73" s="671"/>
      <c r="D73" s="671"/>
      <c r="E73" s="671"/>
      <c r="F73" s="541"/>
      <c r="G73" s="642"/>
      <c r="H73" s="642"/>
      <c r="I73" s="642"/>
      <c r="J73" s="642"/>
      <c r="K73" s="642"/>
      <c r="L73" s="642"/>
      <c r="M73" s="642"/>
      <c r="N73" s="642"/>
      <c r="O73" s="642"/>
      <c r="P73" s="642"/>
      <c r="Q73" s="642"/>
      <c r="R73" s="642"/>
      <c r="S73" s="642"/>
      <c r="T73" s="642"/>
      <c r="U73" s="642"/>
      <c r="V73" s="642"/>
      <c r="W73" s="642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642"/>
      <c r="AK73" s="642"/>
      <c r="AL73" s="642"/>
      <c r="AM73" s="642"/>
      <c r="AN73" s="642"/>
      <c r="AO73" s="642"/>
      <c r="AP73" s="643"/>
    </row>
    <row r="74" spans="1:42" s="644" customFormat="1" ht="21.75" customHeight="1" thickBot="1" x14ac:dyDescent="0.3">
      <c r="A74" s="672" t="s">
        <v>633</v>
      </c>
      <c r="B74" s="670">
        <v>12680</v>
      </c>
      <c r="C74" s="671"/>
      <c r="D74" s="671"/>
      <c r="E74" s="671"/>
      <c r="F74" s="541"/>
      <c r="G74" s="642"/>
      <c r="H74" s="642"/>
      <c r="I74" s="642"/>
      <c r="J74" s="642"/>
      <c r="K74" s="642"/>
      <c r="L74" s="642"/>
      <c r="M74" s="642"/>
      <c r="N74" s="642"/>
      <c r="O74" s="642"/>
      <c r="P74" s="642"/>
      <c r="Q74" s="642"/>
      <c r="R74" s="642"/>
      <c r="S74" s="642"/>
      <c r="T74" s="642"/>
      <c r="U74" s="642"/>
      <c r="V74" s="642"/>
      <c r="W74" s="642"/>
      <c r="X74" s="642"/>
      <c r="Y74" s="642"/>
      <c r="Z74" s="642"/>
      <c r="AA74" s="642"/>
      <c r="AB74" s="642"/>
      <c r="AC74" s="642"/>
      <c r="AD74" s="642"/>
      <c r="AE74" s="642"/>
      <c r="AF74" s="642"/>
      <c r="AG74" s="642"/>
      <c r="AH74" s="642"/>
      <c r="AI74" s="642"/>
      <c r="AJ74" s="642"/>
      <c r="AK74" s="642"/>
      <c r="AL74" s="642"/>
      <c r="AM74" s="642"/>
      <c r="AN74" s="642"/>
      <c r="AO74" s="642"/>
      <c r="AP74" s="643"/>
    </row>
    <row r="75" spans="1:42" s="644" customFormat="1" ht="21.75" customHeight="1" thickBot="1" x14ac:dyDescent="0.3">
      <c r="A75" s="672" t="s">
        <v>634</v>
      </c>
      <c r="B75" s="670">
        <v>3147</v>
      </c>
      <c r="C75" s="671"/>
      <c r="D75" s="671"/>
      <c r="E75" s="671"/>
      <c r="F75" s="541"/>
      <c r="G75" s="642"/>
      <c r="H75" s="642"/>
      <c r="I75" s="642"/>
      <c r="J75" s="642"/>
      <c r="K75" s="642"/>
      <c r="L75" s="642"/>
      <c r="M75" s="642"/>
      <c r="N75" s="642"/>
      <c r="O75" s="642"/>
      <c r="P75" s="642"/>
      <c r="Q75" s="642"/>
      <c r="R75" s="642"/>
      <c r="S75" s="642"/>
      <c r="T75" s="642"/>
      <c r="U75" s="642"/>
      <c r="V75" s="642"/>
      <c r="W75" s="642"/>
      <c r="X75" s="642"/>
      <c r="Y75" s="642"/>
      <c r="Z75" s="642"/>
      <c r="AA75" s="642"/>
      <c r="AB75" s="642"/>
      <c r="AC75" s="642"/>
      <c r="AD75" s="642"/>
      <c r="AE75" s="642"/>
      <c r="AF75" s="642"/>
      <c r="AG75" s="642"/>
      <c r="AH75" s="642"/>
      <c r="AI75" s="642"/>
      <c r="AJ75" s="642"/>
      <c r="AK75" s="642"/>
      <c r="AL75" s="642"/>
      <c r="AM75" s="642"/>
      <c r="AN75" s="642"/>
      <c r="AO75" s="642"/>
      <c r="AP75" s="643"/>
    </row>
    <row r="76" spans="1:42" s="644" customFormat="1" ht="21.75" customHeight="1" thickBot="1" x14ac:dyDescent="0.3">
      <c r="A76" s="672" t="s">
        <v>635</v>
      </c>
      <c r="B76" s="670">
        <v>1975</v>
      </c>
      <c r="C76" s="671"/>
      <c r="D76" s="671"/>
      <c r="E76" s="671"/>
      <c r="F76" s="541"/>
      <c r="G76" s="642"/>
      <c r="H76" s="642"/>
      <c r="I76" s="642"/>
      <c r="J76" s="642"/>
      <c r="K76" s="642"/>
      <c r="L76" s="642"/>
      <c r="M76" s="642"/>
      <c r="N76" s="642"/>
      <c r="O76" s="642"/>
      <c r="P76" s="642"/>
      <c r="Q76" s="642"/>
      <c r="R76" s="642"/>
      <c r="S76" s="642"/>
      <c r="T76" s="642"/>
      <c r="U76" s="642"/>
      <c r="V76" s="642"/>
      <c r="W76" s="642"/>
      <c r="X76" s="642"/>
      <c r="Y76" s="642"/>
      <c r="Z76" s="642"/>
      <c r="AA76" s="642"/>
      <c r="AB76" s="642"/>
      <c r="AC76" s="642"/>
      <c r="AD76" s="642"/>
      <c r="AE76" s="642"/>
      <c r="AF76" s="642"/>
      <c r="AG76" s="642"/>
      <c r="AH76" s="642"/>
      <c r="AI76" s="642"/>
      <c r="AJ76" s="642"/>
      <c r="AK76" s="642"/>
      <c r="AL76" s="642"/>
      <c r="AM76" s="642"/>
      <c r="AN76" s="642"/>
      <c r="AO76" s="642"/>
      <c r="AP76" s="643"/>
    </row>
    <row r="77" spans="1:42" s="644" customFormat="1" ht="21.75" customHeight="1" thickBot="1" x14ac:dyDescent="0.3">
      <c r="A77" s="672" t="s">
        <v>636</v>
      </c>
      <c r="B77" s="670">
        <v>691</v>
      </c>
      <c r="C77" s="671"/>
      <c r="D77" s="671"/>
      <c r="E77" s="671"/>
      <c r="F77" s="541"/>
      <c r="G77" s="642"/>
      <c r="H77" s="642"/>
      <c r="I77" s="642"/>
      <c r="J77" s="642"/>
      <c r="K77" s="642"/>
      <c r="L77" s="642"/>
      <c r="M77" s="642"/>
      <c r="N77" s="642"/>
      <c r="O77" s="642"/>
      <c r="P77" s="642"/>
      <c r="Q77" s="642"/>
      <c r="R77" s="642"/>
      <c r="S77" s="642"/>
      <c r="T77" s="642"/>
      <c r="U77" s="642"/>
      <c r="V77" s="642"/>
      <c r="W77" s="642"/>
      <c r="X77" s="642"/>
      <c r="Y77" s="642"/>
      <c r="Z77" s="642"/>
      <c r="AA77" s="642"/>
      <c r="AB77" s="642"/>
      <c r="AC77" s="642"/>
      <c r="AD77" s="642"/>
      <c r="AE77" s="642"/>
      <c r="AF77" s="642"/>
      <c r="AG77" s="642"/>
      <c r="AH77" s="642"/>
      <c r="AI77" s="642"/>
      <c r="AJ77" s="642"/>
      <c r="AK77" s="642"/>
      <c r="AL77" s="642"/>
      <c r="AM77" s="642"/>
      <c r="AN77" s="642"/>
      <c r="AO77" s="642"/>
      <c r="AP77" s="643"/>
    </row>
    <row r="78" spans="1:42" s="644" customFormat="1" ht="21.75" customHeight="1" thickBot="1" x14ac:dyDescent="0.3">
      <c r="A78" s="672" t="s">
        <v>637</v>
      </c>
      <c r="B78" s="670">
        <v>3904</v>
      </c>
      <c r="C78" s="671"/>
      <c r="D78" s="671"/>
      <c r="E78" s="671"/>
      <c r="F78" s="541"/>
      <c r="G78" s="642"/>
      <c r="H78" s="642"/>
      <c r="I78" s="642"/>
      <c r="J78" s="642"/>
      <c r="K78" s="642"/>
      <c r="L78" s="642"/>
      <c r="M78" s="642"/>
      <c r="N78" s="642"/>
      <c r="O78" s="642"/>
      <c r="P78" s="642"/>
      <c r="Q78" s="642"/>
      <c r="R78" s="642"/>
      <c r="S78" s="642"/>
      <c r="T78" s="642"/>
      <c r="U78" s="642"/>
      <c r="V78" s="642"/>
      <c r="W78" s="642"/>
      <c r="X78" s="642"/>
      <c r="Y78" s="642"/>
      <c r="Z78" s="642"/>
      <c r="AA78" s="642"/>
      <c r="AB78" s="642"/>
      <c r="AC78" s="642"/>
      <c r="AD78" s="642"/>
      <c r="AE78" s="642"/>
      <c r="AF78" s="642"/>
      <c r="AG78" s="642"/>
      <c r="AH78" s="642"/>
      <c r="AI78" s="642"/>
      <c r="AJ78" s="642"/>
      <c r="AK78" s="642"/>
      <c r="AL78" s="642"/>
      <c r="AM78" s="642"/>
      <c r="AN78" s="642"/>
      <c r="AO78" s="642"/>
      <c r="AP78" s="643"/>
    </row>
    <row r="79" spans="1:42" s="650" customFormat="1" ht="21.75" customHeight="1" thickBot="1" x14ac:dyDescent="0.3">
      <c r="A79" s="733" t="s">
        <v>640</v>
      </c>
      <c r="B79" s="673"/>
      <c r="C79" s="671"/>
      <c r="D79" s="671">
        <v>7415</v>
      </c>
      <c r="E79" s="671">
        <v>7415</v>
      </c>
      <c r="F79" s="541">
        <v>1</v>
      </c>
      <c r="G79" s="648"/>
      <c r="H79" s="648"/>
      <c r="I79" s="648"/>
      <c r="J79" s="648"/>
      <c r="K79" s="648"/>
      <c r="L79" s="648"/>
      <c r="M79" s="648"/>
      <c r="N79" s="648"/>
      <c r="O79" s="648"/>
      <c r="P79" s="648"/>
      <c r="Q79" s="648"/>
      <c r="R79" s="648"/>
      <c r="S79" s="648"/>
      <c r="T79" s="648"/>
      <c r="U79" s="648"/>
      <c r="V79" s="648"/>
      <c r="W79" s="648"/>
      <c r="X79" s="648"/>
      <c r="Y79" s="648"/>
      <c r="Z79" s="648"/>
      <c r="AA79" s="648"/>
      <c r="AB79" s="648"/>
      <c r="AC79" s="648"/>
      <c r="AD79" s="648"/>
      <c r="AE79" s="648"/>
      <c r="AF79" s="648"/>
      <c r="AG79" s="648"/>
      <c r="AH79" s="648"/>
      <c r="AI79" s="648"/>
      <c r="AJ79" s="648"/>
      <c r="AK79" s="648"/>
      <c r="AL79" s="648"/>
      <c r="AM79" s="648"/>
      <c r="AN79" s="648"/>
      <c r="AO79" s="648"/>
      <c r="AP79" s="649"/>
    </row>
    <row r="80" spans="1:42" s="644" customFormat="1" ht="28.5" customHeight="1" thickBot="1" x14ac:dyDescent="0.3">
      <c r="A80" s="733" t="s">
        <v>643</v>
      </c>
      <c r="B80" s="678"/>
      <c r="C80" s="671">
        <v>19000</v>
      </c>
      <c r="D80" s="671">
        <f>19000-400+15635</f>
        <v>34235</v>
      </c>
      <c r="E80" s="671">
        <v>7113</v>
      </c>
      <c r="F80" s="541">
        <f>E80/D80</f>
        <v>0.20776982620125603</v>
      </c>
      <c r="G80" s="642"/>
      <c r="H80" s="642"/>
      <c r="I80" s="642"/>
      <c r="J80" s="642"/>
      <c r="K80" s="642"/>
      <c r="L80" s="642"/>
      <c r="M80" s="642"/>
      <c r="N80" s="642"/>
      <c r="O80" s="642"/>
      <c r="P80" s="642"/>
      <c r="Q80" s="642"/>
      <c r="R80" s="642"/>
      <c r="S80" s="642"/>
      <c r="T80" s="642"/>
      <c r="U80" s="642"/>
      <c r="V80" s="642"/>
      <c r="W80" s="642"/>
      <c r="X80" s="642"/>
      <c r="Y80" s="642"/>
      <c r="Z80" s="642"/>
      <c r="AA80" s="642"/>
      <c r="AB80" s="642"/>
      <c r="AC80" s="642"/>
      <c r="AD80" s="642"/>
      <c r="AE80" s="642"/>
      <c r="AF80" s="642"/>
      <c r="AG80" s="642"/>
      <c r="AH80" s="642"/>
      <c r="AI80" s="642"/>
      <c r="AJ80" s="642"/>
      <c r="AK80" s="642"/>
      <c r="AL80" s="642"/>
      <c r="AM80" s="642"/>
      <c r="AN80" s="642"/>
      <c r="AO80" s="642"/>
      <c r="AP80" s="643"/>
    </row>
    <row r="81" spans="1:42" s="644" customFormat="1" ht="28.5" customHeight="1" thickBot="1" x14ac:dyDescent="0.3">
      <c r="A81" s="733" t="s">
        <v>667</v>
      </c>
      <c r="B81" s="678"/>
      <c r="C81" s="671"/>
      <c r="D81" s="671">
        <v>3000</v>
      </c>
      <c r="E81" s="671">
        <v>3000</v>
      </c>
      <c r="F81" s="541">
        <v>1</v>
      </c>
      <c r="G81" s="642"/>
      <c r="H81" s="642"/>
      <c r="I81" s="642"/>
      <c r="J81" s="642"/>
      <c r="K81" s="642"/>
      <c r="L81" s="642"/>
      <c r="M81" s="642"/>
      <c r="N81" s="642"/>
      <c r="O81" s="642"/>
      <c r="P81" s="642"/>
      <c r="Q81" s="642"/>
      <c r="R81" s="642"/>
      <c r="S81" s="642"/>
      <c r="T81" s="642"/>
      <c r="U81" s="642"/>
      <c r="V81" s="642"/>
      <c r="W81" s="642"/>
      <c r="X81" s="642"/>
      <c r="Y81" s="642"/>
      <c r="Z81" s="642"/>
      <c r="AA81" s="642"/>
      <c r="AB81" s="642"/>
      <c r="AC81" s="642"/>
      <c r="AD81" s="642"/>
      <c r="AE81" s="642"/>
      <c r="AF81" s="642"/>
      <c r="AG81" s="642"/>
      <c r="AH81" s="642"/>
      <c r="AI81" s="642"/>
      <c r="AJ81" s="642"/>
      <c r="AK81" s="642"/>
      <c r="AL81" s="642"/>
      <c r="AM81" s="642"/>
      <c r="AN81" s="642"/>
      <c r="AO81" s="642"/>
      <c r="AP81" s="643"/>
    </row>
    <row r="82" spans="1:42" s="644" customFormat="1" ht="59.25" customHeight="1" thickBot="1" x14ac:dyDescent="0.3">
      <c r="A82" s="733" t="s">
        <v>668</v>
      </c>
      <c r="B82" s="678"/>
      <c r="C82" s="671"/>
      <c r="D82" s="671">
        <v>10000</v>
      </c>
      <c r="E82" s="671">
        <v>9970</v>
      </c>
      <c r="F82" s="541">
        <f>E82/D82</f>
        <v>0.997</v>
      </c>
      <c r="G82" s="642"/>
      <c r="H82" s="642"/>
      <c r="I82" s="642"/>
      <c r="J82" s="642"/>
      <c r="K82" s="642"/>
      <c r="L82" s="642"/>
      <c r="M82" s="642"/>
      <c r="N82" s="642"/>
      <c r="O82" s="642"/>
      <c r="P82" s="642"/>
      <c r="Q82" s="642"/>
      <c r="R82" s="642"/>
      <c r="S82" s="642"/>
      <c r="T82" s="642"/>
      <c r="U82" s="642"/>
      <c r="V82" s="642"/>
      <c r="W82" s="642"/>
      <c r="X82" s="642"/>
      <c r="Y82" s="642"/>
      <c r="Z82" s="642"/>
      <c r="AA82" s="642"/>
      <c r="AB82" s="642"/>
      <c r="AC82" s="642"/>
      <c r="AD82" s="642"/>
      <c r="AE82" s="642"/>
      <c r="AF82" s="642"/>
      <c r="AG82" s="642"/>
      <c r="AH82" s="642"/>
      <c r="AI82" s="642"/>
      <c r="AJ82" s="642"/>
      <c r="AK82" s="642"/>
      <c r="AL82" s="642"/>
      <c r="AM82" s="642"/>
      <c r="AN82" s="642"/>
      <c r="AO82" s="642"/>
      <c r="AP82" s="643"/>
    </row>
    <row r="83" spans="1:42" s="516" customFormat="1" ht="32.25" thickBot="1" x14ac:dyDescent="0.3">
      <c r="A83" s="519" t="s">
        <v>647</v>
      </c>
      <c r="B83" s="495"/>
      <c r="C83" s="493"/>
      <c r="D83" s="493">
        <v>271</v>
      </c>
      <c r="E83" s="493">
        <v>271</v>
      </c>
      <c r="F83" s="541">
        <v>1</v>
      </c>
      <c r="G83" s="514"/>
      <c r="H83" s="514"/>
      <c r="I83" s="514"/>
      <c r="J83" s="514"/>
      <c r="K83" s="514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514"/>
      <c r="W83" s="514"/>
      <c r="X83" s="514"/>
      <c r="Y83" s="514"/>
      <c r="Z83" s="514"/>
      <c r="AA83" s="514"/>
      <c r="AB83" s="514"/>
      <c r="AC83" s="514"/>
      <c r="AD83" s="514"/>
      <c r="AE83" s="514"/>
      <c r="AF83" s="514"/>
      <c r="AG83" s="514"/>
      <c r="AH83" s="514"/>
      <c r="AI83" s="514"/>
      <c r="AJ83" s="514"/>
      <c r="AK83" s="514"/>
      <c r="AL83" s="514"/>
      <c r="AM83" s="514"/>
      <c r="AN83" s="514"/>
      <c r="AO83" s="514"/>
      <c r="AP83" s="515"/>
    </row>
    <row r="84" spans="1:42" s="516" customFormat="1" ht="16.5" thickBot="1" x14ac:dyDescent="0.3">
      <c r="A84" s="494" t="s">
        <v>651</v>
      </c>
      <c r="B84" s="517"/>
      <c r="C84" s="493"/>
      <c r="D84" s="493"/>
      <c r="E84" s="493"/>
      <c r="F84" s="541"/>
      <c r="G84" s="514"/>
      <c r="H84" s="514"/>
      <c r="I84" s="514"/>
      <c r="J84" s="514"/>
      <c r="K84" s="514"/>
      <c r="L84" s="514"/>
      <c r="M84" s="514"/>
      <c r="N84" s="514"/>
      <c r="O84" s="514"/>
      <c r="P84" s="514"/>
      <c r="Q84" s="514"/>
      <c r="R84" s="514"/>
      <c r="S84" s="514"/>
      <c r="T84" s="514"/>
      <c r="U84" s="514"/>
      <c r="V84" s="514"/>
      <c r="W84" s="514"/>
      <c r="X84" s="514"/>
      <c r="Y84" s="514"/>
      <c r="Z84" s="514"/>
      <c r="AA84" s="514"/>
      <c r="AB84" s="514"/>
      <c r="AC84" s="514"/>
      <c r="AD84" s="514"/>
      <c r="AE84" s="514"/>
      <c r="AF84" s="514"/>
      <c r="AG84" s="514"/>
      <c r="AH84" s="514"/>
      <c r="AI84" s="514"/>
      <c r="AJ84" s="514"/>
      <c r="AK84" s="514"/>
      <c r="AL84" s="514"/>
      <c r="AM84" s="514"/>
      <c r="AN84" s="514"/>
      <c r="AO84" s="514"/>
      <c r="AP84" s="515"/>
    </row>
    <row r="85" spans="1:42" s="516" customFormat="1" ht="59.25" customHeight="1" thickBot="1" x14ac:dyDescent="0.3">
      <c r="A85" s="512" t="s">
        <v>654</v>
      </c>
      <c r="B85" s="513"/>
      <c r="C85" s="493"/>
      <c r="D85" s="493">
        <v>337</v>
      </c>
      <c r="E85" s="493">
        <v>337</v>
      </c>
      <c r="F85" s="541">
        <v>1</v>
      </c>
      <c r="G85" s="514"/>
      <c r="H85" s="514"/>
      <c r="I85" s="514"/>
      <c r="J85" s="514"/>
      <c r="K85" s="514"/>
      <c r="L85" s="514"/>
      <c r="M85" s="514"/>
      <c r="N85" s="514"/>
      <c r="O85" s="514"/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4"/>
      <c r="AK85" s="514"/>
      <c r="AL85" s="514"/>
      <c r="AM85" s="514"/>
      <c r="AN85" s="514"/>
      <c r="AO85" s="514"/>
      <c r="AP85" s="515"/>
    </row>
    <row r="86" spans="1:42" s="516" customFormat="1" ht="16.5" thickBot="1" x14ac:dyDescent="0.3">
      <c r="A86" s="494" t="s">
        <v>651</v>
      </c>
      <c r="B86" s="517"/>
      <c r="C86" s="493"/>
      <c r="D86" s="493"/>
      <c r="E86" s="493"/>
      <c r="F86" s="541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514"/>
      <c r="AL86" s="514"/>
      <c r="AM86" s="514"/>
      <c r="AN86" s="514"/>
      <c r="AO86" s="514"/>
      <c r="AP86" s="515"/>
    </row>
    <row r="87" spans="1:42" s="449" customFormat="1" ht="56.25" customHeight="1" thickBot="1" x14ac:dyDescent="0.3">
      <c r="A87" s="519" t="s">
        <v>669</v>
      </c>
      <c r="B87" s="495"/>
      <c r="C87" s="493">
        <v>19050</v>
      </c>
      <c r="D87" s="493">
        <v>19050</v>
      </c>
      <c r="E87" s="493">
        <v>19050</v>
      </c>
      <c r="F87" s="541">
        <f>E87/D87</f>
        <v>1</v>
      </c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  <c r="AE87" s="447"/>
      <c r="AF87" s="447"/>
      <c r="AG87" s="447"/>
      <c r="AH87" s="447"/>
      <c r="AI87" s="447"/>
      <c r="AJ87" s="447"/>
      <c r="AK87" s="447"/>
      <c r="AL87" s="447"/>
      <c r="AM87" s="447"/>
      <c r="AN87" s="447"/>
      <c r="AO87" s="447"/>
      <c r="AP87" s="448"/>
    </row>
    <row r="88" spans="1:42" s="644" customFormat="1" ht="47.25" customHeight="1" thickBot="1" x14ac:dyDescent="0.3">
      <c r="A88" s="733" t="s">
        <v>752</v>
      </c>
      <c r="B88" s="670"/>
      <c r="C88" s="671">
        <v>133</v>
      </c>
      <c r="D88" s="671">
        <v>133</v>
      </c>
      <c r="E88" s="671">
        <v>133</v>
      </c>
      <c r="F88" s="541">
        <f t="shared" ref="F88:F90" si="1">E88/D88</f>
        <v>1</v>
      </c>
      <c r="G88" s="642"/>
      <c r="H88" s="642"/>
      <c r="I88" s="642"/>
      <c r="J88" s="642"/>
      <c r="K88" s="642"/>
      <c r="L88" s="642"/>
      <c r="M88" s="642"/>
      <c r="N88" s="642"/>
      <c r="O88" s="642"/>
      <c r="P88" s="642"/>
      <c r="Q88" s="642"/>
      <c r="R88" s="642"/>
      <c r="S88" s="642"/>
      <c r="T88" s="642"/>
      <c r="U88" s="642"/>
      <c r="V88" s="642"/>
      <c r="W88" s="642"/>
      <c r="X88" s="642"/>
      <c r="Y88" s="642"/>
      <c r="Z88" s="642"/>
      <c r="AA88" s="642"/>
      <c r="AB88" s="642"/>
      <c r="AC88" s="642"/>
      <c r="AD88" s="642"/>
      <c r="AE88" s="642"/>
      <c r="AF88" s="642"/>
      <c r="AG88" s="642"/>
      <c r="AH88" s="642"/>
      <c r="AI88" s="642"/>
      <c r="AJ88" s="642"/>
      <c r="AK88" s="642"/>
      <c r="AL88" s="642"/>
      <c r="AM88" s="642"/>
      <c r="AN88" s="642"/>
      <c r="AO88" s="642"/>
      <c r="AP88" s="643"/>
    </row>
    <row r="89" spans="1:42" s="650" customFormat="1" ht="24.75" customHeight="1" thickBot="1" x14ac:dyDescent="0.3">
      <c r="A89" s="733" t="s">
        <v>725</v>
      </c>
      <c r="B89" s="696"/>
      <c r="C89" s="671"/>
      <c r="D89" s="708">
        <f>2161+83</f>
        <v>2244</v>
      </c>
      <c r="E89" s="671">
        <v>2244</v>
      </c>
      <c r="F89" s="541">
        <f t="shared" si="1"/>
        <v>1</v>
      </c>
      <c r="G89" s="648"/>
      <c r="H89" s="648"/>
      <c r="I89" s="648"/>
      <c r="J89" s="648"/>
      <c r="K89" s="648"/>
      <c r="L89" s="648"/>
      <c r="M89" s="648"/>
      <c r="N89" s="648"/>
      <c r="O89" s="648"/>
      <c r="P89" s="648"/>
      <c r="Q89" s="648"/>
      <c r="R89" s="648"/>
      <c r="S89" s="648"/>
      <c r="T89" s="648"/>
      <c r="U89" s="648"/>
      <c r="V89" s="648"/>
      <c r="W89" s="648"/>
      <c r="X89" s="648"/>
      <c r="Y89" s="648"/>
      <c r="Z89" s="648"/>
      <c r="AA89" s="648"/>
      <c r="AB89" s="648"/>
      <c r="AC89" s="648"/>
      <c r="AD89" s="648"/>
      <c r="AE89" s="648"/>
      <c r="AF89" s="648"/>
      <c r="AG89" s="648"/>
      <c r="AH89" s="648"/>
      <c r="AI89" s="648"/>
      <c r="AJ89" s="648"/>
      <c r="AK89" s="648"/>
      <c r="AL89" s="648"/>
      <c r="AM89" s="648"/>
      <c r="AN89" s="648"/>
      <c r="AO89" s="649"/>
    </row>
    <row r="90" spans="1:42" s="644" customFormat="1" ht="27.75" customHeight="1" thickBot="1" x14ac:dyDescent="0.3">
      <c r="A90" s="733" t="s">
        <v>676</v>
      </c>
      <c r="B90" s="673"/>
      <c r="C90" s="671">
        <v>2500</v>
      </c>
      <c r="D90" s="671">
        <v>2500</v>
      </c>
      <c r="E90" s="671">
        <v>0</v>
      </c>
      <c r="F90" s="541">
        <f t="shared" si="1"/>
        <v>0</v>
      </c>
      <c r="G90" s="642"/>
      <c r="H90" s="642"/>
      <c r="I90" s="642"/>
      <c r="J90" s="642"/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  <c r="V90" s="642"/>
      <c r="W90" s="642"/>
      <c r="X90" s="642"/>
      <c r="Y90" s="642"/>
      <c r="Z90" s="642"/>
      <c r="AA90" s="642"/>
      <c r="AB90" s="642"/>
      <c r="AC90" s="642"/>
      <c r="AD90" s="642"/>
      <c r="AE90" s="642"/>
      <c r="AF90" s="642"/>
      <c r="AG90" s="642"/>
      <c r="AH90" s="642"/>
      <c r="AI90" s="642"/>
      <c r="AJ90" s="642"/>
      <c r="AK90" s="642"/>
      <c r="AL90" s="642"/>
      <c r="AM90" s="642"/>
      <c r="AN90" s="642"/>
      <c r="AO90" s="642"/>
      <c r="AP90" s="643"/>
    </row>
    <row r="91" spans="1:42" s="644" customFormat="1" ht="36.75" customHeight="1" thickBot="1" x14ac:dyDescent="0.3">
      <c r="A91" s="672" t="s">
        <v>680</v>
      </c>
      <c r="B91" s="670"/>
      <c r="C91" s="675"/>
      <c r="D91" s="675"/>
      <c r="E91" s="675"/>
      <c r="F91" s="546"/>
      <c r="G91" s="642"/>
      <c r="H91" s="642"/>
      <c r="I91" s="642"/>
      <c r="J91" s="642"/>
      <c r="K91" s="642"/>
      <c r="L91" s="642"/>
      <c r="M91" s="642"/>
      <c r="N91" s="642"/>
      <c r="O91" s="642"/>
      <c r="P91" s="642"/>
      <c r="Q91" s="642"/>
      <c r="R91" s="642"/>
      <c r="S91" s="642"/>
      <c r="T91" s="642"/>
      <c r="U91" s="642"/>
      <c r="V91" s="642"/>
      <c r="W91" s="642"/>
      <c r="X91" s="642"/>
      <c r="Y91" s="642"/>
      <c r="Z91" s="642"/>
      <c r="AA91" s="642"/>
      <c r="AB91" s="642"/>
      <c r="AC91" s="642"/>
      <c r="AD91" s="642"/>
      <c r="AE91" s="642"/>
      <c r="AF91" s="642"/>
      <c r="AG91" s="642"/>
      <c r="AH91" s="642"/>
      <c r="AI91" s="642"/>
      <c r="AJ91" s="642"/>
      <c r="AK91" s="642"/>
      <c r="AL91" s="642"/>
      <c r="AM91" s="642"/>
      <c r="AN91" s="642"/>
      <c r="AO91" s="642"/>
      <c r="AP91" s="643"/>
    </row>
    <row r="92" spans="1:42" s="644" customFormat="1" ht="36.75" customHeight="1" thickBot="1" x14ac:dyDescent="0.3">
      <c r="A92" s="672" t="s">
        <v>681</v>
      </c>
      <c r="B92" s="670"/>
      <c r="C92" s="675"/>
      <c r="D92" s="675"/>
      <c r="E92" s="675"/>
      <c r="F92" s="546"/>
      <c r="G92" s="642"/>
      <c r="H92" s="642"/>
      <c r="I92" s="642"/>
      <c r="J92" s="642"/>
      <c r="K92" s="642"/>
      <c r="L92" s="642"/>
      <c r="M92" s="642"/>
      <c r="N92" s="642"/>
      <c r="O92" s="642"/>
      <c r="P92" s="642"/>
      <c r="Q92" s="642"/>
      <c r="R92" s="642"/>
      <c r="S92" s="642"/>
      <c r="T92" s="642"/>
      <c r="U92" s="642"/>
      <c r="V92" s="642"/>
      <c r="W92" s="642"/>
      <c r="X92" s="642"/>
      <c r="Y92" s="642"/>
      <c r="Z92" s="642"/>
      <c r="AA92" s="642"/>
      <c r="AB92" s="642"/>
      <c r="AC92" s="642"/>
      <c r="AD92" s="642"/>
      <c r="AE92" s="642"/>
      <c r="AF92" s="642"/>
      <c r="AG92" s="642"/>
      <c r="AH92" s="642"/>
      <c r="AI92" s="642"/>
      <c r="AJ92" s="642"/>
      <c r="AK92" s="642"/>
      <c r="AL92" s="642"/>
      <c r="AM92" s="642"/>
      <c r="AN92" s="642"/>
      <c r="AO92" s="642"/>
      <c r="AP92" s="643"/>
    </row>
    <row r="93" spans="1:42" s="650" customFormat="1" ht="21" customHeight="1" thickBot="1" x14ac:dyDescent="0.3">
      <c r="A93" s="733" t="s">
        <v>695</v>
      </c>
      <c r="B93" s="673"/>
      <c r="C93" s="671"/>
      <c r="D93" s="671">
        <v>100</v>
      </c>
      <c r="E93" s="671">
        <v>107</v>
      </c>
      <c r="F93" s="541">
        <f>E93/D93</f>
        <v>1.07</v>
      </c>
      <c r="G93" s="648"/>
      <c r="H93" s="648"/>
      <c r="I93" s="648"/>
      <c r="J93" s="648"/>
      <c r="K93" s="648"/>
      <c r="L93" s="648"/>
      <c r="M93" s="648"/>
      <c r="N93" s="648"/>
      <c r="O93" s="648"/>
      <c r="P93" s="648"/>
      <c r="Q93" s="648"/>
      <c r="R93" s="648"/>
      <c r="S93" s="648"/>
      <c r="T93" s="648"/>
      <c r="U93" s="648"/>
      <c r="V93" s="648"/>
      <c r="W93" s="648"/>
      <c r="X93" s="648"/>
      <c r="Y93" s="648"/>
      <c r="Z93" s="648"/>
      <c r="AA93" s="648"/>
      <c r="AB93" s="648"/>
      <c r="AC93" s="648"/>
      <c r="AD93" s="648"/>
      <c r="AE93" s="648"/>
      <c r="AF93" s="648"/>
      <c r="AG93" s="648"/>
      <c r="AH93" s="648"/>
      <c r="AI93" s="648"/>
      <c r="AJ93" s="648"/>
      <c r="AK93" s="648"/>
      <c r="AL93" s="648"/>
      <c r="AM93" s="648"/>
      <c r="AN93" s="648"/>
      <c r="AO93" s="648"/>
      <c r="AP93" s="649"/>
    </row>
    <row r="94" spans="1:42" s="644" customFormat="1" ht="39.75" customHeight="1" thickBot="1" x14ac:dyDescent="0.3">
      <c r="A94" s="669" t="s">
        <v>684</v>
      </c>
      <c r="B94" s="696"/>
      <c r="C94" s="671"/>
      <c r="D94" s="708">
        <f>2000-1498</f>
        <v>502</v>
      </c>
      <c r="E94" s="671">
        <v>464</v>
      </c>
      <c r="F94" s="541">
        <f>E94/D94</f>
        <v>0.92430278884462147</v>
      </c>
      <c r="G94" s="642"/>
      <c r="H94" s="642"/>
      <c r="I94" s="642"/>
      <c r="J94" s="642"/>
      <c r="K94" s="642"/>
      <c r="L94" s="642"/>
      <c r="M94" s="642"/>
      <c r="N94" s="642"/>
      <c r="O94" s="642"/>
      <c r="P94" s="642"/>
      <c r="Q94" s="642"/>
      <c r="R94" s="642"/>
      <c r="S94" s="642"/>
      <c r="T94" s="642"/>
      <c r="U94" s="642"/>
      <c r="V94" s="642"/>
      <c r="W94" s="642"/>
      <c r="X94" s="642"/>
      <c r="Y94" s="642"/>
      <c r="Z94" s="642"/>
      <c r="AA94" s="642"/>
      <c r="AB94" s="642"/>
      <c r="AC94" s="642"/>
      <c r="AD94" s="642"/>
      <c r="AE94" s="642"/>
      <c r="AF94" s="642"/>
      <c r="AG94" s="642"/>
      <c r="AH94" s="642"/>
      <c r="AI94" s="642"/>
      <c r="AJ94" s="642"/>
      <c r="AK94" s="642"/>
      <c r="AL94" s="642"/>
      <c r="AM94" s="642"/>
      <c r="AN94" s="642"/>
      <c r="AO94" s="643"/>
    </row>
    <row r="95" spans="1:42" s="644" customFormat="1" ht="34.5" customHeight="1" thickBot="1" x14ac:dyDescent="0.3">
      <c r="A95" s="733" t="s">
        <v>685</v>
      </c>
      <c r="B95" s="696"/>
      <c r="C95" s="671"/>
      <c r="D95" s="708">
        <v>50</v>
      </c>
      <c r="E95" s="671">
        <v>50</v>
      </c>
      <c r="F95" s="541">
        <f t="shared" ref="F95:F98" si="2">E95/D95</f>
        <v>1</v>
      </c>
      <c r="G95" s="642"/>
      <c r="H95" s="642"/>
      <c r="I95" s="642"/>
      <c r="J95" s="642"/>
      <c r="K95" s="642"/>
      <c r="L95" s="642"/>
      <c r="M95" s="642"/>
      <c r="N95" s="642"/>
      <c r="O95" s="642"/>
      <c r="P95" s="642"/>
      <c r="Q95" s="642"/>
      <c r="R95" s="642"/>
      <c r="S95" s="642"/>
      <c r="T95" s="642"/>
      <c r="U95" s="642"/>
      <c r="V95" s="642"/>
      <c r="W95" s="642"/>
      <c r="X95" s="642"/>
      <c r="Y95" s="642"/>
      <c r="Z95" s="642"/>
      <c r="AA95" s="642"/>
      <c r="AB95" s="642"/>
      <c r="AC95" s="642"/>
      <c r="AD95" s="642"/>
      <c r="AE95" s="642"/>
      <c r="AF95" s="642"/>
      <c r="AG95" s="642"/>
      <c r="AH95" s="642"/>
      <c r="AI95" s="642"/>
      <c r="AJ95" s="642"/>
      <c r="AK95" s="642"/>
      <c r="AL95" s="642"/>
      <c r="AM95" s="642"/>
      <c r="AN95" s="642"/>
      <c r="AO95" s="643"/>
    </row>
    <row r="96" spans="1:42" s="704" customFormat="1" ht="42" customHeight="1" thickBot="1" x14ac:dyDescent="0.3">
      <c r="A96" s="669" t="s">
        <v>686</v>
      </c>
      <c r="B96" s="697"/>
      <c r="C96" s="701"/>
      <c r="D96" s="671">
        <f>680+5</f>
        <v>685</v>
      </c>
      <c r="E96" s="701">
        <v>685</v>
      </c>
      <c r="F96" s="541">
        <f t="shared" si="2"/>
        <v>1</v>
      </c>
      <c r="G96" s="702"/>
      <c r="H96" s="702"/>
      <c r="I96" s="702"/>
      <c r="J96" s="702"/>
      <c r="K96" s="702"/>
      <c r="L96" s="702"/>
      <c r="M96" s="702"/>
      <c r="N96" s="702"/>
      <c r="O96" s="702"/>
      <c r="P96" s="702"/>
      <c r="Q96" s="702"/>
      <c r="R96" s="702"/>
      <c r="S96" s="702"/>
      <c r="T96" s="702"/>
      <c r="U96" s="702"/>
      <c r="V96" s="702"/>
      <c r="W96" s="702"/>
      <c r="X96" s="702"/>
      <c r="Y96" s="702"/>
      <c r="Z96" s="702"/>
      <c r="AA96" s="702"/>
      <c r="AB96" s="702"/>
      <c r="AC96" s="702"/>
      <c r="AD96" s="702"/>
      <c r="AE96" s="702"/>
      <c r="AF96" s="702"/>
      <c r="AG96" s="702"/>
      <c r="AH96" s="702"/>
      <c r="AI96" s="702"/>
      <c r="AJ96" s="702"/>
      <c r="AK96" s="702"/>
      <c r="AL96" s="702"/>
      <c r="AM96" s="702"/>
      <c r="AN96" s="702"/>
      <c r="AO96" s="703"/>
    </row>
    <row r="97" spans="1:42" s="644" customFormat="1" ht="34.5" customHeight="1" thickBot="1" x14ac:dyDescent="0.3">
      <c r="A97" s="733" t="s">
        <v>683</v>
      </c>
      <c r="B97" s="673"/>
      <c r="C97" s="671"/>
      <c r="D97" s="671">
        <f>5000+710</f>
        <v>5710</v>
      </c>
      <c r="E97" s="671">
        <v>5709</v>
      </c>
      <c r="F97" s="541">
        <f t="shared" si="2"/>
        <v>0.99982486865148856</v>
      </c>
      <c r="G97" s="642"/>
      <c r="H97" s="642"/>
      <c r="I97" s="642"/>
      <c r="J97" s="642"/>
      <c r="K97" s="642"/>
      <c r="L97" s="642"/>
      <c r="M97" s="642"/>
      <c r="N97" s="642"/>
      <c r="O97" s="642"/>
      <c r="P97" s="642"/>
      <c r="Q97" s="642"/>
      <c r="R97" s="642"/>
      <c r="S97" s="642"/>
      <c r="T97" s="642"/>
      <c r="U97" s="642"/>
      <c r="V97" s="642"/>
      <c r="W97" s="642"/>
      <c r="X97" s="642"/>
      <c r="Y97" s="642"/>
      <c r="Z97" s="642"/>
      <c r="AA97" s="642"/>
      <c r="AB97" s="642"/>
      <c r="AC97" s="642"/>
      <c r="AD97" s="642"/>
      <c r="AE97" s="642"/>
      <c r="AF97" s="642"/>
      <c r="AG97" s="642"/>
      <c r="AH97" s="642"/>
      <c r="AI97" s="642"/>
      <c r="AJ97" s="642"/>
      <c r="AK97" s="642"/>
      <c r="AL97" s="642"/>
      <c r="AM97" s="642"/>
      <c r="AN97" s="642"/>
      <c r="AO97" s="642"/>
      <c r="AP97" s="643"/>
    </row>
    <row r="98" spans="1:42" s="644" customFormat="1" ht="32.25" thickBot="1" x14ac:dyDescent="0.3">
      <c r="A98" s="733" t="s">
        <v>700</v>
      </c>
      <c r="B98" s="673"/>
      <c r="C98" s="671">
        <v>3750</v>
      </c>
      <c r="D98" s="671">
        <v>3750</v>
      </c>
      <c r="E98" s="671">
        <v>3438</v>
      </c>
      <c r="F98" s="541">
        <f t="shared" si="2"/>
        <v>0.91679999999999995</v>
      </c>
      <c r="G98" s="642"/>
      <c r="H98" s="642"/>
      <c r="I98" s="642"/>
      <c r="J98" s="642"/>
      <c r="K98" s="642"/>
      <c r="L98" s="642"/>
      <c r="M98" s="642"/>
      <c r="N98" s="642"/>
      <c r="O98" s="642"/>
      <c r="P98" s="642"/>
      <c r="Q98" s="642"/>
      <c r="R98" s="642"/>
      <c r="S98" s="642"/>
      <c r="T98" s="642"/>
      <c r="U98" s="642"/>
      <c r="V98" s="642"/>
      <c r="W98" s="642"/>
      <c r="X98" s="642"/>
      <c r="Y98" s="642"/>
      <c r="Z98" s="642"/>
      <c r="AA98" s="642"/>
      <c r="AB98" s="642"/>
      <c r="AC98" s="642"/>
      <c r="AD98" s="642"/>
      <c r="AE98" s="642"/>
      <c r="AF98" s="642"/>
      <c r="AG98" s="642"/>
      <c r="AH98" s="642"/>
      <c r="AI98" s="642"/>
      <c r="AJ98" s="642"/>
      <c r="AK98" s="642"/>
      <c r="AL98" s="642"/>
      <c r="AM98" s="642"/>
      <c r="AN98" s="642"/>
      <c r="AO98" s="642"/>
      <c r="AP98" s="643"/>
    </row>
    <row r="99" spans="1:42" s="650" customFormat="1" ht="36.75" customHeight="1" thickBot="1" x14ac:dyDescent="0.3">
      <c r="A99" s="669" t="s">
        <v>710</v>
      </c>
      <c r="B99" s="673"/>
      <c r="C99" s="671">
        <v>100</v>
      </c>
      <c r="D99" s="671">
        <v>100</v>
      </c>
      <c r="E99" s="671">
        <v>0</v>
      </c>
      <c r="F99" s="541">
        <v>0</v>
      </c>
      <c r="G99" s="648"/>
      <c r="H99" s="648"/>
      <c r="I99" s="648"/>
      <c r="J99" s="648"/>
      <c r="K99" s="648"/>
      <c r="L99" s="648"/>
      <c r="M99" s="648"/>
      <c r="N99" s="648"/>
      <c r="O99" s="648"/>
      <c r="P99" s="648"/>
      <c r="Q99" s="648"/>
      <c r="R99" s="648"/>
      <c r="S99" s="648"/>
      <c r="T99" s="648"/>
      <c r="U99" s="648"/>
      <c r="V99" s="648"/>
      <c r="W99" s="648"/>
      <c r="X99" s="648"/>
      <c r="Y99" s="648"/>
      <c r="Z99" s="648"/>
      <c r="AA99" s="648"/>
      <c r="AB99" s="648"/>
      <c r="AC99" s="648"/>
      <c r="AD99" s="648"/>
      <c r="AE99" s="648"/>
      <c r="AF99" s="648"/>
      <c r="AG99" s="648"/>
      <c r="AH99" s="648"/>
      <c r="AI99" s="648"/>
      <c r="AJ99" s="648"/>
      <c r="AK99" s="648"/>
      <c r="AL99" s="648"/>
      <c r="AM99" s="648"/>
      <c r="AN99" s="648"/>
      <c r="AO99" s="648"/>
      <c r="AP99" s="649"/>
    </row>
    <row r="100" spans="1:42" s="449" customFormat="1" ht="27.75" customHeight="1" thickBot="1" x14ac:dyDescent="0.3">
      <c r="A100" s="519" t="s">
        <v>711</v>
      </c>
      <c r="B100" s="495"/>
      <c r="C100" s="493">
        <v>8130</v>
      </c>
      <c r="D100" s="493">
        <v>8130</v>
      </c>
      <c r="E100" s="493">
        <v>7602</v>
      </c>
      <c r="F100" s="541">
        <f>E100/D100</f>
        <v>0.93505535055350553</v>
      </c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7"/>
      <c r="AE100" s="447"/>
      <c r="AF100" s="447"/>
      <c r="AG100" s="447"/>
      <c r="AH100" s="447"/>
      <c r="AI100" s="447"/>
      <c r="AJ100" s="447"/>
      <c r="AK100" s="447"/>
      <c r="AL100" s="447"/>
      <c r="AM100" s="447"/>
      <c r="AN100" s="447"/>
      <c r="AO100" s="447"/>
      <c r="AP100" s="448"/>
    </row>
    <row r="101" spans="1:42" s="644" customFormat="1" ht="24" customHeight="1" thickBot="1" x14ac:dyDescent="0.3">
      <c r="A101" s="672" t="s">
        <v>712</v>
      </c>
      <c r="B101" s="670">
        <v>8130</v>
      </c>
      <c r="C101" s="671"/>
      <c r="D101" s="671"/>
      <c r="E101" s="671"/>
      <c r="F101" s="541"/>
      <c r="G101" s="642"/>
      <c r="H101" s="642"/>
      <c r="I101" s="642"/>
      <c r="J101" s="642"/>
      <c r="K101" s="642"/>
      <c r="L101" s="642"/>
      <c r="M101" s="642"/>
      <c r="N101" s="642"/>
      <c r="O101" s="642"/>
      <c r="P101" s="642"/>
      <c r="Q101" s="642"/>
      <c r="R101" s="642"/>
      <c r="S101" s="642"/>
      <c r="T101" s="642"/>
      <c r="U101" s="642"/>
      <c r="V101" s="642"/>
      <c r="W101" s="642"/>
      <c r="X101" s="642"/>
      <c r="Y101" s="642"/>
      <c r="Z101" s="642"/>
      <c r="AA101" s="642"/>
      <c r="AB101" s="642"/>
      <c r="AC101" s="642"/>
      <c r="AD101" s="642"/>
      <c r="AE101" s="642"/>
      <c r="AF101" s="642"/>
      <c r="AG101" s="642"/>
      <c r="AH101" s="642"/>
      <c r="AI101" s="642"/>
      <c r="AJ101" s="642"/>
      <c r="AK101" s="642"/>
      <c r="AL101" s="642"/>
      <c r="AM101" s="642"/>
      <c r="AN101" s="642"/>
      <c r="AO101" s="642"/>
      <c r="AP101" s="643"/>
    </row>
    <row r="102" spans="1:42" s="644" customFormat="1" ht="42.75" customHeight="1" thickBot="1" x14ac:dyDescent="0.3">
      <c r="A102" s="676" t="s">
        <v>632</v>
      </c>
      <c r="B102" s="677"/>
      <c r="C102" s="671">
        <v>5103</v>
      </c>
      <c r="D102" s="671">
        <f>C102+33</f>
        <v>5136</v>
      </c>
      <c r="E102" s="671">
        <f>SUM(B103:B110)</f>
        <v>4354</v>
      </c>
      <c r="F102" s="541">
        <f>E102/D102</f>
        <v>0.84774143302180682</v>
      </c>
      <c r="G102" s="642"/>
      <c r="H102" s="642"/>
      <c r="I102" s="642"/>
      <c r="J102" s="642"/>
      <c r="K102" s="642"/>
      <c r="L102" s="642"/>
      <c r="M102" s="642"/>
      <c r="N102" s="642"/>
      <c r="O102" s="642"/>
      <c r="P102" s="642"/>
      <c r="Q102" s="642"/>
      <c r="R102" s="642"/>
      <c r="S102" s="642"/>
      <c r="T102" s="642"/>
      <c r="U102" s="642"/>
      <c r="V102" s="642"/>
      <c r="W102" s="642"/>
      <c r="X102" s="642"/>
      <c r="Y102" s="642"/>
      <c r="Z102" s="642"/>
      <c r="AA102" s="642"/>
      <c r="AB102" s="642"/>
      <c r="AC102" s="642"/>
      <c r="AD102" s="642"/>
      <c r="AE102" s="642"/>
      <c r="AF102" s="642"/>
      <c r="AG102" s="642"/>
      <c r="AH102" s="642"/>
      <c r="AI102" s="642"/>
      <c r="AJ102" s="642"/>
      <c r="AK102" s="642"/>
      <c r="AL102" s="642"/>
      <c r="AM102" s="642"/>
      <c r="AN102" s="642"/>
      <c r="AO102" s="642"/>
      <c r="AP102" s="643"/>
    </row>
    <row r="103" spans="1:42" s="644" customFormat="1" ht="22.5" customHeight="1" thickBot="1" x14ac:dyDescent="0.3">
      <c r="A103" s="672" t="s">
        <v>716</v>
      </c>
      <c r="B103" s="670">
        <v>132</v>
      </c>
      <c r="C103" s="671"/>
      <c r="D103" s="671"/>
      <c r="E103" s="671"/>
      <c r="F103" s="541"/>
      <c r="G103" s="642"/>
      <c r="H103" s="642"/>
      <c r="I103" s="642"/>
      <c r="J103" s="642"/>
      <c r="K103" s="642"/>
      <c r="L103" s="642"/>
      <c r="M103" s="642"/>
      <c r="N103" s="642"/>
      <c r="O103" s="642"/>
      <c r="P103" s="642"/>
      <c r="Q103" s="642"/>
      <c r="R103" s="642"/>
      <c r="S103" s="642"/>
      <c r="T103" s="642"/>
      <c r="U103" s="642"/>
      <c r="V103" s="642"/>
      <c r="W103" s="642"/>
      <c r="X103" s="642"/>
      <c r="Y103" s="642"/>
      <c r="Z103" s="642"/>
      <c r="AA103" s="642"/>
      <c r="AB103" s="642"/>
      <c r="AC103" s="642"/>
      <c r="AD103" s="642"/>
      <c r="AE103" s="642"/>
      <c r="AF103" s="642"/>
      <c r="AG103" s="642"/>
      <c r="AH103" s="642"/>
      <c r="AI103" s="642"/>
      <c r="AJ103" s="642"/>
      <c r="AK103" s="642"/>
      <c r="AL103" s="642"/>
      <c r="AM103" s="642"/>
      <c r="AN103" s="642"/>
      <c r="AO103" s="642"/>
      <c r="AP103" s="643"/>
    </row>
    <row r="104" spans="1:42" s="644" customFormat="1" ht="22.5" customHeight="1" thickBot="1" x14ac:dyDescent="0.3">
      <c r="A104" s="672" t="s">
        <v>717</v>
      </c>
      <c r="B104" s="670">
        <v>132</v>
      </c>
      <c r="C104" s="671"/>
      <c r="D104" s="671"/>
      <c r="E104" s="671"/>
      <c r="F104" s="541"/>
      <c r="G104" s="642"/>
      <c r="H104" s="642"/>
      <c r="I104" s="642"/>
      <c r="J104" s="642"/>
      <c r="K104" s="642"/>
      <c r="L104" s="642"/>
      <c r="M104" s="642"/>
      <c r="N104" s="642"/>
      <c r="O104" s="642"/>
      <c r="P104" s="642"/>
      <c r="Q104" s="642"/>
      <c r="R104" s="642"/>
      <c r="S104" s="642"/>
      <c r="T104" s="642"/>
      <c r="U104" s="642"/>
      <c r="V104" s="642"/>
      <c r="W104" s="642"/>
      <c r="X104" s="642"/>
      <c r="Y104" s="642"/>
      <c r="Z104" s="642"/>
      <c r="AA104" s="642"/>
      <c r="AB104" s="642"/>
      <c r="AC104" s="642"/>
      <c r="AD104" s="642"/>
      <c r="AE104" s="642"/>
      <c r="AF104" s="642"/>
      <c r="AG104" s="642"/>
      <c r="AH104" s="642"/>
      <c r="AI104" s="642"/>
      <c r="AJ104" s="642"/>
      <c r="AK104" s="642"/>
      <c r="AL104" s="642"/>
      <c r="AM104" s="642"/>
      <c r="AN104" s="642"/>
      <c r="AO104" s="642"/>
      <c r="AP104" s="643"/>
    </row>
    <row r="105" spans="1:42" s="644" customFormat="1" ht="22.5" customHeight="1" thickBot="1" x14ac:dyDescent="0.3">
      <c r="A105" s="672" t="s">
        <v>718</v>
      </c>
      <c r="B105" s="670">
        <v>445</v>
      </c>
      <c r="C105" s="671"/>
      <c r="D105" s="671"/>
      <c r="E105" s="671"/>
      <c r="F105" s="541"/>
      <c r="G105" s="642"/>
      <c r="H105" s="642"/>
      <c r="I105" s="642"/>
      <c r="J105" s="642"/>
      <c r="K105" s="642"/>
      <c r="L105" s="642"/>
      <c r="M105" s="642"/>
      <c r="N105" s="642"/>
      <c r="O105" s="642"/>
      <c r="P105" s="642"/>
      <c r="Q105" s="642"/>
      <c r="R105" s="642"/>
      <c r="S105" s="642"/>
      <c r="T105" s="642"/>
      <c r="U105" s="642"/>
      <c r="V105" s="642"/>
      <c r="W105" s="642"/>
      <c r="X105" s="642"/>
      <c r="Y105" s="642"/>
      <c r="Z105" s="642"/>
      <c r="AA105" s="642"/>
      <c r="AB105" s="642"/>
      <c r="AC105" s="642"/>
      <c r="AD105" s="642"/>
      <c r="AE105" s="642"/>
      <c r="AF105" s="642"/>
      <c r="AG105" s="642"/>
      <c r="AH105" s="642"/>
      <c r="AI105" s="642"/>
      <c r="AJ105" s="642"/>
      <c r="AK105" s="642"/>
      <c r="AL105" s="642"/>
      <c r="AM105" s="642"/>
      <c r="AN105" s="642"/>
      <c r="AO105" s="642"/>
      <c r="AP105" s="643"/>
    </row>
    <row r="106" spans="1:42" s="644" customFormat="1" ht="22.5" customHeight="1" thickBot="1" x14ac:dyDescent="0.3">
      <c r="A106" s="672" t="s">
        <v>719</v>
      </c>
      <c r="B106" s="670">
        <v>60</v>
      </c>
      <c r="C106" s="671"/>
      <c r="D106" s="671"/>
      <c r="E106" s="671"/>
      <c r="F106" s="541"/>
      <c r="G106" s="642"/>
      <c r="H106" s="642"/>
      <c r="I106" s="642"/>
      <c r="J106" s="642"/>
      <c r="K106" s="642"/>
      <c r="L106" s="642"/>
      <c r="M106" s="642"/>
      <c r="N106" s="642"/>
      <c r="O106" s="642"/>
      <c r="P106" s="642"/>
      <c r="Q106" s="642"/>
      <c r="R106" s="642"/>
      <c r="S106" s="642"/>
      <c r="T106" s="642"/>
      <c r="U106" s="642"/>
      <c r="V106" s="642"/>
      <c r="W106" s="642"/>
      <c r="X106" s="642"/>
      <c r="Y106" s="642"/>
      <c r="Z106" s="642"/>
      <c r="AA106" s="642"/>
      <c r="AB106" s="642"/>
      <c r="AC106" s="642"/>
      <c r="AD106" s="642"/>
      <c r="AE106" s="642"/>
      <c r="AF106" s="642"/>
      <c r="AG106" s="642"/>
      <c r="AH106" s="642"/>
      <c r="AI106" s="642"/>
      <c r="AJ106" s="642"/>
      <c r="AK106" s="642"/>
      <c r="AL106" s="642"/>
      <c r="AM106" s="642"/>
      <c r="AN106" s="642"/>
      <c r="AO106" s="642"/>
      <c r="AP106" s="643"/>
    </row>
    <row r="107" spans="1:42" s="644" customFormat="1" ht="22.5" customHeight="1" thickBot="1" x14ac:dyDescent="0.3">
      <c r="A107" s="672" t="s">
        <v>720</v>
      </c>
      <c r="B107" s="670">
        <v>1585</v>
      </c>
      <c r="C107" s="671"/>
      <c r="D107" s="671"/>
      <c r="E107" s="671"/>
      <c r="F107" s="541"/>
      <c r="G107" s="642"/>
      <c r="H107" s="642"/>
      <c r="I107" s="642"/>
      <c r="J107" s="642"/>
      <c r="K107" s="642"/>
      <c r="L107" s="642"/>
      <c r="M107" s="642"/>
      <c r="N107" s="642"/>
      <c r="O107" s="642"/>
      <c r="P107" s="642"/>
      <c r="Q107" s="642"/>
      <c r="R107" s="642"/>
      <c r="S107" s="642"/>
      <c r="T107" s="642"/>
      <c r="U107" s="642"/>
      <c r="V107" s="642"/>
      <c r="W107" s="642"/>
      <c r="X107" s="642"/>
      <c r="Y107" s="642"/>
      <c r="Z107" s="642"/>
      <c r="AA107" s="642"/>
      <c r="AB107" s="642"/>
      <c r="AC107" s="642"/>
      <c r="AD107" s="642"/>
      <c r="AE107" s="642"/>
      <c r="AF107" s="642"/>
      <c r="AG107" s="642"/>
      <c r="AH107" s="642"/>
      <c r="AI107" s="642"/>
      <c r="AJ107" s="642"/>
      <c r="AK107" s="642"/>
      <c r="AL107" s="642"/>
      <c r="AM107" s="642"/>
      <c r="AN107" s="642"/>
      <c r="AO107" s="642"/>
      <c r="AP107" s="643"/>
    </row>
    <row r="108" spans="1:42" s="644" customFormat="1" ht="22.5" customHeight="1" thickBot="1" x14ac:dyDescent="0.3">
      <c r="A108" s="672" t="s">
        <v>721</v>
      </c>
      <c r="B108" s="670">
        <v>270</v>
      </c>
      <c r="C108" s="671"/>
      <c r="D108" s="671"/>
      <c r="E108" s="671"/>
      <c r="F108" s="541"/>
      <c r="G108" s="642"/>
      <c r="H108" s="642"/>
      <c r="I108" s="642"/>
      <c r="J108" s="642"/>
      <c r="K108" s="642"/>
      <c r="L108" s="642"/>
      <c r="M108" s="642"/>
      <c r="N108" s="642"/>
      <c r="O108" s="642"/>
      <c r="P108" s="642"/>
      <c r="Q108" s="642"/>
      <c r="R108" s="642"/>
      <c r="S108" s="642"/>
      <c r="T108" s="642"/>
      <c r="U108" s="642"/>
      <c r="V108" s="642"/>
      <c r="W108" s="642"/>
      <c r="X108" s="642"/>
      <c r="Y108" s="642"/>
      <c r="Z108" s="642"/>
      <c r="AA108" s="642"/>
      <c r="AB108" s="642"/>
      <c r="AC108" s="642"/>
      <c r="AD108" s="642"/>
      <c r="AE108" s="642"/>
      <c r="AF108" s="642"/>
      <c r="AG108" s="642"/>
      <c r="AH108" s="642"/>
      <c r="AI108" s="642"/>
      <c r="AJ108" s="642"/>
      <c r="AK108" s="642"/>
      <c r="AL108" s="642"/>
      <c r="AM108" s="642"/>
      <c r="AN108" s="642"/>
      <c r="AO108" s="642"/>
      <c r="AP108" s="643"/>
    </row>
    <row r="109" spans="1:42" s="644" customFormat="1" ht="16.5" hidden="1" thickBot="1" x14ac:dyDescent="0.3">
      <c r="A109" s="672" t="s">
        <v>722</v>
      </c>
      <c r="B109" s="670"/>
      <c r="C109" s="671"/>
      <c r="D109" s="671"/>
      <c r="E109" s="671"/>
      <c r="F109" s="541"/>
      <c r="G109" s="642"/>
      <c r="H109" s="642"/>
      <c r="I109" s="642"/>
      <c r="J109" s="642"/>
      <c r="K109" s="642"/>
      <c r="L109" s="642"/>
      <c r="M109" s="642"/>
      <c r="N109" s="642"/>
      <c r="O109" s="642"/>
      <c r="P109" s="642"/>
      <c r="Q109" s="642"/>
      <c r="R109" s="642"/>
      <c r="S109" s="642"/>
      <c r="T109" s="642"/>
      <c r="U109" s="642"/>
      <c r="V109" s="642"/>
      <c r="W109" s="642"/>
      <c r="X109" s="642"/>
      <c r="Y109" s="642"/>
      <c r="Z109" s="642"/>
      <c r="AA109" s="642"/>
      <c r="AB109" s="642"/>
      <c r="AC109" s="642"/>
      <c r="AD109" s="642"/>
      <c r="AE109" s="642"/>
      <c r="AF109" s="642"/>
      <c r="AG109" s="642"/>
      <c r="AH109" s="642"/>
      <c r="AI109" s="642"/>
      <c r="AJ109" s="642"/>
      <c r="AK109" s="642"/>
      <c r="AL109" s="642"/>
      <c r="AM109" s="642"/>
      <c r="AN109" s="642"/>
      <c r="AO109" s="642"/>
      <c r="AP109" s="643"/>
    </row>
    <row r="110" spans="1:42" s="644" customFormat="1" ht="48" thickBot="1" x14ac:dyDescent="0.3">
      <c r="A110" s="672" t="s">
        <v>723</v>
      </c>
      <c r="B110" s="670">
        <v>1730</v>
      </c>
      <c r="C110" s="671"/>
      <c r="D110" s="671"/>
      <c r="E110" s="671"/>
      <c r="F110" s="541"/>
      <c r="G110" s="642"/>
      <c r="H110" s="642"/>
      <c r="I110" s="642"/>
      <c r="J110" s="642"/>
      <c r="K110" s="642"/>
      <c r="L110" s="642"/>
      <c r="M110" s="642"/>
      <c r="N110" s="642"/>
      <c r="O110" s="642"/>
      <c r="P110" s="642"/>
      <c r="Q110" s="642"/>
      <c r="R110" s="642"/>
      <c r="S110" s="642"/>
      <c r="T110" s="642"/>
      <c r="U110" s="642"/>
      <c r="V110" s="642"/>
      <c r="W110" s="642"/>
      <c r="X110" s="642"/>
      <c r="Y110" s="642"/>
      <c r="Z110" s="642"/>
      <c r="AA110" s="642"/>
      <c r="AB110" s="642"/>
      <c r="AC110" s="642"/>
      <c r="AD110" s="642"/>
      <c r="AE110" s="642"/>
      <c r="AF110" s="642"/>
      <c r="AG110" s="642"/>
      <c r="AH110" s="642"/>
      <c r="AI110" s="642"/>
      <c r="AJ110" s="642"/>
      <c r="AK110" s="642"/>
      <c r="AL110" s="642"/>
      <c r="AM110" s="642"/>
      <c r="AN110" s="642"/>
      <c r="AO110" s="642"/>
      <c r="AP110" s="643"/>
    </row>
    <row r="111" spans="1:42" s="666" customFormat="1" ht="23.25" customHeight="1" thickBot="1" x14ac:dyDescent="0.3">
      <c r="A111" s="733" t="s">
        <v>701</v>
      </c>
      <c r="B111" s="673"/>
      <c r="C111" s="671">
        <v>0</v>
      </c>
      <c r="D111" s="671">
        <v>1296</v>
      </c>
      <c r="E111" s="671">
        <v>819</v>
      </c>
      <c r="F111" s="541">
        <f>E111/D111</f>
        <v>0.63194444444444442</v>
      </c>
      <c r="G111" s="664"/>
      <c r="H111" s="664"/>
      <c r="I111" s="664"/>
      <c r="J111" s="664"/>
      <c r="K111" s="664"/>
      <c r="L111" s="664"/>
      <c r="M111" s="664"/>
      <c r="N111" s="664"/>
      <c r="O111" s="664"/>
      <c r="P111" s="664"/>
      <c r="Q111" s="664"/>
      <c r="R111" s="664"/>
      <c r="S111" s="664"/>
      <c r="T111" s="664"/>
      <c r="U111" s="664"/>
      <c r="V111" s="664"/>
      <c r="W111" s="664"/>
      <c r="X111" s="664"/>
      <c r="Y111" s="664"/>
      <c r="Z111" s="664"/>
      <c r="AA111" s="664"/>
      <c r="AB111" s="664"/>
      <c r="AC111" s="664"/>
      <c r="AD111" s="664"/>
      <c r="AE111" s="664"/>
      <c r="AF111" s="664"/>
      <c r="AG111" s="664"/>
      <c r="AH111" s="664"/>
      <c r="AI111" s="664"/>
      <c r="AJ111" s="664"/>
      <c r="AK111" s="664"/>
      <c r="AL111" s="664"/>
      <c r="AM111" s="664"/>
      <c r="AN111" s="664"/>
      <c r="AO111" s="664"/>
      <c r="AP111" s="665"/>
    </row>
    <row r="112" spans="1:42" s="666" customFormat="1" ht="18.75" customHeight="1" thickBot="1" x14ac:dyDescent="0.3">
      <c r="A112" s="672" t="s">
        <v>702</v>
      </c>
      <c r="B112" s="670"/>
      <c r="C112" s="671"/>
      <c r="D112" s="671"/>
      <c r="E112" s="671"/>
      <c r="F112" s="541"/>
      <c r="G112" s="664"/>
      <c r="H112" s="664"/>
      <c r="I112" s="664"/>
      <c r="J112" s="664"/>
      <c r="K112" s="664"/>
      <c r="L112" s="664"/>
      <c r="M112" s="664"/>
      <c r="N112" s="664"/>
      <c r="O112" s="664"/>
      <c r="P112" s="664"/>
      <c r="Q112" s="664"/>
      <c r="R112" s="664"/>
      <c r="S112" s="664"/>
      <c r="T112" s="664"/>
      <c r="U112" s="664"/>
      <c r="V112" s="664"/>
      <c r="W112" s="664"/>
      <c r="X112" s="664"/>
      <c r="Y112" s="664"/>
      <c r="Z112" s="664"/>
      <c r="AA112" s="664"/>
      <c r="AB112" s="664"/>
      <c r="AC112" s="664"/>
      <c r="AD112" s="664"/>
      <c r="AE112" s="664"/>
      <c r="AF112" s="664"/>
      <c r="AG112" s="664"/>
      <c r="AH112" s="664"/>
      <c r="AI112" s="664"/>
      <c r="AJ112" s="664"/>
      <c r="AK112" s="664"/>
      <c r="AL112" s="664"/>
      <c r="AM112" s="664"/>
      <c r="AN112" s="664"/>
      <c r="AO112" s="664"/>
      <c r="AP112" s="665"/>
    </row>
    <row r="113" spans="1:42" s="666" customFormat="1" ht="18.75" customHeight="1" thickBot="1" x14ac:dyDescent="0.3">
      <c r="A113" s="672" t="s">
        <v>703</v>
      </c>
      <c r="B113" s="670"/>
      <c r="C113" s="671"/>
      <c r="D113" s="671"/>
      <c r="E113" s="671"/>
      <c r="F113" s="541"/>
      <c r="G113" s="664"/>
      <c r="H113" s="664"/>
      <c r="I113" s="664"/>
      <c r="J113" s="664"/>
      <c r="K113" s="664"/>
      <c r="L113" s="664"/>
      <c r="M113" s="664"/>
      <c r="N113" s="664"/>
      <c r="O113" s="664"/>
      <c r="P113" s="664"/>
      <c r="Q113" s="664"/>
      <c r="R113" s="664"/>
      <c r="S113" s="664"/>
      <c r="T113" s="664"/>
      <c r="U113" s="664"/>
      <c r="V113" s="664"/>
      <c r="W113" s="664"/>
      <c r="X113" s="664"/>
      <c r="Y113" s="664"/>
      <c r="Z113" s="664"/>
      <c r="AA113" s="664"/>
      <c r="AB113" s="664"/>
      <c r="AC113" s="664"/>
      <c r="AD113" s="664"/>
      <c r="AE113" s="664"/>
      <c r="AF113" s="664"/>
      <c r="AG113" s="664"/>
      <c r="AH113" s="664"/>
      <c r="AI113" s="664"/>
      <c r="AJ113" s="664"/>
      <c r="AK113" s="664"/>
      <c r="AL113" s="664"/>
      <c r="AM113" s="664"/>
      <c r="AN113" s="664"/>
      <c r="AO113" s="664"/>
      <c r="AP113" s="665"/>
    </row>
    <row r="114" spans="1:42" s="666" customFormat="1" ht="18.75" customHeight="1" thickBot="1" x14ac:dyDescent="0.3">
      <c r="A114" s="672" t="s">
        <v>704</v>
      </c>
      <c r="B114" s="670"/>
      <c r="C114" s="671"/>
      <c r="D114" s="671"/>
      <c r="E114" s="671"/>
      <c r="F114" s="541"/>
      <c r="G114" s="664"/>
      <c r="H114" s="664"/>
      <c r="I114" s="664"/>
      <c r="J114" s="664"/>
      <c r="K114" s="664"/>
      <c r="L114" s="664"/>
      <c r="M114" s="664"/>
      <c r="N114" s="664"/>
      <c r="O114" s="664"/>
      <c r="P114" s="664"/>
      <c r="Q114" s="664"/>
      <c r="R114" s="664"/>
      <c r="S114" s="664"/>
      <c r="T114" s="664"/>
      <c r="U114" s="664"/>
      <c r="V114" s="664"/>
      <c r="W114" s="664"/>
      <c r="X114" s="664"/>
      <c r="Y114" s="664"/>
      <c r="Z114" s="664"/>
      <c r="AA114" s="664"/>
      <c r="AB114" s="664"/>
      <c r="AC114" s="664"/>
      <c r="AD114" s="664"/>
      <c r="AE114" s="664"/>
      <c r="AF114" s="664"/>
      <c r="AG114" s="664"/>
      <c r="AH114" s="664"/>
      <c r="AI114" s="664"/>
      <c r="AJ114" s="664"/>
      <c r="AK114" s="664"/>
      <c r="AL114" s="664"/>
      <c r="AM114" s="664"/>
      <c r="AN114" s="664"/>
      <c r="AO114" s="664"/>
      <c r="AP114" s="665"/>
    </row>
    <row r="115" spans="1:42" s="666" customFormat="1" ht="32.25" thickBot="1" x14ac:dyDescent="0.3">
      <c r="A115" s="672" t="s">
        <v>705</v>
      </c>
      <c r="B115" s="670"/>
      <c r="C115" s="671"/>
      <c r="D115" s="671"/>
      <c r="E115" s="671"/>
      <c r="F115" s="541"/>
      <c r="G115" s="664"/>
      <c r="H115" s="664"/>
      <c r="I115" s="664"/>
      <c r="J115" s="664"/>
      <c r="K115" s="664"/>
      <c r="L115" s="664"/>
      <c r="M115" s="664"/>
      <c r="N115" s="664"/>
      <c r="O115" s="664"/>
      <c r="P115" s="664"/>
      <c r="Q115" s="664"/>
      <c r="R115" s="664"/>
      <c r="S115" s="664"/>
      <c r="T115" s="664"/>
      <c r="U115" s="664"/>
      <c r="V115" s="664"/>
      <c r="W115" s="664"/>
      <c r="X115" s="664"/>
      <c r="Y115" s="664"/>
      <c r="Z115" s="664"/>
      <c r="AA115" s="664"/>
      <c r="AB115" s="664"/>
      <c r="AC115" s="664"/>
      <c r="AD115" s="664"/>
      <c r="AE115" s="664"/>
      <c r="AF115" s="664"/>
      <c r="AG115" s="664"/>
      <c r="AH115" s="664"/>
      <c r="AI115" s="664"/>
      <c r="AJ115" s="664"/>
      <c r="AK115" s="664"/>
      <c r="AL115" s="664"/>
      <c r="AM115" s="664"/>
      <c r="AN115" s="664"/>
      <c r="AO115" s="664"/>
      <c r="AP115" s="665"/>
    </row>
    <row r="116" spans="1:42" s="666" customFormat="1" ht="18.75" customHeight="1" thickBot="1" x14ac:dyDescent="0.3">
      <c r="A116" s="672" t="s">
        <v>706</v>
      </c>
      <c r="B116" s="670"/>
      <c r="C116" s="671"/>
      <c r="D116" s="671"/>
      <c r="E116" s="671"/>
      <c r="F116" s="541"/>
      <c r="G116" s="664"/>
      <c r="H116" s="664"/>
      <c r="I116" s="664"/>
      <c r="J116" s="664"/>
      <c r="K116" s="664"/>
      <c r="L116" s="664"/>
      <c r="M116" s="664"/>
      <c r="N116" s="664"/>
      <c r="O116" s="664"/>
      <c r="P116" s="664"/>
      <c r="Q116" s="664"/>
      <c r="R116" s="664"/>
      <c r="S116" s="664"/>
      <c r="T116" s="664"/>
      <c r="U116" s="664"/>
      <c r="V116" s="664"/>
      <c r="W116" s="664"/>
      <c r="X116" s="664"/>
      <c r="Y116" s="664"/>
      <c r="Z116" s="664"/>
      <c r="AA116" s="664"/>
      <c r="AB116" s="664"/>
      <c r="AC116" s="664"/>
      <c r="AD116" s="664"/>
      <c r="AE116" s="664"/>
      <c r="AF116" s="664"/>
      <c r="AG116" s="664"/>
      <c r="AH116" s="664"/>
      <c r="AI116" s="664"/>
      <c r="AJ116" s="664"/>
      <c r="AK116" s="664"/>
      <c r="AL116" s="664"/>
      <c r="AM116" s="664"/>
      <c r="AN116" s="664"/>
      <c r="AO116" s="664"/>
      <c r="AP116" s="665"/>
    </row>
    <row r="117" spans="1:42" s="666" customFormat="1" ht="18.75" customHeight="1" thickBot="1" x14ac:dyDescent="0.3">
      <c r="A117" s="672" t="s">
        <v>707</v>
      </c>
      <c r="B117" s="670"/>
      <c r="C117" s="671"/>
      <c r="D117" s="671"/>
      <c r="E117" s="671"/>
      <c r="F117" s="541"/>
      <c r="G117" s="664"/>
      <c r="H117" s="664"/>
      <c r="I117" s="664"/>
      <c r="J117" s="664"/>
      <c r="K117" s="664"/>
      <c r="L117" s="664"/>
      <c r="M117" s="664"/>
      <c r="N117" s="664"/>
      <c r="O117" s="664"/>
      <c r="P117" s="664"/>
      <c r="Q117" s="664"/>
      <c r="R117" s="664"/>
      <c r="S117" s="664"/>
      <c r="T117" s="664"/>
      <c r="U117" s="664"/>
      <c r="V117" s="664"/>
      <c r="W117" s="664"/>
      <c r="X117" s="664"/>
      <c r="Y117" s="664"/>
      <c r="Z117" s="664"/>
      <c r="AA117" s="664"/>
      <c r="AB117" s="664"/>
      <c r="AC117" s="664"/>
      <c r="AD117" s="664"/>
      <c r="AE117" s="664"/>
      <c r="AF117" s="664"/>
      <c r="AG117" s="664"/>
      <c r="AH117" s="664"/>
      <c r="AI117" s="664"/>
      <c r="AJ117" s="664"/>
      <c r="AK117" s="664"/>
      <c r="AL117" s="664"/>
      <c r="AM117" s="664"/>
      <c r="AN117" s="664"/>
      <c r="AO117" s="664"/>
      <c r="AP117" s="665"/>
    </row>
    <row r="118" spans="1:42" s="666" customFormat="1" ht="18.75" customHeight="1" thickBot="1" x14ac:dyDescent="0.3">
      <c r="A118" s="672" t="s">
        <v>708</v>
      </c>
      <c r="B118" s="670"/>
      <c r="C118" s="671"/>
      <c r="D118" s="671"/>
      <c r="E118" s="671"/>
      <c r="F118" s="541"/>
      <c r="G118" s="664"/>
      <c r="H118" s="664"/>
      <c r="I118" s="664"/>
      <c r="J118" s="664"/>
      <c r="K118" s="664"/>
      <c r="L118" s="664"/>
      <c r="M118" s="664"/>
      <c r="N118" s="664"/>
      <c r="O118" s="664"/>
      <c r="P118" s="664"/>
      <c r="Q118" s="664"/>
      <c r="R118" s="664"/>
      <c r="S118" s="664"/>
      <c r="T118" s="664"/>
      <c r="U118" s="664"/>
      <c r="V118" s="664"/>
      <c r="W118" s="664"/>
      <c r="X118" s="664"/>
      <c r="Y118" s="664"/>
      <c r="Z118" s="664"/>
      <c r="AA118" s="664"/>
      <c r="AB118" s="664"/>
      <c r="AC118" s="664"/>
      <c r="AD118" s="664"/>
      <c r="AE118" s="664"/>
      <c r="AF118" s="664"/>
      <c r="AG118" s="664"/>
      <c r="AH118" s="664"/>
      <c r="AI118" s="664"/>
      <c r="AJ118" s="664"/>
      <c r="AK118" s="664"/>
      <c r="AL118" s="664"/>
      <c r="AM118" s="664"/>
      <c r="AN118" s="664"/>
      <c r="AO118" s="664"/>
      <c r="AP118" s="665"/>
    </row>
    <row r="119" spans="1:42" s="666" customFormat="1" ht="18.75" customHeight="1" thickBot="1" x14ac:dyDescent="0.3">
      <c r="A119" s="672" t="s">
        <v>709</v>
      </c>
      <c r="B119" s="670"/>
      <c r="C119" s="671"/>
      <c r="D119" s="671"/>
      <c r="E119" s="671"/>
      <c r="F119" s="541"/>
      <c r="G119" s="664"/>
      <c r="H119" s="664"/>
      <c r="I119" s="664"/>
      <c r="J119" s="664"/>
      <c r="K119" s="664"/>
      <c r="L119" s="664"/>
      <c r="M119" s="664"/>
      <c r="N119" s="664"/>
      <c r="O119" s="664"/>
      <c r="P119" s="664"/>
      <c r="Q119" s="664"/>
      <c r="R119" s="664"/>
      <c r="S119" s="664"/>
      <c r="T119" s="664"/>
      <c r="U119" s="664"/>
      <c r="V119" s="664"/>
      <c r="W119" s="664"/>
      <c r="X119" s="664"/>
      <c r="Y119" s="664"/>
      <c r="Z119" s="664"/>
      <c r="AA119" s="664"/>
      <c r="AB119" s="664"/>
      <c r="AC119" s="664"/>
      <c r="AD119" s="664"/>
      <c r="AE119" s="664"/>
      <c r="AF119" s="664"/>
      <c r="AG119" s="664"/>
      <c r="AH119" s="664"/>
      <c r="AI119" s="664"/>
      <c r="AJ119" s="664"/>
      <c r="AK119" s="664"/>
      <c r="AL119" s="664"/>
      <c r="AM119" s="664"/>
      <c r="AN119" s="664"/>
      <c r="AO119" s="664"/>
      <c r="AP119" s="665"/>
    </row>
    <row r="120" spans="1:42" s="644" customFormat="1" ht="28.5" customHeight="1" thickBot="1" x14ac:dyDescent="0.3">
      <c r="A120" s="733" t="s">
        <v>623</v>
      </c>
      <c r="B120" s="518"/>
      <c r="C120" s="671"/>
      <c r="D120" s="708">
        <v>1515</v>
      </c>
      <c r="E120" s="671">
        <f>SUM(B121:B122)</f>
        <v>1621</v>
      </c>
      <c r="F120" s="541">
        <f>E120/D120</f>
        <v>1.0699669966996699</v>
      </c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642"/>
      <c r="AI120" s="642"/>
      <c r="AJ120" s="642"/>
      <c r="AK120" s="642"/>
      <c r="AL120" s="642"/>
      <c r="AM120" s="642"/>
      <c r="AN120" s="642"/>
      <c r="AO120" s="643"/>
    </row>
    <row r="121" spans="1:42" s="644" customFormat="1" ht="28.5" customHeight="1" thickBot="1" x14ac:dyDescent="0.3">
      <c r="A121" s="672" t="s">
        <v>625</v>
      </c>
      <c r="B121" s="518">
        <v>1016</v>
      </c>
      <c r="C121" s="671"/>
      <c r="D121" s="708"/>
      <c r="E121" s="671"/>
      <c r="F121" s="5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642"/>
      <c r="AI121" s="642"/>
      <c r="AJ121" s="642"/>
      <c r="AK121" s="642"/>
      <c r="AL121" s="642"/>
      <c r="AM121" s="642"/>
      <c r="AN121" s="642"/>
      <c r="AO121" s="643"/>
    </row>
    <row r="122" spans="1:42" s="644" customFormat="1" ht="28.5" customHeight="1" thickBot="1" x14ac:dyDescent="0.3">
      <c r="A122" s="672" t="s">
        <v>626</v>
      </c>
      <c r="B122" s="518">
        <v>605</v>
      </c>
      <c r="C122" s="671"/>
      <c r="D122" s="708"/>
      <c r="E122" s="671"/>
      <c r="F122" s="542"/>
      <c r="G122" s="642"/>
      <c r="H122" s="642"/>
      <c r="I122" s="642"/>
      <c r="J122" s="642"/>
      <c r="K122" s="642"/>
      <c r="L122" s="642"/>
      <c r="M122" s="642"/>
      <c r="N122" s="642"/>
      <c r="O122" s="642"/>
      <c r="P122" s="642"/>
      <c r="Q122" s="642"/>
      <c r="R122" s="642"/>
      <c r="S122" s="642"/>
      <c r="T122" s="642"/>
      <c r="U122" s="642"/>
      <c r="V122" s="642"/>
      <c r="W122" s="642"/>
      <c r="X122" s="642"/>
      <c r="Y122" s="642"/>
      <c r="Z122" s="642"/>
      <c r="AA122" s="642"/>
      <c r="AB122" s="642"/>
      <c r="AC122" s="642"/>
      <c r="AD122" s="642"/>
      <c r="AE122" s="642"/>
      <c r="AF122" s="642"/>
      <c r="AG122" s="642"/>
      <c r="AH122" s="642"/>
      <c r="AI122" s="642"/>
      <c r="AJ122" s="642"/>
      <c r="AK122" s="642"/>
      <c r="AL122" s="642"/>
      <c r="AM122" s="642"/>
      <c r="AN122" s="642"/>
      <c r="AO122" s="643"/>
    </row>
    <row r="123" spans="1:42" s="650" customFormat="1" ht="32.25" customHeight="1" thickBot="1" x14ac:dyDescent="0.3">
      <c r="A123" s="733" t="s">
        <v>600</v>
      </c>
      <c r="B123" s="696"/>
      <c r="C123" s="671"/>
      <c r="D123" s="708">
        <v>940</v>
      </c>
      <c r="E123" s="671">
        <v>893</v>
      </c>
      <c r="F123" s="541">
        <f>E123/D123</f>
        <v>0.95</v>
      </c>
      <c r="G123" s="648"/>
      <c r="H123" s="648"/>
      <c r="I123" s="648"/>
      <c r="J123" s="648"/>
      <c r="K123" s="648"/>
      <c r="L123" s="648"/>
      <c r="M123" s="648"/>
      <c r="N123" s="648"/>
      <c r="O123" s="648"/>
      <c r="P123" s="648"/>
      <c r="Q123" s="648"/>
      <c r="R123" s="648"/>
      <c r="S123" s="648"/>
      <c r="T123" s="648"/>
      <c r="U123" s="648"/>
      <c r="V123" s="648"/>
      <c r="W123" s="648"/>
      <c r="X123" s="648"/>
      <c r="Y123" s="648"/>
      <c r="Z123" s="648"/>
      <c r="AA123" s="648"/>
      <c r="AB123" s="648"/>
      <c r="AC123" s="648"/>
      <c r="AD123" s="648"/>
      <c r="AE123" s="648"/>
      <c r="AF123" s="648"/>
      <c r="AG123" s="648"/>
      <c r="AH123" s="648"/>
      <c r="AI123" s="648"/>
      <c r="AJ123" s="648"/>
      <c r="AK123" s="648"/>
      <c r="AL123" s="648"/>
      <c r="AM123" s="648"/>
      <c r="AN123" s="648"/>
      <c r="AO123" s="648"/>
      <c r="AP123" s="649"/>
    </row>
    <row r="124" spans="1:42" s="449" customFormat="1" ht="32.25" thickBot="1" x14ac:dyDescent="0.3">
      <c r="A124" s="519" t="s">
        <v>638</v>
      </c>
      <c r="B124" s="518"/>
      <c r="C124" s="493"/>
      <c r="D124" s="497">
        <v>432</v>
      </c>
      <c r="E124" s="493">
        <v>509</v>
      </c>
      <c r="F124" s="541">
        <f>E124/D124</f>
        <v>1.1782407407407407</v>
      </c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  <c r="AC124" s="447"/>
      <c r="AD124" s="447"/>
      <c r="AE124" s="447"/>
      <c r="AF124" s="447"/>
      <c r="AG124" s="447"/>
      <c r="AH124" s="447"/>
      <c r="AI124" s="447"/>
      <c r="AJ124" s="447"/>
      <c r="AK124" s="447"/>
      <c r="AL124" s="447"/>
      <c r="AM124" s="447"/>
      <c r="AN124" s="447"/>
      <c r="AO124" s="448"/>
    </row>
    <row r="125" spans="1:42" s="449" customFormat="1" ht="42" customHeight="1" thickBot="1" x14ac:dyDescent="0.3">
      <c r="A125" s="898" t="s">
        <v>776</v>
      </c>
      <c r="B125" s="898"/>
      <c r="C125" s="493"/>
      <c r="D125" s="493"/>
      <c r="E125" s="493">
        <f>SUM(B126:B126)</f>
        <v>111</v>
      </c>
      <c r="F125" s="541">
        <v>0</v>
      </c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  <c r="T125" s="447"/>
      <c r="U125" s="447"/>
      <c r="V125" s="447"/>
      <c r="W125" s="447"/>
      <c r="X125" s="447"/>
      <c r="Y125" s="447"/>
      <c r="Z125" s="447"/>
      <c r="AA125" s="447"/>
      <c r="AB125" s="447"/>
      <c r="AC125" s="447"/>
      <c r="AD125" s="447"/>
      <c r="AE125" s="447"/>
      <c r="AF125" s="447"/>
      <c r="AG125" s="447"/>
      <c r="AH125" s="447"/>
      <c r="AI125" s="447"/>
      <c r="AJ125" s="447"/>
      <c r="AK125" s="447"/>
      <c r="AL125" s="447"/>
      <c r="AM125" s="447"/>
      <c r="AN125" s="447"/>
      <c r="AO125" s="447"/>
      <c r="AP125" s="448"/>
    </row>
    <row r="126" spans="1:42" s="449" customFormat="1" ht="21" customHeight="1" thickBot="1" x14ac:dyDescent="0.3">
      <c r="A126" s="494" t="s">
        <v>615</v>
      </c>
      <c r="B126" s="492">
        <v>111</v>
      </c>
      <c r="C126" s="493"/>
      <c r="D126" s="493"/>
      <c r="E126" s="493"/>
      <c r="F126" s="541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  <c r="AE126" s="447"/>
      <c r="AF126" s="447"/>
      <c r="AG126" s="447"/>
      <c r="AH126" s="447"/>
      <c r="AI126" s="447"/>
      <c r="AJ126" s="447"/>
      <c r="AK126" s="447"/>
      <c r="AL126" s="447"/>
      <c r="AM126" s="447"/>
      <c r="AN126" s="447"/>
      <c r="AO126" s="447"/>
      <c r="AP126" s="448"/>
    </row>
    <row r="127" spans="1:42" s="452" customFormat="1" ht="33.75" customHeight="1" thickBot="1" x14ac:dyDescent="0.3">
      <c r="A127" s="519" t="s">
        <v>727</v>
      </c>
      <c r="B127" s="495"/>
      <c r="C127" s="493">
        <v>5000</v>
      </c>
      <c r="D127" s="493">
        <f>C127-600+1555-3800</f>
        <v>2155</v>
      </c>
      <c r="E127" s="493">
        <v>2146</v>
      </c>
      <c r="F127" s="541">
        <f>E127/D127</f>
        <v>0.99582366589327143</v>
      </c>
      <c r="G127" s="450"/>
      <c r="H127" s="450"/>
      <c r="I127" s="450"/>
      <c r="J127" s="450"/>
      <c r="K127" s="450"/>
      <c r="L127" s="450"/>
      <c r="M127" s="450"/>
      <c r="N127" s="450"/>
      <c r="O127" s="450"/>
      <c r="P127" s="450"/>
      <c r="Q127" s="450"/>
      <c r="R127" s="450"/>
      <c r="S127" s="450"/>
      <c r="T127" s="450"/>
      <c r="U127" s="450"/>
      <c r="V127" s="450"/>
      <c r="W127" s="450"/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50"/>
      <c r="AH127" s="450"/>
      <c r="AI127" s="450"/>
      <c r="AJ127" s="450"/>
      <c r="AK127" s="450"/>
      <c r="AL127" s="450"/>
      <c r="AM127" s="450"/>
      <c r="AN127" s="450"/>
      <c r="AO127" s="450"/>
      <c r="AP127" s="451"/>
    </row>
    <row r="128" spans="1:42" s="455" customFormat="1" ht="31.5" customHeight="1" thickBot="1" x14ac:dyDescent="0.35">
      <c r="A128" s="503" t="s">
        <v>753</v>
      </c>
      <c r="B128" s="504"/>
      <c r="C128" s="505">
        <f>SUM(C44:C127)</f>
        <v>223692</v>
      </c>
      <c r="D128" s="505">
        <f>SUM(D44:D127)</f>
        <v>252316</v>
      </c>
      <c r="E128" s="505">
        <f>SUM(E44:E127)</f>
        <v>211963</v>
      </c>
      <c r="F128" s="543">
        <f>E128/D128</f>
        <v>0.84006959526942404</v>
      </c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453"/>
      <c r="R128" s="453"/>
      <c r="S128" s="453"/>
      <c r="T128" s="453"/>
      <c r="U128" s="453"/>
      <c r="V128" s="453"/>
      <c r="W128" s="453"/>
      <c r="X128" s="453"/>
      <c r="Y128" s="453"/>
      <c r="Z128" s="453"/>
      <c r="AA128" s="453"/>
      <c r="AB128" s="453"/>
      <c r="AC128" s="453"/>
      <c r="AD128" s="453"/>
      <c r="AE128" s="453"/>
      <c r="AF128" s="453"/>
      <c r="AG128" s="453"/>
      <c r="AH128" s="453"/>
      <c r="AI128" s="453"/>
      <c r="AJ128" s="453"/>
      <c r="AK128" s="453"/>
      <c r="AL128" s="453"/>
      <c r="AM128" s="453"/>
      <c r="AN128" s="453"/>
      <c r="AO128" s="453"/>
      <c r="AP128" s="454"/>
    </row>
    <row r="129" spans="1:42" s="455" customFormat="1" ht="31.5" customHeight="1" thickBot="1" x14ac:dyDescent="0.35">
      <c r="A129" s="506"/>
      <c r="B129" s="507"/>
      <c r="C129" s="508"/>
      <c r="D129" s="509"/>
      <c r="E129" s="508"/>
      <c r="F129" s="544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453"/>
      <c r="AL129" s="453"/>
      <c r="AM129" s="453"/>
      <c r="AN129" s="453"/>
      <c r="AO129" s="453"/>
      <c r="AP129" s="454"/>
    </row>
    <row r="130" spans="1:42" s="442" customFormat="1" ht="33" customHeight="1" thickBot="1" x14ac:dyDescent="0.35">
      <c r="A130" s="488" t="s">
        <v>754</v>
      </c>
      <c r="B130" s="489"/>
      <c r="C130" s="491"/>
      <c r="D130" s="491"/>
      <c r="E130" s="491"/>
      <c r="F130" s="545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40"/>
      <c r="AL130" s="440"/>
      <c r="AM130" s="440"/>
      <c r="AN130" s="440"/>
      <c r="AO130" s="440"/>
      <c r="AP130" s="441"/>
    </row>
    <row r="131" spans="1:42" s="449" customFormat="1" ht="42" customHeight="1" thickBot="1" x14ac:dyDescent="0.3">
      <c r="A131" s="898" t="s">
        <v>612</v>
      </c>
      <c r="B131" s="898"/>
      <c r="C131" s="493">
        <v>78967</v>
      </c>
      <c r="D131" s="493">
        <v>78967</v>
      </c>
      <c r="E131" s="493">
        <f>SUM(B132:B135)</f>
        <v>57054</v>
      </c>
      <c r="F131" s="541">
        <f>E131/D131</f>
        <v>0.72250433725480268</v>
      </c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  <c r="W131" s="447"/>
      <c r="X131" s="447"/>
      <c r="Y131" s="447"/>
      <c r="Z131" s="447"/>
      <c r="AA131" s="447"/>
      <c r="AB131" s="447"/>
      <c r="AC131" s="447"/>
      <c r="AD131" s="447"/>
      <c r="AE131" s="447"/>
      <c r="AF131" s="447"/>
      <c r="AG131" s="447"/>
      <c r="AH131" s="447"/>
      <c r="AI131" s="447"/>
      <c r="AJ131" s="447"/>
      <c r="AK131" s="447"/>
      <c r="AL131" s="447"/>
      <c r="AM131" s="447"/>
      <c r="AN131" s="447"/>
      <c r="AO131" s="447"/>
      <c r="AP131" s="448"/>
    </row>
    <row r="132" spans="1:42" s="449" customFormat="1" ht="21" customHeight="1" thickBot="1" x14ac:dyDescent="0.3">
      <c r="A132" s="494" t="s">
        <v>613</v>
      </c>
      <c r="B132" s="492">
        <v>30999</v>
      </c>
      <c r="C132" s="493"/>
      <c r="D132" s="493"/>
      <c r="E132" s="493"/>
      <c r="F132" s="541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  <c r="W132" s="447"/>
      <c r="X132" s="447"/>
      <c r="Y132" s="447"/>
      <c r="Z132" s="447"/>
      <c r="AA132" s="447"/>
      <c r="AB132" s="447"/>
      <c r="AC132" s="447"/>
      <c r="AD132" s="447"/>
      <c r="AE132" s="447"/>
      <c r="AF132" s="447"/>
      <c r="AG132" s="447"/>
      <c r="AH132" s="447"/>
      <c r="AI132" s="447"/>
      <c r="AJ132" s="447"/>
      <c r="AK132" s="447"/>
      <c r="AL132" s="447"/>
      <c r="AM132" s="447"/>
      <c r="AN132" s="447"/>
      <c r="AO132" s="447"/>
      <c r="AP132" s="448"/>
    </row>
    <row r="133" spans="1:42" s="449" customFormat="1" ht="21" customHeight="1" thickBot="1" x14ac:dyDescent="0.3">
      <c r="A133" s="494" t="s">
        <v>614</v>
      </c>
      <c r="B133" s="492">
        <v>3464</v>
      </c>
      <c r="C133" s="493"/>
      <c r="D133" s="493"/>
      <c r="E133" s="493"/>
      <c r="F133" s="541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447"/>
      <c r="U133" s="447"/>
      <c r="V133" s="447"/>
      <c r="W133" s="447"/>
      <c r="X133" s="447"/>
      <c r="Y133" s="447"/>
      <c r="Z133" s="447"/>
      <c r="AA133" s="447"/>
      <c r="AB133" s="447"/>
      <c r="AC133" s="447"/>
      <c r="AD133" s="447"/>
      <c r="AE133" s="447"/>
      <c r="AF133" s="447"/>
      <c r="AG133" s="447"/>
      <c r="AH133" s="447"/>
      <c r="AI133" s="447"/>
      <c r="AJ133" s="447"/>
      <c r="AK133" s="447"/>
      <c r="AL133" s="447"/>
      <c r="AM133" s="447"/>
      <c r="AN133" s="447"/>
      <c r="AO133" s="447"/>
      <c r="AP133" s="448"/>
    </row>
    <row r="134" spans="1:42" s="449" customFormat="1" ht="21" customHeight="1" thickBot="1" x14ac:dyDescent="0.3">
      <c r="A134" s="494" t="s">
        <v>615</v>
      </c>
      <c r="B134" s="492">
        <v>18719</v>
      </c>
      <c r="C134" s="493"/>
      <c r="D134" s="493"/>
      <c r="E134" s="493"/>
      <c r="F134" s="541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7"/>
      <c r="W134" s="447"/>
      <c r="X134" s="447"/>
      <c r="Y134" s="447"/>
      <c r="Z134" s="447"/>
      <c r="AA134" s="447"/>
      <c r="AB134" s="447"/>
      <c r="AC134" s="447"/>
      <c r="AD134" s="447"/>
      <c r="AE134" s="447"/>
      <c r="AF134" s="447"/>
      <c r="AG134" s="447"/>
      <c r="AH134" s="447"/>
      <c r="AI134" s="447"/>
      <c r="AJ134" s="447"/>
      <c r="AK134" s="447"/>
      <c r="AL134" s="447"/>
      <c r="AM134" s="447"/>
      <c r="AN134" s="447"/>
      <c r="AO134" s="447"/>
      <c r="AP134" s="448"/>
    </row>
    <row r="135" spans="1:42" s="449" customFormat="1" ht="21" customHeight="1" thickBot="1" x14ac:dyDescent="0.3">
      <c r="A135" s="494" t="s">
        <v>616</v>
      </c>
      <c r="B135" s="492">
        <v>3872</v>
      </c>
      <c r="C135" s="493"/>
      <c r="D135" s="493"/>
      <c r="E135" s="493"/>
      <c r="F135" s="541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7"/>
      <c r="W135" s="447"/>
      <c r="X135" s="447"/>
      <c r="Y135" s="447"/>
      <c r="Z135" s="447"/>
      <c r="AA135" s="447"/>
      <c r="AB135" s="447"/>
      <c r="AC135" s="447"/>
      <c r="AD135" s="447"/>
      <c r="AE135" s="447"/>
      <c r="AF135" s="447"/>
      <c r="AG135" s="447"/>
      <c r="AH135" s="447"/>
      <c r="AI135" s="447"/>
      <c r="AJ135" s="447"/>
      <c r="AK135" s="447"/>
      <c r="AL135" s="447"/>
      <c r="AM135" s="447"/>
      <c r="AN135" s="447"/>
      <c r="AO135" s="447"/>
      <c r="AP135" s="448"/>
    </row>
    <row r="136" spans="1:42" s="452" customFormat="1" ht="21" customHeight="1" thickBot="1" x14ac:dyDescent="0.3">
      <c r="A136" s="519" t="s">
        <v>617</v>
      </c>
      <c r="B136" s="670"/>
      <c r="C136" s="493"/>
      <c r="D136" s="493">
        <v>17777</v>
      </c>
      <c r="E136" s="493">
        <v>17777</v>
      </c>
      <c r="F136" s="541">
        <f>E136/D136</f>
        <v>1</v>
      </c>
      <c r="G136" s="450"/>
      <c r="H136" s="450"/>
      <c r="I136" s="450"/>
      <c r="J136" s="450"/>
      <c r="K136" s="450"/>
      <c r="L136" s="450"/>
      <c r="M136" s="450"/>
      <c r="N136" s="450"/>
      <c r="O136" s="450"/>
      <c r="P136" s="450"/>
      <c r="Q136" s="450"/>
      <c r="R136" s="450"/>
      <c r="S136" s="450"/>
      <c r="T136" s="450"/>
      <c r="U136" s="450"/>
      <c r="V136" s="450"/>
      <c r="W136" s="450"/>
      <c r="X136" s="450"/>
      <c r="Y136" s="450"/>
      <c r="Z136" s="450"/>
      <c r="AA136" s="450"/>
      <c r="AB136" s="450"/>
      <c r="AC136" s="450"/>
      <c r="AD136" s="450"/>
      <c r="AE136" s="450"/>
      <c r="AF136" s="450"/>
      <c r="AG136" s="450"/>
      <c r="AH136" s="450"/>
      <c r="AI136" s="450"/>
      <c r="AJ136" s="450"/>
      <c r="AK136" s="450"/>
      <c r="AL136" s="450"/>
      <c r="AM136" s="450"/>
      <c r="AN136" s="450"/>
      <c r="AO136" s="450"/>
      <c r="AP136" s="451"/>
    </row>
    <row r="137" spans="1:42" s="644" customFormat="1" ht="27.75" customHeight="1" thickBot="1" x14ac:dyDescent="0.3">
      <c r="A137" s="733" t="s">
        <v>676</v>
      </c>
      <c r="B137" s="673"/>
      <c r="C137" s="671">
        <v>6100</v>
      </c>
      <c r="D137" s="671">
        <v>3380</v>
      </c>
      <c r="E137" s="671">
        <f>SUM(B138:B139)</f>
        <v>1661</v>
      </c>
      <c r="F137" s="541">
        <f>E137/D137</f>
        <v>0.49142011834319527</v>
      </c>
      <c r="G137" s="642"/>
      <c r="H137" s="642"/>
      <c r="I137" s="642"/>
      <c r="J137" s="642"/>
      <c r="K137" s="642"/>
      <c r="L137" s="642"/>
      <c r="M137" s="642"/>
      <c r="N137" s="642"/>
      <c r="O137" s="642"/>
      <c r="P137" s="642"/>
      <c r="Q137" s="642"/>
      <c r="R137" s="642"/>
      <c r="S137" s="642"/>
      <c r="T137" s="642"/>
      <c r="U137" s="642"/>
      <c r="V137" s="642"/>
      <c r="W137" s="642"/>
      <c r="X137" s="642"/>
      <c r="Y137" s="642"/>
      <c r="Z137" s="642"/>
      <c r="AA137" s="642"/>
      <c r="AB137" s="642"/>
      <c r="AC137" s="642"/>
      <c r="AD137" s="642"/>
      <c r="AE137" s="642"/>
      <c r="AF137" s="642"/>
      <c r="AG137" s="642"/>
      <c r="AH137" s="642"/>
      <c r="AI137" s="642"/>
      <c r="AJ137" s="642"/>
      <c r="AK137" s="642"/>
      <c r="AL137" s="642"/>
      <c r="AM137" s="642"/>
      <c r="AN137" s="642"/>
      <c r="AO137" s="642"/>
      <c r="AP137" s="643"/>
    </row>
    <row r="138" spans="1:42" s="644" customFormat="1" ht="30" customHeight="1" thickBot="1" x14ac:dyDescent="0.3">
      <c r="A138" s="672" t="s">
        <v>677</v>
      </c>
      <c r="B138" s="670">
        <v>1611</v>
      </c>
      <c r="C138" s="671"/>
      <c r="D138" s="671"/>
      <c r="E138" s="671"/>
      <c r="F138" s="541"/>
      <c r="G138" s="642"/>
      <c r="H138" s="642"/>
      <c r="I138" s="642"/>
      <c r="J138" s="642"/>
      <c r="K138" s="642"/>
      <c r="L138" s="642"/>
      <c r="M138" s="642"/>
      <c r="N138" s="642"/>
      <c r="O138" s="642"/>
      <c r="P138" s="642"/>
      <c r="Q138" s="642"/>
      <c r="R138" s="642"/>
      <c r="S138" s="642"/>
      <c r="T138" s="642"/>
      <c r="U138" s="642"/>
      <c r="V138" s="642"/>
      <c r="W138" s="642"/>
      <c r="X138" s="642"/>
      <c r="Y138" s="642"/>
      <c r="Z138" s="642"/>
      <c r="AA138" s="642"/>
      <c r="AB138" s="642"/>
      <c r="AC138" s="642"/>
      <c r="AD138" s="642"/>
      <c r="AE138" s="642"/>
      <c r="AF138" s="642"/>
      <c r="AG138" s="642"/>
      <c r="AH138" s="642"/>
      <c r="AI138" s="642"/>
      <c r="AJ138" s="642"/>
      <c r="AK138" s="642"/>
      <c r="AL138" s="642"/>
      <c r="AM138" s="642"/>
      <c r="AN138" s="642"/>
      <c r="AO138" s="642"/>
      <c r="AP138" s="643"/>
    </row>
    <row r="139" spans="1:42" s="644" customFormat="1" ht="32.25" thickBot="1" x14ac:dyDescent="0.3">
      <c r="A139" s="672" t="s">
        <v>678</v>
      </c>
      <c r="B139" s="670">
        <v>50</v>
      </c>
      <c r="C139" s="671"/>
      <c r="D139" s="671"/>
      <c r="E139" s="671"/>
      <c r="F139" s="541"/>
      <c r="G139" s="642"/>
      <c r="H139" s="642"/>
      <c r="I139" s="642"/>
      <c r="J139" s="642"/>
      <c r="K139" s="642"/>
      <c r="L139" s="642"/>
      <c r="M139" s="642"/>
      <c r="N139" s="642"/>
      <c r="O139" s="642"/>
      <c r="P139" s="642"/>
      <c r="Q139" s="642"/>
      <c r="R139" s="642"/>
      <c r="S139" s="642"/>
      <c r="T139" s="642"/>
      <c r="U139" s="642"/>
      <c r="V139" s="642"/>
      <c r="W139" s="642"/>
      <c r="X139" s="642"/>
      <c r="Y139" s="642"/>
      <c r="Z139" s="642"/>
      <c r="AA139" s="642"/>
      <c r="AB139" s="642"/>
      <c r="AC139" s="642"/>
      <c r="AD139" s="642"/>
      <c r="AE139" s="642"/>
      <c r="AF139" s="642"/>
      <c r="AG139" s="642"/>
      <c r="AH139" s="642"/>
      <c r="AI139" s="642"/>
      <c r="AJ139" s="642"/>
      <c r="AK139" s="642"/>
      <c r="AL139" s="642"/>
      <c r="AM139" s="642"/>
      <c r="AN139" s="642"/>
      <c r="AO139" s="642"/>
      <c r="AP139" s="643"/>
    </row>
    <row r="140" spans="1:42" s="644" customFormat="1" ht="39.75" customHeight="1" thickBot="1" x14ac:dyDescent="0.3">
      <c r="A140" s="672" t="s">
        <v>679</v>
      </c>
      <c r="B140" s="670"/>
      <c r="C140" s="671"/>
      <c r="D140" s="671"/>
      <c r="E140" s="671"/>
      <c r="F140" s="541"/>
      <c r="G140" s="642"/>
      <c r="H140" s="642"/>
      <c r="I140" s="642"/>
      <c r="J140" s="642"/>
      <c r="K140" s="642"/>
      <c r="L140" s="642"/>
      <c r="M140" s="642"/>
      <c r="N140" s="642"/>
      <c r="O140" s="642"/>
      <c r="P140" s="642"/>
      <c r="Q140" s="642"/>
      <c r="R140" s="642"/>
      <c r="S140" s="642"/>
      <c r="T140" s="642"/>
      <c r="U140" s="642"/>
      <c r="V140" s="642"/>
      <c r="W140" s="642"/>
      <c r="X140" s="642"/>
      <c r="Y140" s="642"/>
      <c r="Z140" s="642"/>
      <c r="AA140" s="642"/>
      <c r="AB140" s="642"/>
      <c r="AC140" s="642"/>
      <c r="AD140" s="642"/>
      <c r="AE140" s="642"/>
      <c r="AF140" s="642"/>
      <c r="AG140" s="642"/>
      <c r="AH140" s="642"/>
      <c r="AI140" s="642"/>
      <c r="AJ140" s="642"/>
      <c r="AK140" s="642"/>
      <c r="AL140" s="642"/>
      <c r="AM140" s="642"/>
      <c r="AN140" s="642"/>
      <c r="AO140" s="642"/>
      <c r="AP140" s="643"/>
    </row>
    <row r="141" spans="1:42" s="455" customFormat="1" ht="31.5" customHeight="1" thickBot="1" x14ac:dyDescent="0.35">
      <c r="A141" s="503" t="s">
        <v>755</v>
      </c>
      <c r="B141" s="504"/>
      <c r="C141" s="505">
        <f>SUM(C131:C140)</f>
        <v>85067</v>
      </c>
      <c r="D141" s="505">
        <f>SUM(D131:D140)</f>
        <v>100124</v>
      </c>
      <c r="E141" s="505">
        <f>SUM(E131:E140)</f>
        <v>76492</v>
      </c>
      <c r="F141" s="543">
        <f>E141/D141</f>
        <v>0.76397267388438339</v>
      </c>
      <c r="G141" s="453"/>
      <c r="H141" s="453"/>
      <c r="I141" s="453"/>
      <c r="J141" s="453"/>
      <c r="K141" s="453"/>
      <c r="L141" s="453"/>
      <c r="M141" s="453"/>
      <c r="N141" s="453"/>
      <c r="O141" s="453"/>
      <c r="P141" s="453"/>
      <c r="Q141" s="453"/>
      <c r="R141" s="453"/>
      <c r="S141" s="453"/>
      <c r="T141" s="453"/>
      <c r="U141" s="453"/>
      <c r="V141" s="453"/>
      <c r="W141" s="453"/>
      <c r="X141" s="453"/>
      <c r="Y141" s="453"/>
      <c r="Z141" s="453"/>
      <c r="AA141" s="453"/>
      <c r="AB141" s="453"/>
      <c r="AC141" s="453"/>
      <c r="AD141" s="453"/>
      <c r="AE141" s="453"/>
      <c r="AF141" s="453"/>
      <c r="AG141" s="453"/>
      <c r="AH141" s="453"/>
      <c r="AI141" s="453"/>
      <c r="AJ141" s="453"/>
      <c r="AK141" s="453"/>
      <c r="AL141" s="453"/>
      <c r="AM141" s="453"/>
      <c r="AN141" s="453"/>
      <c r="AO141" s="453"/>
      <c r="AP141" s="454"/>
    </row>
    <row r="142" spans="1:42" s="455" customFormat="1" ht="31.5" customHeight="1" thickBot="1" x14ac:dyDescent="0.35">
      <c r="A142" s="506"/>
      <c r="B142" s="507"/>
      <c r="C142" s="508"/>
      <c r="D142" s="509"/>
      <c r="E142" s="508"/>
      <c r="F142" s="544"/>
      <c r="G142" s="453"/>
      <c r="H142" s="453"/>
      <c r="I142" s="453"/>
      <c r="J142" s="453"/>
      <c r="K142" s="453"/>
      <c r="L142" s="453"/>
      <c r="M142" s="453"/>
      <c r="N142" s="453"/>
      <c r="O142" s="453"/>
      <c r="P142" s="453"/>
      <c r="Q142" s="453"/>
      <c r="R142" s="453"/>
      <c r="S142" s="453"/>
      <c r="T142" s="453"/>
      <c r="U142" s="453"/>
      <c r="V142" s="453"/>
      <c r="W142" s="453"/>
      <c r="X142" s="453"/>
      <c r="Y142" s="453"/>
      <c r="Z142" s="453"/>
      <c r="AA142" s="453"/>
      <c r="AB142" s="453"/>
      <c r="AC142" s="453"/>
      <c r="AD142" s="453"/>
      <c r="AE142" s="453"/>
      <c r="AF142" s="453"/>
      <c r="AG142" s="453"/>
      <c r="AH142" s="453"/>
      <c r="AI142" s="453"/>
      <c r="AJ142" s="453"/>
      <c r="AK142" s="453"/>
      <c r="AL142" s="453"/>
      <c r="AM142" s="453"/>
      <c r="AN142" s="453"/>
      <c r="AO142" s="453"/>
      <c r="AP142" s="454"/>
    </row>
    <row r="143" spans="1:42" s="442" customFormat="1" ht="33" customHeight="1" thickBot="1" x14ac:dyDescent="0.35">
      <c r="A143" s="488" t="s">
        <v>756</v>
      </c>
      <c r="B143" s="489"/>
      <c r="C143" s="491"/>
      <c r="D143" s="491"/>
      <c r="E143" s="491"/>
      <c r="F143" s="545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1"/>
    </row>
    <row r="144" spans="1:42" s="666" customFormat="1" ht="23.25" customHeight="1" thickBot="1" x14ac:dyDescent="0.3">
      <c r="A144" s="733" t="s">
        <v>594</v>
      </c>
      <c r="B144" s="670"/>
      <c r="C144" s="671">
        <v>205</v>
      </c>
      <c r="D144" s="671">
        <v>205</v>
      </c>
      <c r="E144" s="671">
        <v>0</v>
      </c>
      <c r="F144" s="541">
        <f t="shared" ref="F144:F151" si="3">E144/D144</f>
        <v>0</v>
      </c>
      <c r="G144" s="664"/>
      <c r="H144" s="664"/>
      <c r="I144" s="664"/>
      <c r="J144" s="664"/>
      <c r="K144" s="664"/>
      <c r="L144" s="664"/>
      <c r="M144" s="664"/>
      <c r="N144" s="664"/>
      <c r="O144" s="664"/>
      <c r="P144" s="664"/>
      <c r="Q144" s="664"/>
      <c r="R144" s="664"/>
      <c r="S144" s="664"/>
      <c r="T144" s="664"/>
      <c r="U144" s="664"/>
      <c r="V144" s="664"/>
      <c r="W144" s="664"/>
      <c r="X144" s="664"/>
      <c r="Y144" s="664"/>
      <c r="Z144" s="664"/>
      <c r="AA144" s="664"/>
      <c r="AB144" s="664"/>
      <c r="AC144" s="664"/>
      <c r="AD144" s="664"/>
      <c r="AE144" s="664"/>
      <c r="AF144" s="664"/>
      <c r="AG144" s="664"/>
      <c r="AH144" s="664"/>
      <c r="AI144" s="664"/>
      <c r="AJ144" s="664"/>
      <c r="AK144" s="664"/>
      <c r="AL144" s="664"/>
      <c r="AM144" s="664"/>
      <c r="AN144" s="664"/>
      <c r="AO144" s="664"/>
      <c r="AP144" s="665"/>
    </row>
    <row r="145" spans="1:42" s="516" customFormat="1" ht="86.25" customHeight="1" thickBot="1" x14ac:dyDescent="0.3">
      <c r="A145" s="512" t="s">
        <v>757</v>
      </c>
      <c r="B145" s="513"/>
      <c r="C145" s="493">
        <v>1000</v>
      </c>
      <c r="D145" s="493">
        <v>1000</v>
      </c>
      <c r="E145" s="493">
        <v>1000</v>
      </c>
      <c r="F145" s="541">
        <f>E145/D145</f>
        <v>1</v>
      </c>
      <c r="G145" s="514"/>
      <c r="H145" s="514"/>
      <c r="I145" s="514"/>
      <c r="J145" s="514"/>
      <c r="K145" s="514"/>
      <c r="L145" s="514"/>
      <c r="M145" s="514"/>
      <c r="N145" s="514"/>
      <c r="O145" s="514"/>
      <c r="P145" s="514"/>
      <c r="Q145" s="514"/>
      <c r="R145" s="514"/>
      <c r="S145" s="514"/>
      <c r="T145" s="514"/>
      <c r="U145" s="514"/>
      <c r="V145" s="514"/>
      <c r="W145" s="514"/>
      <c r="X145" s="514"/>
      <c r="Y145" s="514"/>
      <c r="Z145" s="514"/>
      <c r="AA145" s="514"/>
      <c r="AB145" s="514"/>
      <c r="AC145" s="514"/>
      <c r="AD145" s="514"/>
      <c r="AE145" s="514"/>
      <c r="AF145" s="514"/>
      <c r="AG145" s="514"/>
      <c r="AH145" s="514"/>
      <c r="AI145" s="514"/>
      <c r="AJ145" s="514"/>
      <c r="AK145" s="514"/>
      <c r="AL145" s="514"/>
      <c r="AM145" s="514"/>
      <c r="AN145" s="514"/>
      <c r="AO145" s="514"/>
      <c r="AP145" s="515"/>
    </row>
    <row r="146" spans="1:42" s="516" customFormat="1" ht="32.25" thickBot="1" x14ac:dyDescent="0.3">
      <c r="A146" s="519" t="s">
        <v>601</v>
      </c>
      <c r="B146" s="492"/>
      <c r="C146" s="493">
        <v>487388</v>
      </c>
      <c r="D146" s="493">
        <f>C146+42142+24857+21158+5318</f>
        <v>580863</v>
      </c>
      <c r="E146" s="493">
        <v>580863</v>
      </c>
      <c r="F146" s="541">
        <f t="shared" si="3"/>
        <v>1</v>
      </c>
      <c r="G146" s="514"/>
      <c r="H146" s="514"/>
      <c r="I146" s="514"/>
      <c r="J146" s="514"/>
      <c r="K146" s="514"/>
      <c r="L146" s="514"/>
      <c r="M146" s="514"/>
      <c r="N146" s="514"/>
      <c r="O146" s="514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514"/>
      <c r="AJ146" s="514"/>
      <c r="AK146" s="514"/>
      <c r="AL146" s="514"/>
      <c r="AM146" s="514"/>
      <c r="AN146" s="514"/>
      <c r="AO146" s="514"/>
      <c r="AP146" s="515"/>
    </row>
    <row r="147" spans="1:42" s="516" customFormat="1" ht="32.25" thickBot="1" x14ac:dyDescent="0.3">
      <c r="A147" s="519" t="s">
        <v>602</v>
      </c>
      <c r="B147" s="492"/>
      <c r="C147" s="493">
        <v>70000</v>
      </c>
      <c r="D147" s="493">
        <f>70000+10000+16122</f>
        <v>96122</v>
      </c>
      <c r="E147" s="493">
        <v>96122</v>
      </c>
      <c r="F147" s="541">
        <f t="shared" si="3"/>
        <v>1</v>
      </c>
      <c r="G147" s="514"/>
      <c r="H147" s="514"/>
      <c r="I147" s="514"/>
      <c r="J147" s="514"/>
      <c r="K147" s="514"/>
      <c r="L147" s="514"/>
      <c r="M147" s="514"/>
      <c r="N147" s="514"/>
      <c r="O147" s="514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514"/>
      <c r="AJ147" s="514"/>
      <c r="AK147" s="514"/>
      <c r="AL147" s="514"/>
      <c r="AM147" s="514"/>
      <c r="AN147" s="514"/>
      <c r="AO147" s="514"/>
      <c r="AP147" s="515"/>
    </row>
    <row r="148" spans="1:42" s="516" customFormat="1" ht="19.5" customHeight="1" thickBot="1" x14ac:dyDescent="0.3">
      <c r="A148" s="519" t="s">
        <v>605</v>
      </c>
      <c r="B148" s="492"/>
      <c r="C148" s="493">
        <v>1032</v>
      </c>
      <c r="D148" s="493">
        <v>1032</v>
      </c>
      <c r="E148" s="493">
        <v>1032</v>
      </c>
      <c r="F148" s="541">
        <f t="shared" si="3"/>
        <v>1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  <c r="Q148" s="514"/>
      <c r="R148" s="514"/>
      <c r="S148" s="514"/>
      <c r="T148" s="514"/>
      <c r="U148" s="514"/>
      <c r="V148" s="514"/>
      <c r="W148" s="514"/>
      <c r="X148" s="514"/>
      <c r="Y148" s="514"/>
      <c r="Z148" s="514"/>
      <c r="AA148" s="514"/>
      <c r="AB148" s="514"/>
      <c r="AC148" s="514"/>
      <c r="AD148" s="514"/>
      <c r="AE148" s="514"/>
      <c r="AF148" s="514"/>
      <c r="AG148" s="514"/>
      <c r="AH148" s="514"/>
      <c r="AI148" s="514"/>
      <c r="AJ148" s="514"/>
      <c r="AK148" s="514"/>
      <c r="AL148" s="514"/>
      <c r="AM148" s="514"/>
      <c r="AN148" s="514"/>
      <c r="AO148" s="514"/>
      <c r="AP148" s="515"/>
    </row>
    <row r="149" spans="1:42" s="516" customFormat="1" ht="19.5" customHeight="1" thickBot="1" x14ac:dyDescent="0.3">
      <c r="A149" s="519" t="s">
        <v>607</v>
      </c>
      <c r="B149" s="492"/>
      <c r="C149" s="493">
        <v>76224</v>
      </c>
      <c r="D149" s="493">
        <v>76224</v>
      </c>
      <c r="E149" s="493">
        <v>76224</v>
      </c>
      <c r="F149" s="541">
        <f t="shared" si="3"/>
        <v>1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514"/>
      <c r="AJ149" s="514"/>
      <c r="AK149" s="514"/>
      <c r="AL149" s="514"/>
      <c r="AM149" s="514"/>
      <c r="AN149" s="514"/>
      <c r="AO149" s="514"/>
      <c r="AP149" s="515"/>
    </row>
    <row r="150" spans="1:42" s="516" customFormat="1" ht="32.25" thickBot="1" x14ac:dyDescent="0.3">
      <c r="A150" s="494" t="s">
        <v>608</v>
      </c>
      <c r="B150" s="492">
        <f>6352*12</f>
        <v>76224</v>
      </c>
      <c r="C150" s="511"/>
      <c r="D150" s="511"/>
      <c r="E150" s="511"/>
      <c r="F150" s="546"/>
      <c r="G150" s="514"/>
      <c r="H150" s="514"/>
      <c r="I150" s="514"/>
      <c r="J150" s="514"/>
      <c r="K150" s="514"/>
      <c r="L150" s="514"/>
      <c r="M150" s="514"/>
      <c r="N150" s="514"/>
      <c r="O150" s="514"/>
      <c r="P150" s="514"/>
      <c r="Q150" s="514"/>
      <c r="R150" s="514"/>
      <c r="S150" s="514"/>
      <c r="T150" s="514"/>
      <c r="U150" s="514"/>
      <c r="V150" s="514"/>
      <c r="W150" s="514"/>
      <c r="X150" s="514"/>
      <c r="Y150" s="514"/>
      <c r="Z150" s="514"/>
      <c r="AA150" s="514"/>
      <c r="AB150" s="514"/>
      <c r="AC150" s="514"/>
      <c r="AD150" s="514"/>
      <c r="AE150" s="514"/>
      <c r="AF150" s="514"/>
      <c r="AG150" s="514"/>
      <c r="AH150" s="514"/>
      <c r="AI150" s="514"/>
      <c r="AJ150" s="514"/>
      <c r="AK150" s="514"/>
      <c r="AL150" s="514"/>
      <c r="AM150" s="514"/>
      <c r="AN150" s="514"/>
      <c r="AO150" s="514"/>
      <c r="AP150" s="515"/>
    </row>
    <row r="151" spans="1:42" s="666" customFormat="1" ht="21" customHeight="1" thickBot="1" x14ac:dyDescent="0.3">
      <c r="A151" s="733" t="s">
        <v>623</v>
      </c>
      <c r="B151" s="670"/>
      <c r="C151" s="671">
        <v>15473</v>
      </c>
      <c r="D151" s="671">
        <v>16005</v>
      </c>
      <c r="E151" s="671">
        <f>SUM(B152:B154)</f>
        <v>14024</v>
      </c>
      <c r="F151" s="541">
        <f t="shared" si="3"/>
        <v>0.87622617931896285</v>
      </c>
      <c r="G151" s="664"/>
      <c r="H151" s="664"/>
      <c r="I151" s="664"/>
      <c r="J151" s="664"/>
      <c r="K151" s="664"/>
      <c r="L151" s="664"/>
      <c r="M151" s="664"/>
      <c r="N151" s="664"/>
      <c r="O151" s="664"/>
      <c r="P151" s="664"/>
      <c r="Q151" s="664"/>
      <c r="R151" s="664"/>
      <c r="S151" s="664"/>
      <c r="T151" s="664"/>
      <c r="U151" s="664"/>
      <c r="V151" s="664"/>
      <c r="W151" s="664"/>
      <c r="X151" s="664"/>
      <c r="Y151" s="664"/>
      <c r="Z151" s="664"/>
      <c r="AA151" s="664"/>
      <c r="AB151" s="664"/>
      <c r="AC151" s="664"/>
      <c r="AD151" s="664"/>
      <c r="AE151" s="664"/>
      <c r="AF151" s="664"/>
      <c r="AG151" s="664"/>
      <c r="AH151" s="664"/>
      <c r="AI151" s="664"/>
      <c r="AJ151" s="664"/>
      <c r="AK151" s="664"/>
      <c r="AL151" s="664"/>
      <c r="AM151" s="664"/>
      <c r="AN151" s="664"/>
      <c r="AO151" s="664"/>
      <c r="AP151" s="665"/>
    </row>
    <row r="152" spans="1:42" s="666" customFormat="1" ht="21" customHeight="1" thickBot="1" x14ac:dyDescent="0.3">
      <c r="A152" s="672" t="s">
        <v>863</v>
      </c>
      <c r="B152" s="670">
        <v>8754</v>
      </c>
      <c r="C152" s="671"/>
      <c r="D152" s="671"/>
      <c r="E152" s="671"/>
      <c r="F152" s="541"/>
      <c r="G152" s="664"/>
      <c r="H152" s="664"/>
      <c r="I152" s="664"/>
      <c r="J152" s="664"/>
      <c r="K152" s="664"/>
      <c r="L152" s="664"/>
      <c r="M152" s="664"/>
      <c r="N152" s="664"/>
      <c r="O152" s="664"/>
      <c r="P152" s="664"/>
      <c r="Q152" s="664"/>
      <c r="R152" s="664"/>
      <c r="S152" s="664"/>
      <c r="T152" s="664"/>
      <c r="U152" s="664"/>
      <c r="V152" s="664"/>
      <c r="W152" s="664"/>
      <c r="X152" s="664"/>
      <c r="Y152" s="664"/>
      <c r="Z152" s="664"/>
      <c r="AA152" s="664"/>
      <c r="AB152" s="664"/>
      <c r="AC152" s="664"/>
      <c r="AD152" s="664"/>
      <c r="AE152" s="664"/>
      <c r="AF152" s="664"/>
      <c r="AG152" s="664"/>
      <c r="AH152" s="664"/>
      <c r="AI152" s="664"/>
      <c r="AJ152" s="664"/>
      <c r="AK152" s="664"/>
      <c r="AL152" s="664"/>
      <c r="AM152" s="664"/>
      <c r="AN152" s="664"/>
      <c r="AO152" s="664"/>
      <c r="AP152" s="665"/>
    </row>
    <row r="153" spans="1:42" s="666" customFormat="1" ht="21" customHeight="1" thickBot="1" x14ac:dyDescent="0.3">
      <c r="A153" s="672" t="s">
        <v>864</v>
      </c>
      <c r="B153" s="670">
        <v>4738</v>
      </c>
      <c r="C153" s="671"/>
      <c r="D153" s="671"/>
      <c r="E153" s="671"/>
      <c r="F153" s="541"/>
      <c r="G153" s="664"/>
      <c r="H153" s="664"/>
      <c r="I153" s="664"/>
      <c r="J153" s="664"/>
      <c r="K153" s="664"/>
      <c r="L153" s="664"/>
      <c r="M153" s="664"/>
      <c r="N153" s="664"/>
      <c r="O153" s="664"/>
      <c r="P153" s="664"/>
      <c r="Q153" s="664"/>
      <c r="R153" s="664"/>
      <c r="S153" s="664"/>
      <c r="T153" s="664"/>
      <c r="U153" s="664"/>
      <c r="V153" s="664"/>
      <c r="W153" s="664"/>
      <c r="X153" s="664"/>
      <c r="Y153" s="664"/>
      <c r="Z153" s="664"/>
      <c r="AA153" s="664"/>
      <c r="AB153" s="664"/>
      <c r="AC153" s="664"/>
      <c r="AD153" s="664"/>
      <c r="AE153" s="664"/>
      <c r="AF153" s="664"/>
      <c r="AG153" s="664"/>
      <c r="AH153" s="664"/>
      <c r="AI153" s="664"/>
      <c r="AJ153" s="664"/>
      <c r="AK153" s="664"/>
      <c r="AL153" s="664"/>
      <c r="AM153" s="664"/>
      <c r="AN153" s="664"/>
      <c r="AO153" s="664"/>
      <c r="AP153" s="665"/>
    </row>
    <row r="154" spans="1:42" s="666" customFormat="1" ht="21" customHeight="1" thickBot="1" x14ac:dyDescent="0.3">
      <c r="A154" s="672" t="s">
        <v>624</v>
      </c>
      <c r="B154" s="670">
        <v>532</v>
      </c>
      <c r="C154" s="671"/>
      <c r="D154" s="671"/>
      <c r="E154" s="671"/>
      <c r="F154" s="541"/>
      <c r="G154" s="664"/>
      <c r="H154" s="664"/>
      <c r="I154" s="664"/>
      <c r="J154" s="664"/>
      <c r="K154" s="664"/>
      <c r="L154" s="664"/>
      <c r="M154" s="664"/>
      <c r="N154" s="664"/>
      <c r="O154" s="664"/>
      <c r="P154" s="664"/>
      <c r="Q154" s="664"/>
      <c r="R154" s="664"/>
      <c r="S154" s="664"/>
      <c r="T154" s="664"/>
      <c r="U154" s="664"/>
      <c r="V154" s="664"/>
      <c r="W154" s="664"/>
      <c r="X154" s="664"/>
      <c r="Y154" s="664"/>
      <c r="Z154" s="664"/>
      <c r="AA154" s="664"/>
      <c r="AB154" s="664"/>
      <c r="AC154" s="664"/>
      <c r="AD154" s="664"/>
      <c r="AE154" s="664"/>
      <c r="AF154" s="664"/>
      <c r="AG154" s="664"/>
      <c r="AH154" s="664"/>
      <c r="AI154" s="664"/>
      <c r="AJ154" s="664"/>
      <c r="AK154" s="664"/>
      <c r="AL154" s="664"/>
      <c r="AM154" s="664"/>
      <c r="AN154" s="664"/>
      <c r="AO154" s="664"/>
      <c r="AP154" s="665"/>
    </row>
    <row r="155" spans="1:42" s="666" customFormat="1" ht="21" customHeight="1" thickBot="1" x14ac:dyDescent="0.3">
      <c r="A155" s="733" t="s">
        <v>639</v>
      </c>
      <c r="B155" s="670"/>
      <c r="C155" s="671"/>
      <c r="D155" s="671">
        <v>1410</v>
      </c>
      <c r="E155" s="671">
        <v>1690</v>
      </c>
      <c r="F155" s="541">
        <f t="shared" ref="F155:F159" si="4">E155/D155</f>
        <v>1.198581560283688</v>
      </c>
      <c r="G155" s="664"/>
      <c r="H155" s="664"/>
      <c r="I155" s="664"/>
      <c r="J155" s="664"/>
      <c r="K155" s="664"/>
      <c r="L155" s="664"/>
      <c r="M155" s="664"/>
      <c r="N155" s="664"/>
      <c r="O155" s="664"/>
      <c r="P155" s="664"/>
      <c r="Q155" s="664"/>
      <c r="R155" s="664"/>
      <c r="S155" s="664"/>
      <c r="T155" s="664"/>
      <c r="U155" s="664"/>
      <c r="V155" s="664"/>
      <c r="W155" s="664"/>
      <c r="X155" s="664"/>
      <c r="Y155" s="664"/>
      <c r="Z155" s="664"/>
      <c r="AA155" s="664"/>
      <c r="AB155" s="664"/>
      <c r="AC155" s="664"/>
      <c r="AD155" s="664"/>
      <c r="AE155" s="664"/>
      <c r="AF155" s="664"/>
      <c r="AG155" s="664"/>
      <c r="AH155" s="664"/>
      <c r="AI155" s="664"/>
      <c r="AJ155" s="664"/>
      <c r="AK155" s="664"/>
      <c r="AL155" s="664"/>
      <c r="AM155" s="664"/>
      <c r="AN155" s="664"/>
      <c r="AO155" s="664"/>
      <c r="AP155" s="665"/>
    </row>
    <row r="156" spans="1:42" s="666" customFormat="1" ht="21" customHeight="1" thickBot="1" x14ac:dyDescent="0.3">
      <c r="A156" s="733" t="s">
        <v>640</v>
      </c>
      <c r="B156" s="670"/>
      <c r="C156" s="671">
        <v>10000</v>
      </c>
      <c r="D156" s="671">
        <f>10000+4300</f>
        <v>14300</v>
      </c>
      <c r="E156" s="671">
        <v>14012</v>
      </c>
      <c r="F156" s="541">
        <f t="shared" si="4"/>
        <v>0.97986013986013987</v>
      </c>
      <c r="G156" s="664"/>
      <c r="H156" s="664"/>
      <c r="I156" s="664"/>
      <c r="J156" s="664"/>
      <c r="K156" s="664"/>
      <c r="L156" s="664"/>
      <c r="M156" s="664"/>
      <c r="N156" s="664"/>
      <c r="O156" s="664"/>
      <c r="P156" s="664"/>
      <c r="Q156" s="664"/>
      <c r="R156" s="664"/>
      <c r="S156" s="664"/>
      <c r="T156" s="664"/>
      <c r="U156" s="664"/>
      <c r="V156" s="664"/>
      <c r="W156" s="664"/>
      <c r="X156" s="664"/>
      <c r="Y156" s="664"/>
      <c r="Z156" s="664"/>
      <c r="AA156" s="664"/>
      <c r="AB156" s="664"/>
      <c r="AC156" s="664"/>
      <c r="AD156" s="664"/>
      <c r="AE156" s="664"/>
      <c r="AF156" s="664"/>
      <c r="AG156" s="664"/>
      <c r="AH156" s="664"/>
      <c r="AI156" s="664"/>
      <c r="AJ156" s="664"/>
      <c r="AK156" s="664"/>
      <c r="AL156" s="664"/>
      <c r="AM156" s="664"/>
      <c r="AN156" s="664"/>
      <c r="AO156" s="664"/>
      <c r="AP156" s="665"/>
    </row>
    <row r="157" spans="1:42" s="516" customFormat="1" ht="32.25" thickBot="1" x14ac:dyDescent="0.3">
      <c r="A157" s="519" t="s">
        <v>644</v>
      </c>
      <c r="B157" s="495"/>
      <c r="C157" s="493">
        <v>593</v>
      </c>
      <c r="D157" s="493">
        <v>593</v>
      </c>
      <c r="E157" s="493">
        <v>0</v>
      </c>
      <c r="F157" s="541">
        <f t="shared" si="4"/>
        <v>0</v>
      </c>
      <c r="G157" s="514"/>
      <c r="H157" s="514"/>
      <c r="I157" s="514"/>
      <c r="J157" s="514"/>
      <c r="K157" s="514"/>
      <c r="L157" s="514"/>
      <c r="M157" s="514"/>
      <c r="N157" s="514"/>
      <c r="O157" s="514"/>
      <c r="P157" s="514"/>
      <c r="Q157" s="514"/>
      <c r="R157" s="514"/>
      <c r="S157" s="514"/>
      <c r="T157" s="514"/>
      <c r="U157" s="514"/>
      <c r="V157" s="514"/>
      <c r="W157" s="514"/>
      <c r="X157" s="514"/>
      <c r="Y157" s="514"/>
      <c r="Z157" s="514"/>
      <c r="AA157" s="514"/>
      <c r="AB157" s="514"/>
      <c r="AC157" s="514"/>
      <c r="AD157" s="514"/>
      <c r="AE157" s="514"/>
      <c r="AF157" s="514"/>
      <c r="AG157" s="514"/>
      <c r="AH157" s="514"/>
      <c r="AI157" s="514"/>
      <c r="AJ157" s="514"/>
      <c r="AK157" s="514"/>
      <c r="AL157" s="514"/>
      <c r="AM157" s="514"/>
      <c r="AN157" s="514"/>
      <c r="AO157" s="514"/>
      <c r="AP157" s="515"/>
    </row>
    <row r="158" spans="1:42" s="666" customFormat="1" ht="23.25" customHeight="1" thickBot="1" x14ac:dyDescent="0.3">
      <c r="A158" s="733" t="s">
        <v>646</v>
      </c>
      <c r="B158" s="673"/>
      <c r="C158" s="671">
        <v>100</v>
      </c>
      <c r="D158" s="671">
        <v>100</v>
      </c>
      <c r="E158" s="671">
        <v>100</v>
      </c>
      <c r="F158" s="541">
        <f t="shared" si="4"/>
        <v>1</v>
      </c>
      <c r="G158" s="664"/>
      <c r="H158" s="664"/>
      <c r="I158" s="664"/>
      <c r="J158" s="664"/>
      <c r="K158" s="664"/>
      <c r="L158" s="664"/>
      <c r="M158" s="664"/>
      <c r="N158" s="664"/>
      <c r="O158" s="664"/>
      <c r="P158" s="664"/>
      <c r="Q158" s="664"/>
      <c r="R158" s="664"/>
      <c r="S158" s="664"/>
      <c r="T158" s="664"/>
      <c r="U158" s="664"/>
      <c r="V158" s="664"/>
      <c r="W158" s="664"/>
      <c r="X158" s="664"/>
      <c r="Y158" s="664"/>
      <c r="Z158" s="664"/>
      <c r="AA158" s="664"/>
      <c r="AB158" s="664"/>
      <c r="AC158" s="664"/>
      <c r="AD158" s="664"/>
      <c r="AE158" s="664"/>
      <c r="AF158" s="664"/>
      <c r="AG158" s="664"/>
      <c r="AH158" s="664"/>
      <c r="AI158" s="664"/>
      <c r="AJ158" s="664"/>
      <c r="AK158" s="664"/>
      <c r="AL158" s="664"/>
      <c r="AM158" s="664"/>
      <c r="AN158" s="664"/>
      <c r="AO158" s="664"/>
      <c r="AP158" s="665"/>
    </row>
    <row r="159" spans="1:42" s="516" customFormat="1" ht="23.25" customHeight="1" thickBot="1" x14ac:dyDescent="0.3">
      <c r="A159" s="519" t="s">
        <v>670</v>
      </c>
      <c r="B159" s="495"/>
      <c r="C159" s="493">
        <v>115000</v>
      </c>
      <c r="D159" s="493">
        <f>SUM(B160:B161)</f>
        <v>121006</v>
      </c>
      <c r="E159" s="493">
        <f>SUM(B160:B161)</f>
        <v>121006</v>
      </c>
      <c r="F159" s="541">
        <f t="shared" si="4"/>
        <v>1</v>
      </c>
      <c r="G159" s="514"/>
      <c r="H159" s="514"/>
      <c r="I159" s="514"/>
      <c r="J159" s="514"/>
      <c r="K159" s="514"/>
      <c r="L159" s="514"/>
      <c r="M159" s="514"/>
      <c r="N159" s="514"/>
      <c r="O159" s="514"/>
      <c r="P159" s="514"/>
      <c r="Q159" s="514"/>
      <c r="R159" s="514"/>
      <c r="S159" s="514"/>
      <c r="T159" s="514"/>
      <c r="U159" s="514"/>
      <c r="V159" s="514"/>
      <c r="W159" s="514"/>
      <c r="X159" s="514"/>
      <c r="Y159" s="514"/>
      <c r="Z159" s="514"/>
      <c r="AA159" s="514"/>
      <c r="AB159" s="514"/>
      <c r="AC159" s="514"/>
      <c r="AD159" s="514"/>
      <c r="AE159" s="514"/>
      <c r="AF159" s="514"/>
      <c r="AG159" s="514"/>
      <c r="AH159" s="514"/>
      <c r="AI159" s="514"/>
      <c r="AJ159" s="514"/>
      <c r="AK159" s="514"/>
      <c r="AL159" s="514"/>
      <c r="AM159" s="514"/>
      <c r="AN159" s="514"/>
      <c r="AO159" s="514"/>
      <c r="AP159" s="515"/>
    </row>
    <row r="160" spans="1:42" s="516" customFormat="1" ht="23.25" customHeight="1" thickBot="1" x14ac:dyDescent="0.3">
      <c r="A160" s="494" t="s">
        <v>671</v>
      </c>
      <c r="B160" s="492">
        <f>100000+21006</f>
        <v>121006</v>
      </c>
      <c r="C160" s="511"/>
      <c r="D160" s="511"/>
      <c r="E160" s="511"/>
      <c r="F160" s="546"/>
      <c r="G160" s="514"/>
      <c r="H160" s="514"/>
      <c r="I160" s="514"/>
      <c r="J160" s="514"/>
      <c r="K160" s="514"/>
      <c r="L160" s="514"/>
      <c r="M160" s="514"/>
      <c r="N160" s="514"/>
      <c r="O160" s="514"/>
      <c r="P160" s="514"/>
      <c r="Q160" s="514"/>
      <c r="R160" s="514"/>
      <c r="S160" s="514"/>
      <c r="T160" s="514"/>
      <c r="U160" s="514"/>
      <c r="V160" s="514"/>
      <c r="W160" s="514"/>
      <c r="X160" s="514"/>
      <c r="Y160" s="514"/>
      <c r="Z160" s="514"/>
      <c r="AA160" s="514"/>
      <c r="AB160" s="514"/>
      <c r="AC160" s="514"/>
      <c r="AD160" s="514"/>
      <c r="AE160" s="514"/>
      <c r="AF160" s="514"/>
      <c r="AG160" s="514"/>
      <c r="AH160" s="514"/>
      <c r="AI160" s="514"/>
      <c r="AJ160" s="514"/>
      <c r="AK160" s="514"/>
      <c r="AL160" s="514"/>
      <c r="AM160" s="514"/>
      <c r="AN160" s="514"/>
      <c r="AO160" s="514"/>
      <c r="AP160" s="515"/>
    </row>
    <row r="161" spans="1:42" s="516" customFormat="1" ht="23.25" customHeight="1" thickBot="1" x14ac:dyDescent="0.3">
      <c r="A161" s="494" t="s">
        <v>672</v>
      </c>
      <c r="B161" s="492">
        <f>15000-15000</f>
        <v>0</v>
      </c>
      <c r="C161" s="511"/>
      <c r="D161" s="511"/>
      <c r="E161" s="511"/>
      <c r="F161" s="546"/>
      <c r="G161" s="514"/>
      <c r="H161" s="514"/>
      <c r="I161" s="514"/>
      <c r="J161" s="514"/>
      <c r="K161" s="514"/>
      <c r="L161" s="514"/>
      <c r="M161" s="514"/>
      <c r="N161" s="514"/>
      <c r="O161" s="514"/>
      <c r="P161" s="514"/>
      <c r="Q161" s="514"/>
      <c r="R161" s="514"/>
      <c r="S161" s="514"/>
      <c r="T161" s="514"/>
      <c r="U161" s="514"/>
      <c r="V161" s="514"/>
      <c r="W161" s="514"/>
      <c r="X161" s="514"/>
      <c r="Y161" s="514"/>
      <c r="Z161" s="514"/>
      <c r="AA161" s="514"/>
      <c r="AB161" s="514"/>
      <c r="AC161" s="514"/>
      <c r="AD161" s="514"/>
      <c r="AE161" s="514"/>
      <c r="AF161" s="514"/>
      <c r="AG161" s="514"/>
      <c r="AH161" s="514"/>
      <c r="AI161" s="514"/>
      <c r="AJ161" s="514"/>
      <c r="AK161" s="514"/>
      <c r="AL161" s="514"/>
      <c r="AM161" s="514"/>
      <c r="AN161" s="514"/>
      <c r="AO161" s="514"/>
      <c r="AP161" s="515"/>
    </row>
    <row r="162" spans="1:42" s="666" customFormat="1" ht="23.25" customHeight="1" thickBot="1" x14ac:dyDescent="0.3">
      <c r="A162" s="733" t="s">
        <v>688</v>
      </c>
      <c r="B162" s="673"/>
      <c r="C162" s="671">
        <v>300</v>
      </c>
      <c r="D162" s="671">
        <v>300</v>
      </c>
      <c r="E162" s="671">
        <v>0</v>
      </c>
      <c r="F162" s="541">
        <f t="shared" ref="F162:F174" si="5">E162/D162</f>
        <v>0</v>
      </c>
      <c r="G162" s="664"/>
      <c r="H162" s="664"/>
      <c r="I162" s="664"/>
      <c r="J162" s="664"/>
      <c r="K162" s="664"/>
      <c r="L162" s="664"/>
      <c r="M162" s="664"/>
      <c r="N162" s="664"/>
      <c r="O162" s="664"/>
      <c r="P162" s="664"/>
      <c r="Q162" s="664"/>
      <c r="R162" s="664"/>
      <c r="S162" s="664"/>
      <c r="T162" s="664"/>
      <c r="U162" s="664"/>
      <c r="V162" s="664"/>
      <c r="W162" s="664"/>
      <c r="X162" s="664"/>
      <c r="Y162" s="664"/>
      <c r="Z162" s="664"/>
      <c r="AA162" s="664"/>
      <c r="AB162" s="664"/>
      <c r="AC162" s="664"/>
      <c r="AD162" s="664"/>
      <c r="AE162" s="664"/>
      <c r="AF162" s="664"/>
      <c r="AG162" s="664"/>
      <c r="AH162" s="664"/>
      <c r="AI162" s="664"/>
      <c r="AJ162" s="664"/>
      <c r="AK162" s="664"/>
      <c r="AL162" s="664"/>
      <c r="AM162" s="664"/>
      <c r="AN162" s="664"/>
      <c r="AO162" s="664"/>
      <c r="AP162" s="665"/>
    </row>
    <row r="163" spans="1:42" s="644" customFormat="1" ht="24" customHeight="1" thickBot="1" x14ac:dyDescent="0.3">
      <c r="A163" s="896" t="s">
        <v>689</v>
      </c>
      <c r="B163" s="897"/>
      <c r="C163" s="671"/>
      <c r="D163" s="751">
        <f>200-200</f>
        <v>0</v>
      </c>
      <c r="E163" s="671">
        <v>0</v>
      </c>
      <c r="F163" s="541">
        <v>0</v>
      </c>
      <c r="G163" s="642"/>
      <c r="H163" s="642"/>
      <c r="I163" s="642"/>
      <c r="J163" s="642"/>
      <c r="K163" s="642"/>
      <c r="L163" s="642"/>
      <c r="M163" s="642"/>
      <c r="N163" s="642"/>
      <c r="O163" s="642"/>
      <c r="P163" s="642"/>
      <c r="Q163" s="642"/>
      <c r="R163" s="642"/>
      <c r="S163" s="642"/>
      <c r="T163" s="642"/>
      <c r="U163" s="642"/>
      <c r="V163" s="642"/>
      <c r="W163" s="642"/>
      <c r="X163" s="642"/>
      <c r="Y163" s="642"/>
      <c r="Z163" s="642"/>
      <c r="AA163" s="642"/>
      <c r="AB163" s="642"/>
      <c r="AC163" s="642"/>
      <c r="AD163" s="642"/>
      <c r="AE163" s="642"/>
      <c r="AF163" s="642"/>
      <c r="AG163" s="642"/>
      <c r="AH163" s="642"/>
      <c r="AI163" s="642"/>
      <c r="AJ163" s="642"/>
      <c r="AK163" s="642"/>
      <c r="AL163" s="642"/>
      <c r="AM163" s="642"/>
      <c r="AN163" s="642"/>
      <c r="AO163" s="643"/>
    </row>
    <row r="164" spans="1:42" s="644" customFormat="1" ht="24" customHeight="1" thickBot="1" x14ac:dyDescent="0.3">
      <c r="A164" s="896" t="s">
        <v>690</v>
      </c>
      <c r="B164" s="897"/>
      <c r="C164" s="752"/>
      <c r="D164" s="751">
        <v>100</v>
      </c>
      <c r="E164" s="752">
        <v>100</v>
      </c>
      <c r="F164" s="541">
        <f t="shared" si="5"/>
        <v>1</v>
      </c>
      <c r="G164" s="642"/>
      <c r="H164" s="642"/>
      <c r="I164" s="642"/>
      <c r="J164" s="642"/>
      <c r="K164" s="642"/>
      <c r="L164" s="642"/>
      <c r="M164" s="642"/>
      <c r="N164" s="642"/>
      <c r="O164" s="642"/>
      <c r="P164" s="642"/>
      <c r="Q164" s="642"/>
      <c r="R164" s="642"/>
      <c r="S164" s="642"/>
      <c r="T164" s="642"/>
      <c r="U164" s="642"/>
      <c r="V164" s="642"/>
      <c r="W164" s="642"/>
      <c r="X164" s="642"/>
      <c r="Y164" s="642"/>
      <c r="Z164" s="642"/>
      <c r="AA164" s="642"/>
      <c r="AB164" s="642"/>
      <c r="AC164" s="642"/>
      <c r="AD164" s="642"/>
      <c r="AE164" s="642"/>
      <c r="AF164" s="642"/>
      <c r="AG164" s="642"/>
      <c r="AH164" s="642"/>
      <c r="AI164" s="642"/>
      <c r="AJ164" s="642"/>
      <c r="AK164" s="642"/>
      <c r="AL164" s="642"/>
      <c r="AM164" s="642"/>
      <c r="AN164" s="642"/>
      <c r="AO164" s="643"/>
    </row>
    <row r="165" spans="1:42" s="644" customFormat="1" ht="24" customHeight="1" thickBot="1" x14ac:dyDescent="0.3">
      <c r="A165" s="896" t="s">
        <v>691</v>
      </c>
      <c r="B165" s="897"/>
      <c r="C165" s="752"/>
      <c r="D165" s="751">
        <v>200</v>
      </c>
      <c r="E165" s="752">
        <v>200</v>
      </c>
      <c r="F165" s="541">
        <f t="shared" si="5"/>
        <v>1</v>
      </c>
      <c r="G165" s="642"/>
      <c r="H165" s="642"/>
      <c r="I165" s="642"/>
      <c r="J165" s="642"/>
      <c r="K165" s="642"/>
      <c r="L165" s="642"/>
      <c r="M165" s="642"/>
      <c r="N165" s="642"/>
      <c r="O165" s="642"/>
      <c r="P165" s="642"/>
      <c r="Q165" s="642"/>
      <c r="R165" s="642"/>
      <c r="S165" s="642"/>
      <c r="T165" s="642"/>
      <c r="U165" s="642"/>
      <c r="V165" s="642"/>
      <c r="W165" s="642"/>
      <c r="X165" s="642"/>
      <c r="Y165" s="642"/>
      <c r="Z165" s="642"/>
      <c r="AA165" s="642"/>
      <c r="AB165" s="642"/>
      <c r="AC165" s="642"/>
      <c r="AD165" s="642"/>
      <c r="AE165" s="642"/>
      <c r="AF165" s="642"/>
      <c r="AG165" s="642"/>
      <c r="AH165" s="642"/>
      <c r="AI165" s="642"/>
      <c r="AJ165" s="642"/>
      <c r="AK165" s="642"/>
      <c r="AL165" s="642"/>
      <c r="AM165" s="642"/>
      <c r="AN165" s="642"/>
      <c r="AO165" s="643"/>
    </row>
    <row r="166" spans="1:42" s="644" customFormat="1" ht="24" customHeight="1" thickBot="1" x14ac:dyDescent="0.3">
      <c r="A166" s="896" t="s">
        <v>692</v>
      </c>
      <c r="B166" s="897"/>
      <c r="C166" s="752"/>
      <c r="D166" s="751">
        <v>10</v>
      </c>
      <c r="E166" s="752">
        <v>10</v>
      </c>
      <c r="F166" s="541">
        <f t="shared" si="5"/>
        <v>1</v>
      </c>
      <c r="G166" s="642"/>
      <c r="H166" s="642"/>
      <c r="I166" s="642"/>
      <c r="J166" s="642"/>
      <c r="K166" s="642"/>
      <c r="L166" s="642"/>
      <c r="M166" s="642"/>
      <c r="N166" s="642"/>
      <c r="O166" s="642"/>
      <c r="P166" s="642"/>
      <c r="Q166" s="642"/>
      <c r="R166" s="642"/>
      <c r="S166" s="642"/>
      <c r="T166" s="642"/>
      <c r="U166" s="642"/>
      <c r="V166" s="642"/>
      <c r="W166" s="642"/>
      <c r="X166" s="642"/>
      <c r="Y166" s="642"/>
      <c r="Z166" s="642"/>
      <c r="AA166" s="642"/>
      <c r="AB166" s="642"/>
      <c r="AC166" s="642"/>
      <c r="AD166" s="642"/>
      <c r="AE166" s="642"/>
      <c r="AF166" s="642"/>
      <c r="AG166" s="642"/>
      <c r="AH166" s="642"/>
      <c r="AI166" s="642"/>
      <c r="AJ166" s="642"/>
      <c r="AK166" s="642"/>
      <c r="AL166" s="642"/>
      <c r="AM166" s="642"/>
      <c r="AN166" s="642"/>
      <c r="AO166" s="643"/>
    </row>
    <row r="167" spans="1:42" s="644" customFormat="1" ht="24" customHeight="1" thickBot="1" x14ac:dyDescent="0.3">
      <c r="A167" s="896" t="s">
        <v>693</v>
      </c>
      <c r="B167" s="897"/>
      <c r="C167" s="752"/>
      <c r="D167" s="751">
        <v>10</v>
      </c>
      <c r="E167" s="752">
        <v>10</v>
      </c>
      <c r="F167" s="541">
        <f t="shared" si="5"/>
        <v>1</v>
      </c>
      <c r="G167" s="642"/>
      <c r="H167" s="642"/>
      <c r="I167" s="642"/>
      <c r="J167" s="642"/>
      <c r="K167" s="642"/>
      <c r="L167" s="642"/>
      <c r="M167" s="642"/>
      <c r="N167" s="642"/>
      <c r="O167" s="642"/>
      <c r="P167" s="642"/>
      <c r="Q167" s="642"/>
      <c r="R167" s="642"/>
      <c r="S167" s="642"/>
      <c r="T167" s="642"/>
      <c r="U167" s="642"/>
      <c r="V167" s="642"/>
      <c r="W167" s="642"/>
      <c r="X167" s="642"/>
      <c r="Y167" s="642"/>
      <c r="Z167" s="642"/>
      <c r="AA167" s="642"/>
      <c r="AB167" s="642"/>
      <c r="AC167" s="642"/>
      <c r="AD167" s="642"/>
      <c r="AE167" s="642"/>
      <c r="AF167" s="642"/>
      <c r="AG167" s="642"/>
      <c r="AH167" s="642"/>
      <c r="AI167" s="642"/>
      <c r="AJ167" s="642"/>
      <c r="AK167" s="642"/>
      <c r="AL167" s="642"/>
      <c r="AM167" s="642"/>
      <c r="AN167" s="642"/>
      <c r="AO167" s="643"/>
    </row>
    <row r="168" spans="1:42" s="644" customFormat="1" ht="24" customHeight="1" thickBot="1" x14ac:dyDescent="0.3">
      <c r="A168" s="896" t="s">
        <v>694</v>
      </c>
      <c r="B168" s="897"/>
      <c r="C168" s="752"/>
      <c r="D168" s="751">
        <v>200</v>
      </c>
      <c r="E168" s="752">
        <v>200</v>
      </c>
      <c r="F168" s="541">
        <f t="shared" si="5"/>
        <v>1</v>
      </c>
      <c r="G168" s="642"/>
      <c r="H168" s="642"/>
      <c r="I168" s="642"/>
      <c r="J168" s="642"/>
      <c r="K168" s="642"/>
      <c r="L168" s="642"/>
      <c r="M168" s="642"/>
      <c r="N168" s="642"/>
      <c r="O168" s="642"/>
      <c r="P168" s="642"/>
      <c r="Q168" s="642"/>
      <c r="R168" s="642"/>
      <c r="S168" s="642"/>
      <c r="T168" s="642"/>
      <c r="U168" s="642"/>
      <c r="V168" s="642"/>
      <c r="W168" s="642"/>
      <c r="X168" s="642"/>
      <c r="Y168" s="642"/>
      <c r="Z168" s="642"/>
      <c r="AA168" s="642"/>
      <c r="AB168" s="642"/>
      <c r="AC168" s="642"/>
      <c r="AD168" s="642"/>
      <c r="AE168" s="642"/>
      <c r="AF168" s="642"/>
      <c r="AG168" s="642"/>
      <c r="AH168" s="642"/>
      <c r="AI168" s="642"/>
      <c r="AJ168" s="642"/>
      <c r="AK168" s="642"/>
      <c r="AL168" s="642"/>
      <c r="AM168" s="642"/>
      <c r="AN168" s="642"/>
      <c r="AO168" s="643"/>
    </row>
    <row r="169" spans="1:42" s="750" customFormat="1" ht="23.25" customHeight="1" x14ac:dyDescent="0.25">
      <c r="A169" s="733" t="s">
        <v>758</v>
      </c>
      <c r="B169" s="673"/>
      <c r="C169" s="671">
        <v>5000</v>
      </c>
      <c r="D169" s="671">
        <f>C169+10000</f>
        <v>15000</v>
      </c>
      <c r="E169" s="671">
        <v>15000</v>
      </c>
      <c r="F169" s="541">
        <f t="shared" si="5"/>
        <v>1</v>
      </c>
      <c r="G169" s="748"/>
      <c r="H169" s="748"/>
      <c r="I169" s="748"/>
      <c r="J169" s="748"/>
      <c r="K169" s="748"/>
      <c r="L169" s="748"/>
      <c r="M169" s="748"/>
      <c r="N169" s="748"/>
      <c r="O169" s="748"/>
      <c r="P169" s="748"/>
      <c r="Q169" s="748"/>
      <c r="R169" s="748"/>
      <c r="S169" s="748"/>
      <c r="T169" s="748"/>
      <c r="U169" s="748"/>
      <c r="V169" s="748"/>
      <c r="W169" s="748"/>
      <c r="X169" s="748"/>
      <c r="Y169" s="748"/>
      <c r="Z169" s="748"/>
      <c r="AA169" s="748"/>
      <c r="AB169" s="748"/>
      <c r="AC169" s="748"/>
      <c r="AD169" s="748"/>
      <c r="AE169" s="748"/>
      <c r="AF169" s="748"/>
      <c r="AG169" s="748"/>
      <c r="AH169" s="748"/>
      <c r="AI169" s="748"/>
      <c r="AJ169" s="748"/>
      <c r="AK169" s="748"/>
      <c r="AL169" s="748"/>
      <c r="AM169" s="748"/>
      <c r="AN169" s="748"/>
      <c r="AO169" s="748"/>
      <c r="AP169" s="749"/>
    </row>
    <row r="170" spans="1:42" s="756" customFormat="1" ht="31.5" customHeight="1" thickBot="1" x14ac:dyDescent="0.3">
      <c r="A170" s="753" t="s">
        <v>698</v>
      </c>
      <c r="B170" s="754"/>
      <c r="C170" s="752"/>
      <c r="D170" s="752">
        <v>1580</v>
      </c>
      <c r="E170" s="752">
        <v>1580</v>
      </c>
      <c r="F170" s="541">
        <f t="shared" si="5"/>
        <v>1</v>
      </c>
      <c r="G170" s="664"/>
      <c r="H170" s="664"/>
      <c r="I170" s="664"/>
      <c r="J170" s="664"/>
      <c r="K170" s="664"/>
      <c r="L170" s="664"/>
      <c r="M170" s="664"/>
      <c r="N170" s="664"/>
      <c r="O170" s="664"/>
      <c r="P170" s="664"/>
      <c r="Q170" s="664"/>
      <c r="R170" s="664"/>
      <c r="S170" s="664"/>
      <c r="T170" s="664"/>
      <c r="U170" s="664"/>
      <c r="V170" s="664"/>
      <c r="W170" s="664"/>
      <c r="X170" s="664"/>
      <c r="Y170" s="664"/>
      <c r="Z170" s="664"/>
      <c r="AA170" s="664"/>
      <c r="AB170" s="664"/>
      <c r="AC170" s="664"/>
      <c r="AD170" s="664"/>
      <c r="AE170" s="664"/>
      <c r="AF170" s="664"/>
      <c r="AG170" s="664"/>
      <c r="AH170" s="664"/>
      <c r="AI170" s="664"/>
      <c r="AJ170" s="664"/>
      <c r="AK170" s="664"/>
      <c r="AL170" s="664"/>
      <c r="AM170" s="664"/>
      <c r="AN170" s="664"/>
      <c r="AO170" s="664"/>
      <c r="AP170" s="755"/>
    </row>
    <row r="171" spans="1:42" s="704" customFormat="1" ht="33.75" customHeight="1" thickBot="1" x14ac:dyDescent="0.3">
      <c r="A171" s="733" t="s">
        <v>687</v>
      </c>
      <c r="B171" s="697"/>
      <c r="C171" s="701"/>
      <c r="D171" s="671">
        <v>2000</v>
      </c>
      <c r="E171" s="701"/>
      <c r="F171" s="541">
        <f t="shared" si="5"/>
        <v>0</v>
      </c>
      <c r="G171" s="702"/>
      <c r="H171" s="702"/>
      <c r="I171" s="702"/>
      <c r="J171" s="702"/>
      <c r="K171" s="702"/>
      <c r="L171" s="702"/>
      <c r="M171" s="702"/>
      <c r="N171" s="702"/>
      <c r="O171" s="702"/>
      <c r="P171" s="702"/>
      <c r="Q171" s="702"/>
      <c r="R171" s="702"/>
      <c r="S171" s="702"/>
      <c r="T171" s="702"/>
      <c r="U171" s="702"/>
      <c r="V171" s="702"/>
      <c r="W171" s="702"/>
      <c r="X171" s="702"/>
      <c r="Y171" s="702"/>
      <c r="Z171" s="702"/>
      <c r="AA171" s="702"/>
      <c r="AB171" s="702"/>
      <c r="AC171" s="702"/>
      <c r="AD171" s="702"/>
      <c r="AE171" s="702"/>
      <c r="AF171" s="702"/>
      <c r="AG171" s="702"/>
      <c r="AH171" s="702"/>
      <c r="AI171" s="702"/>
      <c r="AJ171" s="702"/>
      <c r="AK171" s="702"/>
      <c r="AL171" s="702"/>
      <c r="AM171" s="702"/>
      <c r="AN171" s="702"/>
      <c r="AO171" s="702"/>
      <c r="AP171" s="703"/>
    </row>
    <row r="172" spans="1:42" s="644" customFormat="1" ht="34.5" customHeight="1" thickBot="1" x14ac:dyDescent="0.3">
      <c r="A172" s="733" t="s">
        <v>683</v>
      </c>
      <c r="B172" s="673"/>
      <c r="C172" s="671"/>
      <c r="D172" s="671">
        <f>100</f>
        <v>100</v>
      </c>
      <c r="E172" s="671">
        <v>100</v>
      </c>
      <c r="F172" s="541">
        <f t="shared" si="5"/>
        <v>1</v>
      </c>
      <c r="G172" s="642"/>
      <c r="H172" s="642"/>
      <c r="I172" s="642"/>
      <c r="J172" s="642"/>
      <c r="K172" s="642"/>
      <c r="L172" s="642"/>
      <c r="M172" s="642"/>
      <c r="N172" s="642"/>
      <c r="O172" s="642"/>
      <c r="P172" s="642"/>
      <c r="Q172" s="642"/>
      <c r="R172" s="642"/>
      <c r="S172" s="642"/>
      <c r="T172" s="642"/>
      <c r="U172" s="642"/>
      <c r="V172" s="642"/>
      <c r="W172" s="642"/>
      <c r="X172" s="642"/>
      <c r="Y172" s="642"/>
      <c r="Z172" s="642"/>
      <c r="AA172" s="642"/>
      <c r="AB172" s="642"/>
      <c r="AC172" s="642"/>
      <c r="AD172" s="642"/>
      <c r="AE172" s="642"/>
      <c r="AF172" s="642"/>
      <c r="AG172" s="642"/>
      <c r="AH172" s="642"/>
      <c r="AI172" s="642"/>
      <c r="AJ172" s="642"/>
      <c r="AK172" s="642"/>
      <c r="AL172" s="642"/>
      <c r="AM172" s="642"/>
      <c r="AN172" s="642"/>
      <c r="AO172" s="642"/>
      <c r="AP172" s="643"/>
    </row>
    <row r="173" spans="1:42" s="666" customFormat="1" ht="23.25" customHeight="1" thickBot="1" x14ac:dyDescent="0.3">
      <c r="A173" s="733" t="s">
        <v>701</v>
      </c>
      <c r="B173" s="673"/>
      <c r="C173" s="671">
        <v>1296</v>
      </c>
      <c r="D173" s="671">
        <f>1296-1296</f>
        <v>0</v>
      </c>
      <c r="E173" s="671">
        <v>0</v>
      </c>
      <c r="F173" s="541">
        <v>0</v>
      </c>
      <c r="G173" s="664"/>
      <c r="H173" s="664"/>
      <c r="I173" s="664"/>
      <c r="J173" s="664"/>
      <c r="K173" s="664"/>
      <c r="L173" s="664"/>
      <c r="M173" s="664"/>
      <c r="N173" s="664"/>
      <c r="O173" s="664"/>
      <c r="P173" s="664"/>
      <c r="Q173" s="664"/>
      <c r="R173" s="664"/>
      <c r="S173" s="664"/>
      <c r="T173" s="664"/>
      <c r="U173" s="664"/>
      <c r="V173" s="664"/>
      <c r="W173" s="664"/>
      <c r="X173" s="664"/>
      <c r="Y173" s="664"/>
      <c r="Z173" s="664"/>
      <c r="AA173" s="664"/>
      <c r="AB173" s="664"/>
      <c r="AC173" s="664"/>
      <c r="AD173" s="664"/>
      <c r="AE173" s="664"/>
      <c r="AF173" s="664"/>
      <c r="AG173" s="664"/>
      <c r="AH173" s="664"/>
      <c r="AI173" s="664"/>
      <c r="AJ173" s="664"/>
      <c r="AK173" s="664"/>
      <c r="AL173" s="664"/>
      <c r="AM173" s="664"/>
      <c r="AN173" s="664"/>
      <c r="AO173" s="664"/>
      <c r="AP173" s="665"/>
    </row>
    <row r="174" spans="1:42" s="644" customFormat="1" ht="27.75" customHeight="1" thickBot="1" x14ac:dyDescent="0.3">
      <c r="A174" s="733" t="s">
        <v>676</v>
      </c>
      <c r="B174" s="673"/>
      <c r="C174" s="671"/>
      <c r="D174" s="671">
        <f>SUM(B175:B175)</f>
        <v>2720</v>
      </c>
      <c r="E174" s="671">
        <v>2720</v>
      </c>
      <c r="F174" s="541">
        <f t="shared" si="5"/>
        <v>1</v>
      </c>
      <c r="G174" s="642"/>
      <c r="H174" s="642"/>
      <c r="I174" s="642"/>
      <c r="J174" s="642"/>
      <c r="K174" s="642"/>
      <c r="L174" s="642"/>
      <c r="M174" s="642"/>
      <c r="N174" s="642"/>
      <c r="O174" s="642"/>
      <c r="P174" s="642"/>
      <c r="Q174" s="642"/>
      <c r="R174" s="642"/>
      <c r="S174" s="642"/>
      <c r="T174" s="642"/>
      <c r="U174" s="642"/>
      <c r="V174" s="642"/>
      <c r="W174" s="642"/>
      <c r="X174" s="642"/>
      <c r="Y174" s="642"/>
      <c r="Z174" s="642"/>
      <c r="AA174" s="642"/>
      <c r="AB174" s="642"/>
      <c r="AC174" s="642"/>
      <c r="AD174" s="642"/>
      <c r="AE174" s="642"/>
      <c r="AF174" s="642"/>
      <c r="AG174" s="642"/>
      <c r="AH174" s="642"/>
      <c r="AI174" s="642"/>
      <c r="AJ174" s="642"/>
      <c r="AK174" s="642"/>
      <c r="AL174" s="642"/>
      <c r="AM174" s="642"/>
      <c r="AN174" s="642"/>
      <c r="AO174" s="642"/>
      <c r="AP174" s="643"/>
    </row>
    <row r="175" spans="1:42" s="644" customFormat="1" ht="39.75" customHeight="1" thickBot="1" x14ac:dyDescent="0.3">
      <c r="A175" s="672" t="s">
        <v>679</v>
      </c>
      <c r="B175" s="670">
        <v>2720</v>
      </c>
      <c r="C175" s="671"/>
      <c r="D175" s="671"/>
      <c r="E175" s="671"/>
      <c r="F175" s="541"/>
      <c r="G175" s="642"/>
      <c r="H175" s="642"/>
      <c r="I175" s="642"/>
      <c r="J175" s="642"/>
      <c r="K175" s="642"/>
      <c r="L175" s="642"/>
      <c r="M175" s="642"/>
      <c r="N175" s="642"/>
      <c r="O175" s="642"/>
      <c r="P175" s="642"/>
      <c r="Q175" s="642"/>
      <c r="R175" s="642"/>
      <c r="S175" s="642"/>
      <c r="T175" s="642"/>
      <c r="U175" s="642"/>
      <c r="V175" s="642"/>
      <c r="W175" s="642"/>
      <c r="X175" s="642"/>
      <c r="Y175" s="642"/>
      <c r="Z175" s="642"/>
      <c r="AA175" s="642"/>
      <c r="AB175" s="642"/>
      <c r="AC175" s="642"/>
      <c r="AD175" s="642"/>
      <c r="AE175" s="642"/>
      <c r="AF175" s="642"/>
      <c r="AG175" s="642"/>
      <c r="AH175" s="642"/>
      <c r="AI175" s="642"/>
      <c r="AJ175" s="642"/>
      <c r="AK175" s="642"/>
      <c r="AL175" s="642"/>
      <c r="AM175" s="642"/>
      <c r="AN175" s="642"/>
      <c r="AO175" s="642"/>
      <c r="AP175" s="643"/>
    </row>
    <row r="176" spans="1:42" s="521" customFormat="1" ht="23.25" customHeight="1" thickBot="1" x14ac:dyDescent="0.3">
      <c r="A176" s="519" t="s">
        <v>727</v>
      </c>
      <c r="B176" s="495"/>
      <c r="C176" s="493"/>
      <c r="D176" s="493">
        <f>300+783</f>
        <v>1083</v>
      </c>
      <c r="E176" s="493">
        <v>888</v>
      </c>
      <c r="F176" s="541">
        <f>E176/D176</f>
        <v>0.81994459833795019</v>
      </c>
      <c r="G176" s="514"/>
      <c r="H176" s="514"/>
      <c r="I176" s="514"/>
      <c r="J176" s="514"/>
      <c r="K176" s="514"/>
      <c r="L176" s="514"/>
      <c r="M176" s="514"/>
      <c r="N176" s="514"/>
      <c r="O176" s="514"/>
      <c r="P176" s="514"/>
      <c r="Q176" s="514"/>
      <c r="R176" s="514"/>
      <c r="S176" s="514"/>
      <c r="T176" s="514"/>
      <c r="U176" s="514"/>
      <c r="V176" s="514"/>
      <c r="W176" s="514"/>
      <c r="X176" s="514"/>
      <c r="Y176" s="514"/>
      <c r="Z176" s="514"/>
      <c r="AA176" s="514"/>
      <c r="AB176" s="514"/>
      <c r="AC176" s="514"/>
      <c r="AD176" s="514"/>
      <c r="AE176" s="514"/>
      <c r="AF176" s="514"/>
      <c r="AG176" s="514"/>
      <c r="AH176" s="514"/>
      <c r="AI176" s="514"/>
      <c r="AJ176" s="514"/>
      <c r="AK176" s="514"/>
      <c r="AL176" s="514"/>
      <c r="AM176" s="514"/>
      <c r="AN176" s="514"/>
      <c r="AO176" s="514"/>
      <c r="AP176" s="520"/>
    </row>
    <row r="177" spans="1:42" s="668" customFormat="1" ht="38.25" customHeight="1" thickBot="1" x14ac:dyDescent="0.3">
      <c r="A177" s="669" t="s">
        <v>731</v>
      </c>
      <c r="B177" s="707"/>
      <c r="C177" s="671">
        <v>50000</v>
      </c>
      <c r="D177" s="671">
        <f>C177+47728-56408-41320</f>
        <v>0</v>
      </c>
      <c r="E177" s="671">
        <v>0</v>
      </c>
      <c r="F177" s="541">
        <f>SUM(D179:D180)</f>
        <v>0</v>
      </c>
      <c r="G177" s="648"/>
      <c r="H177" s="648"/>
      <c r="I177" s="648"/>
      <c r="J177" s="648"/>
      <c r="K177" s="648"/>
      <c r="L177" s="648"/>
      <c r="M177" s="648"/>
      <c r="N177" s="648"/>
      <c r="O177" s="648"/>
      <c r="P177" s="648"/>
      <c r="Q177" s="648"/>
      <c r="R177" s="648"/>
      <c r="S177" s="648"/>
      <c r="T177" s="648"/>
      <c r="U177" s="648"/>
      <c r="V177" s="648"/>
      <c r="W177" s="648"/>
      <c r="X177" s="648"/>
      <c r="Y177" s="648"/>
      <c r="Z177" s="648"/>
      <c r="AA177" s="648"/>
      <c r="AB177" s="648"/>
      <c r="AC177" s="648"/>
      <c r="AD177" s="648"/>
      <c r="AE177" s="648"/>
      <c r="AF177" s="648"/>
      <c r="AG177" s="648"/>
      <c r="AH177" s="648"/>
      <c r="AI177" s="648"/>
      <c r="AJ177" s="648"/>
      <c r="AK177" s="648"/>
      <c r="AL177" s="648"/>
      <c r="AM177" s="648"/>
      <c r="AN177" s="648"/>
      <c r="AO177" s="648"/>
      <c r="AP177" s="667"/>
    </row>
    <row r="178" spans="1:42" s="668" customFormat="1" ht="38.25" customHeight="1" thickBot="1" x14ac:dyDescent="0.3">
      <c r="A178" s="669" t="s">
        <v>732</v>
      </c>
      <c r="B178" s="707"/>
      <c r="C178" s="671">
        <v>175727</v>
      </c>
      <c r="D178" s="671">
        <f>SUM(B180:B181)</f>
        <v>161572</v>
      </c>
      <c r="E178" s="671">
        <v>0</v>
      </c>
      <c r="F178" s="541">
        <f>SUM(D180:D181)</f>
        <v>0</v>
      </c>
      <c r="G178" s="648"/>
      <c r="H178" s="648"/>
      <c r="I178" s="648"/>
      <c r="J178" s="648"/>
      <c r="K178" s="648"/>
      <c r="L178" s="648"/>
      <c r="M178" s="648"/>
      <c r="N178" s="648"/>
      <c r="O178" s="648"/>
      <c r="P178" s="648"/>
      <c r="Q178" s="648"/>
      <c r="R178" s="648"/>
      <c r="S178" s="648"/>
      <c r="T178" s="648"/>
      <c r="U178" s="648"/>
      <c r="V178" s="648"/>
      <c r="W178" s="648"/>
      <c r="X178" s="648"/>
      <c r="Y178" s="648"/>
      <c r="Z178" s="648"/>
      <c r="AA178" s="648"/>
      <c r="AB178" s="648"/>
      <c r="AC178" s="648"/>
      <c r="AD178" s="648"/>
      <c r="AE178" s="648"/>
      <c r="AF178" s="648"/>
      <c r="AG178" s="648"/>
      <c r="AH178" s="648"/>
      <c r="AI178" s="648"/>
      <c r="AJ178" s="648"/>
      <c r="AK178" s="648"/>
      <c r="AL178" s="648"/>
      <c r="AM178" s="648"/>
      <c r="AN178" s="648"/>
      <c r="AO178" s="648"/>
      <c r="AP178" s="667"/>
    </row>
    <row r="179" spans="1:42" s="650" customFormat="1" ht="41.25" customHeight="1" thickBot="1" x14ac:dyDescent="0.3">
      <c r="A179" s="669" t="s">
        <v>733</v>
      </c>
      <c r="B179" s="673"/>
      <c r="C179" s="671"/>
      <c r="D179" s="671"/>
      <c r="E179" s="671"/>
      <c r="F179" s="541"/>
      <c r="G179" s="648"/>
      <c r="H179" s="648"/>
      <c r="I179" s="648"/>
      <c r="J179" s="648"/>
      <c r="K179" s="648"/>
      <c r="L179" s="648"/>
      <c r="M179" s="648"/>
      <c r="N179" s="648"/>
      <c r="O179" s="648"/>
      <c r="P179" s="648"/>
      <c r="Q179" s="648"/>
      <c r="R179" s="648"/>
      <c r="S179" s="648"/>
      <c r="T179" s="648"/>
      <c r="U179" s="648"/>
      <c r="V179" s="648"/>
      <c r="W179" s="648"/>
      <c r="X179" s="648"/>
      <c r="Y179" s="648"/>
      <c r="Z179" s="648"/>
      <c r="AA179" s="648"/>
      <c r="AB179" s="648"/>
      <c r="AC179" s="648"/>
      <c r="AD179" s="648"/>
      <c r="AE179" s="648"/>
      <c r="AF179" s="648"/>
      <c r="AG179" s="648"/>
      <c r="AH179" s="648"/>
      <c r="AI179" s="648"/>
      <c r="AJ179" s="648"/>
      <c r="AK179" s="648"/>
      <c r="AL179" s="648"/>
      <c r="AM179" s="648"/>
      <c r="AN179" s="648"/>
      <c r="AO179" s="648"/>
      <c r="AP179" s="649"/>
    </row>
    <row r="180" spans="1:42" s="644" customFormat="1" ht="43.5" customHeight="1" thickBot="1" x14ac:dyDescent="0.3">
      <c r="A180" s="672" t="s">
        <v>734</v>
      </c>
      <c r="B180" s="670">
        <v>12166</v>
      </c>
      <c r="C180" s="671"/>
      <c r="D180" s="671"/>
      <c r="E180" s="671"/>
      <c r="F180" s="541"/>
      <c r="G180" s="642"/>
      <c r="H180" s="642"/>
      <c r="I180" s="642"/>
      <c r="J180" s="642"/>
      <c r="K180" s="642"/>
      <c r="L180" s="642"/>
      <c r="M180" s="642"/>
      <c r="N180" s="642"/>
      <c r="O180" s="642"/>
      <c r="P180" s="642"/>
      <c r="Q180" s="642"/>
      <c r="R180" s="642"/>
      <c r="S180" s="642"/>
      <c r="T180" s="642"/>
      <c r="U180" s="642"/>
      <c r="V180" s="642"/>
      <c r="W180" s="642"/>
      <c r="X180" s="642"/>
      <c r="Y180" s="642"/>
      <c r="Z180" s="642"/>
      <c r="AA180" s="642"/>
      <c r="AB180" s="642"/>
      <c r="AC180" s="642"/>
      <c r="AD180" s="642"/>
      <c r="AE180" s="642"/>
      <c r="AF180" s="642"/>
      <c r="AG180" s="642"/>
      <c r="AH180" s="642"/>
      <c r="AI180" s="642"/>
      <c r="AJ180" s="642"/>
      <c r="AK180" s="642"/>
      <c r="AL180" s="642"/>
      <c r="AM180" s="642"/>
      <c r="AN180" s="642"/>
      <c r="AO180" s="642"/>
      <c r="AP180" s="643"/>
    </row>
    <row r="181" spans="1:42" s="644" customFormat="1" ht="32.25" thickBot="1" x14ac:dyDescent="0.3">
      <c r="A181" s="669" t="s">
        <v>735</v>
      </c>
      <c r="B181" s="670">
        <f>SUM(B183:B184)</f>
        <v>149406</v>
      </c>
      <c r="C181" s="671"/>
      <c r="D181" s="671"/>
      <c r="E181" s="671"/>
      <c r="F181" s="541"/>
      <c r="G181" s="642"/>
      <c r="H181" s="642"/>
      <c r="I181" s="642"/>
      <c r="J181" s="642"/>
      <c r="K181" s="642"/>
      <c r="L181" s="642"/>
      <c r="M181" s="642"/>
      <c r="N181" s="642"/>
      <c r="O181" s="642"/>
      <c r="P181" s="642"/>
      <c r="Q181" s="642"/>
      <c r="R181" s="642"/>
      <c r="S181" s="642"/>
      <c r="T181" s="642"/>
      <c r="U181" s="642"/>
      <c r="V181" s="642"/>
      <c r="W181" s="642"/>
      <c r="X181" s="642"/>
      <c r="Y181" s="642"/>
      <c r="Z181" s="642"/>
      <c r="AA181" s="642"/>
      <c r="AB181" s="642"/>
      <c r="AC181" s="642"/>
      <c r="AD181" s="642"/>
      <c r="AE181" s="642"/>
      <c r="AF181" s="642"/>
      <c r="AG181" s="642"/>
      <c r="AH181" s="642"/>
      <c r="AI181" s="642"/>
      <c r="AJ181" s="642"/>
      <c r="AK181" s="642"/>
      <c r="AL181" s="642"/>
      <c r="AM181" s="642"/>
      <c r="AN181" s="642"/>
      <c r="AO181" s="642"/>
      <c r="AP181" s="643"/>
    </row>
    <row r="182" spans="1:42" s="644" customFormat="1" ht="22.5" customHeight="1" thickBot="1" x14ac:dyDescent="0.3">
      <c r="A182" s="672" t="s">
        <v>548</v>
      </c>
      <c r="B182" s="670"/>
      <c r="C182" s="671"/>
      <c r="D182" s="671"/>
      <c r="E182" s="671"/>
      <c r="F182" s="541"/>
      <c r="G182" s="642"/>
      <c r="H182" s="642"/>
      <c r="I182" s="642"/>
      <c r="J182" s="642"/>
      <c r="K182" s="642"/>
      <c r="L182" s="642"/>
      <c r="M182" s="642"/>
      <c r="N182" s="642"/>
      <c r="O182" s="642"/>
      <c r="P182" s="642"/>
      <c r="Q182" s="642"/>
      <c r="R182" s="642"/>
      <c r="S182" s="642"/>
      <c r="T182" s="642"/>
      <c r="U182" s="642"/>
      <c r="V182" s="642"/>
      <c r="W182" s="642"/>
      <c r="X182" s="642"/>
      <c r="Y182" s="642"/>
      <c r="Z182" s="642"/>
      <c r="AA182" s="642"/>
      <c r="AB182" s="642"/>
      <c r="AC182" s="642"/>
      <c r="AD182" s="642"/>
      <c r="AE182" s="642"/>
      <c r="AF182" s="642"/>
      <c r="AG182" s="642"/>
      <c r="AH182" s="642"/>
      <c r="AI182" s="642"/>
      <c r="AJ182" s="642"/>
      <c r="AK182" s="642"/>
      <c r="AL182" s="642"/>
      <c r="AM182" s="642"/>
      <c r="AN182" s="642"/>
      <c r="AO182" s="642"/>
      <c r="AP182" s="643"/>
    </row>
    <row r="183" spans="1:42" s="644" customFormat="1" ht="22.5" customHeight="1" thickBot="1" x14ac:dyDescent="0.3">
      <c r="A183" s="672" t="s">
        <v>736</v>
      </c>
      <c r="B183" s="670">
        <v>49950</v>
      </c>
      <c r="C183" s="671"/>
      <c r="D183" s="671"/>
      <c r="E183" s="671"/>
      <c r="F183" s="541"/>
      <c r="G183" s="642"/>
      <c r="H183" s="642"/>
      <c r="I183" s="642"/>
      <c r="J183" s="642"/>
      <c r="K183" s="642"/>
      <c r="L183" s="642"/>
      <c r="M183" s="642"/>
      <c r="N183" s="642"/>
      <c r="O183" s="642"/>
      <c r="P183" s="642"/>
      <c r="Q183" s="642"/>
      <c r="R183" s="642"/>
      <c r="S183" s="642"/>
      <c r="T183" s="642"/>
      <c r="U183" s="642"/>
      <c r="V183" s="642"/>
      <c r="W183" s="642"/>
      <c r="X183" s="642"/>
      <c r="Y183" s="642"/>
      <c r="Z183" s="642"/>
      <c r="AA183" s="642"/>
      <c r="AB183" s="642"/>
      <c r="AC183" s="642"/>
      <c r="AD183" s="642"/>
      <c r="AE183" s="642"/>
      <c r="AF183" s="642"/>
      <c r="AG183" s="642"/>
      <c r="AH183" s="642"/>
      <c r="AI183" s="642"/>
      <c r="AJ183" s="642"/>
      <c r="AK183" s="642"/>
      <c r="AL183" s="642"/>
      <c r="AM183" s="642"/>
      <c r="AN183" s="642"/>
      <c r="AO183" s="642"/>
      <c r="AP183" s="643"/>
    </row>
    <row r="184" spans="1:42" s="644" customFormat="1" ht="37.5" customHeight="1" thickBot="1" x14ac:dyDescent="0.3">
      <c r="A184" s="672" t="s">
        <v>737</v>
      </c>
      <c r="B184" s="670">
        <f>113611+414-10832-3737</f>
        <v>99456</v>
      </c>
      <c r="C184" s="671"/>
      <c r="D184" s="671"/>
      <c r="E184" s="671"/>
      <c r="F184" s="541"/>
      <c r="G184" s="642"/>
      <c r="H184" s="642"/>
      <c r="I184" s="642"/>
      <c r="J184" s="642"/>
      <c r="K184" s="642"/>
      <c r="L184" s="642"/>
      <c r="M184" s="642"/>
      <c r="N184" s="642"/>
      <c r="O184" s="642"/>
      <c r="P184" s="642"/>
      <c r="Q184" s="642"/>
      <c r="R184" s="642"/>
      <c r="S184" s="642"/>
      <c r="T184" s="642"/>
      <c r="U184" s="642"/>
      <c r="V184" s="642"/>
      <c r="W184" s="642"/>
      <c r="X184" s="642"/>
      <c r="Y184" s="642"/>
      <c r="Z184" s="642"/>
      <c r="AA184" s="642"/>
      <c r="AB184" s="642"/>
      <c r="AC184" s="642"/>
      <c r="AD184" s="642"/>
      <c r="AE184" s="642"/>
      <c r="AF184" s="642"/>
      <c r="AG184" s="642"/>
      <c r="AH184" s="642"/>
      <c r="AI184" s="642"/>
      <c r="AJ184" s="642"/>
      <c r="AK184" s="642"/>
      <c r="AL184" s="642"/>
      <c r="AM184" s="642"/>
      <c r="AN184" s="642"/>
      <c r="AO184" s="642"/>
      <c r="AP184" s="643"/>
    </row>
    <row r="185" spans="1:42" s="455" customFormat="1" ht="31.5" customHeight="1" thickBot="1" x14ac:dyDescent="0.35">
      <c r="A185" s="503" t="s">
        <v>759</v>
      </c>
      <c r="B185" s="522"/>
      <c r="C185" s="491">
        <f>SUM(C144:C184)</f>
        <v>1009338</v>
      </c>
      <c r="D185" s="491">
        <f>SUM(D144:D184)</f>
        <v>1093735</v>
      </c>
      <c r="E185" s="491">
        <f>SUM(E144:E184)</f>
        <v>926881</v>
      </c>
      <c r="F185" s="545">
        <f>E185/D185</f>
        <v>0.84744567925502978</v>
      </c>
      <c r="G185" s="453"/>
      <c r="H185" s="453"/>
      <c r="I185" s="453"/>
      <c r="J185" s="453"/>
      <c r="K185" s="453"/>
      <c r="L185" s="453"/>
      <c r="M185" s="453"/>
      <c r="N185" s="453"/>
      <c r="O185" s="453"/>
      <c r="P185" s="453"/>
      <c r="Q185" s="453"/>
      <c r="R185" s="453"/>
      <c r="S185" s="453"/>
      <c r="T185" s="453"/>
      <c r="U185" s="453"/>
      <c r="V185" s="453"/>
      <c r="W185" s="453"/>
      <c r="X185" s="453"/>
      <c r="Y185" s="453"/>
      <c r="Z185" s="453"/>
      <c r="AA185" s="453"/>
      <c r="AB185" s="453"/>
      <c r="AC185" s="453"/>
      <c r="AD185" s="453"/>
      <c r="AE185" s="453"/>
      <c r="AF185" s="453"/>
      <c r="AG185" s="453"/>
      <c r="AH185" s="453"/>
      <c r="AI185" s="453"/>
      <c r="AJ185" s="453"/>
      <c r="AK185" s="453"/>
      <c r="AL185" s="453"/>
      <c r="AM185" s="453"/>
      <c r="AN185" s="453"/>
      <c r="AO185" s="453"/>
      <c r="AP185" s="454"/>
    </row>
    <row r="186" spans="1:42" s="455" customFormat="1" ht="31.5" customHeight="1" thickBot="1" x14ac:dyDescent="0.35">
      <c r="A186" s="506"/>
      <c r="B186" s="507"/>
      <c r="C186" s="508"/>
      <c r="D186" s="509"/>
      <c r="E186" s="508"/>
      <c r="F186" s="544"/>
      <c r="G186" s="453"/>
      <c r="H186" s="453"/>
      <c r="I186" s="453"/>
      <c r="J186" s="453"/>
      <c r="K186" s="453"/>
      <c r="L186" s="453"/>
      <c r="M186" s="453"/>
      <c r="N186" s="453"/>
      <c r="O186" s="453"/>
      <c r="P186" s="453"/>
      <c r="Q186" s="453"/>
      <c r="R186" s="453"/>
      <c r="S186" s="453"/>
      <c r="T186" s="453"/>
      <c r="U186" s="453"/>
      <c r="V186" s="453"/>
      <c r="W186" s="453"/>
      <c r="X186" s="453"/>
      <c r="Y186" s="453"/>
      <c r="Z186" s="453"/>
      <c r="AA186" s="453"/>
      <c r="AB186" s="453"/>
      <c r="AC186" s="453"/>
      <c r="AD186" s="453"/>
      <c r="AE186" s="453"/>
      <c r="AF186" s="453"/>
      <c r="AG186" s="453"/>
      <c r="AH186" s="453"/>
      <c r="AI186" s="453"/>
      <c r="AJ186" s="453"/>
      <c r="AK186" s="453"/>
      <c r="AL186" s="453"/>
      <c r="AM186" s="453"/>
      <c r="AN186" s="453"/>
      <c r="AO186" s="453"/>
      <c r="AP186" s="454"/>
    </row>
    <row r="187" spans="1:42" s="442" customFormat="1" ht="33" customHeight="1" thickBot="1" x14ac:dyDescent="0.35">
      <c r="A187" s="488" t="s">
        <v>760</v>
      </c>
      <c r="B187" s="523"/>
      <c r="C187" s="505"/>
      <c r="D187" s="505"/>
      <c r="E187" s="505"/>
      <c r="F187" s="543"/>
      <c r="G187" s="440"/>
      <c r="H187" s="440"/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0"/>
      <c r="AC187" s="440"/>
      <c r="AD187" s="440"/>
      <c r="AE187" s="440"/>
      <c r="AF187" s="440"/>
      <c r="AG187" s="440"/>
      <c r="AH187" s="440"/>
      <c r="AI187" s="440"/>
      <c r="AJ187" s="440"/>
      <c r="AK187" s="440"/>
      <c r="AL187" s="440"/>
      <c r="AM187" s="440"/>
      <c r="AN187" s="440"/>
      <c r="AO187" s="440"/>
      <c r="AP187" s="441"/>
    </row>
    <row r="188" spans="1:42" s="666" customFormat="1" ht="23.25" customHeight="1" thickBot="1" x14ac:dyDescent="0.3">
      <c r="A188" s="733" t="s">
        <v>595</v>
      </c>
      <c r="B188" s="670"/>
      <c r="C188" s="671">
        <v>250</v>
      </c>
      <c r="D188" s="671">
        <v>250</v>
      </c>
      <c r="E188" s="671">
        <v>0</v>
      </c>
      <c r="F188" s="541">
        <f>E188/D188</f>
        <v>0</v>
      </c>
      <c r="G188" s="664"/>
      <c r="H188" s="664"/>
      <c r="I188" s="664"/>
      <c r="J188" s="664"/>
      <c r="K188" s="664"/>
      <c r="L188" s="664"/>
      <c r="M188" s="664"/>
      <c r="N188" s="664"/>
      <c r="O188" s="664"/>
      <c r="P188" s="664"/>
      <c r="Q188" s="664"/>
      <c r="R188" s="664"/>
      <c r="S188" s="664"/>
      <c r="T188" s="664"/>
      <c r="U188" s="664"/>
      <c r="V188" s="664"/>
      <c r="W188" s="664"/>
      <c r="X188" s="664"/>
      <c r="Y188" s="664"/>
      <c r="Z188" s="664"/>
      <c r="AA188" s="664"/>
      <c r="AB188" s="664"/>
      <c r="AC188" s="664"/>
      <c r="AD188" s="664"/>
      <c r="AE188" s="664"/>
      <c r="AF188" s="664"/>
      <c r="AG188" s="664"/>
      <c r="AH188" s="664"/>
      <c r="AI188" s="664"/>
      <c r="AJ188" s="664"/>
      <c r="AK188" s="664"/>
      <c r="AL188" s="664"/>
      <c r="AM188" s="664"/>
      <c r="AN188" s="664"/>
      <c r="AO188" s="664"/>
      <c r="AP188" s="665"/>
    </row>
    <row r="189" spans="1:42" s="644" customFormat="1" ht="19.5" customHeight="1" thickBot="1" x14ac:dyDescent="0.3">
      <c r="A189" s="733" t="s">
        <v>586</v>
      </c>
      <c r="B189" s="670"/>
      <c r="C189" s="671"/>
      <c r="D189" s="671">
        <v>2570</v>
      </c>
      <c r="E189" s="671">
        <v>2490</v>
      </c>
      <c r="F189" s="541">
        <f t="shared" ref="F189:F196" si="6">E189/D189</f>
        <v>0.9688715953307393</v>
      </c>
      <c r="G189" s="642"/>
      <c r="H189" s="642"/>
      <c r="I189" s="642"/>
      <c r="J189" s="642"/>
      <c r="K189" s="642"/>
      <c r="L189" s="642"/>
      <c r="M189" s="642"/>
      <c r="N189" s="642"/>
      <c r="O189" s="642"/>
      <c r="P189" s="642"/>
      <c r="Q189" s="642"/>
      <c r="R189" s="642"/>
      <c r="S189" s="642"/>
      <c r="T189" s="642"/>
      <c r="U189" s="642"/>
      <c r="V189" s="642"/>
      <c r="W189" s="642"/>
      <c r="X189" s="642"/>
      <c r="Y189" s="642"/>
      <c r="Z189" s="642"/>
      <c r="AA189" s="642"/>
      <c r="AB189" s="642"/>
      <c r="AC189" s="642"/>
      <c r="AD189" s="642"/>
      <c r="AE189" s="642"/>
      <c r="AF189" s="642"/>
      <c r="AG189" s="642"/>
      <c r="AH189" s="642"/>
      <c r="AI189" s="642"/>
      <c r="AJ189" s="642"/>
      <c r="AK189" s="642"/>
      <c r="AL189" s="642"/>
      <c r="AM189" s="642"/>
      <c r="AN189" s="642"/>
      <c r="AO189" s="642"/>
      <c r="AP189" s="643"/>
    </row>
    <row r="190" spans="1:42" s="644" customFormat="1" ht="19.5" customHeight="1" thickBot="1" x14ac:dyDescent="0.3">
      <c r="A190" s="733" t="s">
        <v>585</v>
      </c>
      <c r="B190" s="670"/>
      <c r="C190" s="671"/>
      <c r="D190" s="671">
        <v>472</v>
      </c>
      <c r="E190" s="671"/>
      <c r="F190" s="541">
        <f t="shared" si="6"/>
        <v>0</v>
      </c>
      <c r="G190" s="642"/>
      <c r="H190" s="642"/>
      <c r="I190" s="642"/>
      <c r="J190" s="642"/>
      <c r="K190" s="642"/>
      <c r="L190" s="642"/>
      <c r="M190" s="642"/>
      <c r="N190" s="642"/>
      <c r="O190" s="642"/>
      <c r="P190" s="642"/>
      <c r="Q190" s="642"/>
      <c r="R190" s="642"/>
      <c r="S190" s="642"/>
      <c r="T190" s="642"/>
      <c r="U190" s="642"/>
      <c r="V190" s="642"/>
      <c r="W190" s="642"/>
      <c r="X190" s="642"/>
      <c r="Y190" s="642"/>
      <c r="Z190" s="642"/>
      <c r="AA190" s="642"/>
      <c r="AB190" s="642"/>
      <c r="AC190" s="642"/>
      <c r="AD190" s="642"/>
      <c r="AE190" s="642"/>
      <c r="AF190" s="642"/>
      <c r="AG190" s="642"/>
      <c r="AH190" s="642"/>
      <c r="AI190" s="642"/>
      <c r="AJ190" s="642"/>
      <c r="AK190" s="642"/>
      <c r="AL190" s="642"/>
      <c r="AM190" s="642"/>
      <c r="AN190" s="642"/>
      <c r="AO190" s="642"/>
      <c r="AP190" s="643"/>
    </row>
    <row r="191" spans="1:42" s="644" customFormat="1" ht="32.25" customHeight="1" thickBot="1" x14ac:dyDescent="0.3">
      <c r="A191" s="733" t="s">
        <v>724</v>
      </c>
      <c r="B191" s="670"/>
      <c r="C191" s="671"/>
      <c r="D191" s="671">
        <v>695</v>
      </c>
      <c r="E191" s="671">
        <v>695</v>
      </c>
      <c r="F191" s="541">
        <f t="shared" si="6"/>
        <v>1</v>
      </c>
      <c r="G191" s="642"/>
      <c r="H191" s="642"/>
      <c r="I191" s="642"/>
      <c r="J191" s="642"/>
      <c r="K191" s="642"/>
      <c r="L191" s="642"/>
      <c r="M191" s="642"/>
      <c r="N191" s="642"/>
      <c r="O191" s="642"/>
      <c r="P191" s="642"/>
      <c r="Q191" s="642"/>
      <c r="R191" s="642"/>
      <c r="S191" s="642"/>
      <c r="T191" s="642"/>
      <c r="U191" s="642"/>
      <c r="V191" s="642"/>
      <c r="W191" s="642"/>
      <c r="X191" s="642"/>
      <c r="Y191" s="642"/>
      <c r="Z191" s="642"/>
      <c r="AA191" s="642"/>
      <c r="AB191" s="642"/>
      <c r="AC191" s="642"/>
      <c r="AD191" s="642"/>
      <c r="AE191" s="642"/>
      <c r="AF191" s="642"/>
      <c r="AG191" s="642"/>
      <c r="AH191" s="642"/>
      <c r="AI191" s="642"/>
      <c r="AJ191" s="642"/>
      <c r="AK191" s="642"/>
      <c r="AL191" s="642"/>
      <c r="AM191" s="642"/>
      <c r="AN191" s="642"/>
      <c r="AO191" s="642"/>
      <c r="AP191" s="643"/>
    </row>
    <row r="192" spans="1:42" s="650" customFormat="1" ht="24.75" customHeight="1" thickBot="1" x14ac:dyDescent="0.3">
      <c r="A192" s="733" t="s">
        <v>725</v>
      </c>
      <c r="B192" s="696"/>
      <c r="C192" s="671"/>
      <c r="D192" s="708">
        <v>366</v>
      </c>
      <c r="E192" s="671">
        <v>366</v>
      </c>
      <c r="F192" s="541">
        <f t="shared" si="6"/>
        <v>1</v>
      </c>
      <c r="G192" s="648"/>
      <c r="H192" s="648"/>
      <c r="I192" s="648"/>
      <c r="J192" s="648"/>
      <c r="K192" s="648"/>
      <c r="L192" s="648"/>
      <c r="M192" s="648"/>
      <c r="N192" s="648"/>
      <c r="O192" s="648"/>
      <c r="P192" s="648"/>
      <c r="Q192" s="648"/>
      <c r="R192" s="648"/>
      <c r="S192" s="648"/>
      <c r="T192" s="648"/>
      <c r="U192" s="648"/>
      <c r="V192" s="648"/>
      <c r="W192" s="648"/>
      <c r="X192" s="648"/>
      <c r="Y192" s="648"/>
      <c r="Z192" s="648"/>
      <c r="AA192" s="648"/>
      <c r="AB192" s="648"/>
      <c r="AC192" s="648"/>
      <c r="AD192" s="648"/>
      <c r="AE192" s="648"/>
      <c r="AF192" s="648"/>
      <c r="AG192" s="648"/>
      <c r="AH192" s="648"/>
      <c r="AI192" s="648"/>
      <c r="AJ192" s="648"/>
      <c r="AK192" s="648"/>
      <c r="AL192" s="648"/>
      <c r="AM192" s="648"/>
      <c r="AN192" s="648"/>
      <c r="AO192" s="649"/>
    </row>
    <row r="193" spans="1:42" s="650" customFormat="1" ht="33.75" customHeight="1" thickBot="1" x14ac:dyDescent="0.3">
      <c r="A193" s="733" t="s">
        <v>727</v>
      </c>
      <c r="B193" s="673"/>
      <c r="C193" s="671"/>
      <c r="D193" s="671">
        <v>445</v>
      </c>
      <c r="E193" s="671">
        <v>465</v>
      </c>
      <c r="F193" s="541">
        <f t="shared" si="6"/>
        <v>1.0449438202247192</v>
      </c>
      <c r="G193" s="648"/>
      <c r="H193" s="648"/>
      <c r="I193" s="648"/>
      <c r="J193" s="648"/>
      <c r="K193" s="648"/>
      <c r="L193" s="648"/>
      <c r="M193" s="648"/>
      <c r="N193" s="648"/>
      <c r="O193" s="648"/>
      <c r="P193" s="648"/>
      <c r="Q193" s="648"/>
      <c r="R193" s="648"/>
      <c r="S193" s="648"/>
      <c r="T193" s="648"/>
      <c r="U193" s="648"/>
      <c r="V193" s="648"/>
      <c r="W193" s="648"/>
      <c r="X193" s="648"/>
      <c r="Y193" s="648"/>
      <c r="Z193" s="648"/>
      <c r="AA193" s="648"/>
      <c r="AB193" s="648"/>
      <c r="AC193" s="648"/>
      <c r="AD193" s="648"/>
      <c r="AE193" s="648"/>
      <c r="AF193" s="648"/>
      <c r="AG193" s="648"/>
      <c r="AH193" s="648"/>
      <c r="AI193" s="648"/>
      <c r="AJ193" s="648"/>
      <c r="AK193" s="648"/>
      <c r="AL193" s="648"/>
      <c r="AM193" s="648"/>
      <c r="AN193" s="648"/>
      <c r="AO193" s="648"/>
      <c r="AP193" s="649"/>
    </row>
    <row r="194" spans="1:42" s="644" customFormat="1" ht="28.5" customHeight="1" thickBot="1" x14ac:dyDescent="0.3">
      <c r="A194" s="733" t="s">
        <v>643</v>
      </c>
      <c r="B194" s="678"/>
      <c r="C194" s="671"/>
      <c r="D194" s="671">
        <f>7825</f>
        <v>7825</v>
      </c>
      <c r="E194" s="671">
        <v>500</v>
      </c>
      <c r="F194" s="541">
        <f t="shared" si="6"/>
        <v>6.3897763578274758E-2</v>
      </c>
      <c r="G194" s="642"/>
      <c r="H194" s="642"/>
      <c r="I194" s="642"/>
      <c r="J194" s="642"/>
      <c r="K194" s="642"/>
      <c r="L194" s="642"/>
      <c r="M194" s="642"/>
      <c r="N194" s="642"/>
      <c r="O194" s="642"/>
      <c r="P194" s="642"/>
      <c r="Q194" s="642"/>
      <c r="R194" s="642"/>
      <c r="S194" s="642"/>
      <c r="T194" s="642"/>
      <c r="U194" s="642"/>
      <c r="V194" s="642"/>
      <c r="W194" s="642"/>
      <c r="X194" s="642"/>
      <c r="Y194" s="642"/>
      <c r="Z194" s="642"/>
      <c r="AA194" s="642"/>
      <c r="AB194" s="642"/>
      <c r="AC194" s="642"/>
      <c r="AD194" s="642"/>
      <c r="AE194" s="642"/>
      <c r="AF194" s="642"/>
      <c r="AG194" s="642"/>
      <c r="AH194" s="642"/>
      <c r="AI194" s="642"/>
      <c r="AJ194" s="642"/>
      <c r="AK194" s="642"/>
      <c r="AL194" s="642"/>
      <c r="AM194" s="642"/>
      <c r="AN194" s="642"/>
      <c r="AO194" s="642"/>
      <c r="AP194" s="643"/>
    </row>
    <row r="195" spans="1:42" s="650" customFormat="1" ht="32.25" customHeight="1" thickBot="1" x14ac:dyDescent="0.3">
      <c r="A195" s="733" t="s">
        <v>600</v>
      </c>
      <c r="B195" s="696"/>
      <c r="C195" s="671"/>
      <c r="D195" s="708">
        <v>160</v>
      </c>
      <c r="E195" s="671">
        <v>110</v>
      </c>
      <c r="F195" s="541">
        <f t="shared" si="6"/>
        <v>0.6875</v>
      </c>
      <c r="G195" s="648"/>
      <c r="H195" s="648"/>
      <c r="I195" s="648"/>
      <c r="J195" s="648"/>
      <c r="K195" s="648"/>
      <c r="L195" s="648"/>
      <c r="M195" s="648"/>
      <c r="N195" s="648"/>
      <c r="O195" s="648"/>
      <c r="P195" s="648"/>
      <c r="Q195" s="648"/>
      <c r="R195" s="648"/>
      <c r="S195" s="648"/>
      <c r="T195" s="648"/>
      <c r="U195" s="648"/>
      <c r="V195" s="648"/>
      <c r="W195" s="648"/>
      <c r="X195" s="648"/>
      <c r="Y195" s="648"/>
      <c r="Z195" s="648"/>
      <c r="AA195" s="648"/>
      <c r="AB195" s="648"/>
      <c r="AC195" s="648"/>
      <c r="AD195" s="648"/>
      <c r="AE195" s="648"/>
      <c r="AF195" s="648"/>
      <c r="AG195" s="648"/>
      <c r="AH195" s="648"/>
      <c r="AI195" s="648"/>
      <c r="AJ195" s="648"/>
      <c r="AK195" s="648"/>
      <c r="AL195" s="648"/>
      <c r="AM195" s="648"/>
      <c r="AN195" s="648"/>
      <c r="AO195" s="648"/>
      <c r="AP195" s="649"/>
    </row>
    <row r="196" spans="1:42" s="700" customFormat="1" ht="52.5" customHeight="1" thickBot="1" x14ac:dyDescent="0.3">
      <c r="A196" s="896" t="s">
        <v>656</v>
      </c>
      <c r="B196" s="897"/>
      <c r="C196" s="701"/>
      <c r="D196" s="709">
        <f>SUM(B197:B198)</f>
        <v>32942</v>
      </c>
      <c r="E196" s="701">
        <v>650</v>
      </c>
      <c r="F196" s="541">
        <f t="shared" si="6"/>
        <v>1.973164956590371E-2</v>
      </c>
      <c r="G196" s="661"/>
      <c r="H196" s="661"/>
      <c r="I196" s="661"/>
      <c r="J196" s="661"/>
      <c r="K196" s="661"/>
      <c r="L196" s="661"/>
      <c r="M196" s="661"/>
      <c r="N196" s="661"/>
      <c r="O196" s="661"/>
      <c r="P196" s="661"/>
      <c r="Q196" s="661"/>
      <c r="R196" s="661"/>
      <c r="S196" s="661"/>
      <c r="T196" s="661"/>
      <c r="U196" s="661"/>
      <c r="V196" s="661"/>
      <c r="W196" s="661"/>
      <c r="X196" s="661"/>
      <c r="Y196" s="661"/>
      <c r="Z196" s="661"/>
      <c r="AA196" s="661"/>
      <c r="AB196" s="661"/>
      <c r="AC196" s="661"/>
      <c r="AD196" s="661"/>
      <c r="AE196" s="661"/>
      <c r="AF196" s="661"/>
      <c r="AG196" s="661"/>
      <c r="AH196" s="661"/>
      <c r="AI196" s="661"/>
      <c r="AJ196" s="661"/>
      <c r="AK196" s="661"/>
      <c r="AL196" s="661"/>
      <c r="AM196" s="661"/>
      <c r="AN196" s="661"/>
      <c r="AO196" s="699"/>
    </row>
    <row r="197" spans="1:42" s="650" customFormat="1" ht="27" customHeight="1" thickBot="1" x14ac:dyDescent="0.3">
      <c r="A197" s="672" t="s">
        <v>657</v>
      </c>
      <c r="B197" s="684">
        <v>28000</v>
      </c>
      <c r="C197" s="671"/>
      <c r="D197" s="708"/>
      <c r="E197" s="671"/>
      <c r="F197" s="542"/>
      <c r="G197" s="648"/>
      <c r="H197" s="648"/>
      <c r="I197" s="648"/>
      <c r="J197" s="648"/>
      <c r="K197" s="648"/>
      <c r="L197" s="648"/>
      <c r="M197" s="648"/>
      <c r="N197" s="648"/>
      <c r="O197" s="648"/>
      <c r="P197" s="648"/>
      <c r="Q197" s="648"/>
      <c r="R197" s="648"/>
      <c r="S197" s="648"/>
      <c r="T197" s="648"/>
      <c r="U197" s="648"/>
      <c r="V197" s="648"/>
      <c r="W197" s="648"/>
      <c r="X197" s="648"/>
      <c r="Y197" s="648"/>
      <c r="Z197" s="648"/>
      <c r="AA197" s="648"/>
      <c r="AB197" s="648"/>
      <c r="AC197" s="648"/>
      <c r="AD197" s="648"/>
      <c r="AE197" s="648"/>
      <c r="AF197" s="648"/>
      <c r="AG197" s="648"/>
      <c r="AH197" s="648"/>
      <c r="AI197" s="648"/>
      <c r="AJ197" s="648"/>
      <c r="AK197" s="648"/>
      <c r="AL197" s="648"/>
      <c r="AM197" s="648"/>
      <c r="AN197" s="648"/>
      <c r="AO197" s="649"/>
    </row>
    <row r="198" spans="1:42" s="650" customFormat="1" ht="27" customHeight="1" thickBot="1" x14ac:dyDescent="0.3">
      <c r="A198" s="672" t="s">
        <v>658</v>
      </c>
      <c r="B198" s="684">
        <v>4942</v>
      </c>
      <c r="C198" s="671"/>
      <c r="D198" s="708"/>
      <c r="E198" s="671"/>
      <c r="F198" s="542"/>
      <c r="G198" s="648"/>
      <c r="H198" s="648"/>
      <c r="I198" s="648"/>
      <c r="J198" s="648"/>
      <c r="K198" s="648"/>
      <c r="L198" s="648"/>
      <c r="M198" s="648"/>
      <c r="N198" s="648"/>
      <c r="O198" s="648"/>
      <c r="P198" s="648"/>
      <c r="Q198" s="648"/>
      <c r="R198" s="648"/>
      <c r="S198" s="648"/>
      <c r="T198" s="648"/>
      <c r="U198" s="648"/>
      <c r="V198" s="648"/>
      <c r="W198" s="648"/>
      <c r="X198" s="648"/>
      <c r="Y198" s="648"/>
      <c r="Z198" s="648"/>
      <c r="AA198" s="648"/>
      <c r="AB198" s="648"/>
      <c r="AC198" s="648"/>
      <c r="AD198" s="648"/>
      <c r="AE198" s="648"/>
      <c r="AF198" s="648"/>
      <c r="AG198" s="648"/>
      <c r="AH198" s="648"/>
      <c r="AI198" s="648"/>
      <c r="AJ198" s="648"/>
      <c r="AK198" s="648"/>
      <c r="AL198" s="648"/>
      <c r="AM198" s="648"/>
      <c r="AN198" s="648"/>
      <c r="AO198" s="649"/>
    </row>
    <row r="199" spans="1:42" s="516" customFormat="1" ht="32.25" thickBot="1" x14ac:dyDescent="0.3">
      <c r="A199" s="519" t="s">
        <v>647</v>
      </c>
      <c r="B199" s="495"/>
      <c r="C199" s="493"/>
      <c r="D199" s="493">
        <f>97+3061</f>
        <v>3158</v>
      </c>
      <c r="E199" s="493">
        <v>3158</v>
      </c>
      <c r="F199" s="541">
        <v>1</v>
      </c>
      <c r="G199" s="514"/>
      <c r="H199" s="514"/>
      <c r="I199" s="514"/>
      <c r="J199" s="514"/>
      <c r="K199" s="514"/>
      <c r="L199" s="514"/>
      <c r="M199" s="514"/>
      <c r="N199" s="514"/>
      <c r="O199" s="514"/>
      <c r="P199" s="514"/>
      <c r="Q199" s="514"/>
      <c r="R199" s="514"/>
      <c r="S199" s="514"/>
      <c r="T199" s="514"/>
      <c r="U199" s="514"/>
      <c r="V199" s="514"/>
      <c r="W199" s="514"/>
      <c r="X199" s="514"/>
      <c r="Y199" s="514"/>
      <c r="Z199" s="514"/>
      <c r="AA199" s="514"/>
      <c r="AB199" s="514"/>
      <c r="AC199" s="514"/>
      <c r="AD199" s="514"/>
      <c r="AE199" s="514"/>
      <c r="AF199" s="514"/>
      <c r="AG199" s="514"/>
      <c r="AH199" s="514"/>
      <c r="AI199" s="514"/>
      <c r="AJ199" s="514"/>
      <c r="AK199" s="514"/>
      <c r="AL199" s="514"/>
      <c r="AM199" s="514"/>
      <c r="AN199" s="514"/>
      <c r="AO199" s="514"/>
      <c r="AP199" s="515"/>
    </row>
    <row r="200" spans="1:42" s="516" customFormat="1" ht="16.5" thickBot="1" x14ac:dyDescent="0.3">
      <c r="A200" s="494" t="s">
        <v>651</v>
      </c>
      <c r="B200" s="517">
        <v>97</v>
      </c>
      <c r="C200" s="493"/>
      <c r="D200" s="493"/>
      <c r="E200" s="493"/>
      <c r="F200" s="541"/>
      <c r="G200" s="514"/>
      <c r="H200" s="514"/>
      <c r="I200" s="514"/>
      <c r="J200" s="514"/>
      <c r="K200" s="514"/>
      <c r="L200" s="514"/>
      <c r="M200" s="514"/>
      <c r="N200" s="514"/>
      <c r="O200" s="514"/>
      <c r="P200" s="514"/>
      <c r="Q200" s="514"/>
      <c r="R200" s="514"/>
      <c r="S200" s="514"/>
      <c r="T200" s="514"/>
      <c r="U200" s="514"/>
      <c r="V200" s="514"/>
      <c r="W200" s="514"/>
      <c r="X200" s="514"/>
      <c r="Y200" s="514"/>
      <c r="Z200" s="514"/>
      <c r="AA200" s="514"/>
      <c r="AB200" s="514"/>
      <c r="AC200" s="514"/>
      <c r="AD200" s="514"/>
      <c r="AE200" s="514"/>
      <c r="AF200" s="514"/>
      <c r="AG200" s="514"/>
      <c r="AH200" s="514"/>
      <c r="AI200" s="514"/>
      <c r="AJ200" s="514"/>
      <c r="AK200" s="514"/>
      <c r="AL200" s="514"/>
      <c r="AM200" s="514"/>
      <c r="AN200" s="514"/>
      <c r="AO200" s="514"/>
      <c r="AP200" s="515"/>
    </row>
    <row r="201" spans="1:42" s="516" customFormat="1" ht="16.5" thickBot="1" x14ac:dyDescent="0.3">
      <c r="A201" s="494" t="s">
        <v>761</v>
      </c>
      <c r="B201" s="517">
        <v>3061</v>
      </c>
      <c r="C201" s="493"/>
      <c r="D201" s="493"/>
      <c r="E201" s="493"/>
      <c r="F201" s="541"/>
      <c r="G201" s="514"/>
      <c r="H201" s="514"/>
      <c r="I201" s="514"/>
      <c r="J201" s="514"/>
      <c r="K201" s="514"/>
      <c r="L201" s="514"/>
      <c r="M201" s="514"/>
      <c r="N201" s="514"/>
      <c r="O201" s="514"/>
      <c r="P201" s="514"/>
      <c r="Q201" s="514"/>
      <c r="R201" s="514"/>
      <c r="S201" s="514"/>
      <c r="T201" s="514"/>
      <c r="U201" s="514"/>
      <c r="V201" s="514"/>
      <c r="W201" s="514"/>
      <c r="X201" s="514"/>
      <c r="Y201" s="514"/>
      <c r="Z201" s="514"/>
      <c r="AA201" s="514"/>
      <c r="AB201" s="514"/>
      <c r="AC201" s="514"/>
      <c r="AD201" s="514"/>
      <c r="AE201" s="514"/>
      <c r="AF201" s="514"/>
      <c r="AG201" s="514"/>
      <c r="AH201" s="514"/>
      <c r="AI201" s="514"/>
      <c r="AJ201" s="514"/>
      <c r="AK201" s="514"/>
      <c r="AL201" s="514"/>
      <c r="AM201" s="514"/>
      <c r="AN201" s="514"/>
      <c r="AO201" s="514"/>
      <c r="AP201" s="515"/>
    </row>
    <row r="202" spans="1:42" s="516" customFormat="1" ht="59.25" customHeight="1" thickBot="1" x14ac:dyDescent="0.3">
      <c r="A202" s="512" t="s">
        <v>654</v>
      </c>
      <c r="B202" s="513"/>
      <c r="C202" s="493"/>
      <c r="D202" s="493">
        <f>SUM(B203:B204)</f>
        <v>23303</v>
      </c>
      <c r="E202" s="493">
        <v>23303</v>
      </c>
      <c r="F202" s="541">
        <f>SUM(D203:D204)</f>
        <v>0</v>
      </c>
      <c r="G202" s="514"/>
      <c r="H202" s="514"/>
      <c r="I202" s="514"/>
      <c r="J202" s="514"/>
      <c r="K202" s="514"/>
      <c r="L202" s="514"/>
      <c r="M202" s="514"/>
      <c r="N202" s="514"/>
      <c r="O202" s="514"/>
      <c r="P202" s="514"/>
      <c r="Q202" s="514"/>
      <c r="R202" s="514"/>
      <c r="S202" s="514"/>
      <c r="T202" s="514"/>
      <c r="U202" s="514"/>
      <c r="V202" s="514"/>
      <c r="W202" s="514"/>
      <c r="X202" s="514"/>
      <c r="Y202" s="514"/>
      <c r="Z202" s="514"/>
      <c r="AA202" s="514"/>
      <c r="AB202" s="514"/>
      <c r="AC202" s="514"/>
      <c r="AD202" s="514"/>
      <c r="AE202" s="514"/>
      <c r="AF202" s="514"/>
      <c r="AG202" s="514"/>
      <c r="AH202" s="514"/>
      <c r="AI202" s="514"/>
      <c r="AJ202" s="514"/>
      <c r="AK202" s="514"/>
      <c r="AL202" s="514"/>
      <c r="AM202" s="514"/>
      <c r="AN202" s="514"/>
      <c r="AO202" s="514"/>
      <c r="AP202" s="515"/>
    </row>
    <row r="203" spans="1:42" s="516" customFormat="1" ht="16.5" thickBot="1" x14ac:dyDescent="0.3">
      <c r="A203" s="494" t="s">
        <v>651</v>
      </c>
      <c r="B203" s="517">
        <v>1911</v>
      </c>
      <c r="C203" s="493"/>
      <c r="D203" s="493"/>
      <c r="E203" s="493"/>
      <c r="F203" s="541"/>
      <c r="G203" s="514"/>
      <c r="H203" s="514"/>
      <c r="I203" s="514"/>
      <c r="J203" s="514"/>
      <c r="K203" s="514"/>
      <c r="L203" s="514"/>
      <c r="M203" s="514"/>
      <c r="N203" s="514"/>
      <c r="O203" s="514"/>
      <c r="P203" s="514"/>
      <c r="Q203" s="514"/>
      <c r="R203" s="514"/>
      <c r="S203" s="514"/>
      <c r="T203" s="514"/>
      <c r="U203" s="514"/>
      <c r="V203" s="514"/>
      <c r="W203" s="514"/>
      <c r="X203" s="514"/>
      <c r="Y203" s="514"/>
      <c r="Z203" s="514"/>
      <c r="AA203" s="514"/>
      <c r="AB203" s="514"/>
      <c r="AC203" s="514"/>
      <c r="AD203" s="514"/>
      <c r="AE203" s="514"/>
      <c r="AF203" s="514"/>
      <c r="AG203" s="514"/>
      <c r="AH203" s="514"/>
      <c r="AI203" s="514"/>
      <c r="AJ203" s="514"/>
      <c r="AK203" s="514"/>
      <c r="AL203" s="514"/>
      <c r="AM203" s="514"/>
      <c r="AN203" s="514"/>
      <c r="AO203" s="514"/>
      <c r="AP203" s="515"/>
    </row>
    <row r="204" spans="1:42" s="516" customFormat="1" ht="16.5" thickBot="1" x14ac:dyDescent="0.3">
      <c r="A204" s="494" t="s">
        <v>761</v>
      </c>
      <c r="B204" s="517">
        <v>21392</v>
      </c>
      <c r="C204" s="493"/>
      <c r="D204" s="493"/>
      <c r="E204" s="493"/>
      <c r="F204" s="541"/>
      <c r="G204" s="514"/>
      <c r="H204" s="514"/>
      <c r="I204" s="514"/>
      <c r="J204" s="514"/>
      <c r="K204" s="514"/>
      <c r="L204" s="514"/>
      <c r="M204" s="514"/>
      <c r="N204" s="514"/>
      <c r="O204" s="514"/>
      <c r="P204" s="514"/>
      <c r="Q204" s="514"/>
      <c r="R204" s="514"/>
      <c r="S204" s="514"/>
      <c r="T204" s="514"/>
      <c r="U204" s="514"/>
      <c r="V204" s="514"/>
      <c r="W204" s="514"/>
      <c r="X204" s="514"/>
      <c r="Y204" s="514"/>
      <c r="Z204" s="514"/>
      <c r="AA204" s="514"/>
      <c r="AB204" s="514"/>
      <c r="AC204" s="514"/>
      <c r="AD204" s="514"/>
      <c r="AE204" s="514"/>
      <c r="AF204" s="514"/>
      <c r="AG204" s="514"/>
      <c r="AH204" s="514"/>
      <c r="AI204" s="514"/>
      <c r="AJ204" s="514"/>
      <c r="AK204" s="514"/>
      <c r="AL204" s="514"/>
      <c r="AM204" s="514"/>
      <c r="AN204" s="514"/>
      <c r="AO204" s="514"/>
      <c r="AP204" s="515"/>
    </row>
    <row r="205" spans="1:42" s="650" customFormat="1" ht="45.75" customHeight="1" thickBot="1" x14ac:dyDescent="0.3">
      <c r="A205" s="733" t="s">
        <v>661</v>
      </c>
      <c r="B205" s="697"/>
      <c r="C205" s="671"/>
      <c r="D205" s="708">
        <v>1308</v>
      </c>
      <c r="E205" s="671">
        <v>1308</v>
      </c>
      <c r="F205" s="542">
        <f>E205/D205</f>
        <v>1</v>
      </c>
      <c r="G205" s="648"/>
      <c r="H205" s="648"/>
      <c r="I205" s="648"/>
      <c r="J205" s="648"/>
      <c r="K205" s="648"/>
      <c r="L205" s="648"/>
      <c r="M205" s="648"/>
      <c r="N205" s="648"/>
      <c r="O205" s="648"/>
      <c r="P205" s="648"/>
      <c r="Q205" s="648"/>
      <c r="R205" s="648"/>
      <c r="S205" s="648"/>
      <c r="T205" s="648"/>
      <c r="U205" s="648"/>
      <c r="V205" s="648"/>
      <c r="W205" s="648"/>
      <c r="X205" s="648"/>
      <c r="Y205" s="648"/>
      <c r="Z205" s="648"/>
      <c r="AA205" s="648"/>
      <c r="AB205" s="648"/>
      <c r="AC205" s="648"/>
      <c r="AD205" s="648"/>
      <c r="AE205" s="648"/>
      <c r="AF205" s="648"/>
      <c r="AG205" s="648"/>
      <c r="AH205" s="648"/>
      <c r="AI205" s="648"/>
      <c r="AJ205" s="648"/>
      <c r="AK205" s="648"/>
      <c r="AL205" s="648"/>
      <c r="AM205" s="648"/>
      <c r="AN205" s="648"/>
      <c r="AO205" s="649"/>
    </row>
    <row r="206" spans="1:42" s="449" customFormat="1" ht="32.25" thickBot="1" x14ac:dyDescent="0.3">
      <c r="A206" s="519" t="s">
        <v>638</v>
      </c>
      <c r="B206" s="518"/>
      <c r="C206" s="493"/>
      <c r="D206" s="497">
        <v>745</v>
      </c>
      <c r="E206" s="493">
        <v>745</v>
      </c>
      <c r="F206" s="542">
        <f>E206/D206</f>
        <v>1</v>
      </c>
      <c r="G206" s="447"/>
      <c r="H206" s="447"/>
      <c r="I206" s="447"/>
      <c r="J206" s="447"/>
      <c r="K206" s="447"/>
      <c r="L206" s="447"/>
      <c r="M206" s="447"/>
      <c r="N206" s="447"/>
      <c r="O206" s="447"/>
      <c r="P206" s="447"/>
      <c r="Q206" s="447"/>
      <c r="R206" s="447"/>
      <c r="S206" s="447"/>
      <c r="T206" s="447"/>
      <c r="U206" s="447"/>
      <c r="V206" s="447"/>
      <c r="W206" s="447"/>
      <c r="X206" s="447"/>
      <c r="Y206" s="447"/>
      <c r="Z206" s="447"/>
      <c r="AA206" s="447"/>
      <c r="AB206" s="447"/>
      <c r="AC206" s="447"/>
      <c r="AD206" s="447"/>
      <c r="AE206" s="447"/>
      <c r="AF206" s="447"/>
      <c r="AG206" s="447"/>
      <c r="AH206" s="447"/>
      <c r="AI206" s="447"/>
      <c r="AJ206" s="447"/>
      <c r="AK206" s="447"/>
      <c r="AL206" s="447"/>
      <c r="AM206" s="447"/>
      <c r="AN206" s="447"/>
      <c r="AO206" s="448"/>
    </row>
    <row r="207" spans="1:42" s="516" customFormat="1" ht="32.25" thickBot="1" x14ac:dyDescent="0.3">
      <c r="A207" s="519" t="s">
        <v>762</v>
      </c>
      <c r="B207" s="492"/>
      <c r="C207" s="493">
        <v>1000</v>
      </c>
      <c r="D207" s="493">
        <f>C207-1000</f>
        <v>0</v>
      </c>
      <c r="E207" s="493">
        <v>0</v>
      </c>
      <c r="F207" s="542">
        <v>0</v>
      </c>
      <c r="G207" s="514"/>
      <c r="H207" s="514"/>
      <c r="I207" s="514"/>
      <c r="J207" s="514"/>
      <c r="K207" s="514"/>
      <c r="L207" s="514"/>
      <c r="M207" s="514"/>
      <c r="N207" s="514"/>
      <c r="O207" s="514"/>
      <c r="P207" s="514"/>
      <c r="Q207" s="514"/>
      <c r="R207" s="514"/>
      <c r="S207" s="514"/>
      <c r="T207" s="514"/>
      <c r="U207" s="514"/>
      <c r="V207" s="514"/>
      <c r="W207" s="514"/>
      <c r="X207" s="514"/>
      <c r="Y207" s="514"/>
      <c r="Z207" s="514"/>
      <c r="AA207" s="514"/>
      <c r="AB207" s="514"/>
      <c r="AC207" s="514"/>
      <c r="AD207" s="514"/>
      <c r="AE207" s="514"/>
      <c r="AF207" s="514"/>
      <c r="AG207" s="514"/>
      <c r="AH207" s="514"/>
      <c r="AI207" s="514"/>
      <c r="AJ207" s="514"/>
      <c r="AK207" s="514"/>
      <c r="AL207" s="514"/>
      <c r="AM207" s="514"/>
      <c r="AN207" s="514"/>
      <c r="AO207" s="514"/>
      <c r="AP207" s="515"/>
    </row>
    <row r="208" spans="1:42" s="449" customFormat="1" ht="27.75" customHeight="1" thickBot="1" x14ac:dyDescent="0.3">
      <c r="A208" s="519" t="s">
        <v>670</v>
      </c>
      <c r="B208" s="496"/>
      <c r="C208" s="493"/>
      <c r="D208" s="497">
        <f>SUM(B209:B209)</f>
        <v>10155</v>
      </c>
      <c r="E208" s="493">
        <v>10155</v>
      </c>
      <c r="F208" s="542">
        <f t="shared" ref="F208" si="7">E208/D208</f>
        <v>1</v>
      </c>
      <c r="G208" s="447"/>
      <c r="H208" s="447"/>
      <c r="I208" s="447"/>
      <c r="J208" s="447"/>
      <c r="K208" s="447"/>
      <c r="L208" s="447"/>
      <c r="M208" s="447"/>
      <c r="N208" s="447"/>
      <c r="O208" s="447"/>
      <c r="P208" s="447"/>
      <c r="Q208" s="447"/>
      <c r="R208" s="447"/>
      <c r="S208" s="447"/>
      <c r="T208" s="447"/>
      <c r="U208" s="447"/>
      <c r="V208" s="447"/>
      <c r="W208" s="447"/>
      <c r="X208" s="447"/>
      <c r="Y208" s="447"/>
      <c r="Z208" s="447"/>
      <c r="AA208" s="447"/>
      <c r="AB208" s="447"/>
      <c r="AC208" s="447"/>
      <c r="AD208" s="447"/>
      <c r="AE208" s="447"/>
      <c r="AF208" s="447"/>
      <c r="AG208" s="447"/>
      <c r="AH208" s="447"/>
      <c r="AI208" s="447"/>
      <c r="AJ208" s="447"/>
      <c r="AK208" s="447"/>
      <c r="AL208" s="447"/>
      <c r="AM208" s="447"/>
      <c r="AN208" s="447"/>
      <c r="AO208" s="448"/>
    </row>
    <row r="209" spans="1:42" s="449" customFormat="1" ht="27.75" customHeight="1" thickBot="1" x14ac:dyDescent="0.3">
      <c r="A209" s="494" t="s">
        <v>672</v>
      </c>
      <c r="B209" s="518">
        <f>15000-4845</f>
        <v>10155</v>
      </c>
      <c r="C209" s="511"/>
      <c r="D209" s="510"/>
      <c r="E209" s="511"/>
      <c r="F209" s="547"/>
      <c r="G209" s="447"/>
      <c r="H209" s="447"/>
      <c r="I209" s="447"/>
      <c r="J209" s="447"/>
      <c r="K209" s="447"/>
      <c r="L209" s="447"/>
      <c r="M209" s="447"/>
      <c r="N209" s="447"/>
      <c r="O209" s="447"/>
      <c r="P209" s="447"/>
      <c r="Q209" s="447"/>
      <c r="R209" s="447"/>
      <c r="S209" s="447"/>
      <c r="T209" s="447"/>
      <c r="U209" s="447"/>
      <c r="V209" s="447"/>
      <c r="W209" s="447"/>
      <c r="X209" s="447"/>
      <c r="Y209" s="447"/>
      <c r="Z209" s="447"/>
      <c r="AA209" s="447"/>
      <c r="AB209" s="447"/>
      <c r="AC209" s="447"/>
      <c r="AD209" s="447"/>
      <c r="AE209" s="447"/>
      <c r="AF209" s="447"/>
      <c r="AG209" s="447"/>
      <c r="AH209" s="447"/>
      <c r="AI209" s="447"/>
      <c r="AJ209" s="447"/>
      <c r="AK209" s="447"/>
      <c r="AL209" s="447"/>
      <c r="AM209" s="447"/>
      <c r="AN209" s="447"/>
      <c r="AO209" s="448"/>
    </row>
    <row r="210" spans="1:42" s="455" customFormat="1" ht="31.5" customHeight="1" thickBot="1" x14ac:dyDescent="0.35">
      <c r="A210" s="503" t="s">
        <v>763</v>
      </c>
      <c r="B210" s="504"/>
      <c r="C210" s="505">
        <f>SUM(C188:C209)</f>
        <v>1250</v>
      </c>
      <c r="D210" s="505">
        <f>SUM(D188:D209)</f>
        <v>84394</v>
      </c>
      <c r="E210" s="505">
        <f>SUM(E188:E209)</f>
        <v>43945</v>
      </c>
      <c r="F210" s="545">
        <f>E210/D210</f>
        <v>0.52071237291750594</v>
      </c>
      <c r="G210" s="453"/>
      <c r="H210" s="453"/>
      <c r="I210" s="453"/>
      <c r="J210" s="453"/>
      <c r="K210" s="453"/>
      <c r="L210" s="453"/>
      <c r="M210" s="453"/>
      <c r="N210" s="453"/>
      <c r="O210" s="453"/>
      <c r="P210" s="453"/>
      <c r="Q210" s="453"/>
      <c r="R210" s="453"/>
      <c r="S210" s="453"/>
      <c r="T210" s="453"/>
      <c r="U210" s="453"/>
      <c r="V210" s="453"/>
      <c r="W210" s="453"/>
      <c r="X210" s="453"/>
      <c r="Y210" s="453"/>
      <c r="Z210" s="453"/>
      <c r="AA210" s="453"/>
      <c r="AB210" s="453"/>
      <c r="AC210" s="453"/>
      <c r="AD210" s="453"/>
      <c r="AE210" s="453"/>
      <c r="AF210" s="453"/>
      <c r="AG210" s="453"/>
      <c r="AH210" s="453"/>
      <c r="AI210" s="453"/>
      <c r="AJ210" s="453"/>
      <c r="AK210" s="453"/>
      <c r="AL210" s="453"/>
      <c r="AM210" s="453"/>
      <c r="AN210" s="453"/>
      <c r="AO210" s="453"/>
      <c r="AP210" s="454"/>
    </row>
    <row r="211" spans="1:42" s="455" customFormat="1" ht="31.5" customHeight="1" thickBot="1" x14ac:dyDescent="0.35">
      <c r="A211" s="506"/>
      <c r="B211" s="507"/>
      <c r="C211" s="509"/>
      <c r="D211" s="509"/>
      <c r="E211" s="509"/>
      <c r="F211" s="544"/>
      <c r="G211" s="453"/>
      <c r="H211" s="453"/>
      <c r="I211" s="453"/>
      <c r="J211" s="453"/>
      <c r="K211" s="453"/>
      <c r="L211" s="453"/>
      <c r="M211" s="453"/>
      <c r="N211" s="453"/>
      <c r="O211" s="453"/>
      <c r="P211" s="453"/>
      <c r="Q211" s="453"/>
      <c r="R211" s="453"/>
      <c r="S211" s="453"/>
      <c r="T211" s="453"/>
      <c r="U211" s="453"/>
      <c r="V211" s="453"/>
      <c r="W211" s="453"/>
      <c r="X211" s="453"/>
      <c r="Y211" s="453"/>
      <c r="Z211" s="453"/>
      <c r="AA211" s="453"/>
      <c r="AB211" s="453"/>
      <c r="AC211" s="453"/>
      <c r="AD211" s="453"/>
      <c r="AE211" s="453"/>
      <c r="AF211" s="453"/>
      <c r="AG211" s="453"/>
      <c r="AH211" s="453"/>
      <c r="AI211" s="453"/>
      <c r="AJ211" s="453"/>
      <c r="AK211" s="453"/>
      <c r="AL211" s="453"/>
      <c r="AM211" s="453"/>
      <c r="AN211" s="453"/>
      <c r="AO211" s="453"/>
      <c r="AP211" s="454"/>
    </row>
    <row r="212" spans="1:42" s="442" customFormat="1" ht="33" customHeight="1" thickBot="1" x14ac:dyDescent="0.35">
      <c r="A212" s="488" t="s">
        <v>764</v>
      </c>
      <c r="B212" s="489"/>
      <c r="C212" s="491"/>
      <c r="D212" s="491"/>
      <c r="E212" s="491"/>
      <c r="F212" s="545"/>
      <c r="G212" s="440"/>
      <c r="H212" s="440"/>
      <c r="I212" s="440"/>
      <c r="J212" s="440"/>
      <c r="K212" s="440"/>
      <c r="L212" s="440"/>
      <c r="M212" s="440"/>
      <c r="N212" s="440"/>
      <c r="O212" s="440"/>
      <c r="P212" s="440"/>
      <c r="Q212" s="440"/>
      <c r="R212" s="440"/>
      <c r="S212" s="440"/>
      <c r="T212" s="440"/>
      <c r="U212" s="440"/>
      <c r="V212" s="440"/>
      <c r="W212" s="440"/>
      <c r="X212" s="440"/>
      <c r="Y212" s="440"/>
      <c r="Z212" s="440"/>
      <c r="AA212" s="440"/>
      <c r="AB212" s="440"/>
      <c r="AC212" s="440"/>
      <c r="AD212" s="440"/>
      <c r="AE212" s="440"/>
      <c r="AF212" s="440"/>
      <c r="AG212" s="440"/>
      <c r="AH212" s="440"/>
      <c r="AI212" s="440"/>
      <c r="AJ212" s="440"/>
      <c r="AK212" s="440"/>
      <c r="AL212" s="440"/>
      <c r="AM212" s="440"/>
      <c r="AN212" s="440"/>
      <c r="AO212" s="440"/>
      <c r="AP212" s="441"/>
    </row>
    <row r="213" spans="1:42" s="516" customFormat="1" ht="32.25" thickBot="1" x14ac:dyDescent="0.3">
      <c r="A213" s="519" t="s">
        <v>647</v>
      </c>
      <c r="B213" s="495"/>
      <c r="C213" s="493">
        <v>31580</v>
      </c>
      <c r="D213" s="493">
        <f>SUM(C213+1076-3061)</f>
        <v>29595</v>
      </c>
      <c r="E213" s="671">
        <v>29595</v>
      </c>
      <c r="F213" s="541">
        <v>1</v>
      </c>
      <c r="G213" s="514"/>
      <c r="H213" s="514"/>
      <c r="I213" s="514"/>
      <c r="J213" s="514"/>
      <c r="K213" s="514"/>
      <c r="L213" s="514"/>
      <c r="M213" s="514"/>
      <c r="N213" s="514"/>
      <c r="O213" s="514"/>
      <c r="P213" s="514"/>
      <c r="Q213" s="514"/>
      <c r="R213" s="514"/>
      <c r="S213" s="514"/>
      <c r="T213" s="514"/>
      <c r="U213" s="514"/>
      <c r="V213" s="514"/>
      <c r="W213" s="514"/>
      <c r="X213" s="514"/>
      <c r="Y213" s="514"/>
      <c r="Z213" s="514"/>
      <c r="AA213" s="514"/>
      <c r="AB213" s="514"/>
      <c r="AC213" s="514"/>
      <c r="AD213" s="514"/>
      <c r="AE213" s="514"/>
      <c r="AF213" s="514"/>
      <c r="AG213" s="514"/>
      <c r="AH213" s="514"/>
      <c r="AI213" s="514"/>
      <c r="AJ213" s="514"/>
      <c r="AK213" s="514"/>
      <c r="AL213" s="514"/>
      <c r="AM213" s="514"/>
      <c r="AN213" s="514"/>
      <c r="AO213" s="514"/>
      <c r="AP213" s="515"/>
    </row>
    <row r="214" spans="1:42" s="516" customFormat="1" ht="16.5" thickBot="1" x14ac:dyDescent="0.3">
      <c r="A214" s="494" t="s">
        <v>648</v>
      </c>
      <c r="B214" s="517">
        <v>1580</v>
      </c>
      <c r="C214" s="493"/>
      <c r="D214" s="493"/>
      <c r="E214" s="671"/>
      <c r="F214" s="541"/>
      <c r="G214" s="514"/>
      <c r="H214" s="514"/>
      <c r="I214" s="514"/>
      <c r="J214" s="514"/>
      <c r="K214" s="514"/>
      <c r="L214" s="514"/>
      <c r="M214" s="514"/>
      <c r="N214" s="514"/>
      <c r="O214" s="514"/>
      <c r="P214" s="514"/>
      <c r="Q214" s="514"/>
      <c r="R214" s="514"/>
      <c r="S214" s="514"/>
      <c r="T214" s="514"/>
      <c r="U214" s="514"/>
      <c r="V214" s="514"/>
      <c r="W214" s="514"/>
      <c r="X214" s="514"/>
      <c r="Y214" s="514"/>
      <c r="Z214" s="514"/>
      <c r="AA214" s="514"/>
      <c r="AB214" s="514"/>
      <c r="AC214" s="514"/>
      <c r="AD214" s="514"/>
      <c r="AE214" s="514"/>
      <c r="AF214" s="514"/>
      <c r="AG214" s="514"/>
      <c r="AH214" s="514"/>
      <c r="AI214" s="514"/>
      <c r="AJ214" s="514"/>
      <c r="AK214" s="514"/>
      <c r="AL214" s="514"/>
      <c r="AM214" s="514"/>
      <c r="AN214" s="514"/>
      <c r="AO214" s="514"/>
      <c r="AP214" s="515"/>
    </row>
    <row r="215" spans="1:42" s="516" customFormat="1" ht="16.5" thickBot="1" x14ac:dyDescent="0.3">
      <c r="A215" s="494" t="s">
        <v>649</v>
      </c>
      <c r="B215" s="517">
        <v>30000</v>
      </c>
      <c r="C215" s="493"/>
      <c r="D215" s="493"/>
      <c r="E215" s="671"/>
      <c r="F215" s="541"/>
      <c r="G215" s="514"/>
      <c r="H215" s="514"/>
      <c r="I215" s="514"/>
      <c r="J215" s="514"/>
      <c r="K215" s="514"/>
      <c r="L215" s="514"/>
      <c r="M215" s="514"/>
      <c r="N215" s="514"/>
      <c r="O215" s="514"/>
      <c r="P215" s="514"/>
      <c r="Q215" s="514"/>
      <c r="R215" s="514"/>
      <c r="S215" s="514"/>
      <c r="T215" s="514"/>
      <c r="U215" s="514"/>
      <c r="V215" s="514"/>
      <c r="W215" s="514"/>
      <c r="X215" s="514"/>
      <c r="Y215" s="514"/>
      <c r="Z215" s="514"/>
      <c r="AA215" s="514"/>
      <c r="AB215" s="514"/>
      <c r="AC215" s="514"/>
      <c r="AD215" s="514"/>
      <c r="AE215" s="514"/>
      <c r="AF215" s="514"/>
      <c r="AG215" s="514"/>
      <c r="AH215" s="514"/>
      <c r="AI215" s="514"/>
      <c r="AJ215" s="514"/>
      <c r="AK215" s="514"/>
      <c r="AL215" s="514"/>
      <c r="AM215" s="514"/>
      <c r="AN215" s="514"/>
      <c r="AO215" s="514"/>
      <c r="AP215" s="515"/>
    </row>
    <row r="216" spans="1:42" s="452" customFormat="1" ht="30.75" customHeight="1" thickBot="1" x14ac:dyDescent="0.3">
      <c r="A216" s="494" t="s">
        <v>650</v>
      </c>
      <c r="B216" s="524">
        <v>1076</v>
      </c>
      <c r="C216" s="493"/>
      <c r="D216" s="497"/>
      <c r="E216" s="671"/>
      <c r="F216" s="542"/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50"/>
      <c r="R216" s="450"/>
      <c r="S216" s="450"/>
      <c r="T216" s="450"/>
      <c r="U216" s="450"/>
      <c r="V216" s="450"/>
      <c r="W216" s="450"/>
      <c r="X216" s="450"/>
      <c r="Y216" s="450"/>
      <c r="Z216" s="450"/>
      <c r="AA216" s="450"/>
      <c r="AB216" s="450"/>
      <c r="AC216" s="450"/>
      <c r="AD216" s="450"/>
      <c r="AE216" s="450"/>
      <c r="AF216" s="450"/>
      <c r="AG216" s="450"/>
      <c r="AH216" s="450"/>
      <c r="AI216" s="450"/>
      <c r="AJ216" s="450"/>
      <c r="AK216" s="450"/>
      <c r="AL216" s="450"/>
      <c r="AM216" s="450"/>
      <c r="AN216" s="450"/>
      <c r="AO216" s="451"/>
    </row>
    <row r="217" spans="1:42" s="452" customFormat="1" ht="30.75" customHeight="1" thickBot="1" x14ac:dyDescent="0.3">
      <c r="A217" s="494" t="s">
        <v>765</v>
      </c>
      <c r="B217" s="524">
        <v>-3061</v>
      </c>
      <c r="C217" s="493"/>
      <c r="D217" s="497"/>
      <c r="E217" s="671"/>
      <c r="F217" s="542"/>
      <c r="G217" s="450"/>
      <c r="H217" s="450"/>
      <c r="I217" s="450"/>
      <c r="J217" s="450"/>
      <c r="K217" s="450"/>
      <c r="L217" s="450"/>
      <c r="M217" s="450"/>
      <c r="N217" s="450"/>
      <c r="O217" s="450"/>
      <c r="P217" s="450"/>
      <c r="Q217" s="450"/>
      <c r="R217" s="450"/>
      <c r="S217" s="450"/>
      <c r="T217" s="450"/>
      <c r="U217" s="450"/>
      <c r="V217" s="450"/>
      <c r="W217" s="450"/>
      <c r="X217" s="450"/>
      <c r="Y217" s="450"/>
      <c r="Z217" s="450"/>
      <c r="AA217" s="450"/>
      <c r="AB217" s="450"/>
      <c r="AC217" s="450"/>
      <c r="AD217" s="450"/>
      <c r="AE217" s="450"/>
      <c r="AF217" s="450"/>
      <c r="AG217" s="450"/>
      <c r="AH217" s="450"/>
      <c r="AI217" s="450"/>
      <c r="AJ217" s="450"/>
      <c r="AK217" s="450"/>
      <c r="AL217" s="450"/>
      <c r="AM217" s="450"/>
      <c r="AN217" s="450"/>
      <c r="AO217" s="450"/>
      <c r="AP217" s="451"/>
    </row>
    <row r="218" spans="1:42" s="666" customFormat="1" ht="39" customHeight="1" thickBot="1" x14ac:dyDescent="0.3">
      <c r="A218" s="679" t="s">
        <v>766</v>
      </c>
      <c r="B218" s="680"/>
      <c r="C218" s="671">
        <v>6500</v>
      </c>
      <c r="D218" s="671">
        <f>C218+3000</f>
        <v>9500</v>
      </c>
      <c r="E218" s="671">
        <v>1270</v>
      </c>
      <c r="F218" s="541">
        <v>1</v>
      </c>
      <c r="G218" s="664"/>
      <c r="H218" s="664"/>
      <c r="I218" s="664"/>
      <c r="J218" s="664"/>
      <c r="K218" s="664"/>
      <c r="L218" s="664"/>
      <c r="M218" s="664"/>
      <c r="N218" s="664"/>
      <c r="O218" s="664"/>
      <c r="P218" s="664"/>
      <c r="Q218" s="664"/>
      <c r="R218" s="664"/>
      <c r="S218" s="664"/>
      <c r="T218" s="664"/>
      <c r="U218" s="664"/>
      <c r="V218" s="664"/>
      <c r="W218" s="664"/>
      <c r="X218" s="664"/>
      <c r="Y218" s="664"/>
      <c r="Z218" s="664"/>
      <c r="AA218" s="664"/>
      <c r="AB218" s="664"/>
      <c r="AC218" s="664"/>
      <c r="AD218" s="664"/>
      <c r="AE218" s="664"/>
      <c r="AF218" s="664"/>
      <c r="AG218" s="664"/>
      <c r="AH218" s="664"/>
      <c r="AI218" s="664"/>
      <c r="AJ218" s="664"/>
      <c r="AK218" s="664"/>
      <c r="AL218" s="664"/>
      <c r="AM218" s="664"/>
      <c r="AN218" s="664"/>
      <c r="AO218" s="664"/>
      <c r="AP218" s="665"/>
    </row>
    <row r="219" spans="1:42" s="666" customFormat="1" ht="25.5" customHeight="1" thickBot="1" x14ac:dyDescent="0.3">
      <c r="A219" s="681" t="s">
        <v>653</v>
      </c>
      <c r="B219" s="682">
        <v>9500</v>
      </c>
      <c r="C219" s="675"/>
      <c r="D219" s="675"/>
      <c r="E219" s="675"/>
      <c r="F219" s="546"/>
      <c r="G219" s="664"/>
      <c r="H219" s="664"/>
      <c r="I219" s="664"/>
      <c r="J219" s="664"/>
      <c r="K219" s="664"/>
      <c r="L219" s="664"/>
      <c r="M219" s="664"/>
      <c r="N219" s="664"/>
      <c r="O219" s="664"/>
      <c r="P219" s="664"/>
      <c r="Q219" s="664"/>
      <c r="R219" s="664"/>
      <c r="S219" s="664"/>
      <c r="T219" s="664"/>
      <c r="U219" s="664"/>
      <c r="V219" s="664"/>
      <c r="W219" s="664"/>
      <c r="X219" s="664"/>
      <c r="Y219" s="664"/>
      <c r="Z219" s="664"/>
      <c r="AA219" s="664"/>
      <c r="AB219" s="664"/>
      <c r="AC219" s="664"/>
      <c r="AD219" s="664"/>
      <c r="AE219" s="664"/>
      <c r="AF219" s="664"/>
      <c r="AG219" s="664"/>
      <c r="AH219" s="664"/>
      <c r="AI219" s="664"/>
      <c r="AJ219" s="664"/>
      <c r="AK219" s="664"/>
      <c r="AL219" s="664"/>
      <c r="AM219" s="664"/>
      <c r="AN219" s="664"/>
      <c r="AO219" s="664"/>
      <c r="AP219" s="665"/>
    </row>
    <row r="220" spans="1:42" s="516" customFormat="1" ht="59.25" customHeight="1" thickBot="1" x14ac:dyDescent="0.3">
      <c r="A220" s="512" t="s">
        <v>654</v>
      </c>
      <c r="B220" s="513"/>
      <c r="C220" s="493">
        <v>21392</v>
      </c>
      <c r="D220" s="493">
        <f>SUM(B221:B223)</f>
        <v>0</v>
      </c>
      <c r="E220" s="671">
        <v>0</v>
      </c>
      <c r="F220" s="541">
        <f>SUM(D221:D223)</f>
        <v>0</v>
      </c>
      <c r="G220" s="514"/>
      <c r="H220" s="514"/>
      <c r="I220" s="514"/>
      <c r="J220" s="514"/>
      <c r="K220" s="514"/>
      <c r="L220" s="514"/>
      <c r="M220" s="514"/>
      <c r="N220" s="514"/>
      <c r="O220" s="514"/>
      <c r="P220" s="514"/>
      <c r="Q220" s="514"/>
      <c r="R220" s="514"/>
      <c r="S220" s="514"/>
      <c r="T220" s="514"/>
      <c r="U220" s="514"/>
      <c r="V220" s="514"/>
      <c r="W220" s="514"/>
      <c r="X220" s="514"/>
      <c r="Y220" s="514"/>
      <c r="Z220" s="514"/>
      <c r="AA220" s="514"/>
      <c r="AB220" s="514"/>
      <c r="AC220" s="514"/>
      <c r="AD220" s="514"/>
      <c r="AE220" s="514"/>
      <c r="AF220" s="514"/>
      <c r="AG220" s="514"/>
      <c r="AH220" s="514"/>
      <c r="AI220" s="514"/>
      <c r="AJ220" s="514"/>
      <c r="AK220" s="514"/>
      <c r="AL220" s="514"/>
      <c r="AM220" s="514"/>
      <c r="AN220" s="514"/>
      <c r="AO220" s="514"/>
      <c r="AP220" s="515"/>
    </row>
    <row r="221" spans="1:42" s="516" customFormat="1" ht="16.5" thickBot="1" x14ac:dyDescent="0.3">
      <c r="A221" s="494" t="s">
        <v>655</v>
      </c>
      <c r="B221" s="517">
        <v>1393</v>
      </c>
      <c r="C221" s="493"/>
      <c r="D221" s="493"/>
      <c r="E221" s="671"/>
      <c r="F221" s="541"/>
      <c r="G221" s="514"/>
      <c r="H221" s="514"/>
      <c r="I221" s="514"/>
      <c r="J221" s="514"/>
      <c r="K221" s="514"/>
      <c r="L221" s="514"/>
      <c r="M221" s="514"/>
      <c r="N221" s="514"/>
      <c r="O221" s="514"/>
      <c r="P221" s="514"/>
      <c r="Q221" s="514"/>
      <c r="R221" s="514"/>
      <c r="S221" s="514"/>
      <c r="T221" s="514"/>
      <c r="U221" s="514"/>
      <c r="V221" s="514"/>
      <c r="W221" s="514"/>
      <c r="X221" s="514"/>
      <c r="Y221" s="514"/>
      <c r="Z221" s="514"/>
      <c r="AA221" s="514"/>
      <c r="AB221" s="514"/>
      <c r="AC221" s="514"/>
      <c r="AD221" s="514"/>
      <c r="AE221" s="514"/>
      <c r="AF221" s="514"/>
      <c r="AG221" s="514"/>
      <c r="AH221" s="514"/>
      <c r="AI221" s="514"/>
      <c r="AJ221" s="514"/>
      <c r="AK221" s="514"/>
      <c r="AL221" s="514"/>
      <c r="AM221" s="514"/>
      <c r="AN221" s="514"/>
      <c r="AO221" s="514"/>
      <c r="AP221" s="515"/>
    </row>
    <row r="222" spans="1:42" s="516" customFormat="1" ht="16.5" thickBot="1" x14ac:dyDescent="0.3">
      <c r="A222" s="494" t="s">
        <v>649</v>
      </c>
      <c r="B222" s="517">
        <v>19999</v>
      </c>
      <c r="C222" s="493"/>
      <c r="D222" s="493"/>
      <c r="E222" s="671"/>
      <c r="F222" s="541"/>
      <c r="G222" s="514"/>
      <c r="H222" s="514"/>
      <c r="I222" s="514"/>
      <c r="J222" s="514"/>
      <c r="K222" s="514"/>
      <c r="L222" s="514"/>
      <c r="M222" s="514"/>
      <c r="N222" s="514"/>
      <c r="O222" s="514"/>
      <c r="P222" s="514"/>
      <c r="Q222" s="514"/>
      <c r="R222" s="514"/>
      <c r="S222" s="514"/>
      <c r="T222" s="514"/>
      <c r="U222" s="514"/>
      <c r="V222" s="514"/>
      <c r="W222" s="514"/>
      <c r="X222" s="514"/>
      <c r="Y222" s="514"/>
      <c r="Z222" s="514"/>
      <c r="AA222" s="514"/>
      <c r="AB222" s="514"/>
      <c r="AC222" s="514"/>
      <c r="AD222" s="514"/>
      <c r="AE222" s="514"/>
      <c r="AF222" s="514"/>
      <c r="AG222" s="514"/>
      <c r="AH222" s="514"/>
      <c r="AI222" s="514"/>
      <c r="AJ222" s="514"/>
      <c r="AK222" s="514"/>
      <c r="AL222" s="514"/>
      <c r="AM222" s="514"/>
      <c r="AN222" s="514"/>
      <c r="AO222" s="514"/>
      <c r="AP222" s="515"/>
    </row>
    <row r="223" spans="1:42" s="452" customFormat="1" ht="30.75" customHeight="1" thickBot="1" x14ac:dyDescent="0.3">
      <c r="A223" s="494" t="s">
        <v>765</v>
      </c>
      <c r="B223" s="524">
        <v>-21392</v>
      </c>
      <c r="C223" s="493"/>
      <c r="D223" s="497"/>
      <c r="E223" s="671"/>
      <c r="F223" s="542"/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50"/>
      <c r="R223" s="450"/>
      <c r="S223" s="450"/>
      <c r="T223" s="450"/>
      <c r="U223" s="450"/>
      <c r="V223" s="450"/>
      <c r="W223" s="450"/>
      <c r="X223" s="450"/>
      <c r="Y223" s="450"/>
      <c r="Z223" s="450"/>
      <c r="AA223" s="450"/>
      <c r="AB223" s="450"/>
      <c r="AC223" s="450"/>
      <c r="AD223" s="450"/>
      <c r="AE223" s="450"/>
      <c r="AF223" s="450"/>
      <c r="AG223" s="450"/>
      <c r="AH223" s="450"/>
      <c r="AI223" s="450"/>
      <c r="AJ223" s="450"/>
      <c r="AK223" s="450"/>
      <c r="AL223" s="450"/>
      <c r="AM223" s="450"/>
      <c r="AN223" s="450"/>
      <c r="AO223" s="450"/>
      <c r="AP223" s="451"/>
    </row>
    <row r="224" spans="1:42" s="650" customFormat="1" ht="23.25" customHeight="1" thickBot="1" x14ac:dyDescent="0.3">
      <c r="A224" s="896" t="s">
        <v>666</v>
      </c>
      <c r="B224" s="897"/>
      <c r="C224" s="671"/>
      <c r="D224" s="708">
        <v>18796</v>
      </c>
      <c r="E224" s="671">
        <v>18755</v>
      </c>
      <c r="F224" s="541">
        <f>E224/D224</f>
        <v>0.99781868482655889</v>
      </c>
      <c r="G224" s="648"/>
      <c r="H224" s="648"/>
      <c r="I224" s="648"/>
      <c r="J224" s="648"/>
      <c r="K224" s="648"/>
      <c r="L224" s="648"/>
      <c r="M224" s="648"/>
      <c r="N224" s="648"/>
      <c r="O224" s="648"/>
      <c r="P224" s="648"/>
      <c r="Q224" s="648"/>
      <c r="R224" s="648"/>
      <c r="S224" s="648"/>
      <c r="T224" s="648"/>
      <c r="U224" s="648"/>
      <c r="V224" s="648"/>
      <c r="W224" s="648"/>
      <c r="X224" s="648"/>
      <c r="Y224" s="648"/>
      <c r="Z224" s="648"/>
      <c r="AA224" s="648"/>
      <c r="AB224" s="648"/>
      <c r="AC224" s="648"/>
      <c r="AD224" s="648"/>
      <c r="AE224" s="648"/>
      <c r="AF224" s="648"/>
      <c r="AG224" s="648"/>
      <c r="AH224" s="648"/>
      <c r="AI224" s="648"/>
      <c r="AJ224" s="648"/>
      <c r="AK224" s="648"/>
      <c r="AL224" s="648"/>
      <c r="AM224" s="648"/>
      <c r="AN224" s="648"/>
      <c r="AO224" s="649"/>
    </row>
    <row r="225" spans="1:42" s="644" customFormat="1" ht="28.5" customHeight="1" thickBot="1" x14ac:dyDescent="0.3">
      <c r="A225" s="733" t="s">
        <v>643</v>
      </c>
      <c r="B225" s="678"/>
      <c r="C225" s="671"/>
      <c r="D225" s="671">
        <f>2540+9171</f>
        <v>11711</v>
      </c>
      <c r="E225" s="671">
        <f>635+9171</f>
        <v>9806</v>
      </c>
      <c r="F225" s="541">
        <f t="shared" ref="F225:F226" si="8">E225/D225</f>
        <v>0.83733242250875251</v>
      </c>
      <c r="G225" s="642"/>
      <c r="H225" s="642"/>
      <c r="I225" s="642"/>
      <c r="J225" s="642"/>
      <c r="K225" s="642"/>
      <c r="L225" s="642"/>
      <c r="M225" s="642"/>
      <c r="N225" s="642"/>
      <c r="O225" s="642"/>
      <c r="P225" s="642"/>
      <c r="Q225" s="642"/>
      <c r="R225" s="642"/>
      <c r="S225" s="642"/>
      <c r="T225" s="642"/>
      <c r="U225" s="642"/>
      <c r="V225" s="642"/>
      <c r="W225" s="642"/>
      <c r="X225" s="642"/>
      <c r="Y225" s="642"/>
      <c r="Z225" s="642"/>
      <c r="AA225" s="642"/>
      <c r="AB225" s="642"/>
      <c r="AC225" s="642"/>
      <c r="AD225" s="642"/>
      <c r="AE225" s="642"/>
      <c r="AF225" s="642"/>
      <c r="AG225" s="642"/>
      <c r="AH225" s="642"/>
      <c r="AI225" s="642"/>
      <c r="AJ225" s="642"/>
      <c r="AK225" s="642"/>
      <c r="AL225" s="642"/>
      <c r="AM225" s="642"/>
      <c r="AN225" s="642"/>
      <c r="AO225" s="642"/>
      <c r="AP225" s="643"/>
    </row>
    <row r="226" spans="1:42" s="700" customFormat="1" ht="51.75" customHeight="1" thickBot="1" x14ac:dyDescent="0.3">
      <c r="A226" s="896" t="s">
        <v>659</v>
      </c>
      <c r="B226" s="897"/>
      <c r="C226" s="701"/>
      <c r="D226" s="709">
        <f>SUM(B227:B228)</f>
        <v>24406</v>
      </c>
      <c r="E226" s="701">
        <v>762</v>
      </c>
      <c r="F226" s="541">
        <f t="shared" si="8"/>
        <v>3.1221830697369498E-2</v>
      </c>
      <c r="G226" s="661"/>
      <c r="H226" s="661"/>
      <c r="I226" s="661"/>
      <c r="J226" s="661"/>
      <c r="K226" s="661"/>
      <c r="L226" s="661"/>
      <c r="M226" s="661"/>
      <c r="N226" s="661"/>
      <c r="O226" s="661"/>
      <c r="P226" s="661"/>
      <c r="Q226" s="661"/>
      <c r="R226" s="661"/>
      <c r="S226" s="661"/>
      <c r="T226" s="661"/>
      <c r="U226" s="661"/>
      <c r="V226" s="661"/>
      <c r="W226" s="661"/>
      <c r="X226" s="661"/>
      <c r="Y226" s="661"/>
      <c r="Z226" s="661"/>
      <c r="AA226" s="661"/>
      <c r="AB226" s="661"/>
      <c r="AC226" s="661"/>
      <c r="AD226" s="661"/>
      <c r="AE226" s="661"/>
      <c r="AF226" s="661"/>
      <c r="AG226" s="661"/>
      <c r="AH226" s="661"/>
      <c r="AI226" s="661"/>
      <c r="AJ226" s="661"/>
      <c r="AK226" s="661"/>
      <c r="AL226" s="661"/>
      <c r="AM226" s="661"/>
      <c r="AN226" s="661"/>
      <c r="AO226" s="699"/>
    </row>
    <row r="227" spans="1:42" s="650" customFormat="1" ht="26.25" customHeight="1" thickBot="1" x14ac:dyDescent="0.3">
      <c r="A227" s="672" t="s">
        <v>657</v>
      </c>
      <c r="B227" s="684">
        <v>20606</v>
      </c>
      <c r="C227" s="671"/>
      <c r="D227" s="708"/>
      <c r="E227" s="671"/>
      <c r="F227" s="542"/>
      <c r="G227" s="648"/>
      <c r="H227" s="648"/>
      <c r="I227" s="648"/>
      <c r="J227" s="648"/>
      <c r="K227" s="648"/>
      <c r="L227" s="648"/>
      <c r="M227" s="648"/>
      <c r="N227" s="648"/>
      <c r="O227" s="648"/>
      <c r="P227" s="648"/>
      <c r="Q227" s="648"/>
      <c r="R227" s="648"/>
      <c r="S227" s="648"/>
      <c r="T227" s="648"/>
      <c r="U227" s="648"/>
      <c r="V227" s="648"/>
      <c r="W227" s="648"/>
      <c r="X227" s="648"/>
      <c r="Y227" s="648"/>
      <c r="Z227" s="648"/>
      <c r="AA227" s="648"/>
      <c r="AB227" s="648"/>
      <c r="AC227" s="648"/>
      <c r="AD227" s="648"/>
      <c r="AE227" s="648"/>
      <c r="AF227" s="648"/>
      <c r="AG227" s="648"/>
      <c r="AH227" s="648"/>
      <c r="AI227" s="648"/>
      <c r="AJ227" s="648"/>
      <c r="AK227" s="648"/>
      <c r="AL227" s="648"/>
      <c r="AM227" s="648"/>
      <c r="AN227" s="648"/>
      <c r="AO227" s="649"/>
    </row>
    <row r="228" spans="1:42" s="650" customFormat="1" ht="26.25" customHeight="1" thickBot="1" x14ac:dyDescent="0.3">
      <c r="A228" s="672" t="s">
        <v>658</v>
      </c>
      <c r="B228" s="684">
        <v>3800</v>
      </c>
      <c r="C228" s="671"/>
      <c r="D228" s="708"/>
      <c r="E228" s="671"/>
      <c r="F228" s="542"/>
      <c r="G228" s="648"/>
      <c r="H228" s="648"/>
      <c r="I228" s="648"/>
      <c r="J228" s="648"/>
      <c r="K228" s="648"/>
      <c r="L228" s="648"/>
      <c r="M228" s="648"/>
      <c r="N228" s="648"/>
      <c r="O228" s="648"/>
      <c r="P228" s="648"/>
      <c r="Q228" s="648"/>
      <c r="R228" s="648"/>
      <c r="S228" s="648"/>
      <c r="T228" s="648"/>
      <c r="U228" s="648"/>
      <c r="V228" s="648"/>
      <c r="W228" s="648"/>
      <c r="X228" s="648"/>
      <c r="Y228" s="648"/>
      <c r="Z228" s="648"/>
      <c r="AA228" s="648"/>
      <c r="AB228" s="648"/>
      <c r="AC228" s="648"/>
      <c r="AD228" s="648"/>
      <c r="AE228" s="648"/>
      <c r="AF228" s="648"/>
      <c r="AG228" s="648"/>
      <c r="AH228" s="648"/>
      <c r="AI228" s="648"/>
      <c r="AJ228" s="648"/>
      <c r="AK228" s="648"/>
      <c r="AL228" s="648"/>
      <c r="AM228" s="648"/>
      <c r="AN228" s="648"/>
      <c r="AO228" s="649"/>
    </row>
    <row r="229" spans="1:42" s="650" customFormat="1" ht="53.25" customHeight="1" thickBot="1" x14ac:dyDescent="0.3">
      <c r="A229" s="896" t="s">
        <v>660</v>
      </c>
      <c r="B229" s="897"/>
      <c r="C229" s="671"/>
      <c r="D229" s="708">
        <v>2000</v>
      </c>
      <c r="E229" s="671">
        <v>0</v>
      </c>
      <c r="F229" s="541">
        <v>1</v>
      </c>
      <c r="G229" s="648"/>
      <c r="H229" s="648"/>
      <c r="I229" s="648"/>
      <c r="J229" s="648"/>
      <c r="K229" s="648"/>
      <c r="L229" s="648"/>
      <c r="M229" s="648"/>
      <c r="N229" s="648"/>
      <c r="O229" s="648"/>
      <c r="P229" s="648"/>
      <c r="Q229" s="648"/>
      <c r="R229" s="648"/>
      <c r="S229" s="648"/>
      <c r="T229" s="648"/>
      <c r="U229" s="648"/>
      <c r="V229" s="648"/>
      <c r="W229" s="648"/>
      <c r="X229" s="648"/>
      <c r="Y229" s="648"/>
      <c r="Z229" s="648"/>
      <c r="AA229" s="648"/>
      <c r="AB229" s="648"/>
      <c r="AC229" s="648"/>
      <c r="AD229" s="648"/>
      <c r="AE229" s="648"/>
      <c r="AF229" s="648"/>
      <c r="AG229" s="648"/>
      <c r="AH229" s="648"/>
      <c r="AI229" s="648"/>
      <c r="AJ229" s="648"/>
      <c r="AK229" s="648"/>
      <c r="AL229" s="648"/>
      <c r="AM229" s="648"/>
      <c r="AN229" s="648"/>
      <c r="AO229" s="649"/>
    </row>
    <row r="230" spans="1:42" s="449" customFormat="1" ht="32.25" thickBot="1" x14ac:dyDescent="0.3">
      <c r="A230" s="519" t="s">
        <v>638</v>
      </c>
      <c r="B230" s="518"/>
      <c r="C230" s="493"/>
      <c r="D230" s="497">
        <f>9655+3737</f>
        <v>13392</v>
      </c>
      <c r="E230" s="671">
        <v>13392</v>
      </c>
      <c r="F230" s="542">
        <f>E230/D230</f>
        <v>1</v>
      </c>
      <c r="G230" s="447"/>
      <c r="H230" s="447"/>
      <c r="I230" s="447"/>
      <c r="J230" s="447"/>
      <c r="K230" s="447"/>
      <c r="L230" s="447"/>
      <c r="M230" s="447"/>
      <c r="N230" s="447"/>
      <c r="O230" s="447"/>
      <c r="P230" s="447"/>
      <c r="Q230" s="447"/>
      <c r="R230" s="447"/>
      <c r="S230" s="447"/>
      <c r="T230" s="447"/>
      <c r="U230" s="447"/>
      <c r="V230" s="447"/>
      <c r="W230" s="447"/>
      <c r="X230" s="447"/>
      <c r="Y230" s="447"/>
      <c r="Z230" s="447"/>
      <c r="AA230" s="447"/>
      <c r="AB230" s="447"/>
      <c r="AC230" s="447"/>
      <c r="AD230" s="447"/>
      <c r="AE230" s="447"/>
      <c r="AF230" s="447"/>
      <c r="AG230" s="447"/>
      <c r="AH230" s="447"/>
      <c r="AI230" s="447"/>
      <c r="AJ230" s="447"/>
      <c r="AK230" s="447"/>
      <c r="AL230" s="447"/>
      <c r="AM230" s="447"/>
      <c r="AN230" s="447"/>
      <c r="AO230" s="448"/>
    </row>
    <row r="231" spans="1:42" s="650" customFormat="1" ht="26.25" customHeight="1" thickBot="1" x14ac:dyDescent="0.3">
      <c r="A231" s="733" t="s">
        <v>662</v>
      </c>
      <c r="B231" s="697"/>
      <c r="C231" s="671"/>
      <c r="D231" s="708">
        <v>32600</v>
      </c>
      <c r="E231" s="671">
        <f>SUM(B232:B233)</f>
        <v>14190</v>
      </c>
      <c r="F231" s="542">
        <f>E231/D231</f>
        <v>0.43527607361963189</v>
      </c>
      <c r="G231" s="648"/>
      <c r="H231" s="648"/>
      <c r="I231" s="648"/>
      <c r="J231" s="648"/>
      <c r="K231" s="648"/>
      <c r="L231" s="648"/>
      <c r="M231" s="648"/>
      <c r="N231" s="648"/>
      <c r="O231" s="648"/>
      <c r="P231" s="648"/>
      <c r="Q231" s="648"/>
      <c r="R231" s="648"/>
      <c r="S231" s="648"/>
      <c r="T231" s="648"/>
      <c r="U231" s="648"/>
      <c r="V231" s="648"/>
      <c r="W231" s="648"/>
      <c r="X231" s="648"/>
      <c r="Y231" s="648"/>
      <c r="Z231" s="648"/>
      <c r="AA231" s="648"/>
      <c r="AB231" s="648"/>
      <c r="AC231" s="648"/>
      <c r="AD231" s="648"/>
      <c r="AE231" s="648"/>
      <c r="AF231" s="648"/>
      <c r="AG231" s="648"/>
      <c r="AH231" s="648"/>
      <c r="AI231" s="648"/>
      <c r="AJ231" s="648"/>
      <c r="AK231" s="648"/>
      <c r="AL231" s="648"/>
      <c r="AM231" s="648"/>
      <c r="AN231" s="648"/>
      <c r="AO231" s="649"/>
    </row>
    <row r="232" spans="1:42" s="650" customFormat="1" ht="26.25" customHeight="1" thickBot="1" x14ac:dyDescent="0.3">
      <c r="A232" s="672" t="s">
        <v>663</v>
      </c>
      <c r="B232" s="684">
        <v>12000</v>
      </c>
      <c r="C232" s="671"/>
      <c r="D232" s="708"/>
      <c r="E232" s="671"/>
      <c r="F232" s="542"/>
      <c r="G232" s="648"/>
      <c r="H232" s="648"/>
      <c r="I232" s="648"/>
      <c r="J232" s="648"/>
      <c r="K232" s="648"/>
      <c r="L232" s="648"/>
      <c r="M232" s="648"/>
      <c r="N232" s="648"/>
      <c r="O232" s="648"/>
      <c r="P232" s="648"/>
      <c r="Q232" s="648"/>
      <c r="R232" s="648"/>
      <c r="S232" s="648"/>
      <c r="T232" s="648"/>
      <c r="U232" s="648"/>
      <c r="V232" s="648"/>
      <c r="W232" s="648"/>
      <c r="X232" s="648"/>
      <c r="Y232" s="648"/>
      <c r="Z232" s="648"/>
      <c r="AA232" s="648"/>
      <c r="AB232" s="648"/>
      <c r="AC232" s="648"/>
      <c r="AD232" s="648"/>
      <c r="AE232" s="648"/>
      <c r="AF232" s="648"/>
      <c r="AG232" s="648"/>
      <c r="AH232" s="648"/>
      <c r="AI232" s="648"/>
      <c r="AJ232" s="648"/>
      <c r="AK232" s="648"/>
      <c r="AL232" s="648"/>
      <c r="AM232" s="648"/>
      <c r="AN232" s="648"/>
      <c r="AO232" s="649"/>
    </row>
    <row r="233" spans="1:42" s="650" customFormat="1" ht="26.25" customHeight="1" thickBot="1" x14ac:dyDescent="0.3">
      <c r="A233" s="672" t="s">
        <v>664</v>
      </c>
      <c r="B233" s="684">
        <v>2190</v>
      </c>
      <c r="C233" s="671"/>
      <c r="D233" s="708"/>
      <c r="E233" s="671"/>
      <c r="F233" s="542"/>
      <c r="G233" s="648"/>
      <c r="H233" s="648"/>
      <c r="I233" s="648"/>
      <c r="J233" s="648"/>
      <c r="K233" s="648"/>
      <c r="L233" s="648"/>
      <c r="M233" s="648"/>
      <c r="N233" s="648"/>
      <c r="O233" s="648"/>
      <c r="P233" s="648"/>
      <c r="Q233" s="648"/>
      <c r="R233" s="648"/>
      <c r="S233" s="648"/>
      <c r="T233" s="648"/>
      <c r="U233" s="648"/>
      <c r="V233" s="648"/>
      <c r="W233" s="648"/>
      <c r="X233" s="648"/>
      <c r="Y233" s="648"/>
      <c r="Z233" s="648"/>
      <c r="AA233" s="648"/>
      <c r="AB233" s="648"/>
      <c r="AC233" s="648"/>
      <c r="AD233" s="648"/>
      <c r="AE233" s="648"/>
      <c r="AF233" s="648"/>
      <c r="AG233" s="648"/>
      <c r="AH233" s="648"/>
      <c r="AI233" s="648"/>
      <c r="AJ233" s="648"/>
      <c r="AK233" s="648"/>
      <c r="AL233" s="648"/>
      <c r="AM233" s="648"/>
      <c r="AN233" s="648"/>
      <c r="AO233" s="649"/>
    </row>
    <row r="234" spans="1:42" s="650" customFormat="1" ht="26.25" customHeight="1" thickBot="1" x14ac:dyDescent="0.3">
      <c r="A234" s="669" t="s">
        <v>699</v>
      </c>
      <c r="B234" s="697"/>
      <c r="C234" s="671"/>
      <c r="D234" s="708">
        <v>8268</v>
      </c>
      <c r="E234" s="671">
        <v>8268</v>
      </c>
      <c r="F234" s="542">
        <f>E234/D234</f>
        <v>1</v>
      </c>
      <c r="G234" s="648"/>
      <c r="H234" s="648"/>
      <c r="I234" s="648"/>
      <c r="J234" s="648"/>
      <c r="K234" s="648"/>
      <c r="L234" s="648"/>
      <c r="M234" s="648"/>
      <c r="N234" s="648"/>
      <c r="O234" s="648"/>
      <c r="P234" s="648"/>
      <c r="Q234" s="648"/>
      <c r="R234" s="648"/>
      <c r="S234" s="648"/>
      <c r="T234" s="648"/>
      <c r="U234" s="648"/>
      <c r="V234" s="648"/>
      <c r="W234" s="648"/>
      <c r="X234" s="648"/>
      <c r="Y234" s="648"/>
      <c r="Z234" s="648"/>
      <c r="AA234" s="648"/>
      <c r="AB234" s="648"/>
      <c r="AC234" s="648"/>
      <c r="AD234" s="648"/>
      <c r="AE234" s="648"/>
      <c r="AF234" s="648"/>
      <c r="AG234" s="648"/>
      <c r="AH234" s="648"/>
      <c r="AI234" s="648"/>
      <c r="AJ234" s="648"/>
      <c r="AK234" s="648"/>
      <c r="AL234" s="648"/>
      <c r="AM234" s="648"/>
      <c r="AN234" s="648"/>
      <c r="AO234" s="648"/>
      <c r="AP234" s="649"/>
    </row>
    <row r="235" spans="1:42" s="449" customFormat="1" ht="29.25" customHeight="1" thickBot="1" x14ac:dyDescent="0.3">
      <c r="A235" s="519" t="s">
        <v>586</v>
      </c>
      <c r="B235" s="496"/>
      <c r="C235" s="493"/>
      <c r="D235" s="497">
        <v>6066</v>
      </c>
      <c r="E235" s="671">
        <v>6618</v>
      </c>
      <c r="F235" s="542">
        <f>E235/D235</f>
        <v>1.0909990108803165</v>
      </c>
      <c r="G235" s="447"/>
      <c r="H235" s="447"/>
      <c r="I235" s="447"/>
      <c r="J235" s="447"/>
      <c r="K235" s="447"/>
      <c r="L235" s="447"/>
      <c r="M235" s="447"/>
      <c r="N235" s="447"/>
      <c r="O235" s="447"/>
      <c r="P235" s="447"/>
      <c r="Q235" s="447"/>
      <c r="R235" s="447"/>
      <c r="S235" s="447"/>
      <c r="T235" s="447"/>
      <c r="U235" s="447"/>
      <c r="V235" s="447"/>
      <c r="W235" s="447"/>
      <c r="X235" s="447"/>
      <c r="Y235" s="447"/>
      <c r="Z235" s="447"/>
      <c r="AA235" s="447"/>
      <c r="AB235" s="447"/>
      <c r="AC235" s="447"/>
      <c r="AD235" s="447"/>
      <c r="AE235" s="447"/>
      <c r="AF235" s="447"/>
      <c r="AG235" s="447"/>
      <c r="AH235" s="447"/>
      <c r="AI235" s="447"/>
      <c r="AJ235" s="447"/>
      <c r="AK235" s="447"/>
      <c r="AL235" s="447"/>
      <c r="AM235" s="447"/>
      <c r="AN235" s="447"/>
      <c r="AO235" s="448"/>
    </row>
    <row r="236" spans="1:42" s="455" customFormat="1" ht="31.5" customHeight="1" thickBot="1" x14ac:dyDescent="0.35">
      <c r="A236" s="503" t="s">
        <v>767</v>
      </c>
      <c r="B236" s="504"/>
      <c r="C236" s="505">
        <f>SUM(C213:C235)</f>
        <v>59472</v>
      </c>
      <c r="D236" s="505">
        <f>SUM(D213:D235)</f>
        <v>156334</v>
      </c>
      <c r="E236" s="505">
        <f>SUM(E213:E235)</f>
        <v>102656</v>
      </c>
      <c r="F236" s="545">
        <f>E236/D236</f>
        <v>0.65664538743971246</v>
      </c>
      <c r="G236" s="453"/>
      <c r="H236" s="453"/>
      <c r="I236" s="453"/>
      <c r="J236" s="453"/>
      <c r="K236" s="453"/>
      <c r="L236" s="453"/>
      <c r="M236" s="453"/>
      <c r="N236" s="453"/>
      <c r="O236" s="453"/>
      <c r="P236" s="453"/>
      <c r="Q236" s="453"/>
      <c r="R236" s="453"/>
      <c r="S236" s="453"/>
      <c r="T236" s="453"/>
      <c r="U236" s="453"/>
      <c r="V236" s="453"/>
      <c r="W236" s="453"/>
      <c r="X236" s="453"/>
      <c r="Y236" s="453"/>
      <c r="Z236" s="453"/>
      <c r="AA236" s="453"/>
      <c r="AB236" s="453"/>
      <c r="AC236" s="453"/>
      <c r="AD236" s="453"/>
      <c r="AE236" s="453"/>
      <c r="AF236" s="453"/>
      <c r="AG236" s="453"/>
      <c r="AH236" s="453"/>
      <c r="AI236" s="453"/>
      <c r="AJ236" s="453"/>
      <c r="AK236" s="453"/>
      <c r="AL236" s="453"/>
      <c r="AM236" s="453"/>
      <c r="AN236" s="453"/>
      <c r="AO236" s="453"/>
      <c r="AP236" s="454"/>
    </row>
    <row r="237" spans="1:42" s="455" customFormat="1" ht="31.5" customHeight="1" thickBot="1" x14ac:dyDescent="0.35">
      <c r="A237" s="506"/>
      <c r="B237" s="507"/>
      <c r="C237" s="509"/>
      <c r="D237" s="509"/>
      <c r="E237" s="509"/>
      <c r="F237" s="544"/>
      <c r="G237" s="453"/>
      <c r="H237" s="453"/>
      <c r="I237" s="453"/>
      <c r="J237" s="453"/>
      <c r="K237" s="453"/>
      <c r="L237" s="453"/>
      <c r="M237" s="453"/>
      <c r="N237" s="453"/>
      <c r="O237" s="453"/>
      <c r="P237" s="453"/>
      <c r="Q237" s="453"/>
      <c r="R237" s="453"/>
      <c r="S237" s="453"/>
      <c r="T237" s="453"/>
      <c r="U237" s="453"/>
      <c r="V237" s="453"/>
      <c r="W237" s="453"/>
      <c r="X237" s="453"/>
      <c r="Y237" s="453"/>
      <c r="Z237" s="453"/>
      <c r="AA237" s="453"/>
      <c r="AB237" s="453"/>
      <c r="AC237" s="453"/>
      <c r="AD237" s="453"/>
      <c r="AE237" s="453"/>
      <c r="AF237" s="453"/>
      <c r="AG237" s="453"/>
      <c r="AH237" s="453"/>
      <c r="AI237" s="453"/>
      <c r="AJ237" s="453"/>
      <c r="AK237" s="453"/>
      <c r="AL237" s="453"/>
      <c r="AM237" s="453"/>
      <c r="AN237" s="453"/>
      <c r="AO237" s="453"/>
      <c r="AP237" s="454"/>
    </row>
    <row r="238" spans="1:42" s="442" customFormat="1" ht="33" customHeight="1" thickBot="1" x14ac:dyDescent="0.35">
      <c r="A238" s="488" t="s">
        <v>768</v>
      </c>
      <c r="B238" s="489"/>
      <c r="C238" s="491"/>
      <c r="D238" s="491"/>
      <c r="E238" s="491"/>
      <c r="F238" s="545"/>
      <c r="G238" s="440"/>
      <c r="H238" s="440"/>
      <c r="I238" s="440"/>
      <c r="J238" s="440"/>
      <c r="K238" s="440"/>
      <c r="L238" s="440"/>
      <c r="M238" s="440"/>
      <c r="N238" s="440"/>
      <c r="O238" s="440"/>
      <c r="P238" s="440"/>
      <c r="Q238" s="440"/>
      <c r="R238" s="440"/>
      <c r="S238" s="440"/>
      <c r="T238" s="440"/>
      <c r="U238" s="440"/>
      <c r="V238" s="440"/>
      <c r="W238" s="440"/>
      <c r="X238" s="440"/>
      <c r="Y238" s="440"/>
      <c r="Z238" s="440"/>
      <c r="AA238" s="440"/>
      <c r="AB238" s="440"/>
      <c r="AC238" s="440"/>
      <c r="AD238" s="440"/>
      <c r="AE238" s="440"/>
      <c r="AF238" s="440"/>
      <c r="AG238" s="440"/>
      <c r="AH238" s="440"/>
      <c r="AI238" s="440"/>
      <c r="AJ238" s="440"/>
      <c r="AK238" s="440"/>
      <c r="AL238" s="440"/>
      <c r="AM238" s="440"/>
      <c r="AN238" s="440"/>
      <c r="AO238" s="440"/>
      <c r="AP238" s="441"/>
    </row>
    <row r="239" spans="1:42" s="644" customFormat="1" ht="44.25" customHeight="1" thickBot="1" x14ac:dyDescent="0.3">
      <c r="A239" s="669" t="s">
        <v>769</v>
      </c>
      <c r="B239" s="670"/>
      <c r="C239" s="671">
        <v>3875</v>
      </c>
      <c r="D239" s="671">
        <v>3875</v>
      </c>
      <c r="E239" s="671">
        <v>0</v>
      </c>
      <c r="F239" s="541">
        <v>0</v>
      </c>
      <c r="G239" s="642"/>
      <c r="H239" s="642"/>
      <c r="I239" s="642"/>
      <c r="J239" s="642"/>
      <c r="K239" s="642"/>
      <c r="L239" s="642"/>
      <c r="M239" s="642"/>
      <c r="N239" s="642"/>
      <c r="O239" s="642"/>
      <c r="P239" s="642"/>
      <c r="Q239" s="642"/>
      <c r="R239" s="642"/>
      <c r="S239" s="642"/>
      <c r="T239" s="642"/>
      <c r="U239" s="642"/>
      <c r="V239" s="642"/>
      <c r="W239" s="642"/>
      <c r="X239" s="642"/>
      <c r="Y239" s="642"/>
      <c r="Z239" s="642"/>
      <c r="AA239" s="642"/>
      <c r="AB239" s="642"/>
      <c r="AC239" s="642"/>
      <c r="AD239" s="642"/>
      <c r="AE239" s="642"/>
      <c r="AF239" s="642"/>
      <c r="AG239" s="642"/>
      <c r="AH239" s="642"/>
      <c r="AI239" s="642"/>
      <c r="AJ239" s="642"/>
      <c r="AK239" s="642"/>
      <c r="AL239" s="642"/>
      <c r="AM239" s="642"/>
      <c r="AN239" s="642"/>
      <c r="AO239" s="642"/>
      <c r="AP239" s="643"/>
    </row>
    <row r="240" spans="1:42" s="516" customFormat="1" ht="32.25" thickBot="1" x14ac:dyDescent="0.3">
      <c r="A240" s="519" t="s">
        <v>762</v>
      </c>
      <c r="B240" s="492"/>
      <c r="C240" s="493">
        <v>0</v>
      </c>
      <c r="D240" s="493">
        <f>C240+1000</f>
        <v>1000</v>
      </c>
      <c r="E240" s="493">
        <v>1000</v>
      </c>
      <c r="F240" s="541">
        <f>E240/D240</f>
        <v>1</v>
      </c>
      <c r="G240" s="514"/>
      <c r="H240" s="514"/>
      <c r="I240" s="514"/>
      <c r="J240" s="514"/>
      <c r="K240" s="514"/>
      <c r="L240" s="514"/>
      <c r="M240" s="514"/>
      <c r="N240" s="514"/>
      <c r="O240" s="514"/>
      <c r="P240" s="514"/>
      <c r="Q240" s="514"/>
      <c r="R240" s="514"/>
      <c r="S240" s="514"/>
      <c r="T240" s="514"/>
      <c r="U240" s="514"/>
      <c r="V240" s="514"/>
      <c r="W240" s="514"/>
      <c r="X240" s="514"/>
      <c r="Y240" s="514"/>
      <c r="Z240" s="514"/>
      <c r="AA240" s="514"/>
      <c r="AB240" s="514"/>
      <c r="AC240" s="514"/>
      <c r="AD240" s="514"/>
      <c r="AE240" s="514"/>
      <c r="AF240" s="514"/>
      <c r="AG240" s="514"/>
      <c r="AH240" s="514"/>
      <c r="AI240" s="514"/>
      <c r="AJ240" s="514"/>
      <c r="AK240" s="514"/>
      <c r="AL240" s="514"/>
      <c r="AM240" s="514"/>
      <c r="AN240" s="514"/>
      <c r="AO240" s="514"/>
      <c r="AP240" s="515"/>
    </row>
    <row r="241" spans="1:42" s="449" customFormat="1" ht="27" customHeight="1" thickBot="1" x14ac:dyDescent="0.3">
      <c r="A241" s="896" t="s">
        <v>645</v>
      </c>
      <c r="B241" s="900"/>
      <c r="C241" s="493"/>
      <c r="D241" s="497">
        <v>98</v>
      </c>
      <c r="E241" s="493">
        <v>98</v>
      </c>
      <c r="F241" s="541">
        <f>E241/D241</f>
        <v>1</v>
      </c>
      <c r="G241" s="447"/>
      <c r="H241" s="447"/>
      <c r="I241" s="447"/>
      <c r="J241" s="447"/>
      <c r="K241" s="447"/>
      <c r="L241" s="447"/>
      <c r="M241" s="447"/>
      <c r="N241" s="447"/>
      <c r="O241" s="447"/>
      <c r="P241" s="447"/>
      <c r="Q241" s="447"/>
      <c r="R241" s="447"/>
      <c r="S241" s="447"/>
      <c r="T241" s="447"/>
      <c r="U241" s="447"/>
      <c r="V241" s="447"/>
      <c r="W241" s="447"/>
      <c r="X241" s="447"/>
      <c r="Y241" s="447"/>
      <c r="Z241" s="447"/>
      <c r="AA241" s="447"/>
      <c r="AB241" s="447"/>
      <c r="AC241" s="447"/>
      <c r="AD241" s="447"/>
      <c r="AE241" s="447"/>
      <c r="AF241" s="447"/>
      <c r="AG241" s="447"/>
      <c r="AH241" s="447"/>
      <c r="AI241" s="447"/>
      <c r="AJ241" s="447"/>
      <c r="AK241" s="447"/>
      <c r="AL241" s="447"/>
      <c r="AM241" s="447"/>
      <c r="AN241" s="447"/>
      <c r="AO241" s="447"/>
      <c r="AP241" s="448"/>
    </row>
    <row r="242" spans="1:42" s="452" customFormat="1" ht="39.75" customHeight="1" thickBot="1" x14ac:dyDescent="0.3">
      <c r="A242" s="519" t="s">
        <v>606</v>
      </c>
      <c r="B242" s="496"/>
      <c r="C242" s="493"/>
      <c r="D242" s="497">
        <v>14000</v>
      </c>
      <c r="E242" s="493">
        <v>14000</v>
      </c>
      <c r="F242" s="541">
        <f t="shared" ref="F242:F244" si="9">E242/D242</f>
        <v>1</v>
      </c>
      <c r="G242" s="450"/>
      <c r="H242" s="450"/>
      <c r="I242" s="450"/>
      <c r="J242" s="450"/>
      <c r="K242" s="450"/>
      <c r="L242" s="450"/>
      <c r="M242" s="450"/>
      <c r="N242" s="450"/>
      <c r="O242" s="450"/>
      <c r="P242" s="450"/>
      <c r="Q242" s="450"/>
      <c r="R242" s="450"/>
      <c r="S242" s="450"/>
      <c r="T242" s="450"/>
      <c r="U242" s="450"/>
      <c r="V242" s="450"/>
      <c r="W242" s="450"/>
      <c r="X242" s="450"/>
      <c r="Y242" s="450"/>
      <c r="Z242" s="450"/>
      <c r="AA242" s="450"/>
      <c r="AB242" s="450"/>
      <c r="AC242" s="450"/>
      <c r="AD242" s="450"/>
      <c r="AE242" s="450"/>
      <c r="AF242" s="450"/>
      <c r="AG242" s="450"/>
      <c r="AH242" s="450"/>
      <c r="AI242" s="450"/>
      <c r="AJ242" s="450"/>
      <c r="AK242" s="450"/>
      <c r="AL242" s="450"/>
      <c r="AM242" s="450"/>
      <c r="AN242" s="450"/>
      <c r="AO242" s="451"/>
    </row>
    <row r="243" spans="1:42" s="449" customFormat="1" ht="63.75" thickBot="1" x14ac:dyDescent="0.3">
      <c r="A243" s="519" t="s">
        <v>603</v>
      </c>
      <c r="B243" s="518"/>
      <c r="C243" s="493"/>
      <c r="D243" s="497">
        <v>9000</v>
      </c>
      <c r="E243" s="493">
        <v>9000</v>
      </c>
      <c r="F243" s="541">
        <f t="shared" si="9"/>
        <v>1</v>
      </c>
      <c r="G243" s="447"/>
      <c r="H243" s="447"/>
      <c r="I243" s="447"/>
      <c r="J243" s="447"/>
      <c r="K243" s="447"/>
      <c r="L243" s="447"/>
      <c r="M243" s="447"/>
      <c r="N243" s="447"/>
      <c r="O243" s="447"/>
      <c r="P243" s="447"/>
      <c r="Q243" s="447"/>
      <c r="R243" s="447"/>
      <c r="S243" s="447"/>
      <c r="T243" s="447"/>
      <c r="U243" s="447"/>
      <c r="V243" s="447"/>
      <c r="W243" s="447"/>
      <c r="X243" s="447"/>
      <c r="Y243" s="447"/>
      <c r="Z243" s="447"/>
      <c r="AA243" s="447"/>
      <c r="AB243" s="447"/>
      <c r="AC243" s="447"/>
      <c r="AD243" s="447"/>
      <c r="AE243" s="447"/>
      <c r="AF243" s="447"/>
      <c r="AG243" s="447"/>
      <c r="AH243" s="447"/>
      <c r="AI243" s="447"/>
      <c r="AJ243" s="447"/>
      <c r="AK243" s="447"/>
      <c r="AL243" s="447"/>
      <c r="AM243" s="447"/>
      <c r="AN243" s="447"/>
      <c r="AO243" s="448"/>
    </row>
    <row r="244" spans="1:42" s="452" customFormat="1" ht="39.75" customHeight="1" thickBot="1" x14ac:dyDescent="0.3">
      <c r="A244" s="519" t="s">
        <v>770</v>
      </c>
      <c r="B244" s="496"/>
      <c r="C244" s="493"/>
      <c r="D244" s="497">
        <v>4000</v>
      </c>
      <c r="E244" s="493">
        <v>4000</v>
      </c>
      <c r="F244" s="541">
        <f t="shared" si="9"/>
        <v>1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50"/>
      <c r="R244" s="450"/>
      <c r="S244" s="450"/>
      <c r="T244" s="450"/>
      <c r="U244" s="450"/>
      <c r="V244" s="450"/>
      <c r="W244" s="450"/>
      <c r="X244" s="450"/>
      <c r="Y244" s="450"/>
      <c r="Z244" s="450"/>
      <c r="AA244" s="450"/>
      <c r="AB244" s="450"/>
      <c r="AC244" s="450"/>
      <c r="AD244" s="450"/>
      <c r="AE244" s="450"/>
      <c r="AF244" s="450"/>
      <c r="AG244" s="450"/>
      <c r="AH244" s="450"/>
      <c r="AI244" s="450"/>
      <c r="AJ244" s="450"/>
      <c r="AK244" s="450"/>
      <c r="AL244" s="450"/>
      <c r="AM244" s="450"/>
      <c r="AN244" s="450"/>
      <c r="AO244" s="451"/>
    </row>
    <row r="245" spans="1:42" s="650" customFormat="1" ht="26.25" customHeight="1" thickBot="1" x14ac:dyDescent="0.3">
      <c r="A245" s="733" t="s">
        <v>662</v>
      </c>
      <c r="B245" s="697"/>
      <c r="C245" s="671"/>
      <c r="D245" s="708">
        <v>27400</v>
      </c>
      <c r="E245" s="671">
        <v>0</v>
      </c>
      <c r="F245" s="542">
        <f>SUM(D246)</f>
        <v>0</v>
      </c>
      <c r="G245" s="648"/>
      <c r="H245" s="648"/>
      <c r="I245" s="648"/>
      <c r="J245" s="648"/>
      <c r="K245" s="648"/>
      <c r="L245" s="648"/>
      <c r="M245" s="648"/>
      <c r="N245" s="648"/>
      <c r="O245" s="648"/>
      <c r="P245" s="648"/>
      <c r="Q245" s="648"/>
      <c r="R245" s="648"/>
      <c r="S245" s="648"/>
      <c r="T245" s="648"/>
      <c r="U245" s="648"/>
      <c r="V245" s="648"/>
      <c r="W245" s="648"/>
      <c r="X245" s="648"/>
      <c r="Y245" s="648"/>
      <c r="Z245" s="648"/>
      <c r="AA245" s="648"/>
      <c r="AB245" s="648"/>
      <c r="AC245" s="648"/>
      <c r="AD245" s="648"/>
      <c r="AE245" s="648"/>
      <c r="AF245" s="648"/>
      <c r="AG245" s="648"/>
      <c r="AH245" s="648"/>
      <c r="AI245" s="648"/>
      <c r="AJ245" s="648"/>
      <c r="AK245" s="648"/>
      <c r="AL245" s="648"/>
      <c r="AM245" s="648"/>
      <c r="AN245" s="648"/>
      <c r="AO245" s="649"/>
    </row>
    <row r="246" spans="1:42" s="650" customFormat="1" ht="26.25" customHeight="1" thickBot="1" x14ac:dyDescent="0.3">
      <c r="A246" s="672" t="s">
        <v>665</v>
      </c>
      <c r="B246" s="684">
        <v>0</v>
      </c>
      <c r="C246" s="671"/>
      <c r="D246" s="708"/>
      <c r="E246" s="671"/>
      <c r="F246" s="542"/>
      <c r="G246" s="648"/>
      <c r="H246" s="648"/>
      <c r="I246" s="648"/>
      <c r="J246" s="648"/>
      <c r="K246" s="648"/>
      <c r="L246" s="648"/>
      <c r="M246" s="648"/>
      <c r="N246" s="648"/>
      <c r="O246" s="648"/>
      <c r="P246" s="648"/>
      <c r="Q246" s="648"/>
      <c r="R246" s="648"/>
      <c r="S246" s="648"/>
      <c r="T246" s="648"/>
      <c r="U246" s="648"/>
      <c r="V246" s="648"/>
      <c r="W246" s="648"/>
      <c r="X246" s="648"/>
      <c r="Y246" s="648"/>
      <c r="Z246" s="648"/>
      <c r="AA246" s="648"/>
      <c r="AB246" s="648"/>
      <c r="AC246" s="648"/>
      <c r="AD246" s="648"/>
      <c r="AE246" s="648"/>
      <c r="AF246" s="648"/>
      <c r="AG246" s="648"/>
      <c r="AH246" s="648"/>
      <c r="AI246" s="648"/>
      <c r="AJ246" s="648"/>
      <c r="AK246" s="648"/>
      <c r="AL246" s="648"/>
      <c r="AM246" s="648"/>
      <c r="AN246" s="648"/>
      <c r="AO246" s="649"/>
    </row>
    <row r="247" spans="1:42" s="455" customFormat="1" ht="31.5" customHeight="1" thickBot="1" x14ac:dyDescent="0.35">
      <c r="A247" s="503" t="s">
        <v>771</v>
      </c>
      <c r="B247" s="504"/>
      <c r="C247" s="505">
        <f>SUM(C239:C246)</f>
        <v>3875</v>
      </c>
      <c r="D247" s="505">
        <f>SUM(D239:D246)</f>
        <v>59373</v>
      </c>
      <c r="E247" s="505">
        <f>SUM(E239:E246)</f>
        <v>28098</v>
      </c>
      <c r="F247" s="545">
        <f>E247/D247</f>
        <v>0.47324541458238595</v>
      </c>
      <c r="G247" s="453"/>
      <c r="H247" s="453"/>
      <c r="I247" s="453"/>
      <c r="J247" s="453"/>
      <c r="K247" s="453"/>
      <c r="L247" s="453"/>
      <c r="M247" s="453"/>
      <c r="N247" s="453"/>
      <c r="O247" s="453"/>
      <c r="P247" s="453"/>
      <c r="Q247" s="453"/>
      <c r="R247" s="453"/>
      <c r="S247" s="453"/>
      <c r="T247" s="453"/>
      <c r="U247" s="453"/>
      <c r="V247" s="453"/>
      <c r="W247" s="453"/>
      <c r="X247" s="453"/>
      <c r="Y247" s="453"/>
      <c r="Z247" s="453"/>
      <c r="AA247" s="453"/>
      <c r="AB247" s="453"/>
      <c r="AC247" s="453"/>
      <c r="AD247" s="453"/>
      <c r="AE247" s="453"/>
      <c r="AF247" s="453"/>
      <c r="AG247" s="453"/>
      <c r="AH247" s="453"/>
      <c r="AI247" s="453"/>
      <c r="AJ247" s="453"/>
      <c r="AK247" s="453"/>
      <c r="AL247" s="453"/>
      <c r="AM247" s="453"/>
      <c r="AN247" s="453"/>
      <c r="AO247" s="453"/>
      <c r="AP247" s="454"/>
    </row>
    <row r="248" spans="1:42" s="455" customFormat="1" ht="31.5" customHeight="1" thickBot="1" x14ac:dyDescent="0.35">
      <c r="A248" s="506"/>
      <c r="B248" s="507"/>
      <c r="C248" s="508"/>
      <c r="D248" s="509"/>
      <c r="E248" s="508"/>
      <c r="F248" s="544"/>
      <c r="G248" s="453"/>
      <c r="H248" s="453"/>
      <c r="I248" s="453"/>
      <c r="J248" s="453"/>
      <c r="K248" s="453"/>
      <c r="L248" s="453"/>
      <c r="M248" s="453"/>
      <c r="N248" s="453"/>
      <c r="O248" s="453"/>
      <c r="P248" s="453"/>
      <c r="Q248" s="453"/>
      <c r="R248" s="453"/>
      <c r="S248" s="453"/>
      <c r="T248" s="453"/>
      <c r="U248" s="453"/>
      <c r="V248" s="453"/>
      <c r="W248" s="453"/>
      <c r="X248" s="453"/>
      <c r="Y248" s="453"/>
      <c r="Z248" s="453"/>
      <c r="AA248" s="453"/>
      <c r="AB248" s="453"/>
      <c r="AC248" s="453"/>
      <c r="AD248" s="453"/>
      <c r="AE248" s="453"/>
      <c r="AF248" s="453"/>
      <c r="AG248" s="453"/>
      <c r="AH248" s="453"/>
      <c r="AI248" s="453"/>
      <c r="AJ248" s="453"/>
      <c r="AK248" s="453"/>
      <c r="AL248" s="453"/>
      <c r="AM248" s="453"/>
      <c r="AN248" s="453"/>
      <c r="AO248" s="453"/>
      <c r="AP248" s="454"/>
    </row>
    <row r="249" spans="1:42" s="442" customFormat="1" ht="33" customHeight="1" thickBot="1" x14ac:dyDescent="0.35">
      <c r="A249" s="488" t="s">
        <v>772</v>
      </c>
      <c r="B249" s="489"/>
      <c r="C249" s="491"/>
      <c r="D249" s="491"/>
      <c r="E249" s="491"/>
      <c r="F249" s="545"/>
      <c r="G249" s="440"/>
      <c r="H249" s="440"/>
      <c r="I249" s="440"/>
      <c r="J249" s="440"/>
      <c r="K249" s="440"/>
      <c r="L249" s="440"/>
      <c r="M249" s="440"/>
      <c r="N249" s="440"/>
      <c r="O249" s="440"/>
      <c r="P249" s="440"/>
      <c r="Q249" s="440"/>
      <c r="R249" s="440"/>
      <c r="S249" s="440"/>
      <c r="T249" s="440"/>
      <c r="U249" s="440"/>
      <c r="V249" s="440"/>
      <c r="W249" s="440"/>
      <c r="X249" s="440"/>
      <c r="Y249" s="440"/>
      <c r="Z249" s="440"/>
      <c r="AA249" s="440"/>
      <c r="AB249" s="440"/>
      <c r="AC249" s="440"/>
      <c r="AD249" s="440"/>
      <c r="AE249" s="440"/>
      <c r="AF249" s="440"/>
      <c r="AG249" s="440"/>
      <c r="AH249" s="440"/>
      <c r="AI249" s="440"/>
      <c r="AJ249" s="440"/>
      <c r="AK249" s="440"/>
      <c r="AL249" s="440"/>
      <c r="AM249" s="440"/>
      <c r="AN249" s="440"/>
      <c r="AO249" s="440"/>
      <c r="AP249" s="441"/>
    </row>
    <row r="250" spans="1:42" s="668" customFormat="1" ht="38.25" customHeight="1" thickBot="1" x14ac:dyDescent="0.3">
      <c r="A250" s="669" t="s">
        <v>773</v>
      </c>
      <c r="B250" s="683"/>
      <c r="C250" s="671">
        <v>49935</v>
      </c>
      <c r="D250" s="671">
        <v>49935</v>
      </c>
      <c r="E250" s="671">
        <v>49935</v>
      </c>
      <c r="F250" s="541">
        <f>E250/D250</f>
        <v>1</v>
      </c>
      <c r="G250" s="648"/>
      <c r="H250" s="648"/>
      <c r="I250" s="648"/>
      <c r="J250" s="648"/>
      <c r="K250" s="648"/>
      <c r="L250" s="648"/>
      <c r="M250" s="648"/>
      <c r="N250" s="648"/>
      <c r="O250" s="648"/>
      <c r="P250" s="648"/>
      <c r="Q250" s="648"/>
      <c r="R250" s="648"/>
      <c r="S250" s="648"/>
      <c r="T250" s="648"/>
      <c r="U250" s="648"/>
      <c r="V250" s="648"/>
      <c r="W250" s="648"/>
      <c r="X250" s="648"/>
      <c r="Y250" s="648"/>
      <c r="Z250" s="648"/>
      <c r="AA250" s="648"/>
      <c r="AB250" s="648"/>
      <c r="AC250" s="648"/>
      <c r="AD250" s="648"/>
      <c r="AE250" s="648"/>
      <c r="AF250" s="648"/>
      <c r="AG250" s="648"/>
      <c r="AH250" s="648"/>
      <c r="AI250" s="648"/>
      <c r="AJ250" s="648"/>
      <c r="AK250" s="648"/>
      <c r="AL250" s="648"/>
      <c r="AM250" s="648"/>
      <c r="AN250" s="648"/>
      <c r="AO250" s="648"/>
      <c r="AP250" s="667"/>
    </row>
    <row r="251" spans="1:42" s="452" customFormat="1" ht="47.25" customHeight="1" thickBot="1" x14ac:dyDescent="0.3">
      <c r="A251" s="519" t="s">
        <v>730</v>
      </c>
      <c r="B251" s="525"/>
      <c r="C251" s="493">
        <v>1228730</v>
      </c>
      <c r="D251" s="493">
        <f>C251+35363-605-5888-32000</f>
        <v>1225600</v>
      </c>
      <c r="E251" s="493">
        <v>1225600</v>
      </c>
      <c r="F251" s="541">
        <f>E251/D251</f>
        <v>1</v>
      </c>
      <c r="G251" s="450"/>
      <c r="H251" s="450"/>
      <c r="I251" s="450"/>
      <c r="J251" s="450"/>
      <c r="K251" s="450"/>
      <c r="L251" s="450"/>
      <c r="M251" s="450"/>
      <c r="N251" s="450"/>
      <c r="O251" s="450"/>
      <c r="P251" s="450"/>
      <c r="Q251" s="450"/>
      <c r="R251" s="450"/>
      <c r="S251" s="450"/>
      <c r="T251" s="450"/>
      <c r="U251" s="450"/>
      <c r="V251" s="450"/>
      <c r="W251" s="450"/>
      <c r="X251" s="450"/>
      <c r="Y251" s="450"/>
      <c r="Z251" s="450"/>
      <c r="AA251" s="450"/>
      <c r="AB251" s="450"/>
      <c r="AC251" s="450"/>
      <c r="AD251" s="450"/>
      <c r="AE251" s="450"/>
      <c r="AF251" s="450"/>
      <c r="AG251" s="450"/>
      <c r="AH251" s="450"/>
      <c r="AI251" s="450"/>
      <c r="AJ251" s="450"/>
      <c r="AK251" s="450"/>
      <c r="AL251" s="450"/>
      <c r="AM251" s="450"/>
      <c r="AN251" s="450"/>
      <c r="AO251" s="450"/>
      <c r="AP251" s="451"/>
    </row>
    <row r="252" spans="1:42" s="455" customFormat="1" ht="31.5" customHeight="1" thickBot="1" x14ac:dyDescent="0.35">
      <c r="A252" s="503" t="s">
        <v>774</v>
      </c>
      <c r="B252" s="504"/>
      <c r="C252" s="505">
        <f>SUM(C250:C251)</f>
        <v>1278665</v>
      </c>
      <c r="D252" s="505">
        <f>SUM(D250:D251)</f>
        <v>1275535</v>
      </c>
      <c r="E252" s="505">
        <f>SUM(E250:E251)</f>
        <v>1275535</v>
      </c>
      <c r="F252" s="543">
        <f>E250/D250</f>
        <v>1</v>
      </c>
      <c r="G252" s="453"/>
      <c r="H252" s="453"/>
      <c r="I252" s="453"/>
      <c r="J252" s="453"/>
      <c r="K252" s="453"/>
      <c r="L252" s="453"/>
      <c r="M252" s="453"/>
      <c r="N252" s="453"/>
      <c r="O252" s="453"/>
      <c r="P252" s="453"/>
      <c r="Q252" s="453"/>
      <c r="R252" s="453"/>
      <c r="S252" s="453"/>
      <c r="T252" s="453"/>
      <c r="U252" s="453"/>
      <c r="V252" s="453"/>
      <c r="W252" s="453"/>
      <c r="X252" s="453"/>
      <c r="Y252" s="453"/>
      <c r="Z252" s="453"/>
      <c r="AA252" s="453"/>
      <c r="AB252" s="453"/>
      <c r="AC252" s="453"/>
      <c r="AD252" s="453"/>
      <c r="AE252" s="453"/>
      <c r="AF252" s="453"/>
      <c r="AG252" s="453"/>
      <c r="AH252" s="453"/>
      <c r="AI252" s="453"/>
      <c r="AJ252" s="453"/>
      <c r="AK252" s="453"/>
      <c r="AL252" s="453"/>
      <c r="AM252" s="453"/>
      <c r="AN252" s="453"/>
      <c r="AO252" s="453"/>
      <c r="AP252" s="454"/>
    </row>
    <row r="253" spans="1:42" thickBot="1" x14ac:dyDescent="0.35">
      <c r="A253" s="526"/>
      <c r="B253" s="527"/>
      <c r="C253" s="528"/>
      <c r="D253" s="529"/>
      <c r="E253" s="528"/>
      <c r="F253" s="548"/>
    </row>
    <row r="254" spans="1:42" s="455" customFormat="1" ht="31.5" customHeight="1" thickBot="1" x14ac:dyDescent="0.35">
      <c r="A254" s="503" t="s">
        <v>775</v>
      </c>
      <c r="B254" s="522"/>
      <c r="C254" s="491">
        <f>SUM(C23+C41+C128+C141+C185+C210+C236+C247+C252)</f>
        <v>2712968</v>
      </c>
      <c r="D254" s="491">
        <f>SUM(D23+D41+D128+D141+D185+D210+D236+D247+D252)</f>
        <v>3081144</v>
      </c>
      <c r="E254" s="491">
        <f>SUM(E23+E41+E128+E141+E185+E210+E236+E247+E252)</f>
        <v>2724601</v>
      </c>
      <c r="F254" s="543">
        <f>E252/D252</f>
        <v>1</v>
      </c>
      <c r="G254" s="453"/>
      <c r="H254" s="453"/>
      <c r="I254" s="453"/>
      <c r="J254" s="453"/>
      <c r="K254" s="453"/>
      <c r="L254" s="453"/>
      <c r="M254" s="453"/>
      <c r="N254" s="453"/>
      <c r="O254" s="453"/>
      <c r="P254" s="453"/>
      <c r="Q254" s="453"/>
      <c r="R254" s="453"/>
      <c r="S254" s="453"/>
      <c r="T254" s="453"/>
      <c r="U254" s="453"/>
      <c r="V254" s="453"/>
      <c r="W254" s="453"/>
      <c r="X254" s="453"/>
      <c r="Y254" s="453"/>
      <c r="Z254" s="453"/>
      <c r="AA254" s="453"/>
      <c r="AB254" s="453"/>
      <c r="AC254" s="453"/>
      <c r="AD254" s="453"/>
      <c r="AE254" s="453"/>
      <c r="AF254" s="453"/>
      <c r="AG254" s="453"/>
      <c r="AH254" s="453"/>
      <c r="AI254" s="453"/>
      <c r="AJ254" s="453"/>
      <c r="AK254" s="453"/>
      <c r="AL254" s="453"/>
      <c r="AM254" s="453"/>
      <c r="AN254" s="453"/>
      <c r="AO254" s="453"/>
      <c r="AP254" s="454"/>
    </row>
    <row r="255" spans="1:42" thickBot="1" x14ac:dyDescent="0.35">
      <c r="A255" s="532"/>
      <c r="B255" s="532"/>
      <c r="C255" s="481"/>
      <c r="D255" s="481"/>
      <c r="E255" s="456"/>
    </row>
    <row r="256" spans="1:42" thickBot="1" x14ac:dyDescent="0.35">
      <c r="A256" s="532"/>
      <c r="B256" s="532"/>
      <c r="C256" s="481"/>
      <c r="D256" s="481"/>
      <c r="E256" s="456"/>
    </row>
    <row r="257" spans="1:5" thickBot="1" x14ac:dyDescent="0.35">
      <c r="A257" s="532"/>
      <c r="B257" s="532"/>
      <c r="C257" s="481"/>
      <c r="D257" s="481"/>
      <c r="E257" s="456"/>
    </row>
    <row r="258" spans="1:5" thickBot="1" x14ac:dyDescent="0.35">
      <c r="A258" s="532"/>
      <c r="B258" s="532"/>
      <c r="C258" s="481"/>
      <c r="D258" s="481"/>
      <c r="E258" s="456"/>
    </row>
    <row r="259" spans="1:5" thickBot="1" x14ac:dyDescent="0.35">
      <c r="A259" s="532"/>
      <c r="B259" s="532"/>
      <c r="C259" s="481"/>
      <c r="D259" s="481"/>
      <c r="E259" s="456"/>
    </row>
    <row r="260" spans="1:5" thickBot="1" x14ac:dyDescent="0.35">
      <c r="A260" s="532"/>
      <c r="B260" s="532"/>
      <c r="C260" s="481"/>
      <c r="D260" s="481"/>
      <c r="E260" s="456"/>
    </row>
    <row r="261" spans="1:5" thickBot="1" x14ac:dyDescent="0.35">
      <c r="A261" s="532"/>
      <c r="B261" s="532"/>
      <c r="C261" s="481"/>
      <c r="D261" s="481"/>
      <c r="E261" s="456"/>
    </row>
    <row r="262" spans="1:5" thickBot="1" x14ac:dyDescent="0.35">
      <c r="A262" s="532"/>
      <c r="B262" s="532"/>
      <c r="C262" s="481"/>
      <c r="D262" s="481"/>
      <c r="E262" s="456"/>
    </row>
    <row r="263" spans="1:5" thickBot="1" x14ac:dyDescent="0.35">
      <c r="A263" s="532"/>
      <c r="B263" s="532"/>
      <c r="C263" s="481"/>
      <c r="D263" s="481"/>
      <c r="E263" s="456"/>
    </row>
    <row r="264" spans="1:5" thickBot="1" x14ac:dyDescent="0.35">
      <c r="A264" s="532"/>
      <c r="B264" s="532"/>
      <c r="C264" s="481"/>
      <c r="D264" s="481"/>
      <c r="E264" s="456"/>
    </row>
    <row r="265" spans="1:5" thickBot="1" x14ac:dyDescent="0.35">
      <c r="A265" s="532"/>
      <c r="B265" s="532"/>
      <c r="C265" s="481"/>
      <c r="D265" s="481"/>
      <c r="E265" s="456"/>
    </row>
    <row r="266" spans="1:5" thickBot="1" x14ac:dyDescent="0.35">
      <c r="A266" s="532"/>
      <c r="B266" s="532"/>
      <c r="C266" s="481"/>
      <c r="D266" s="481"/>
      <c r="E266" s="456"/>
    </row>
    <row r="267" spans="1:5" thickBot="1" x14ac:dyDescent="0.35">
      <c r="A267" s="532"/>
      <c r="B267" s="532"/>
      <c r="C267" s="481"/>
      <c r="D267" s="481"/>
      <c r="E267" s="456"/>
    </row>
    <row r="268" spans="1:5" thickBot="1" x14ac:dyDescent="0.35">
      <c r="A268" s="532"/>
      <c r="B268" s="532"/>
      <c r="C268" s="481"/>
      <c r="D268" s="481"/>
      <c r="E268" s="456"/>
    </row>
    <row r="269" spans="1:5" thickBot="1" x14ac:dyDescent="0.35">
      <c r="A269" s="532"/>
      <c r="B269" s="532"/>
      <c r="C269" s="481"/>
      <c r="D269" s="481"/>
      <c r="E269" s="456"/>
    </row>
    <row r="270" spans="1:5" thickBot="1" x14ac:dyDescent="0.35">
      <c r="A270" s="532"/>
      <c r="B270" s="532"/>
      <c r="C270" s="481"/>
      <c r="D270" s="481"/>
      <c r="E270" s="456"/>
    </row>
    <row r="271" spans="1:5" thickBot="1" x14ac:dyDescent="0.35">
      <c r="A271" s="532"/>
      <c r="B271" s="532"/>
      <c r="C271" s="481"/>
      <c r="D271" s="481"/>
      <c r="E271" s="456"/>
    </row>
    <row r="272" spans="1:5" thickBot="1" x14ac:dyDescent="0.35">
      <c r="A272" s="532"/>
      <c r="B272" s="532"/>
      <c r="C272" s="481"/>
      <c r="D272" s="481"/>
      <c r="E272" s="456"/>
    </row>
    <row r="273" spans="1:5" thickBot="1" x14ac:dyDescent="0.35">
      <c r="A273" s="532"/>
      <c r="B273" s="532"/>
      <c r="C273" s="481"/>
      <c r="D273" s="481"/>
      <c r="E273" s="456"/>
    </row>
    <row r="274" spans="1:5" thickBot="1" x14ac:dyDescent="0.35">
      <c r="A274" s="532"/>
      <c r="B274" s="532"/>
      <c r="C274" s="481"/>
      <c r="D274" s="481"/>
      <c r="E274" s="456"/>
    </row>
    <row r="275" spans="1:5" thickBot="1" x14ac:dyDescent="0.35">
      <c r="A275" s="532"/>
      <c r="B275" s="532"/>
      <c r="C275" s="481"/>
      <c r="D275" s="481"/>
      <c r="E275" s="456"/>
    </row>
    <row r="276" spans="1:5" thickBot="1" x14ac:dyDescent="0.35">
      <c r="A276" s="532"/>
      <c r="B276" s="532"/>
      <c r="C276" s="481"/>
      <c r="D276" s="481"/>
      <c r="E276" s="456"/>
    </row>
    <row r="277" spans="1:5" thickBot="1" x14ac:dyDescent="0.35">
      <c r="A277" s="532"/>
      <c r="B277" s="532"/>
      <c r="C277" s="481"/>
      <c r="D277" s="481"/>
      <c r="E277" s="456"/>
    </row>
    <row r="278" spans="1:5" thickBot="1" x14ac:dyDescent="0.35">
      <c r="A278" s="532"/>
      <c r="B278" s="532"/>
      <c r="C278" s="481"/>
      <c r="D278" s="481"/>
      <c r="E278" s="456"/>
    </row>
    <row r="279" spans="1:5" thickBot="1" x14ac:dyDescent="0.35">
      <c r="A279" s="532"/>
      <c r="B279" s="532"/>
      <c r="C279" s="481"/>
      <c r="D279" s="481"/>
      <c r="E279" s="456"/>
    </row>
    <row r="280" spans="1:5" thickBot="1" x14ac:dyDescent="0.35">
      <c r="A280" s="532"/>
      <c r="B280" s="532"/>
      <c r="C280" s="481"/>
      <c r="D280" s="481"/>
      <c r="E280" s="456"/>
    </row>
    <row r="281" spans="1:5" thickBot="1" x14ac:dyDescent="0.35">
      <c r="A281" s="532"/>
      <c r="B281" s="532"/>
      <c r="C281" s="481"/>
      <c r="D281" s="481"/>
      <c r="E281" s="456"/>
    </row>
    <row r="282" spans="1:5" thickBot="1" x14ac:dyDescent="0.35">
      <c r="A282" s="532"/>
      <c r="B282" s="532"/>
      <c r="C282" s="481"/>
      <c r="D282" s="481"/>
      <c r="E282" s="456"/>
    </row>
    <row r="283" spans="1:5" thickBot="1" x14ac:dyDescent="0.35">
      <c r="A283" s="532"/>
      <c r="B283" s="532"/>
      <c r="C283" s="481"/>
      <c r="D283" s="481"/>
    </row>
    <row r="284" spans="1:5" thickBot="1" x14ac:dyDescent="0.35">
      <c r="A284" s="532"/>
      <c r="B284" s="532"/>
      <c r="C284" s="481"/>
      <c r="D284" s="481"/>
    </row>
    <row r="285" spans="1:5" thickBot="1" x14ac:dyDescent="0.35">
      <c r="A285" s="532"/>
      <c r="B285" s="532"/>
      <c r="C285" s="481"/>
      <c r="D285" s="481"/>
    </row>
    <row r="286" spans="1:5" thickBot="1" x14ac:dyDescent="0.35">
      <c r="A286" s="532"/>
      <c r="B286" s="532"/>
      <c r="C286" s="481"/>
      <c r="D286" s="481"/>
    </row>
    <row r="287" spans="1:5" thickBot="1" x14ac:dyDescent="0.35">
      <c r="A287" s="532"/>
      <c r="B287" s="532"/>
      <c r="C287" s="481"/>
      <c r="D287" s="481"/>
    </row>
    <row r="288" spans="1:5" thickBot="1" x14ac:dyDescent="0.35">
      <c r="A288" s="532"/>
      <c r="B288" s="532"/>
      <c r="C288" s="481"/>
      <c r="D288" s="481"/>
    </row>
    <row r="289" spans="1:4" thickBot="1" x14ac:dyDescent="0.35">
      <c r="A289" s="532"/>
      <c r="B289" s="532"/>
      <c r="C289" s="481"/>
      <c r="D289" s="481"/>
    </row>
    <row r="290" spans="1:4" thickBot="1" x14ac:dyDescent="0.35">
      <c r="A290" s="532"/>
      <c r="B290" s="532"/>
      <c r="C290" s="481"/>
      <c r="D290" s="481"/>
    </row>
    <row r="291" spans="1:4" thickBot="1" x14ac:dyDescent="0.35">
      <c r="A291" s="532"/>
      <c r="B291" s="532"/>
      <c r="C291" s="481"/>
      <c r="D291" s="481"/>
    </row>
    <row r="292" spans="1:4" thickBot="1" x14ac:dyDescent="0.35">
      <c r="A292" s="532"/>
      <c r="B292" s="532"/>
      <c r="C292" s="481"/>
      <c r="D292" s="481"/>
    </row>
    <row r="293" spans="1:4" thickBot="1" x14ac:dyDescent="0.35">
      <c r="A293" s="532"/>
      <c r="B293" s="532"/>
      <c r="C293" s="481"/>
      <c r="D293" s="481"/>
    </row>
    <row r="294" spans="1:4" thickBot="1" x14ac:dyDescent="0.35">
      <c r="A294" s="532"/>
      <c r="B294" s="532"/>
      <c r="C294" s="481"/>
      <c r="D294" s="481"/>
    </row>
    <row r="295" spans="1:4" thickBot="1" x14ac:dyDescent="0.35">
      <c r="A295" s="532"/>
      <c r="B295" s="532"/>
      <c r="C295" s="481"/>
      <c r="D295" s="481"/>
    </row>
    <row r="296" spans="1:4" thickBot="1" x14ac:dyDescent="0.35">
      <c r="A296" s="532"/>
      <c r="B296" s="532"/>
      <c r="C296" s="481"/>
      <c r="D296" s="481"/>
    </row>
    <row r="297" spans="1:4" thickBot="1" x14ac:dyDescent="0.35">
      <c r="A297" s="532"/>
      <c r="B297" s="532"/>
      <c r="C297" s="481"/>
      <c r="D297" s="481"/>
    </row>
    <row r="298" spans="1:4" thickBot="1" x14ac:dyDescent="0.35">
      <c r="A298" s="532"/>
      <c r="B298" s="532"/>
      <c r="C298" s="481"/>
      <c r="D298" s="481"/>
    </row>
    <row r="299" spans="1:4" thickBot="1" x14ac:dyDescent="0.35">
      <c r="A299" s="532"/>
      <c r="B299" s="532"/>
      <c r="C299" s="481"/>
      <c r="D299" s="481"/>
    </row>
    <row r="300" spans="1:4" thickBot="1" x14ac:dyDescent="0.35">
      <c r="A300" s="532"/>
      <c r="B300" s="532"/>
      <c r="C300" s="481"/>
      <c r="D300" s="481"/>
    </row>
    <row r="301" spans="1:4" thickBot="1" x14ac:dyDescent="0.35">
      <c r="A301" s="532"/>
      <c r="B301" s="532"/>
      <c r="C301" s="481"/>
      <c r="D301" s="481"/>
    </row>
    <row r="302" spans="1:4" thickBot="1" x14ac:dyDescent="0.35">
      <c r="A302" s="532"/>
      <c r="B302" s="532"/>
      <c r="C302" s="481"/>
      <c r="D302" s="481"/>
    </row>
    <row r="303" spans="1:4" thickBot="1" x14ac:dyDescent="0.35">
      <c r="A303" s="532"/>
      <c r="B303" s="532"/>
      <c r="C303" s="481"/>
      <c r="D303" s="481"/>
    </row>
    <row r="304" spans="1:4" thickBot="1" x14ac:dyDescent="0.35">
      <c r="A304" s="532"/>
      <c r="B304" s="532"/>
      <c r="C304" s="481"/>
      <c r="D304" s="481"/>
    </row>
    <row r="305" spans="1:4" thickBot="1" x14ac:dyDescent="0.35">
      <c r="A305" s="532"/>
      <c r="B305" s="532"/>
      <c r="C305" s="481"/>
      <c r="D305" s="481"/>
    </row>
    <row r="306" spans="1:4" thickBot="1" x14ac:dyDescent="0.35">
      <c r="A306" s="532"/>
      <c r="B306" s="532"/>
      <c r="C306" s="481"/>
      <c r="D306" s="481"/>
    </row>
    <row r="307" spans="1:4" thickBot="1" x14ac:dyDescent="0.35">
      <c r="A307" s="532"/>
      <c r="B307" s="532"/>
      <c r="C307" s="481"/>
      <c r="D307" s="481"/>
    </row>
    <row r="308" spans="1:4" thickBot="1" x14ac:dyDescent="0.35">
      <c r="A308" s="532"/>
      <c r="B308" s="532"/>
      <c r="C308" s="481"/>
      <c r="D308" s="481"/>
    </row>
    <row r="309" spans="1:4" thickBot="1" x14ac:dyDescent="0.35">
      <c r="A309" s="532"/>
      <c r="B309" s="532"/>
      <c r="C309" s="481"/>
      <c r="D309" s="481"/>
    </row>
    <row r="310" spans="1:4" thickBot="1" x14ac:dyDescent="0.35">
      <c r="A310" s="532"/>
      <c r="B310" s="532"/>
      <c r="C310" s="481"/>
      <c r="D310" s="481"/>
    </row>
    <row r="311" spans="1:4" thickBot="1" x14ac:dyDescent="0.35">
      <c r="A311" s="532"/>
      <c r="B311" s="532"/>
      <c r="C311" s="481"/>
      <c r="D311" s="481"/>
    </row>
    <row r="312" spans="1:4" thickBot="1" x14ac:dyDescent="0.35">
      <c r="A312" s="532"/>
      <c r="B312" s="532"/>
      <c r="C312" s="481"/>
      <c r="D312" s="481"/>
    </row>
    <row r="313" spans="1:4" thickBot="1" x14ac:dyDescent="0.35">
      <c r="A313" s="532"/>
      <c r="B313" s="532"/>
      <c r="C313" s="481"/>
      <c r="D313" s="481"/>
    </row>
    <row r="314" spans="1:4" thickBot="1" x14ac:dyDescent="0.35">
      <c r="A314" s="532"/>
      <c r="B314" s="532"/>
      <c r="C314" s="481"/>
      <c r="D314" s="481"/>
    </row>
    <row r="315" spans="1:4" thickBot="1" x14ac:dyDescent="0.35">
      <c r="A315" s="532"/>
      <c r="B315" s="532"/>
      <c r="C315" s="481"/>
      <c r="D315" s="481"/>
    </row>
    <row r="316" spans="1:4" thickBot="1" x14ac:dyDescent="0.35">
      <c r="A316" s="532"/>
      <c r="B316" s="532"/>
      <c r="C316" s="481"/>
      <c r="D316" s="481"/>
    </row>
    <row r="317" spans="1:4" thickBot="1" x14ac:dyDescent="0.35">
      <c r="A317" s="532"/>
      <c r="B317" s="532"/>
      <c r="C317" s="481"/>
      <c r="D317" s="481"/>
    </row>
    <row r="318" spans="1:4" thickBot="1" x14ac:dyDescent="0.35">
      <c r="A318" s="532"/>
      <c r="B318" s="532"/>
      <c r="C318" s="481"/>
      <c r="D318" s="481"/>
    </row>
    <row r="319" spans="1:4" thickBot="1" x14ac:dyDescent="0.35">
      <c r="A319" s="532"/>
      <c r="B319" s="532"/>
      <c r="C319" s="481"/>
      <c r="D319" s="481"/>
    </row>
    <row r="320" spans="1:4" thickBot="1" x14ac:dyDescent="0.35">
      <c r="A320" s="532"/>
      <c r="B320" s="532"/>
      <c r="C320" s="481"/>
      <c r="D320" s="481"/>
    </row>
    <row r="321" spans="1:4" thickBot="1" x14ac:dyDescent="0.35">
      <c r="A321" s="532"/>
      <c r="B321" s="532"/>
      <c r="C321" s="481"/>
      <c r="D321" s="481"/>
    </row>
    <row r="322" spans="1:4" thickBot="1" x14ac:dyDescent="0.35">
      <c r="A322" s="532"/>
      <c r="B322" s="532"/>
      <c r="C322" s="481"/>
      <c r="D322" s="481"/>
    </row>
    <row r="323" spans="1:4" thickBot="1" x14ac:dyDescent="0.35">
      <c r="A323" s="532"/>
      <c r="B323" s="532"/>
      <c r="C323" s="481"/>
      <c r="D323" s="481"/>
    </row>
    <row r="324" spans="1:4" thickBot="1" x14ac:dyDescent="0.35">
      <c r="A324" s="532"/>
      <c r="B324" s="532"/>
      <c r="C324" s="481"/>
      <c r="D324" s="481"/>
    </row>
    <row r="325" spans="1:4" thickBot="1" x14ac:dyDescent="0.35">
      <c r="A325" s="532"/>
      <c r="B325" s="532"/>
      <c r="C325" s="481"/>
      <c r="D325" s="481"/>
    </row>
    <row r="326" spans="1:4" thickBot="1" x14ac:dyDescent="0.35">
      <c r="A326" s="532"/>
      <c r="B326" s="532"/>
      <c r="C326" s="481"/>
      <c r="D326" s="481"/>
    </row>
    <row r="327" spans="1:4" thickBot="1" x14ac:dyDescent="0.35">
      <c r="A327" s="532"/>
      <c r="B327" s="532"/>
      <c r="C327" s="481"/>
      <c r="D327" s="481"/>
    </row>
    <row r="328" spans="1:4" thickBot="1" x14ac:dyDescent="0.35">
      <c r="A328" s="532"/>
      <c r="B328" s="532"/>
      <c r="C328" s="481"/>
      <c r="D328" s="481"/>
    </row>
    <row r="329" spans="1:4" thickBot="1" x14ac:dyDescent="0.35">
      <c r="A329" s="532"/>
      <c r="B329" s="532"/>
      <c r="C329" s="481"/>
      <c r="D329" s="481"/>
    </row>
    <row r="330" spans="1:4" thickBot="1" x14ac:dyDescent="0.35">
      <c r="A330" s="532"/>
      <c r="B330" s="532"/>
      <c r="C330" s="481"/>
      <c r="D330" s="481"/>
    </row>
    <row r="331" spans="1:4" thickBot="1" x14ac:dyDescent="0.35">
      <c r="A331" s="532"/>
      <c r="B331" s="532"/>
      <c r="C331" s="481"/>
      <c r="D331" s="481"/>
    </row>
    <row r="332" spans="1:4" thickBot="1" x14ac:dyDescent="0.35">
      <c r="A332" s="532"/>
      <c r="B332" s="532"/>
      <c r="C332" s="481"/>
      <c r="D332" s="481"/>
    </row>
    <row r="333" spans="1:4" thickBot="1" x14ac:dyDescent="0.35">
      <c r="A333" s="532"/>
      <c r="B333" s="532"/>
      <c r="C333" s="481"/>
      <c r="D333" s="481"/>
    </row>
    <row r="334" spans="1:4" thickBot="1" x14ac:dyDescent="0.35">
      <c r="A334" s="532"/>
      <c r="B334" s="532"/>
      <c r="C334" s="481"/>
      <c r="D334" s="481"/>
    </row>
    <row r="335" spans="1:4" thickBot="1" x14ac:dyDescent="0.35">
      <c r="A335" s="532"/>
      <c r="B335" s="532"/>
      <c r="C335" s="481"/>
      <c r="D335" s="481"/>
    </row>
    <row r="336" spans="1:4" thickBot="1" x14ac:dyDescent="0.35">
      <c r="A336" s="532"/>
      <c r="B336" s="532"/>
      <c r="C336" s="481"/>
      <c r="D336" s="481"/>
    </row>
    <row r="337" spans="1:4" thickBot="1" x14ac:dyDescent="0.35">
      <c r="A337" s="532"/>
      <c r="B337" s="532"/>
      <c r="C337" s="481"/>
      <c r="D337" s="481"/>
    </row>
    <row r="338" spans="1:4" thickBot="1" x14ac:dyDescent="0.35">
      <c r="A338" s="532"/>
      <c r="B338" s="532"/>
      <c r="C338" s="481"/>
      <c r="D338" s="481"/>
    </row>
    <row r="339" spans="1:4" thickBot="1" x14ac:dyDescent="0.35">
      <c r="A339" s="532"/>
      <c r="B339" s="532"/>
      <c r="C339" s="481"/>
      <c r="D339" s="481"/>
    </row>
    <row r="340" spans="1:4" thickBot="1" x14ac:dyDescent="0.35">
      <c r="A340" s="532"/>
      <c r="B340" s="532"/>
      <c r="C340" s="481"/>
      <c r="D340" s="481"/>
    </row>
    <row r="341" spans="1:4" thickBot="1" x14ac:dyDescent="0.35">
      <c r="A341" s="532"/>
      <c r="B341" s="532"/>
      <c r="C341" s="481"/>
      <c r="D341" s="481"/>
    </row>
    <row r="342" spans="1:4" thickBot="1" x14ac:dyDescent="0.35">
      <c r="A342" s="532"/>
      <c r="B342" s="532"/>
      <c r="C342" s="481"/>
      <c r="D342" s="481"/>
    </row>
    <row r="343" spans="1:4" thickBot="1" x14ac:dyDescent="0.35">
      <c r="A343" s="532"/>
      <c r="B343" s="532"/>
      <c r="C343" s="481"/>
      <c r="D343" s="481"/>
    </row>
    <row r="344" spans="1:4" thickBot="1" x14ac:dyDescent="0.35">
      <c r="A344" s="532"/>
      <c r="B344" s="532"/>
      <c r="C344" s="481"/>
      <c r="D344" s="481"/>
    </row>
    <row r="345" spans="1:4" thickBot="1" x14ac:dyDescent="0.35">
      <c r="A345" s="532"/>
      <c r="B345" s="532"/>
      <c r="C345" s="481"/>
      <c r="D345" s="481"/>
    </row>
    <row r="346" spans="1:4" thickBot="1" x14ac:dyDescent="0.35">
      <c r="A346" s="532"/>
      <c r="B346" s="532"/>
      <c r="C346" s="481"/>
      <c r="D346" s="481"/>
    </row>
    <row r="347" spans="1:4" thickBot="1" x14ac:dyDescent="0.35">
      <c r="A347" s="532"/>
      <c r="B347" s="532"/>
      <c r="C347" s="481"/>
      <c r="D347" s="481"/>
    </row>
    <row r="348" spans="1:4" thickBot="1" x14ac:dyDescent="0.35">
      <c r="A348" s="532"/>
      <c r="B348" s="532"/>
      <c r="C348" s="481"/>
      <c r="D348" s="481"/>
    </row>
    <row r="349" spans="1:4" thickBot="1" x14ac:dyDescent="0.35">
      <c r="A349" s="532"/>
      <c r="B349" s="532"/>
      <c r="C349" s="481"/>
      <c r="D349" s="481"/>
    </row>
    <row r="350" spans="1:4" thickBot="1" x14ac:dyDescent="0.35">
      <c r="A350" s="532"/>
      <c r="B350" s="532"/>
      <c r="C350" s="481"/>
      <c r="D350" s="481"/>
    </row>
    <row r="351" spans="1:4" thickBot="1" x14ac:dyDescent="0.35">
      <c r="A351" s="532"/>
      <c r="B351" s="532"/>
      <c r="C351" s="481"/>
      <c r="D351" s="481"/>
    </row>
    <row r="352" spans="1:4" thickBot="1" x14ac:dyDescent="0.35">
      <c r="A352" s="532"/>
      <c r="B352" s="532"/>
      <c r="C352" s="481"/>
      <c r="D352" s="481"/>
    </row>
    <row r="353" spans="1:4" thickBot="1" x14ac:dyDescent="0.35">
      <c r="A353" s="532"/>
      <c r="B353" s="532"/>
      <c r="C353" s="481"/>
      <c r="D353" s="481"/>
    </row>
    <row r="354" spans="1:4" thickBot="1" x14ac:dyDescent="0.35">
      <c r="A354" s="532"/>
      <c r="B354" s="532"/>
      <c r="C354" s="481"/>
      <c r="D354" s="481"/>
    </row>
    <row r="355" spans="1:4" thickBot="1" x14ac:dyDescent="0.35">
      <c r="A355" s="532"/>
      <c r="B355" s="532"/>
      <c r="C355" s="481"/>
      <c r="D355" s="481"/>
    </row>
    <row r="356" spans="1:4" thickBot="1" x14ac:dyDescent="0.35">
      <c r="A356" s="532"/>
      <c r="B356" s="532"/>
      <c r="C356" s="481"/>
      <c r="D356" s="481"/>
    </row>
    <row r="357" spans="1:4" thickBot="1" x14ac:dyDescent="0.35">
      <c r="A357" s="532"/>
      <c r="B357" s="532"/>
      <c r="C357" s="481"/>
      <c r="D357" s="481"/>
    </row>
    <row r="358" spans="1:4" thickBot="1" x14ac:dyDescent="0.35">
      <c r="A358" s="532"/>
      <c r="B358" s="532"/>
      <c r="C358" s="481"/>
      <c r="D358" s="481"/>
    </row>
    <row r="359" spans="1:4" thickBot="1" x14ac:dyDescent="0.35">
      <c r="A359" s="532"/>
      <c r="B359" s="532"/>
      <c r="C359" s="481"/>
      <c r="D359" s="481"/>
    </row>
    <row r="360" spans="1:4" thickBot="1" x14ac:dyDescent="0.35">
      <c r="A360" s="532"/>
      <c r="B360" s="532"/>
      <c r="C360" s="481"/>
      <c r="D360" s="481"/>
    </row>
    <row r="361" spans="1:4" thickBot="1" x14ac:dyDescent="0.35">
      <c r="A361" s="532"/>
      <c r="B361" s="532"/>
      <c r="C361" s="481"/>
      <c r="D361" s="481"/>
    </row>
    <row r="362" spans="1:4" thickBot="1" x14ac:dyDescent="0.35">
      <c r="A362" s="532"/>
      <c r="B362" s="532"/>
      <c r="C362" s="481"/>
      <c r="D362" s="481"/>
    </row>
    <row r="363" spans="1:4" thickBot="1" x14ac:dyDescent="0.35">
      <c r="A363" s="532"/>
      <c r="B363" s="532"/>
      <c r="C363" s="481"/>
      <c r="D363" s="481"/>
    </row>
    <row r="364" spans="1:4" thickBot="1" x14ac:dyDescent="0.35">
      <c r="A364" s="532"/>
      <c r="B364" s="532"/>
      <c r="C364" s="481"/>
      <c r="D364" s="481"/>
    </row>
    <row r="365" spans="1:4" thickBot="1" x14ac:dyDescent="0.35">
      <c r="A365" s="532"/>
      <c r="B365" s="532"/>
      <c r="C365" s="481"/>
      <c r="D365" s="481"/>
    </row>
    <row r="366" spans="1:4" thickBot="1" x14ac:dyDescent="0.35">
      <c r="A366" s="532"/>
      <c r="B366" s="532"/>
      <c r="C366" s="481"/>
      <c r="D366" s="481"/>
    </row>
    <row r="367" spans="1:4" thickBot="1" x14ac:dyDescent="0.35">
      <c r="A367" s="532"/>
      <c r="B367" s="532"/>
      <c r="C367" s="481"/>
      <c r="D367" s="481"/>
    </row>
    <row r="368" spans="1:4" thickBot="1" x14ac:dyDescent="0.35">
      <c r="A368" s="532"/>
      <c r="B368" s="532"/>
      <c r="C368" s="481"/>
      <c r="D368" s="481"/>
    </row>
    <row r="369" spans="1:4" thickBot="1" x14ac:dyDescent="0.35">
      <c r="A369" s="532"/>
      <c r="B369" s="532"/>
      <c r="C369" s="481"/>
      <c r="D369" s="481"/>
    </row>
    <row r="370" spans="1:4" thickBot="1" x14ac:dyDescent="0.35">
      <c r="A370" s="532"/>
      <c r="B370" s="532"/>
      <c r="C370" s="481"/>
      <c r="D370" s="481"/>
    </row>
    <row r="371" spans="1:4" thickBot="1" x14ac:dyDescent="0.35">
      <c r="A371" s="532"/>
      <c r="B371" s="532"/>
      <c r="C371" s="481"/>
      <c r="D371" s="481"/>
    </row>
    <row r="372" spans="1:4" thickBot="1" x14ac:dyDescent="0.35">
      <c r="A372" s="532"/>
      <c r="B372" s="532"/>
      <c r="C372" s="481"/>
      <c r="D372" s="481"/>
    </row>
    <row r="373" spans="1:4" thickBot="1" x14ac:dyDescent="0.35">
      <c r="A373" s="532"/>
      <c r="B373" s="532"/>
      <c r="C373" s="481"/>
      <c r="D373" s="481"/>
    </row>
    <row r="374" spans="1:4" thickBot="1" x14ac:dyDescent="0.35">
      <c r="A374" s="532"/>
      <c r="B374" s="532"/>
      <c r="C374" s="481"/>
      <c r="D374" s="481"/>
    </row>
    <row r="375" spans="1:4" thickBot="1" x14ac:dyDescent="0.35">
      <c r="A375" s="532"/>
      <c r="B375" s="532"/>
      <c r="C375" s="481"/>
      <c r="D375" s="481"/>
    </row>
    <row r="376" spans="1:4" thickBot="1" x14ac:dyDescent="0.35">
      <c r="A376" s="532"/>
      <c r="B376" s="532"/>
      <c r="C376" s="481"/>
      <c r="D376" s="481"/>
    </row>
    <row r="377" spans="1:4" thickBot="1" x14ac:dyDescent="0.35">
      <c r="A377" s="532"/>
      <c r="B377" s="532"/>
      <c r="C377" s="481"/>
      <c r="D377" s="481"/>
    </row>
    <row r="378" spans="1:4" thickBot="1" x14ac:dyDescent="0.35">
      <c r="A378" s="532"/>
      <c r="B378" s="532"/>
      <c r="C378" s="481"/>
      <c r="D378" s="481"/>
    </row>
    <row r="379" spans="1:4" thickBot="1" x14ac:dyDescent="0.35">
      <c r="A379" s="532"/>
      <c r="B379" s="532"/>
      <c r="C379" s="481"/>
      <c r="D379" s="481"/>
    </row>
    <row r="380" spans="1:4" thickBot="1" x14ac:dyDescent="0.35">
      <c r="A380" s="532"/>
      <c r="B380" s="532"/>
      <c r="C380" s="481"/>
      <c r="D380" s="481"/>
    </row>
    <row r="381" spans="1:4" thickBot="1" x14ac:dyDescent="0.35">
      <c r="A381" s="532"/>
      <c r="B381" s="532"/>
      <c r="C381" s="481"/>
      <c r="D381" s="481"/>
    </row>
    <row r="382" spans="1:4" thickBot="1" x14ac:dyDescent="0.35">
      <c r="A382" s="532"/>
      <c r="B382" s="532"/>
      <c r="C382" s="481"/>
      <c r="D382" s="481"/>
    </row>
    <row r="383" spans="1:4" thickBot="1" x14ac:dyDescent="0.35">
      <c r="A383" s="532"/>
      <c r="B383" s="532"/>
      <c r="C383" s="481"/>
      <c r="D383" s="481"/>
    </row>
    <row r="384" spans="1:4" thickBot="1" x14ac:dyDescent="0.35">
      <c r="A384" s="532"/>
      <c r="B384" s="532"/>
      <c r="C384" s="481"/>
      <c r="D384" s="481"/>
    </row>
    <row r="385" spans="1:4" thickBot="1" x14ac:dyDescent="0.35">
      <c r="A385" s="532"/>
      <c r="B385" s="532"/>
      <c r="C385" s="481"/>
      <c r="D385" s="481"/>
    </row>
    <row r="386" spans="1:4" thickBot="1" x14ac:dyDescent="0.35">
      <c r="A386" s="532"/>
      <c r="B386" s="532"/>
      <c r="C386" s="481"/>
      <c r="D386" s="481"/>
    </row>
    <row r="387" spans="1:4" thickBot="1" x14ac:dyDescent="0.35">
      <c r="A387" s="532"/>
      <c r="B387" s="532"/>
      <c r="C387" s="481"/>
      <c r="D387" s="481"/>
    </row>
    <row r="388" spans="1:4" thickBot="1" x14ac:dyDescent="0.35">
      <c r="A388" s="532"/>
      <c r="B388" s="532"/>
      <c r="C388" s="481"/>
      <c r="D388" s="481"/>
    </row>
    <row r="389" spans="1:4" thickBot="1" x14ac:dyDescent="0.35">
      <c r="A389" s="532"/>
      <c r="B389" s="532"/>
      <c r="C389" s="481"/>
      <c r="D389" s="481"/>
    </row>
    <row r="390" spans="1:4" thickBot="1" x14ac:dyDescent="0.35">
      <c r="A390" s="532"/>
      <c r="B390" s="532"/>
      <c r="C390" s="481"/>
      <c r="D390" s="481"/>
    </row>
    <row r="391" spans="1:4" thickBot="1" x14ac:dyDescent="0.35">
      <c r="A391" s="532"/>
      <c r="B391" s="532"/>
      <c r="C391" s="481"/>
      <c r="D391" s="481"/>
    </row>
    <row r="392" spans="1:4" thickBot="1" x14ac:dyDescent="0.35">
      <c r="A392" s="532"/>
      <c r="B392" s="532"/>
      <c r="C392" s="481"/>
      <c r="D392" s="481"/>
    </row>
    <row r="393" spans="1:4" thickBot="1" x14ac:dyDescent="0.35">
      <c r="A393" s="532"/>
      <c r="B393" s="532"/>
      <c r="C393" s="481"/>
      <c r="D393" s="481"/>
    </row>
    <row r="394" spans="1:4" thickBot="1" x14ac:dyDescent="0.35">
      <c r="A394" s="532"/>
      <c r="B394" s="532"/>
      <c r="C394" s="481"/>
      <c r="D394" s="481"/>
    </row>
    <row r="395" spans="1:4" thickBot="1" x14ac:dyDescent="0.35">
      <c r="A395" s="532"/>
      <c r="B395" s="532"/>
      <c r="C395" s="481"/>
      <c r="D395" s="481"/>
    </row>
    <row r="396" spans="1:4" thickBot="1" x14ac:dyDescent="0.35">
      <c r="A396" s="532"/>
      <c r="B396" s="532"/>
      <c r="C396" s="481"/>
      <c r="D396" s="481"/>
    </row>
    <row r="397" spans="1:4" thickBot="1" x14ac:dyDescent="0.35">
      <c r="A397" s="532"/>
      <c r="B397" s="532"/>
      <c r="C397" s="481"/>
      <c r="D397" s="481"/>
    </row>
    <row r="398" spans="1:4" thickBot="1" x14ac:dyDescent="0.35">
      <c r="A398" s="532"/>
      <c r="B398" s="532"/>
      <c r="C398" s="481"/>
      <c r="D398" s="481"/>
    </row>
    <row r="399" spans="1:4" thickBot="1" x14ac:dyDescent="0.35">
      <c r="A399" s="532"/>
      <c r="B399" s="532"/>
      <c r="C399" s="481"/>
      <c r="D399" s="481"/>
    </row>
    <row r="400" spans="1:4" thickBot="1" x14ac:dyDescent="0.35">
      <c r="A400" s="532"/>
      <c r="B400" s="532"/>
      <c r="C400" s="481"/>
      <c r="D400" s="481"/>
    </row>
    <row r="401" spans="1:4" thickBot="1" x14ac:dyDescent="0.35">
      <c r="A401" s="532"/>
      <c r="B401" s="532"/>
      <c r="C401" s="481"/>
      <c r="D401" s="481"/>
    </row>
    <row r="402" spans="1:4" thickBot="1" x14ac:dyDescent="0.35">
      <c r="A402" s="532"/>
      <c r="B402" s="532"/>
      <c r="C402" s="481"/>
      <c r="D402" s="481"/>
    </row>
    <row r="403" spans="1:4" thickBot="1" x14ac:dyDescent="0.35">
      <c r="A403" s="532"/>
      <c r="B403" s="532"/>
      <c r="C403" s="481"/>
      <c r="D403" s="481"/>
    </row>
    <row r="404" spans="1:4" thickBot="1" x14ac:dyDescent="0.35">
      <c r="A404" s="532"/>
      <c r="B404" s="532"/>
      <c r="C404" s="481"/>
      <c r="D404" s="481"/>
    </row>
    <row r="405" spans="1:4" thickBot="1" x14ac:dyDescent="0.35">
      <c r="A405" s="532"/>
      <c r="B405" s="532"/>
      <c r="C405" s="481"/>
      <c r="D405" s="481"/>
    </row>
    <row r="406" spans="1:4" thickBot="1" x14ac:dyDescent="0.35">
      <c r="A406" s="532"/>
      <c r="B406" s="532"/>
      <c r="C406" s="481"/>
      <c r="D406" s="481"/>
    </row>
    <row r="407" spans="1:4" thickBot="1" x14ac:dyDescent="0.35">
      <c r="A407" s="532"/>
      <c r="B407" s="532"/>
      <c r="C407" s="481"/>
      <c r="D407" s="481"/>
    </row>
    <row r="408" spans="1:4" thickBot="1" x14ac:dyDescent="0.35">
      <c r="A408" s="532"/>
      <c r="B408" s="532"/>
      <c r="C408" s="481"/>
      <c r="D408" s="481"/>
    </row>
    <row r="409" spans="1:4" thickBot="1" x14ac:dyDescent="0.35">
      <c r="A409" s="532"/>
      <c r="B409" s="532"/>
      <c r="C409" s="481"/>
      <c r="D409" s="481"/>
    </row>
    <row r="410" spans="1:4" thickBot="1" x14ac:dyDescent="0.35">
      <c r="A410" s="532"/>
      <c r="B410" s="532"/>
      <c r="C410" s="481"/>
      <c r="D410" s="481"/>
    </row>
    <row r="411" spans="1:4" thickBot="1" x14ac:dyDescent="0.35">
      <c r="A411" s="532"/>
      <c r="B411" s="532"/>
      <c r="C411" s="481"/>
      <c r="D411" s="481"/>
    </row>
    <row r="412" spans="1:4" thickBot="1" x14ac:dyDescent="0.35">
      <c r="A412" s="532"/>
      <c r="B412" s="532"/>
      <c r="C412" s="481"/>
      <c r="D412" s="481"/>
    </row>
    <row r="413" spans="1:4" thickBot="1" x14ac:dyDescent="0.35">
      <c r="A413" s="532"/>
      <c r="B413" s="532"/>
      <c r="C413" s="481"/>
      <c r="D413" s="481"/>
    </row>
    <row r="414" spans="1:4" thickBot="1" x14ac:dyDescent="0.35">
      <c r="A414" s="532"/>
      <c r="B414" s="532"/>
      <c r="C414" s="481"/>
      <c r="D414" s="481"/>
    </row>
    <row r="415" spans="1:4" thickBot="1" x14ac:dyDescent="0.35">
      <c r="A415" s="532"/>
      <c r="B415" s="532"/>
      <c r="C415" s="481"/>
      <c r="D415" s="481"/>
    </row>
    <row r="416" spans="1:4" thickBot="1" x14ac:dyDescent="0.35">
      <c r="A416" s="532"/>
      <c r="B416" s="532"/>
      <c r="C416" s="481"/>
      <c r="D416" s="481"/>
    </row>
    <row r="417" spans="1:4" thickBot="1" x14ac:dyDescent="0.35">
      <c r="A417" s="532"/>
      <c r="B417" s="532"/>
      <c r="C417" s="481"/>
      <c r="D417" s="481"/>
    </row>
    <row r="418" spans="1:4" thickBot="1" x14ac:dyDescent="0.35">
      <c r="A418" s="532"/>
      <c r="B418" s="532"/>
      <c r="C418" s="481"/>
      <c r="D418" s="481"/>
    </row>
    <row r="419" spans="1:4" thickBot="1" x14ac:dyDescent="0.35">
      <c r="A419" s="532"/>
      <c r="B419" s="532"/>
      <c r="C419" s="481"/>
      <c r="D419" s="481"/>
    </row>
    <row r="420" spans="1:4" thickBot="1" x14ac:dyDescent="0.35">
      <c r="A420" s="532"/>
      <c r="B420" s="532"/>
      <c r="C420" s="481"/>
      <c r="D420" s="481"/>
    </row>
    <row r="421" spans="1:4" thickBot="1" x14ac:dyDescent="0.35">
      <c r="A421" s="532"/>
      <c r="B421" s="532"/>
      <c r="C421" s="481"/>
      <c r="D421" s="481"/>
    </row>
    <row r="422" spans="1:4" thickBot="1" x14ac:dyDescent="0.35">
      <c r="A422" s="532"/>
      <c r="B422" s="532"/>
      <c r="C422" s="481"/>
      <c r="D422" s="481"/>
    </row>
    <row r="423" spans="1:4" thickBot="1" x14ac:dyDescent="0.35">
      <c r="A423" s="532"/>
      <c r="B423" s="532"/>
      <c r="C423" s="481"/>
      <c r="D423" s="481"/>
    </row>
    <row r="424" spans="1:4" thickBot="1" x14ac:dyDescent="0.35">
      <c r="A424" s="532"/>
      <c r="B424" s="532"/>
      <c r="C424" s="481"/>
      <c r="D424" s="481"/>
    </row>
    <row r="425" spans="1:4" thickBot="1" x14ac:dyDescent="0.35">
      <c r="A425" s="532"/>
      <c r="B425" s="532"/>
      <c r="C425" s="481"/>
      <c r="D425" s="481"/>
    </row>
    <row r="426" spans="1:4" thickBot="1" x14ac:dyDescent="0.35">
      <c r="A426" s="532"/>
      <c r="B426" s="532"/>
      <c r="C426" s="481"/>
      <c r="D426" s="481"/>
    </row>
    <row r="427" spans="1:4" thickBot="1" x14ac:dyDescent="0.35">
      <c r="A427" s="532"/>
      <c r="B427" s="532"/>
      <c r="C427" s="481"/>
      <c r="D427" s="481"/>
    </row>
    <row r="428" spans="1:4" thickBot="1" x14ac:dyDescent="0.35">
      <c r="A428" s="532"/>
      <c r="B428" s="532"/>
      <c r="C428" s="481"/>
      <c r="D428" s="481"/>
    </row>
    <row r="429" spans="1:4" thickBot="1" x14ac:dyDescent="0.35">
      <c r="A429" s="532"/>
      <c r="B429" s="532"/>
      <c r="C429" s="481"/>
      <c r="D429" s="481"/>
    </row>
    <row r="430" spans="1:4" thickBot="1" x14ac:dyDescent="0.35">
      <c r="A430" s="532"/>
      <c r="B430" s="532"/>
      <c r="C430" s="481"/>
      <c r="D430" s="481"/>
    </row>
    <row r="431" spans="1:4" thickBot="1" x14ac:dyDescent="0.35">
      <c r="A431" s="532"/>
      <c r="B431" s="532"/>
      <c r="C431" s="481"/>
      <c r="D431" s="481"/>
    </row>
    <row r="432" spans="1:4" thickBot="1" x14ac:dyDescent="0.35">
      <c r="A432" s="532"/>
      <c r="B432" s="532"/>
      <c r="C432" s="481"/>
      <c r="D432" s="481"/>
    </row>
    <row r="433" spans="1:4" thickBot="1" x14ac:dyDescent="0.35">
      <c r="A433" s="532"/>
      <c r="B433" s="532"/>
      <c r="C433" s="481"/>
      <c r="D433" s="481"/>
    </row>
    <row r="434" spans="1:4" thickBot="1" x14ac:dyDescent="0.35">
      <c r="A434" s="532"/>
      <c r="B434" s="532"/>
      <c r="C434" s="481"/>
      <c r="D434" s="481"/>
    </row>
    <row r="435" spans="1:4" thickBot="1" x14ac:dyDescent="0.35">
      <c r="A435" s="532"/>
      <c r="B435" s="532"/>
      <c r="C435" s="481"/>
      <c r="D435" s="481"/>
    </row>
    <row r="436" spans="1:4" thickBot="1" x14ac:dyDescent="0.35">
      <c r="A436" s="532"/>
      <c r="B436" s="532"/>
      <c r="C436" s="481"/>
      <c r="D436" s="481"/>
    </row>
    <row r="437" spans="1:4" thickBot="1" x14ac:dyDescent="0.35">
      <c r="A437" s="532"/>
      <c r="B437" s="532"/>
      <c r="C437" s="481"/>
      <c r="D437" s="481"/>
    </row>
    <row r="438" spans="1:4" thickBot="1" x14ac:dyDescent="0.35">
      <c r="A438" s="532"/>
      <c r="B438" s="532"/>
      <c r="C438" s="481"/>
      <c r="D438" s="481"/>
    </row>
    <row r="439" spans="1:4" thickBot="1" x14ac:dyDescent="0.35">
      <c r="A439" s="532"/>
      <c r="B439" s="532"/>
      <c r="C439" s="481"/>
      <c r="D439" s="481"/>
    </row>
    <row r="440" spans="1:4" thickBot="1" x14ac:dyDescent="0.35">
      <c r="A440" s="532"/>
      <c r="B440" s="532"/>
      <c r="C440" s="481"/>
      <c r="D440" s="481"/>
    </row>
    <row r="441" spans="1:4" thickBot="1" x14ac:dyDescent="0.35">
      <c r="A441" s="532"/>
      <c r="B441" s="532"/>
      <c r="C441" s="481"/>
      <c r="D441" s="481"/>
    </row>
    <row r="442" spans="1:4" thickBot="1" x14ac:dyDescent="0.35">
      <c r="A442" s="532"/>
      <c r="B442" s="532"/>
      <c r="C442" s="481"/>
      <c r="D442" s="481"/>
    </row>
    <row r="443" spans="1:4" thickBot="1" x14ac:dyDescent="0.35">
      <c r="A443" s="532"/>
      <c r="B443" s="532"/>
      <c r="C443" s="481"/>
      <c r="D443" s="481"/>
    </row>
    <row r="444" spans="1:4" thickBot="1" x14ac:dyDescent="0.35">
      <c r="A444" s="532"/>
      <c r="B444" s="532"/>
      <c r="C444" s="481"/>
      <c r="D444" s="481"/>
    </row>
    <row r="445" spans="1:4" thickBot="1" x14ac:dyDescent="0.35">
      <c r="A445" s="532"/>
      <c r="B445" s="532"/>
      <c r="C445" s="481"/>
      <c r="D445" s="481"/>
    </row>
    <row r="446" spans="1:4" thickBot="1" x14ac:dyDescent="0.35">
      <c r="A446" s="532"/>
      <c r="B446" s="532"/>
      <c r="C446" s="481"/>
      <c r="D446" s="481"/>
    </row>
    <row r="447" spans="1:4" thickBot="1" x14ac:dyDescent="0.35">
      <c r="A447" s="532"/>
      <c r="B447" s="532"/>
      <c r="C447" s="481"/>
      <c r="D447" s="481"/>
    </row>
    <row r="448" spans="1:4" thickBot="1" x14ac:dyDescent="0.35">
      <c r="A448" s="532"/>
      <c r="B448" s="532"/>
      <c r="C448" s="481"/>
      <c r="D448" s="481"/>
    </row>
    <row r="449" spans="1:4" thickBot="1" x14ac:dyDescent="0.35">
      <c r="A449" s="532"/>
      <c r="B449" s="532"/>
      <c r="C449" s="481"/>
      <c r="D449" s="481"/>
    </row>
    <row r="450" spans="1:4" thickBot="1" x14ac:dyDescent="0.35">
      <c r="A450" s="532"/>
      <c r="B450" s="532"/>
      <c r="C450" s="481"/>
      <c r="D450" s="481"/>
    </row>
    <row r="451" spans="1:4" thickBot="1" x14ac:dyDescent="0.35">
      <c r="A451" s="532"/>
      <c r="B451" s="532"/>
      <c r="C451" s="481"/>
      <c r="D451" s="481"/>
    </row>
    <row r="452" spans="1:4" thickBot="1" x14ac:dyDescent="0.35">
      <c r="A452" s="532"/>
      <c r="B452" s="532"/>
      <c r="C452" s="481"/>
      <c r="D452" s="481"/>
    </row>
    <row r="453" spans="1:4" thickBot="1" x14ac:dyDescent="0.35">
      <c r="A453" s="532"/>
      <c r="B453" s="532"/>
      <c r="C453" s="481"/>
      <c r="D453" s="481"/>
    </row>
    <row r="454" spans="1:4" thickBot="1" x14ac:dyDescent="0.35">
      <c r="A454" s="532"/>
      <c r="B454" s="532"/>
      <c r="C454" s="481"/>
      <c r="D454" s="481"/>
    </row>
    <row r="455" spans="1:4" thickBot="1" x14ac:dyDescent="0.35">
      <c r="A455" s="532"/>
      <c r="B455" s="532"/>
      <c r="C455" s="481"/>
      <c r="D455" s="481"/>
    </row>
    <row r="456" spans="1:4" thickBot="1" x14ac:dyDescent="0.35">
      <c r="A456" s="532"/>
      <c r="B456" s="532"/>
      <c r="C456" s="481"/>
      <c r="D456" s="481"/>
    </row>
    <row r="457" spans="1:4" thickBot="1" x14ac:dyDescent="0.35">
      <c r="A457" s="532"/>
      <c r="B457" s="532"/>
      <c r="C457" s="481"/>
      <c r="D457" s="481"/>
    </row>
    <row r="458" spans="1:4" thickBot="1" x14ac:dyDescent="0.35">
      <c r="A458" s="532"/>
      <c r="B458" s="532"/>
      <c r="C458" s="481"/>
      <c r="D458" s="481"/>
    </row>
    <row r="459" spans="1:4" thickBot="1" x14ac:dyDescent="0.35">
      <c r="A459" s="532"/>
      <c r="B459" s="532"/>
      <c r="C459" s="481"/>
      <c r="D459" s="481"/>
    </row>
    <row r="460" spans="1:4" thickBot="1" x14ac:dyDescent="0.35">
      <c r="A460" s="532"/>
      <c r="B460" s="532"/>
      <c r="C460" s="481"/>
      <c r="D460" s="481"/>
    </row>
    <row r="461" spans="1:4" thickBot="1" x14ac:dyDescent="0.35">
      <c r="A461" s="532"/>
      <c r="B461" s="532"/>
      <c r="C461" s="481"/>
      <c r="D461" s="481"/>
    </row>
    <row r="462" spans="1:4" thickBot="1" x14ac:dyDescent="0.35">
      <c r="A462" s="532"/>
      <c r="B462" s="532"/>
      <c r="C462" s="481"/>
      <c r="D462" s="481"/>
    </row>
    <row r="463" spans="1:4" thickBot="1" x14ac:dyDescent="0.35">
      <c r="A463" s="532"/>
      <c r="B463" s="532"/>
      <c r="C463" s="481"/>
      <c r="D463" s="481"/>
    </row>
    <row r="464" spans="1:4" thickBot="1" x14ac:dyDescent="0.35">
      <c r="A464" s="532"/>
      <c r="B464" s="532"/>
      <c r="C464" s="481"/>
      <c r="D464" s="481"/>
    </row>
    <row r="465" spans="1:4" thickBot="1" x14ac:dyDescent="0.35">
      <c r="A465" s="532"/>
      <c r="B465" s="532"/>
      <c r="C465" s="481"/>
      <c r="D465" s="481"/>
    </row>
    <row r="466" spans="1:4" thickBot="1" x14ac:dyDescent="0.35">
      <c r="A466" s="532"/>
      <c r="B466" s="532"/>
      <c r="C466" s="481"/>
      <c r="D466" s="481"/>
    </row>
    <row r="467" spans="1:4" thickBot="1" x14ac:dyDescent="0.35">
      <c r="A467" s="532"/>
      <c r="B467" s="532"/>
      <c r="C467" s="481"/>
      <c r="D467" s="481"/>
    </row>
    <row r="468" spans="1:4" thickBot="1" x14ac:dyDescent="0.35">
      <c r="A468" s="532"/>
      <c r="B468" s="532"/>
      <c r="C468" s="481"/>
      <c r="D468" s="481"/>
    </row>
    <row r="469" spans="1:4" thickBot="1" x14ac:dyDescent="0.35">
      <c r="A469" s="532"/>
      <c r="B469" s="532"/>
      <c r="C469" s="481"/>
      <c r="D469" s="481"/>
    </row>
    <row r="470" spans="1:4" thickBot="1" x14ac:dyDescent="0.35">
      <c r="A470" s="532"/>
      <c r="B470" s="532"/>
      <c r="C470" s="481"/>
      <c r="D470" s="481"/>
    </row>
    <row r="471" spans="1:4" thickBot="1" x14ac:dyDescent="0.35">
      <c r="A471" s="532"/>
      <c r="B471" s="532"/>
      <c r="C471" s="481"/>
      <c r="D471" s="481"/>
    </row>
    <row r="472" spans="1:4" thickBot="1" x14ac:dyDescent="0.35">
      <c r="A472" s="532"/>
      <c r="B472" s="532"/>
      <c r="C472" s="481"/>
      <c r="D472" s="481"/>
    </row>
    <row r="473" spans="1:4" thickBot="1" x14ac:dyDescent="0.35">
      <c r="A473" s="532"/>
      <c r="B473" s="532"/>
      <c r="C473" s="481"/>
      <c r="D473" s="481"/>
    </row>
    <row r="474" spans="1:4" thickBot="1" x14ac:dyDescent="0.35">
      <c r="A474" s="532"/>
      <c r="B474" s="532"/>
      <c r="C474" s="481"/>
      <c r="D474" s="481"/>
    </row>
    <row r="475" spans="1:4" thickBot="1" x14ac:dyDescent="0.35">
      <c r="A475" s="532"/>
      <c r="B475" s="532"/>
      <c r="C475" s="481"/>
      <c r="D475" s="481"/>
    </row>
    <row r="476" spans="1:4" thickBot="1" x14ac:dyDescent="0.35">
      <c r="A476" s="532"/>
      <c r="B476" s="532"/>
      <c r="C476" s="481"/>
      <c r="D476" s="481"/>
    </row>
    <row r="477" spans="1:4" thickBot="1" x14ac:dyDescent="0.35">
      <c r="A477" s="532"/>
      <c r="B477" s="532"/>
      <c r="C477" s="481"/>
      <c r="D477" s="481"/>
    </row>
    <row r="478" spans="1:4" thickBot="1" x14ac:dyDescent="0.35">
      <c r="A478" s="532"/>
      <c r="B478" s="532"/>
      <c r="C478" s="481"/>
      <c r="D478" s="481"/>
    </row>
    <row r="479" spans="1:4" thickBot="1" x14ac:dyDescent="0.35">
      <c r="A479" s="532"/>
      <c r="B479" s="532"/>
      <c r="C479" s="481"/>
      <c r="D479" s="481"/>
    </row>
    <row r="480" spans="1:4" thickBot="1" x14ac:dyDescent="0.35">
      <c r="A480" s="532"/>
      <c r="B480" s="532"/>
      <c r="C480" s="481"/>
      <c r="D480" s="481"/>
    </row>
    <row r="481" spans="1:4" thickBot="1" x14ac:dyDescent="0.35">
      <c r="A481" s="532"/>
      <c r="B481" s="532"/>
      <c r="C481" s="481"/>
      <c r="D481" s="481"/>
    </row>
    <row r="482" spans="1:4" thickBot="1" x14ac:dyDescent="0.35">
      <c r="A482" s="532"/>
      <c r="B482" s="532"/>
      <c r="C482" s="481"/>
      <c r="D482" s="481"/>
    </row>
    <row r="483" spans="1:4" thickBot="1" x14ac:dyDescent="0.35">
      <c r="A483" s="532"/>
      <c r="B483" s="532"/>
      <c r="C483" s="481"/>
      <c r="D483" s="481"/>
    </row>
    <row r="484" spans="1:4" thickBot="1" x14ac:dyDescent="0.35">
      <c r="A484" s="532"/>
      <c r="B484" s="532"/>
      <c r="C484" s="481"/>
      <c r="D484" s="481"/>
    </row>
    <row r="485" spans="1:4" thickBot="1" x14ac:dyDescent="0.35">
      <c r="A485" s="532"/>
      <c r="B485" s="532"/>
      <c r="C485" s="481"/>
      <c r="D485" s="481"/>
    </row>
    <row r="486" spans="1:4" thickBot="1" x14ac:dyDescent="0.35">
      <c r="A486" s="532"/>
      <c r="B486" s="532"/>
      <c r="C486" s="481"/>
      <c r="D486" s="481"/>
    </row>
    <row r="487" spans="1:4" thickBot="1" x14ac:dyDescent="0.35">
      <c r="A487" s="532"/>
      <c r="B487" s="532"/>
      <c r="C487" s="481"/>
      <c r="D487" s="481"/>
    </row>
    <row r="488" spans="1:4" thickBot="1" x14ac:dyDescent="0.35">
      <c r="A488" s="532"/>
      <c r="B488" s="532"/>
      <c r="C488" s="481"/>
      <c r="D488" s="481"/>
    </row>
    <row r="489" spans="1:4" thickBot="1" x14ac:dyDescent="0.35">
      <c r="A489" s="532"/>
      <c r="B489" s="532"/>
      <c r="C489" s="481"/>
      <c r="D489" s="481"/>
    </row>
    <row r="490" spans="1:4" thickBot="1" x14ac:dyDescent="0.35">
      <c r="A490" s="532"/>
      <c r="B490" s="532"/>
      <c r="C490" s="481"/>
      <c r="D490" s="481"/>
    </row>
    <row r="491" spans="1:4" thickBot="1" x14ac:dyDescent="0.35">
      <c r="A491" s="532"/>
      <c r="B491" s="532"/>
      <c r="C491" s="481"/>
      <c r="D491" s="481"/>
    </row>
    <row r="492" spans="1:4" thickBot="1" x14ac:dyDescent="0.35">
      <c r="A492" s="532"/>
      <c r="B492" s="532"/>
      <c r="C492" s="481"/>
      <c r="D492" s="481"/>
    </row>
    <row r="493" spans="1:4" thickBot="1" x14ac:dyDescent="0.35">
      <c r="A493" s="532"/>
      <c r="B493" s="532"/>
      <c r="C493" s="481"/>
      <c r="D493" s="481"/>
    </row>
    <row r="494" spans="1:4" thickBot="1" x14ac:dyDescent="0.35">
      <c r="A494" s="532"/>
      <c r="B494" s="532"/>
      <c r="C494" s="481"/>
      <c r="D494" s="481"/>
    </row>
    <row r="495" spans="1:4" thickBot="1" x14ac:dyDescent="0.35">
      <c r="A495" s="532"/>
      <c r="B495" s="532"/>
      <c r="C495" s="481"/>
      <c r="D495" s="481"/>
    </row>
    <row r="496" spans="1:4" thickBot="1" x14ac:dyDescent="0.35">
      <c r="A496" s="532"/>
      <c r="B496" s="532"/>
      <c r="C496" s="481"/>
      <c r="D496" s="481"/>
    </row>
    <row r="497" spans="1:4" thickBot="1" x14ac:dyDescent="0.35">
      <c r="A497" s="532"/>
      <c r="B497" s="532"/>
      <c r="C497" s="481"/>
      <c r="D497" s="481"/>
    </row>
    <row r="498" spans="1:4" thickBot="1" x14ac:dyDescent="0.35">
      <c r="A498" s="532"/>
      <c r="B498" s="532"/>
      <c r="C498" s="481"/>
      <c r="D498" s="481"/>
    </row>
    <row r="499" spans="1:4" thickBot="1" x14ac:dyDescent="0.35">
      <c r="A499" s="532"/>
      <c r="B499" s="532"/>
      <c r="C499" s="481"/>
      <c r="D499" s="481"/>
    </row>
    <row r="500" spans="1:4" thickBot="1" x14ac:dyDescent="0.35">
      <c r="A500" s="532"/>
      <c r="B500" s="532"/>
      <c r="C500" s="481"/>
      <c r="D500" s="481"/>
    </row>
    <row r="501" spans="1:4" thickBot="1" x14ac:dyDescent="0.35">
      <c r="A501" s="532"/>
      <c r="B501" s="532"/>
      <c r="C501" s="481"/>
      <c r="D501" s="481"/>
    </row>
    <row r="502" spans="1:4" thickBot="1" x14ac:dyDescent="0.35">
      <c r="A502" s="532"/>
      <c r="B502" s="532"/>
      <c r="C502" s="481"/>
      <c r="D502" s="481"/>
    </row>
    <row r="503" spans="1:4" thickBot="1" x14ac:dyDescent="0.35">
      <c r="A503" s="532"/>
      <c r="B503" s="532"/>
      <c r="C503" s="481"/>
      <c r="D503" s="481"/>
    </row>
    <row r="504" spans="1:4" thickBot="1" x14ac:dyDescent="0.35">
      <c r="A504" s="532"/>
      <c r="B504" s="532"/>
      <c r="C504" s="481"/>
      <c r="D504" s="481"/>
    </row>
    <row r="505" spans="1:4" thickBot="1" x14ac:dyDescent="0.35">
      <c r="A505" s="532"/>
      <c r="B505" s="532"/>
      <c r="C505" s="481"/>
      <c r="D505" s="481"/>
    </row>
    <row r="506" spans="1:4" thickBot="1" x14ac:dyDescent="0.35">
      <c r="A506" s="532"/>
      <c r="B506" s="532"/>
      <c r="C506" s="481"/>
      <c r="D506" s="481"/>
    </row>
    <row r="507" spans="1:4" thickBot="1" x14ac:dyDescent="0.35">
      <c r="A507" s="532"/>
      <c r="B507" s="532"/>
      <c r="C507" s="481"/>
      <c r="D507" s="481"/>
    </row>
    <row r="508" spans="1:4" thickBot="1" x14ac:dyDescent="0.35">
      <c r="A508" s="532"/>
      <c r="B508" s="532"/>
      <c r="C508" s="481"/>
      <c r="D508" s="481"/>
    </row>
    <row r="509" spans="1:4" thickBot="1" x14ac:dyDescent="0.35">
      <c r="A509" s="532"/>
      <c r="B509" s="532"/>
      <c r="C509" s="481"/>
      <c r="D509" s="481"/>
    </row>
    <row r="510" spans="1:4" thickBot="1" x14ac:dyDescent="0.35">
      <c r="A510" s="532"/>
      <c r="B510" s="532"/>
      <c r="C510" s="481"/>
      <c r="D510" s="481"/>
    </row>
    <row r="511" spans="1:4" thickBot="1" x14ac:dyDescent="0.35">
      <c r="A511" s="532"/>
      <c r="B511" s="532"/>
      <c r="C511" s="481"/>
      <c r="D511" s="481"/>
    </row>
    <row r="512" spans="1:4" thickBot="1" x14ac:dyDescent="0.35">
      <c r="A512" s="532"/>
      <c r="B512" s="532"/>
      <c r="C512" s="481"/>
      <c r="D512" s="481"/>
    </row>
    <row r="513" spans="1:4" thickBot="1" x14ac:dyDescent="0.35">
      <c r="A513" s="532"/>
      <c r="B513" s="532"/>
      <c r="C513" s="481"/>
      <c r="D513" s="481"/>
    </row>
    <row r="514" spans="1:4" thickBot="1" x14ac:dyDescent="0.35">
      <c r="A514" s="532"/>
      <c r="B514" s="532"/>
      <c r="C514" s="481"/>
      <c r="D514" s="481"/>
    </row>
    <row r="515" spans="1:4" thickBot="1" x14ac:dyDescent="0.35">
      <c r="A515" s="532"/>
      <c r="B515" s="532"/>
      <c r="C515" s="481"/>
      <c r="D515" s="481"/>
    </row>
    <row r="516" spans="1:4" thickBot="1" x14ac:dyDescent="0.35">
      <c r="A516" s="532"/>
      <c r="B516" s="532"/>
      <c r="C516" s="481"/>
      <c r="D516" s="481"/>
    </row>
    <row r="517" spans="1:4" thickBot="1" x14ac:dyDescent="0.35">
      <c r="A517" s="532"/>
      <c r="B517" s="532"/>
      <c r="C517" s="481"/>
      <c r="D517" s="481"/>
    </row>
    <row r="518" spans="1:4" thickBot="1" x14ac:dyDescent="0.35">
      <c r="A518" s="532"/>
      <c r="B518" s="532"/>
      <c r="C518" s="481"/>
      <c r="D518" s="481"/>
    </row>
    <row r="519" spans="1:4" thickBot="1" x14ac:dyDescent="0.35">
      <c r="A519" s="532"/>
      <c r="B519" s="532"/>
      <c r="C519" s="481"/>
      <c r="D519" s="481"/>
    </row>
    <row r="520" spans="1:4" thickBot="1" x14ac:dyDescent="0.35">
      <c r="A520" s="532"/>
      <c r="B520" s="532"/>
      <c r="C520" s="481"/>
      <c r="D520" s="481"/>
    </row>
    <row r="521" spans="1:4" thickBot="1" x14ac:dyDescent="0.35">
      <c r="A521" s="532"/>
      <c r="B521" s="532"/>
      <c r="C521" s="481"/>
      <c r="D521" s="481"/>
    </row>
    <row r="522" spans="1:4" thickBot="1" x14ac:dyDescent="0.35">
      <c r="A522" s="532"/>
      <c r="B522" s="532"/>
      <c r="C522" s="481"/>
      <c r="D522" s="481"/>
    </row>
    <row r="523" spans="1:4" thickBot="1" x14ac:dyDescent="0.35">
      <c r="A523" s="532"/>
      <c r="B523" s="532"/>
      <c r="C523" s="481"/>
      <c r="D523" s="481"/>
    </row>
    <row r="524" spans="1:4" thickBot="1" x14ac:dyDescent="0.35">
      <c r="A524" s="532"/>
      <c r="B524" s="532"/>
      <c r="C524" s="481"/>
      <c r="D524" s="481"/>
    </row>
    <row r="525" spans="1:4" thickBot="1" x14ac:dyDescent="0.35">
      <c r="A525" s="532"/>
      <c r="B525" s="532"/>
      <c r="C525" s="481"/>
      <c r="D525" s="481"/>
    </row>
    <row r="526" spans="1:4" thickBot="1" x14ac:dyDescent="0.35">
      <c r="A526" s="532"/>
      <c r="B526" s="532"/>
      <c r="C526" s="481"/>
      <c r="D526" s="481"/>
    </row>
    <row r="527" spans="1:4" thickBot="1" x14ac:dyDescent="0.35">
      <c r="A527" s="532"/>
      <c r="B527" s="532"/>
      <c r="C527" s="481"/>
      <c r="D527" s="481"/>
    </row>
    <row r="528" spans="1:4" thickBot="1" x14ac:dyDescent="0.35">
      <c r="A528" s="532"/>
      <c r="B528" s="532"/>
      <c r="C528" s="481"/>
      <c r="D528" s="481"/>
    </row>
    <row r="529" spans="1:4" thickBot="1" x14ac:dyDescent="0.35">
      <c r="A529" s="532"/>
      <c r="B529" s="532"/>
      <c r="C529" s="481"/>
      <c r="D529" s="481"/>
    </row>
    <row r="530" spans="1:4" thickBot="1" x14ac:dyDescent="0.35">
      <c r="A530" s="532"/>
      <c r="B530" s="532"/>
      <c r="C530" s="481"/>
      <c r="D530" s="481"/>
    </row>
    <row r="531" spans="1:4" thickBot="1" x14ac:dyDescent="0.35">
      <c r="A531" s="532"/>
      <c r="B531" s="532"/>
      <c r="C531" s="481"/>
      <c r="D531" s="481"/>
    </row>
    <row r="532" spans="1:4" thickBot="1" x14ac:dyDescent="0.35">
      <c r="A532" s="532"/>
      <c r="B532" s="532"/>
      <c r="C532" s="481"/>
      <c r="D532" s="481"/>
    </row>
    <row r="533" spans="1:4" thickBot="1" x14ac:dyDescent="0.35">
      <c r="A533" s="532"/>
      <c r="B533" s="532"/>
      <c r="C533" s="481"/>
      <c r="D533" s="481"/>
    </row>
    <row r="534" spans="1:4" thickBot="1" x14ac:dyDescent="0.35">
      <c r="A534" s="532"/>
      <c r="B534" s="532"/>
      <c r="C534" s="481"/>
      <c r="D534" s="481"/>
    </row>
    <row r="535" spans="1:4" thickBot="1" x14ac:dyDescent="0.35">
      <c r="A535" s="532"/>
      <c r="B535" s="532"/>
      <c r="C535" s="481"/>
      <c r="D535" s="481"/>
    </row>
    <row r="536" spans="1:4" thickBot="1" x14ac:dyDescent="0.35">
      <c r="A536" s="532"/>
      <c r="B536" s="532"/>
      <c r="C536" s="481"/>
      <c r="D536" s="481"/>
    </row>
    <row r="537" spans="1:4" thickBot="1" x14ac:dyDescent="0.35">
      <c r="A537" s="532"/>
      <c r="B537" s="532"/>
      <c r="C537" s="481"/>
      <c r="D537" s="481"/>
    </row>
    <row r="538" spans="1:4" thickBot="1" x14ac:dyDescent="0.35">
      <c r="A538" s="532"/>
      <c r="B538" s="532"/>
      <c r="C538" s="481"/>
      <c r="D538" s="481"/>
    </row>
    <row r="539" spans="1:4" thickBot="1" x14ac:dyDescent="0.35">
      <c r="A539" s="532"/>
      <c r="B539" s="532"/>
      <c r="C539" s="481"/>
      <c r="D539" s="481"/>
    </row>
    <row r="540" spans="1:4" thickBot="1" x14ac:dyDescent="0.35">
      <c r="A540" s="532"/>
      <c r="B540" s="532"/>
      <c r="C540" s="481"/>
      <c r="D540" s="481"/>
    </row>
    <row r="541" spans="1:4" thickBot="1" x14ac:dyDescent="0.35">
      <c r="A541" s="532"/>
      <c r="B541" s="532"/>
      <c r="C541" s="481"/>
      <c r="D541" s="481"/>
    </row>
    <row r="542" spans="1:4" thickBot="1" x14ac:dyDescent="0.35">
      <c r="A542" s="532"/>
      <c r="B542" s="532"/>
      <c r="C542" s="481"/>
      <c r="D542" s="481"/>
    </row>
    <row r="543" spans="1:4" thickBot="1" x14ac:dyDescent="0.35">
      <c r="A543" s="532"/>
      <c r="B543" s="532"/>
      <c r="C543" s="481"/>
      <c r="D543" s="481"/>
    </row>
    <row r="544" spans="1:4" thickBot="1" x14ac:dyDescent="0.35">
      <c r="A544" s="532"/>
      <c r="B544" s="532"/>
      <c r="C544" s="481"/>
      <c r="D544" s="481"/>
    </row>
    <row r="545" spans="1:4" thickBot="1" x14ac:dyDescent="0.35">
      <c r="A545" s="532"/>
      <c r="B545" s="532"/>
      <c r="C545" s="481"/>
      <c r="D545" s="481"/>
    </row>
    <row r="546" spans="1:4" thickBot="1" x14ac:dyDescent="0.35">
      <c r="A546" s="532"/>
      <c r="B546" s="532"/>
      <c r="C546" s="481"/>
      <c r="D546" s="481"/>
    </row>
    <row r="547" spans="1:4" thickBot="1" x14ac:dyDescent="0.35">
      <c r="A547" s="532"/>
      <c r="B547" s="532"/>
      <c r="C547" s="481"/>
      <c r="D547" s="481"/>
    </row>
    <row r="548" spans="1:4" thickBot="1" x14ac:dyDescent="0.35">
      <c r="A548" s="532"/>
      <c r="B548" s="532"/>
      <c r="C548" s="481"/>
      <c r="D548" s="481"/>
    </row>
    <row r="549" spans="1:4" thickBot="1" x14ac:dyDescent="0.35">
      <c r="A549" s="532"/>
      <c r="B549" s="532"/>
      <c r="C549" s="481"/>
      <c r="D549" s="481"/>
    </row>
    <row r="550" spans="1:4" thickBot="1" x14ac:dyDescent="0.35">
      <c r="A550" s="532"/>
      <c r="B550" s="532"/>
      <c r="C550" s="481"/>
      <c r="D550" s="481"/>
    </row>
    <row r="551" spans="1:4" thickBot="1" x14ac:dyDescent="0.35">
      <c r="A551" s="532"/>
      <c r="B551" s="532"/>
      <c r="C551" s="481"/>
      <c r="D551" s="481"/>
    </row>
    <row r="552" spans="1:4" thickBot="1" x14ac:dyDescent="0.35">
      <c r="A552" s="532"/>
      <c r="B552" s="532"/>
      <c r="C552" s="481"/>
      <c r="D552" s="481"/>
    </row>
    <row r="553" spans="1:4" thickBot="1" x14ac:dyDescent="0.35">
      <c r="A553" s="532"/>
      <c r="B553" s="532"/>
      <c r="C553" s="481"/>
      <c r="D553" s="481"/>
    </row>
    <row r="554" spans="1:4" thickBot="1" x14ac:dyDescent="0.35">
      <c r="A554" s="532"/>
      <c r="B554" s="532"/>
      <c r="C554" s="481"/>
      <c r="D554" s="481"/>
    </row>
    <row r="555" spans="1:4" thickBot="1" x14ac:dyDescent="0.35">
      <c r="A555" s="532"/>
      <c r="B555" s="532"/>
      <c r="C555" s="481"/>
      <c r="D555" s="481"/>
    </row>
    <row r="556" spans="1:4" thickBot="1" x14ac:dyDescent="0.35">
      <c r="A556" s="532"/>
      <c r="B556" s="532"/>
      <c r="C556" s="481"/>
      <c r="D556" s="481"/>
    </row>
    <row r="557" spans="1:4" thickBot="1" x14ac:dyDescent="0.35">
      <c r="A557" s="532"/>
      <c r="B557" s="532"/>
      <c r="C557" s="481"/>
      <c r="D557" s="481"/>
    </row>
    <row r="558" spans="1:4" thickBot="1" x14ac:dyDescent="0.35">
      <c r="A558" s="532"/>
      <c r="B558" s="532"/>
      <c r="C558" s="481"/>
      <c r="D558" s="481"/>
    </row>
    <row r="559" spans="1:4" thickBot="1" x14ac:dyDescent="0.35">
      <c r="A559" s="532"/>
      <c r="B559" s="532"/>
      <c r="C559" s="481"/>
      <c r="D559" s="481"/>
    </row>
    <row r="560" spans="1:4" thickBot="1" x14ac:dyDescent="0.35">
      <c r="A560" s="532"/>
      <c r="B560" s="532"/>
      <c r="C560" s="481"/>
      <c r="D560" s="481"/>
    </row>
    <row r="561" spans="1:4" thickBot="1" x14ac:dyDescent="0.35">
      <c r="A561" s="532"/>
      <c r="B561" s="532"/>
      <c r="C561" s="481"/>
      <c r="D561" s="481"/>
    </row>
    <row r="562" spans="1:4" thickBot="1" x14ac:dyDescent="0.35">
      <c r="A562" s="532"/>
      <c r="B562" s="532"/>
      <c r="C562" s="481"/>
      <c r="D562" s="481"/>
    </row>
    <row r="563" spans="1:4" thickBot="1" x14ac:dyDescent="0.35">
      <c r="A563" s="532"/>
      <c r="B563" s="532"/>
      <c r="C563" s="481"/>
      <c r="D563" s="481"/>
    </row>
    <row r="564" spans="1:4" thickBot="1" x14ac:dyDescent="0.35">
      <c r="A564" s="532"/>
      <c r="B564" s="532"/>
      <c r="C564" s="481"/>
      <c r="D564" s="481"/>
    </row>
    <row r="565" spans="1:4" thickBot="1" x14ac:dyDescent="0.35">
      <c r="A565" s="532"/>
      <c r="B565" s="532"/>
      <c r="C565" s="481"/>
      <c r="D565" s="481"/>
    </row>
    <row r="566" spans="1:4" thickBot="1" x14ac:dyDescent="0.35">
      <c r="A566" s="532"/>
      <c r="B566" s="532"/>
      <c r="C566" s="481"/>
      <c r="D566" s="481"/>
    </row>
    <row r="567" spans="1:4" thickBot="1" x14ac:dyDescent="0.35">
      <c r="A567" s="532"/>
      <c r="B567" s="532"/>
      <c r="C567" s="481"/>
      <c r="D567" s="481"/>
    </row>
    <row r="568" spans="1:4" thickBot="1" x14ac:dyDescent="0.35">
      <c r="A568" s="532"/>
      <c r="B568" s="532"/>
      <c r="C568" s="481"/>
      <c r="D568" s="481"/>
    </row>
    <row r="569" spans="1:4" thickBot="1" x14ac:dyDescent="0.35">
      <c r="A569" s="532"/>
      <c r="B569" s="532"/>
      <c r="C569" s="481"/>
      <c r="D569" s="481"/>
    </row>
    <row r="570" spans="1:4" thickBot="1" x14ac:dyDescent="0.35">
      <c r="A570" s="532"/>
      <c r="B570" s="532"/>
      <c r="C570" s="481"/>
      <c r="D570" s="481"/>
    </row>
    <row r="571" spans="1:4" thickBot="1" x14ac:dyDescent="0.35">
      <c r="A571" s="532"/>
      <c r="B571" s="532"/>
      <c r="C571" s="481"/>
      <c r="D571" s="481"/>
    </row>
    <row r="572" spans="1:4" thickBot="1" x14ac:dyDescent="0.35">
      <c r="A572" s="532"/>
      <c r="B572" s="532"/>
      <c r="C572" s="481"/>
      <c r="D572" s="481"/>
    </row>
    <row r="573" spans="1:4" thickBot="1" x14ac:dyDescent="0.35">
      <c r="A573" s="532"/>
      <c r="B573" s="532"/>
      <c r="C573" s="481"/>
      <c r="D573" s="481"/>
    </row>
    <row r="574" spans="1:4" thickBot="1" x14ac:dyDescent="0.35">
      <c r="A574" s="532"/>
      <c r="B574" s="532"/>
      <c r="C574" s="481"/>
      <c r="D574" s="481"/>
    </row>
    <row r="575" spans="1:4" thickBot="1" x14ac:dyDescent="0.35">
      <c r="A575" s="532"/>
      <c r="B575" s="532"/>
      <c r="C575" s="481"/>
      <c r="D575" s="481"/>
    </row>
    <row r="576" spans="1:4" thickBot="1" x14ac:dyDescent="0.35">
      <c r="A576" s="532"/>
      <c r="B576" s="532"/>
      <c r="C576" s="481"/>
      <c r="D576" s="481"/>
    </row>
    <row r="577" spans="1:4" thickBot="1" x14ac:dyDescent="0.35">
      <c r="A577" s="532"/>
      <c r="B577" s="532"/>
      <c r="C577" s="481"/>
      <c r="D577" s="481"/>
    </row>
    <row r="578" spans="1:4" thickBot="1" x14ac:dyDescent="0.35">
      <c r="A578" s="532"/>
      <c r="B578" s="532"/>
      <c r="C578" s="481"/>
      <c r="D578" s="481"/>
    </row>
    <row r="579" spans="1:4" thickBot="1" x14ac:dyDescent="0.35">
      <c r="A579" s="532"/>
      <c r="B579" s="532"/>
      <c r="C579" s="481"/>
      <c r="D579" s="481"/>
    </row>
    <row r="580" spans="1:4" thickBot="1" x14ac:dyDescent="0.35">
      <c r="A580" s="532"/>
      <c r="B580" s="532"/>
      <c r="C580" s="481"/>
      <c r="D580" s="481"/>
    </row>
    <row r="581" spans="1:4" thickBot="1" x14ac:dyDescent="0.35">
      <c r="A581" s="532"/>
      <c r="B581" s="532"/>
      <c r="C581" s="481"/>
      <c r="D581" s="481"/>
    </row>
    <row r="582" spans="1:4" thickBot="1" x14ac:dyDescent="0.35">
      <c r="A582" s="532"/>
      <c r="B582" s="532"/>
      <c r="C582" s="481"/>
      <c r="D582" s="481"/>
    </row>
    <row r="583" spans="1:4" thickBot="1" x14ac:dyDescent="0.35">
      <c r="A583" s="532"/>
      <c r="B583" s="532"/>
      <c r="C583" s="481"/>
      <c r="D583" s="481"/>
    </row>
    <row r="584" spans="1:4" thickBot="1" x14ac:dyDescent="0.35">
      <c r="A584" s="532"/>
      <c r="B584" s="532"/>
      <c r="C584" s="481"/>
      <c r="D584" s="481"/>
    </row>
    <row r="585" spans="1:4" thickBot="1" x14ac:dyDescent="0.35">
      <c r="A585" s="532"/>
      <c r="B585" s="532"/>
      <c r="C585" s="481"/>
      <c r="D585" s="481"/>
    </row>
    <row r="586" spans="1:4" thickBot="1" x14ac:dyDescent="0.35">
      <c r="A586" s="532"/>
      <c r="B586" s="532"/>
      <c r="C586" s="481"/>
      <c r="D586" s="481"/>
    </row>
    <row r="587" spans="1:4" thickBot="1" x14ac:dyDescent="0.35">
      <c r="A587" s="532"/>
      <c r="B587" s="532"/>
      <c r="C587" s="481"/>
      <c r="D587" s="481"/>
    </row>
    <row r="588" spans="1:4" thickBot="1" x14ac:dyDescent="0.35">
      <c r="A588" s="532"/>
      <c r="B588" s="532"/>
      <c r="C588" s="481"/>
      <c r="D588" s="481"/>
    </row>
    <row r="589" spans="1:4" thickBot="1" x14ac:dyDescent="0.35">
      <c r="A589" s="532"/>
      <c r="B589" s="532"/>
      <c r="C589" s="481"/>
      <c r="D589" s="481"/>
    </row>
    <row r="590" spans="1:4" thickBot="1" x14ac:dyDescent="0.35">
      <c r="A590" s="532"/>
      <c r="B590" s="532"/>
      <c r="C590" s="481"/>
      <c r="D590" s="481"/>
    </row>
    <row r="591" spans="1:4" thickBot="1" x14ac:dyDescent="0.35">
      <c r="A591" s="532"/>
      <c r="B591" s="532"/>
      <c r="C591" s="481"/>
      <c r="D591" s="481"/>
    </row>
    <row r="592" spans="1:4" thickBot="1" x14ac:dyDescent="0.35">
      <c r="A592" s="532"/>
      <c r="B592" s="532"/>
      <c r="C592" s="481"/>
      <c r="D592" s="481"/>
    </row>
    <row r="593" spans="1:4" thickBot="1" x14ac:dyDescent="0.35">
      <c r="A593" s="532"/>
      <c r="B593" s="532"/>
      <c r="C593" s="481"/>
      <c r="D593" s="481"/>
    </row>
    <row r="594" spans="1:4" ht="18.75" x14ac:dyDescent="0.3"/>
    <row r="595" spans="1:4" ht="18.75" x14ac:dyDescent="0.3"/>
    <row r="596" spans="1:4" ht="18.75" x14ac:dyDescent="0.3"/>
  </sheetData>
  <mergeCells count="14">
    <mergeCell ref="A241:B241"/>
    <mergeCell ref="A167:B167"/>
    <mergeCell ref="A168:B168"/>
    <mergeCell ref="A196:B196"/>
    <mergeCell ref="A224:B224"/>
    <mergeCell ref="A226:B226"/>
    <mergeCell ref="A229:B229"/>
    <mergeCell ref="A166:B166"/>
    <mergeCell ref="A125:B125"/>
    <mergeCell ref="A3:D3"/>
    <mergeCell ref="A131:B131"/>
    <mergeCell ref="A163:B163"/>
    <mergeCell ref="A164:B164"/>
    <mergeCell ref="A165:B165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40"/>
  <sheetViews>
    <sheetView view="pageBreakPreview" zoomScale="60" zoomScaleNormal="100" workbookViewId="0"/>
  </sheetViews>
  <sheetFormatPr defaultRowHeight="15" x14ac:dyDescent="0.25"/>
  <cols>
    <col min="1" max="1" width="46.7109375" customWidth="1"/>
    <col min="2" max="4" width="12" customWidth="1"/>
    <col min="5" max="5" width="12" style="376" customWidth="1"/>
    <col min="6" max="8" width="12" customWidth="1"/>
    <col min="9" max="9" width="12" style="376" customWidth="1"/>
    <col min="10" max="12" width="12" customWidth="1"/>
    <col min="13" max="13" width="12" style="376" customWidth="1"/>
    <col min="14" max="16" width="12" customWidth="1"/>
    <col min="17" max="17" width="12" style="376" customWidth="1"/>
    <col min="18" max="20" width="12" customWidth="1"/>
    <col min="21" max="21" width="12" style="376" customWidth="1"/>
    <col min="22" max="24" width="12" customWidth="1"/>
    <col min="25" max="25" width="12" style="376" customWidth="1"/>
    <col min="26" max="28" width="12" customWidth="1"/>
    <col min="29" max="29" width="12" style="376" customWidth="1"/>
    <col min="30" max="32" width="12" customWidth="1"/>
    <col min="33" max="33" width="12" style="376" customWidth="1"/>
    <col min="34" max="36" width="12" customWidth="1"/>
    <col min="37" max="37" width="12" style="376" customWidth="1"/>
    <col min="38" max="40" width="12" customWidth="1"/>
    <col min="41" max="41" width="12" style="376" customWidth="1"/>
    <col min="42" max="44" width="12" customWidth="1"/>
    <col min="45" max="45" width="12" style="376" customWidth="1"/>
    <col min="46" max="48" width="13" customWidth="1"/>
  </cols>
  <sheetData>
    <row r="1" spans="1:86" s="262" customFormat="1" ht="16.5" customHeight="1" x14ac:dyDescent="0.25">
      <c r="A1" s="164" t="s">
        <v>971</v>
      </c>
      <c r="E1" s="356"/>
      <c r="I1" s="356"/>
      <c r="M1" s="356"/>
      <c r="Q1" s="356"/>
      <c r="U1" s="356"/>
      <c r="Y1" s="356" t="s">
        <v>510</v>
      </c>
      <c r="AC1" s="356"/>
      <c r="AG1" s="356"/>
      <c r="AK1" s="356"/>
      <c r="AO1" s="356"/>
      <c r="AS1" s="356" t="s">
        <v>511</v>
      </c>
    </row>
    <row r="2" spans="1:86" s="20" customFormat="1" ht="6.75" customHeight="1" x14ac:dyDescent="0.2">
      <c r="A2" s="263"/>
      <c r="E2" s="357"/>
      <c r="I2" s="357"/>
      <c r="M2" s="357"/>
      <c r="Q2" s="357"/>
      <c r="U2" s="357"/>
      <c r="Y2" s="357"/>
      <c r="AC2" s="357"/>
      <c r="AG2" s="357"/>
      <c r="AK2" s="357"/>
      <c r="AO2" s="357"/>
      <c r="AS2" s="357"/>
    </row>
    <row r="3" spans="1:86" s="20" customFormat="1" ht="6.75" customHeight="1" x14ac:dyDescent="0.2">
      <c r="A3" s="263"/>
      <c r="E3" s="357"/>
      <c r="I3" s="357"/>
      <c r="M3" s="357"/>
      <c r="Q3" s="357"/>
      <c r="U3" s="357"/>
      <c r="Y3" s="357"/>
      <c r="AC3" s="357"/>
      <c r="AG3" s="357"/>
      <c r="AK3" s="357"/>
      <c r="AO3" s="357"/>
      <c r="AS3" s="357"/>
    </row>
    <row r="4" spans="1:86" s="358" customFormat="1" ht="37.5" customHeight="1" x14ac:dyDescent="0.25">
      <c r="A4" s="901" t="s">
        <v>540</v>
      </c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 t="s">
        <v>540</v>
      </c>
      <c r="AA4" s="902"/>
      <c r="AB4" s="902"/>
      <c r="AC4" s="902"/>
      <c r="AD4" s="902"/>
      <c r="AE4" s="902"/>
      <c r="AF4" s="902"/>
      <c r="AG4" s="902"/>
      <c r="AH4" s="902"/>
      <c r="AI4" s="902"/>
      <c r="AJ4" s="902"/>
      <c r="AK4" s="902"/>
      <c r="AL4" s="902"/>
      <c r="AM4" s="902"/>
      <c r="AN4" s="902"/>
      <c r="AO4" s="902"/>
      <c r="AP4" s="902"/>
      <c r="AQ4" s="902"/>
      <c r="AR4" s="902"/>
      <c r="AS4" s="902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</row>
    <row r="5" spans="1:86" ht="15.75" x14ac:dyDescent="0.25">
      <c r="A5" s="270"/>
      <c r="B5" s="270"/>
      <c r="C5" s="270"/>
      <c r="D5" s="270"/>
      <c r="E5" s="345"/>
      <c r="F5" s="270"/>
      <c r="G5" s="270"/>
      <c r="H5" s="270"/>
      <c r="I5" s="345"/>
      <c r="J5" s="270"/>
      <c r="K5" s="270"/>
      <c r="L5" s="270"/>
      <c r="M5" s="345"/>
      <c r="N5" s="270"/>
      <c r="O5" s="270"/>
      <c r="P5" s="270"/>
      <c r="Q5" s="345"/>
      <c r="R5" s="270"/>
      <c r="S5" s="270"/>
      <c r="T5" s="270"/>
      <c r="U5" s="345"/>
      <c r="V5" s="270"/>
      <c r="W5" s="270"/>
      <c r="X5" s="270"/>
      <c r="Y5" s="345"/>
      <c r="Z5" s="270"/>
      <c r="AA5" s="270"/>
      <c r="AB5" s="270"/>
      <c r="AC5" s="345"/>
      <c r="AD5" s="270"/>
      <c r="AE5" s="270"/>
      <c r="AF5" s="270"/>
      <c r="AG5" s="345"/>
      <c r="AH5" s="270"/>
      <c r="AI5" s="270"/>
      <c r="AJ5" s="270"/>
      <c r="AK5" s="345"/>
      <c r="AL5" s="270"/>
      <c r="AM5" s="270"/>
      <c r="AN5" s="270"/>
      <c r="AO5" s="345"/>
      <c r="AP5" s="270"/>
      <c r="AQ5" s="270"/>
      <c r="AR5" s="270"/>
      <c r="AS5" s="345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</row>
    <row r="6" spans="1:86" ht="16.5" thickBot="1" x14ac:dyDescent="0.3">
      <c r="A6" s="270"/>
      <c r="B6" s="270"/>
      <c r="C6" s="270"/>
      <c r="D6" s="270"/>
      <c r="E6" s="345"/>
      <c r="F6" s="270"/>
      <c r="G6" s="270"/>
      <c r="H6" s="270"/>
      <c r="I6" s="345"/>
      <c r="J6" s="270"/>
      <c r="K6" s="270"/>
      <c r="L6" s="270"/>
      <c r="M6" s="345"/>
      <c r="N6" s="270"/>
      <c r="O6" s="270"/>
      <c r="P6" s="270"/>
      <c r="Q6" s="345"/>
      <c r="R6" s="270"/>
      <c r="S6" s="270"/>
      <c r="T6" s="270"/>
      <c r="U6" s="345"/>
      <c r="V6" s="270"/>
      <c r="W6" s="270"/>
      <c r="X6" s="270"/>
      <c r="Y6" s="345"/>
      <c r="Z6" s="270"/>
      <c r="AA6" s="270"/>
      <c r="AB6" s="270"/>
      <c r="AC6" s="345"/>
      <c r="AD6" s="270"/>
      <c r="AE6" s="270"/>
      <c r="AF6" s="270"/>
      <c r="AG6" s="345"/>
      <c r="AH6" s="270"/>
      <c r="AI6" s="270"/>
      <c r="AJ6" s="270"/>
      <c r="AK6" s="345"/>
      <c r="AL6" s="889"/>
      <c r="AM6" s="889"/>
      <c r="AN6" s="889"/>
      <c r="AO6" s="889"/>
      <c r="AP6" s="889"/>
      <c r="AQ6" s="50"/>
      <c r="AR6" s="50"/>
      <c r="AS6" s="47" t="s">
        <v>308</v>
      </c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</row>
    <row r="7" spans="1:86" s="274" customFormat="1" ht="13.5" customHeight="1" thickBot="1" x14ac:dyDescent="0.25">
      <c r="A7" s="868" t="s">
        <v>484</v>
      </c>
      <c r="B7" s="871" t="s">
        <v>513</v>
      </c>
      <c r="C7" s="872"/>
      <c r="D7" s="872"/>
      <c r="E7" s="873"/>
      <c r="F7" s="871" t="s">
        <v>514</v>
      </c>
      <c r="G7" s="872"/>
      <c r="H7" s="872"/>
      <c r="I7" s="873"/>
      <c r="J7" s="871" t="s">
        <v>515</v>
      </c>
      <c r="K7" s="872"/>
      <c r="L7" s="872"/>
      <c r="M7" s="873"/>
      <c r="N7" s="871" t="s">
        <v>516</v>
      </c>
      <c r="O7" s="872"/>
      <c r="P7" s="872"/>
      <c r="Q7" s="873"/>
      <c r="R7" s="871" t="s">
        <v>517</v>
      </c>
      <c r="S7" s="872"/>
      <c r="T7" s="872"/>
      <c r="U7" s="873"/>
      <c r="V7" s="871" t="s">
        <v>518</v>
      </c>
      <c r="W7" s="872"/>
      <c r="X7" s="872"/>
      <c r="Y7" s="873"/>
      <c r="Z7" s="871" t="s">
        <v>519</v>
      </c>
      <c r="AA7" s="872"/>
      <c r="AB7" s="872"/>
      <c r="AC7" s="873"/>
      <c r="AD7" s="871" t="s">
        <v>520</v>
      </c>
      <c r="AE7" s="872"/>
      <c r="AF7" s="872"/>
      <c r="AG7" s="873"/>
      <c r="AH7" s="880">
        <v>3</v>
      </c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346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</row>
    <row r="8" spans="1:86" s="276" customFormat="1" ht="29.25" customHeight="1" thickBot="1" x14ac:dyDescent="0.3">
      <c r="A8" s="869"/>
      <c r="B8" s="881" t="s">
        <v>523</v>
      </c>
      <c r="C8" s="882"/>
      <c r="D8" s="882"/>
      <c r="E8" s="883"/>
      <c r="F8" s="881" t="s">
        <v>524</v>
      </c>
      <c r="G8" s="882"/>
      <c r="H8" s="882"/>
      <c r="I8" s="883"/>
      <c r="J8" s="881" t="s">
        <v>525</v>
      </c>
      <c r="K8" s="882"/>
      <c r="L8" s="882"/>
      <c r="M8" s="883"/>
      <c r="N8" s="881" t="s">
        <v>526</v>
      </c>
      <c r="O8" s="882"/>
      <c r="P8" s="882"/>
      <c r="Q8" s="883"/>
      <c r="R8" s="881" t="s">
        <v>527</v>
      </c>
      <c r="S8" s="882"/>
      <c r="T8" s="882"/>
      <c r="U8" s="883"/>
      <c r="V8" s="881" t="s">
        <v>528</v>
      </c>
      <c r="W8" s="882"/>
      <c r="X8" s="882"/>
      <c r="Y8" s="883"/>
      <c r="Z8" s="881" t="s">
        <v>529</v>
      </c>
      <c r="AA8" s="882"/>
      <c r="AB8" s="882"/>
      <c r="AC8" s="883"/>
      <c r="AD8" s="881" t="s">
        <v>530</v>
      </c>
      <c r="AE8" s="882"/>
      <c r="AF8" s="882"/>
      <c r="AG8" s="883"/>
      <c r="AH8" s="879" t="s">
        <v>532</v>
      </c>
      <c r="AI8" s="879"/>
      <c r="AJ8" s="879"/>
      <c r="AK8" s="879"/>
      <c r="AL8" s="879"/>
      <c r="AM8" s="879"/>
      <c r="AN8" s="879"/>
      <c r="AO8" s="879"/>
      <c r="AP8" s="879"/>
      <c r="AQ8" s="879"/>
      <c r="AR8" s="879"/>
      <c r="AS8" s="879"/>
      <c r="AT8" s="347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</row>
    <row r="9" spans="1:86" s="276" customFormat="1" ht="12.75" hidden="1" customHeight="1" x14ac:dyDescent="0.25">
      <c r="A9" s="869"/>
      <c r="B9" s="903"/>
      <c r="C9" s="904"/>
      <c r="D9" s="904"/>
      <c r="E9" s="905"/>
      <c r="F9" s="903"/>
      <c r="G9" s="904"/>
      <c r="H9" s="904"/>
      <c r="I9" s="905"/>
      <c r="J9" s="903"/>
      <c r="K9" s="904"/>
      <c r="L9" s="904"/>
      <c r="M9" s="905"/>
      <c r="N9" s="903"/>
      <c r="O9" s="904"/>
      <c r="P9" s="904"/>
      <c r="Q9" s="905"/>
      <c r="R9" s="903"/>
      <c r="S9" s="904"/>
      <c r="T9" s="904"/>
      <c r="U9" s="905"/>
      <c r="V9" s="903"/>
      <c r="W9" s="904"/>
      <c r="X9" s="904"/>
      <c r="Y9" s="905"/>
      <c r="Z9" s="903"/>
      <c r="AA9" s="904"/>
      <c r="AB9" s="904"/>
      <c r="AC9" s="905"/>
      <c r="AD9" s="903"/>
      <c r="AE9" s="904"/>
      <c r="AF9" s="904"/>
      <c r="AG9" s="905"/>
      <c r="AH9" s="879"/>
      <c r="AI9" s="879"/>
      <c r="AJ9" s="879"/>
      <c r="AK9" s="879"/>
      <c r="AL9" s="879"/>
      <c r="AM9" s="879"/>
      <c r="AN9" s="879"/>
      <c r="AO9" s="879"/>
      <c r="AP9" s="879"/>
      <c r="AQ9" s="879"/>
      <c r="AR9" s="879"/>
      <c r="AS9" s="879"/>
      <c r="AT9" s="347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</row>
    <row r="10" spans="1:86" s="276" customFormat="1" ht="24.75" customHeight="1" thickBot="1" x14ac:dyDescent="0.3">
      <c r="A10" s="869"/>
      <c r="B10" s="884"/>
      <c r="C10" s="885"/>
      <c r="D10" s="885"/>
      <c r="E10" s="886"/>
      <c r="F10" s="884"/>
      <c r="G10" s="885"/>
      <c r="H10" s="885"/>
      <c r="I10" s="886"/>
      <c r="J10" s="884"/>
      <c r="K10" s="885"/>
      <c r="L10" s="885"/>
      <c r="M10" s="886"/>
      <c r="N10" s="884"/>
      <c r="O10" s="885"/>
      <c r="P10" s="885"/>
      <c r="Q10" s="886"/>
      <c r="R10" s="884"/>
      <c r="S10" s="885"/>
      <c r="T10" s="885"/>
      <c r="U10" s="886"/>
      <c r="V10" s="884"/>
      <c r="W10" s="885"/>
      <c r="X10" s="885"/>
      <c r="Y10" s="886"/>
      <c r="Z10" s="884"/>
      <c r="AA10" s="885"/>
      <c r="AB10" s="885"/>
      <c r="AC10" s="886"/>
      <c r="AD10" s="884"/>
      <c r="AE10" s="885"/>
      <c r="AF10" s="885"/>
      <c r="AG10" s="886"/>
      <c r="AH10" s="879" t="s">
        <v>441</v>
      </c>
      <c r="AI10" s="879"/>
      <c r="AJ10" s="879"/>
      <c r="AK10" s="879"/>
      <c r="AL10" s="879" t="s">
        <v>442</v>
      </c>
      <c r="AM10" s="879"/>
      <c r="AN10" s="879"/>
      <c r="AO10" s="879"/>
      <c r="AP10" s="879" t="s">
        <v>532</v>
      </c>
      <c r="AQ10" s="879"/>
      <c r="AR10" s="879"/>
      <c r="AS10" s="879"/>
      <c r="AT10" s="347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</row>
    <row r="11" spans="1:86" s="276" customFormat="1" ht="38.25" customHeight="1" thickBot="1" x14ac:dyDescent="0.3">
      <c r="A11" s="870"/>
      <c r="B11" s="348" t="s">
        <v>443</v>
      </c>
      <c r="C11" s="348" t="s">
        <v>444</v>
      </c>
      <c r="D11" s="348" t="s">
        <v>312</v>
      </c>
      <c r="E11" s="349" t="s">
        <v>313</v>
      </c>
      <c r="F11" s="348" t="s">
        <v>443</v>
      </c>
      <c r="G11" s="348" t="s">
        <v>444</v>
      </c>
      <c r="H11" s="348" t="s">
        <v>312</v>
      </c>
      <c r="I11" s="349" t="s">
        <v>313</v>
      </c>
      <c r="J11" s="348" t="s">
        <v>443</v>
      </c>
      <c r="K11" s="348" t="s">
        <v>444</v>
      </c>
      <c r="L11" s="348" t="s">
        <v>312</v>
      </c>
      <c r="M11" s="349" t="s">
        <v>313</v>
      </c>
      <c r="N11" s="348" t="s">
        <v>443</v>
      </c>
      <c r="O11" s="348" t="s">
        <v>444</v>
      </c>
      <c r="P11" s="348" t="s">
        <v>312</v>
      </c>
      <c r="Q11" s="349" t="s">
        <v>313</v>
      </c>
      <c r="R11" s="348" t="s">
        <v>443</v>
      </c>
      <c r="S11" s="348" t="s">
        <v>444</v>
      </c>
      <c r="T11" s="348" t="s">
        <v>312</v>
      </c>
      <c r="U11" s="349" t="s">
        <v>313</v>
      </c>
      <c r="V11" s="348" t="s">
        <v>443</v>
      </c>
      <c r="W11" s="348" t="s">
        <v>444</v>
      </c>
      <c r="X11" s="348" t="s">
        <v>312</v>
      </c>
      <c r="Y11" s="349" t="s">
        <v>313</v>
      </c>
      <c r="Z11" s="348" t="s">
        <v>443</v>
      </c>
      <c r="AA11" s="348" t="s">
        <v>444</v>
      </c>
      <c r="AB11" s="348" t="s">
        <v>312</v>
      </c>
      <c r="AC11" s="349" t="s">
        <v>313</v>
      </c>
      <c r="AD11" s="348" t="s">
        <v>443</v>
      </c>
      <c r="AE11" s="348" t="s">
        <v>444</v>
      </c>
      <c r="AF11" s="348" t="s">
        <v>312</v>
      </c>
      <c r="AG11" s="349" t="s">
        <v>313</v>
      </c>
      <c r="AH11" s="348" t="s">
        <v>443</v>
      </c>
      <c r="AI11" s="348" t="s">
        <v>444</v>
      </c>
      <c r="AJ11" s="348" t="s">
        <v>312</v>
      </c>
      <c r="AK11" s="349" t="s">
        <v>313</v>
      </c>
      <c r="AL11" s="348" t="s">
        <v>443</v>
      </c>
      <c r="AM11" s="348" t="s">
        <v>444</v>
      </c>
      <c r="AN11" s="348" t="s">
        <v>312</v>
      </c>
      <c r="AO11" s="349" t="s">
        <v>313</v>
      </c>
      <c r="AP11" s="348" t="s">
        <v>443</v>
      </c>
      <c r="AQ11" s="348" t="s">
        <v>444</v>
      </c>
      <c r="AR11" s="348" t="s">
        <v>312</v>
      </c>
      <c r="AS11" s="349" t="s">
        <v>313</v>
      </c>
      <c r="AT11" s="347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</row>
    <row r="12" spans="1:86" s="282" customFormat="1" ht="39.950000000000003" customHeight="1" x14ac:dyDescent="0.25">
      <c r="A12" s="278" t="s">
        <v>489</v>
      </c>
      <c r="B12" s="279"/>
      <c r="C12" s="279"/>
      <c r="D12" s="279"/>
      <c r="E12" s="350"/>
      <c r="F12" s="279"/>
      <c r="G12" s="279"/>
      <c r="H12" s="279"/>
      <c r="I12" s="350"/>
      <c r="J12" s="279"/>
      <c r="K12" s="279"/>
      <c r="L12" s="279"/>
      <c r="M12" s="350"/>
      <c r="N12" s="279"/>
      <c r="O12" s="279"/>
      <c r="P12" s="279"/>
      <c r="Q12" s="350"/>
      <c r="R12" s="279"/>
      <c r="S12" s="279"/>
      <c r="T12" s="279"/>
      <c r="U12" s="350"/>
      <c r="V12" s="279"/>
      <c r="W12" s="279"/>
      <c r="X12" s="279"/>
      <c r="Y12" s="350"/>
      <c r="Z12" s="279"/>
      <c r="AA12" s="279"/>
      <c r="AB12" s="279"/>
      <c r="AC12" s="350"/>
      <c r="AD12" s="279"/>
      <c r="AE12" s="279"/>
      <c r="AF12" s="279"/>
      <c r="AG12" s="350"/>
      <c r="AH12" s="279"/>
      <c r="AI12" s="279"/>
      <c r="AJ12" s="279"/>
      <c r="AK12" s="350"/>
      <c r="AL12" s="279"/>
      <c r="AM12" s="279"/>
      <c r="AN12" s="279"/>
      <c r="AO12" s="350"/>
      <c r="AP12" s="279"/>
      <c r="AQ12" s="279"/>
      <c r="AR12" s="279"/>
      <c r="AS12" s="350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</row>
    <row r="13" spans="1:86" s="282" customFormat="1" ht="39.950000000000003" customHeight="1" x14ac:dyDescent="0.25">
      <c r="A13" s="283" t="s">
        <v>490</v>
      </c>
      <c r="B13" s="284">
        <v>315228</v>
      </c>
      <c r="C13" s="284">
        <v>352232</v>
      </c>
      <c r="D13" s="284">
        <v>351782</v>
      </c>
      <c r="E13" s="285">
        <f>D13/C13</f>
        <v>0.99872243294192464</v>
      </c>
      <c r="F13" s="284">
        <v>84836</v>
      </c>
      <c r="G13" s="284">
        <v>96420</v>
      </c>
      <c r="H13" s="284">
        <v>96419</v>
      </c>
      <c r="I13" s="285">
        <f>H13/G13</f>
        <v>0.999989628707737</v>
      </c>
      <c r="J13" s="284">
        <f>126477-2700</f>
        <v>123777</v>
      </c>
      <c r="K13" s="284">
        <v>117139</v>
      </c>
      <c r="L13" s="284">
        <v>109775</v>
      </c>
      <c r="M13" s="285">
        <f>L13/K13</f>
        <v>0.93713451540477555</v>
      </c>
      <c r="N13" s="303"/>
      <c r="O13" s="303"/>
      <c r="P13" s="284"/>
      <c r="Q13" s="285"/>
      <c r="R13" s="284">
        <v>2700</v>
      </c>
      <c r="S13" s="284">
        <v>4871</v>
      </c>
      <c r="T13" s="284">
        <v>4871</v>
      </c>
      <c r="U13" s="285">
        <f>T13/S13</f>
        <v>1</v>
      </c>
      <c r="V13" s="284"/>
      <c r="W13" s="284">
        <v>3107</v>
      </c>
      <c r="X13" s="284">
        <v>3104</v>
      </c>
      <c r="Y13" s="285">
        <f>X13/W13</f>
        <v>0.99903443836498229</v>
      </c>
      <c r="Z13" s="284"/>
      <c r="AA13" s="284">
        <v>470</v>
      </c>
      <c r="AB13" s="284">
        <v>470</v>
      </c>
      <c r="AC13" s="285">
        <v>0</v>
      </c>
      <c r="AD13" s="284"/>
      <c r="AE13" s="284"/>
      <c r="AF13" s="284"/>
      <c r="AG13" s="285"/>
      <c r="AH13" s="284">
        <f t="shared" ref="AH13:AJ14" si="0">SUM(B13+F13+J13+N13+R13)</f>
        <v>526541</v>
      </c>
      <c r="AI13" s="284">
        <f t="shared" si="0"/>
        <v>570662</v>
      </c>
      <c r="AJ13" s="284">
        <f t="shared" si="0"/>
        <v>562847</v>
      </c>
      <c r="AK13" s="285">
        <f>AJ13/AI13</f>
        <v>0.98630537866547974</v>
      </c>
      <c r="AL13" s="284">
        <f t="shared" ref="AL13:AN14" si="1">SUM(V13+Z13+AD13)</f>
        <v>0</v>
      </c>
      <c r="AM13" s="284">
        <f t="shared" si="1"/>
        <v>3577</v>
      </c>
      <c r="AN13" s="284">
        <f t="shared" si="1"/>
        <v>3574</v>
      </c>
      <c r="AO13" s="285">
        <f>AN13/AM13</f>
        <v>0.99916130835896</v>
      </c>
      <c r="AP13" s="284">
        <f t="shared" ref="AP13:AR14" si="2">SUM(AH13+AL13)</f>
        <v>526541</v>
      </c>
      <c r="AQ13" s="284">
        <f t="shared" si="2"/>
        <v>574239</v>
      </c>
      <c r="AR13" s="284">
        <f t="shared" si="2"/>
        <v>566421</v>
      </c>
      <c r="AS13" s="285">
        <f>AR13/AQ13</f>
        <v>0.9863854597127677</v>
      </c>
      <c r="AT13" s="35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</row>
    <row r="14" spans="1:86" s="282" customFormat="1" ht="39.950000000000003" customHeight="1" thickBot="1" x14ac:dyDescent="0.3">
      <c r="A14" s="288" t="s">
        <v>491</v>
      </c>
      <c r="B14" s="289"/>
      <c r="C14" s="289"/>
      <c r="D14" s="289"/>
      <c r="E14" s="318"/>
      <c r="F14" s="289"/>
      <c r="G14" s="289"/>
      <c r="H14" s="289"/>
      <c r="I14" s="318"/>
      <c r="J14" s="289"/>
      <c r="K14" s="289"/>
      <c r="L14" s="289"/>
      <c r="M14" s="318"/>
      <c r="N14" s="289"/>
      <c r="O14" s="289"/>
      <c r="P14" s="289"/>
      <c r="Q14" s="318"/>
      <c r="R14" s="289"/>
      <c r="S14" s="289"/>
      <c r="T14" s="289"/>
      <c r="U14" s="318"/>
      <c r="V14" s="289"/>
      <c r="W14" s="289"/>
      <c r="X14" s="289"/>
      <c r="Y14" s="318"/>
      <c r="Z14" s="289"/>
      <c r="AA14" s="289"/>
      <c r="AB14" s="289"/>
      <c r="AC14" s="318"/>
      <c r="AD14" s="289"/>
      <c r="AE14" s="289"/>
      <c r="AF14" s="289"/>
      <c r="AG14" s="318"/>
      <c r="AH14" s="284">
        <f t="shared" si="0"/>
        <v>0</v>
      </c>
      <c r="AI14" s="284">
        <f t="shared" si="0"/>
        <v>0</v>
      </c>
      <c r="AJ14" s="284">
        <f t="shared" si="0"/>
        <v>0</v>
      </c>
      <c r="AK14" s="318"/>
      <c r="AL14" s="284">
        <f t="shared" si="1"/>
        <v>0</v>
      </c>
      <c r="AM14" s="284">
        <f t="shared" si="1"/>
        <v>0</v>
      </c>
      <c r="AN14" s="284">
        <f t="shared" si="1"/>
        <v>0</v>
      </c>
      <c r="AO14" s="318"/>
      <c r="AP14" s="284">
        <f t="shared" si="2"/>
        <v>0</v>
      </c>
      <c r="AQ14" s="284">
        <f t="shared" si="2"/>
        <v>0</v>
      </c>
      <c r="AR14" s="284">
        <f t="shared" si="2"/>
        <v>0</v>
      </c>
      <c r="AS14" s="318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</row>
    <row r="15" spans="1:86" s="364" customFormat="1" ht="39.950000000000003" customHeight="1" thickBot="1" x14ac:dyDescent="0.3">
      <c r="A15" s="360" t="s">
        <v>492</v>
      </c>
      <c r="B15" s="361">
        <f>B13+B14</f>
        <v>315228</v>
      </c>
      <c r="C15" s="361">
        <f>C13+C14</f>
        <v>352232</v>
      </c>
      <c r="D15" s="361">
        <f>D13+D14</f>
        <v>351782</v>
      </c>
      <c r="E15" s="362">
        <f>D15/C15</f>
        <v>0.99872243294192464</v>
      </c>
      <c r="F15" s="361">
        <f t="shared" ref="F15:AN15" si="3">F13+F14</f>
        <v>84836</v>
      </c>
      <c r="G15" s="361">
        <f t="shared" si="3"/>
        <v>96420</v>
      </c>
      <c r="H15" s="361">
        <f>H13+H14</f>
        <v>96419</v>
      </c>
      <c r="I15" s="362">
        <f>H15/G15</f>
        <v>0.999989628707737</v>
      </c>
      <c r="J15" s="361">
        <f t="shared" si="3"/>
        <v>123777</v>
      </c>
      <c r="K15" s="361">
        <f t="shared" si="3"/>
        <v>117139</v>
      </c>
      <c r="L15" s="361">
        <f>L13+L14</f>
        <v>109775</v>
      </c>
      <c r="M15" s="362">
        <f>L15/K15</f>
        <v>0.93713451540477555</v>
      </c>
      <c r="N15" s="361">
        <f t="shared" si="3"/>
        <v>0</v>
      </c>
      <c r="O15" s="361">
        <f t="shared" si="3"/>
        <v>0</v>
      </c>
      <c r="P15" s="361">
        <f>P13+P14</f>
        <v>0</v>
      </c>
      <c r="Q15" s="362">
        <v>0</v>
      </c>
      <c r="R15" s="361">
        <f t="shared" si="3"/>
        <v>2700</v>
      </c>
      <c r="S15" s="361">
        <f t="shared" si="3"/>
        <v>4871</v>
      </c>
      <c r="T15" s="361">
        <f>T13+T14</f>
        <v>4871</v>
      </c>
      <c r="U15" s="362">
        <f>T15/S15</f>
        <v>1</v>
      </c>
      <c r="V15" s="361">
        <f t="shared" si="3"/>
        <v>0</v>
      </c>
      <c r="W15" s="361">
        <f t="shared" si="3"/>
        <v>3107</v>
      </c>
      <c r="X15" s="361">
        <f>X13+X14</f>
        <v>3104</v>
      </c>
      <c r="Y15" s="362">
        <f>X15/W15</f>
        <v>0.99903443836498229</v>
      </c>
      <c r="Z15" s="361">
        <f t="shared" si="3"/>
        <v>0</v>
      </c>
      <c r="AA15" s="361">
        <f t="shared" si="3"/>
        <v>470</v>
      </c>
      <c r="AB15" s="361">
        <f>AB13+AB14</f>
        <v>470</v>
      </c>
      <c r="AC15" s="362">
        <v>0</v>
      </c>
      <c r="AD15" s="361">
        <f t="shared" si="3"/>
        <v>0</v>
      </c>
      <c r="AE15" s="361">
        <f t="shared" si="3"/>
        <v>0</v>
      </c>
      <c r="AF15" s="361">
        <f>AF13+AF14</f>
        <v>0</v>
      </c>
      <c r="AG15" s="362">
        <v>0</v>
      </c>
      <c r="AH15" s="361">
        <f t="shared" si="3"/>
        <v>526541</v>
      </c>
      <c r="AI15" s="361">
        <f t="shared" si="3"/>
        <v>570662</v>
      </c>
      <c r="AJ15" s="361">
        <f t="shared" si="3"/>
        <v>562847</v>
      </c>
      <c r="AK15" s="362">
        <f>AJ15/AI15</f>
        <v>0.98630537866547974</v>
      </c>
      <c r="AL15" s="361">
        <f t="shared" si="3"/>
        <v>0</v>
      </c>
      <c r="AM15" s="361">
        <f t="shared" si="3"/>
        <v>3577</v>
      </c>
      <c r="AN15" s="361">
        <f t="shared" si="3"/>
        <v>3574</v>
      </c>
      <c r="AO15" s="362">
        <f>AN15/AM15</f>
        <v>0.99916130835896</v>
      </c>
      <c r="AP15" s="361">
        <f>AP13+AP14</f>
        <v>526541</v>
      </c>
      <c r="AQ15" s="361">
        <f>AQ13+AQ14</f>
        <v>574239</v>
      </c>
      <c r="AR15" s="361">
        <f>AR13+AR14</f>
        <v>566421</v>
      </c>
      <c r="AS15" s="362">
        <f>AR15/AQ15</f>
        <v>0.9863854597127677</v>
      </c>
      <c r="AT15" s="351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</row>
    <row r="16" spans="1:86" s="282" customFormat="1" ht="39.950000000000003" customHeight="1" x14ac:dyDescent="0.25">
      <c r="A16" s="278" t="s">
        <v>539</v>
      </c>
      <c r="B16" s="290"/>
      <c r="C16" s="290"/>
      <c r="D16" s="290"/>
      <c r="E16" s="297"/>
      <c r="F16" s="290"/>
      <c r="G16" s="290"/>
      <c r="H16" s="290"/>
      <c r="I16" s="297"/>
      <c r="J16" s="290"/>
      <c r="K16" s="290"/>
      <c r="L16" s="290"/>
      <c r="M16" s="297"/>
      <c r="N16" s="290"/>
      <c r="O16" s="290"/>
      <c r="P16" s="290"/>
      <c r="Q16" s="297"/>
      <c r="R16" s="290"/>
      <c r="S16" s="290"/>
      <c r="T16" s="290"/>
      <c r="U16" s="297"/>
      <c r="V16" s="290"/>
      <c r="W16" s="290"/>
      <c r="X16" s="290"/>
      <c r="Y16" s="297"/>
      <c r="Z16" s="290"/>
      <c r="AA16" s="290"/>
      <c r="AB16" s="290"/>
      <c r="AC16" s="297"/>
      <c r="AD16" s="290"/>
      <c r="AE16" s="290"/>
      <c r="AF16" s="290"/>
      <c r="AG16" s="297"/>
      <c r="AH16" s="290"/>
      <c r="AI16" s="290"/>
      <c r="AJ16" s="290"/>
      <c r="AK16" s="297"/>
      <c r="AL16" s="290"/>
      <c r="AM16" s="290"/>
      <c r="AN16" s="290"/>
      <c r="AO16" s="297"/>
      <c r="AP16" s="290"/>
      <c r="AQ16" s="290"/>
      <c r="AR16" s="290"/>
      <c r="AS16" s="297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</row>
    <row r="17" spans="1:86" s="308" customFormat="1" ht="39.950000000000003" customHeight="1" x14ac:dyDescent="0.25">
      <c r="A17" s="352" t="s">
        <v>490</v>
      </c>
      <c r="B17" s="303">
        <v>65608</v>
      </c>
      <c r="C17" s="303">
        <v>77157</v>
      </c>
      <c r="D17" s="284">
        <v>77100</v>
      </c>
      <c r="E17" s="285">
        <f>D17/C17</f>
        <v>0.99926124654924375</v>
      </c>
      <c r="F17" s="303">
        <v>16316</v>
      </c>
      <c r="G17" s="303">
        <v>23334</v>
      </c>
      <c r="H17" s="284">
        <v>23333</v>
      </c>
      <c r="I17" s="285">
        <f>H17/G17</f>
        <v>0.99995714408159764</v>
      </c>
      <c r="J17" s="303">
        <v>42889</v>
      </c>
      <c r="K17" s="303">
        <v>94528</v>
      </c>
      <c r="L17" s="284">
        <v>74365</v>
      </c>
      <c r="M17" s="285">
        <f>L17/K17</f>
        <v>0.78669812119160465</v>
      </c>
      <c r="N17" s="303"/>
      <c r="O17" s="303"/>
      <c r="P17" s="284"/>
      <c r="Q17" s="285"/>
      <c r="R17" s="303"/>
      <c r="S17" s="303"/>
      <c r="T17" s="284"/>
      <c r="U17" s="285"/>
      <c r="V17" s="303"/>
      <c r="W17" s="303">
        <v>1969</v>
      </c>
      <c r="X17" s="284">
        <v>951</v>
      </c>
      <c r="Y17" s="285">
        <v>0</v>
      </c>
      <c r="Z17" s="303"/>
      <c r="AA17" s="303"/>
      <c r="AB17" s="284"/>
      <c r="AC17" s="285"/>
      <c r="AD17" s="303"/>
      <c r="AE17" s="303"/>
      <c r="AF17" s="284"/>
      <c r="AG17" s="285"/>
      <c r="AH17" s="284">
        <f t="shared" ref="AH17:AH18" si="4">SUM(B17+F17+J17+N17+R17)</f>
        <v>124813</v>
      </c>
      <c r="AI17" s="284">
        <f>SUM(C17+G17+K17+O17+S17)</f>
        <v>195019</v>
      </c>
      <c r="AJ17" s="284">
        <f>SUM(D17+H17+L17+P17+T17)</f>
        <v>174798</v>
      </c>
      <c r="AK17" s="285">
        <f>AJ17/AI17</f>
        <v>0.8963126669709105</v>
      </c>
      <c r="AL17" s="284">
        <f t="shared" ref="AL17:AN18" si="5">SUM(V17+Z17+AD17)</f>
        <v>0</v>
      </c>
      <c r="AM17" s="284">
        <f t="shared" si="5"/>
        <v>1969</v>
      </c>
      <c r="AN17" s="284">
        <f t="shared" si="5"/>
        <v>951</v>
      </c>
      <c r="AO17" s="285">
        <v>0</v>
      </c>
      <c r="AP17" s="284">
        <f>SUM(AH17+AL17)</f>
        <v>124813</v>
      </c>
      <c r="AQ17" s="284">
        <f t="shared" ref="AQ17:AR18" si="6">SUM(AI17+AM17)</f>
        <v>196988</v>
      </c>
      <c r="AR17" s="284">
        <f>SUM(AJ17+AN17)</f>
        <v>175749</v>
      </c>
      <c r="AS17" s="285">
        <f>AR17/AQ17</f>
        <v>0.89218124961926615</v>
      </c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</row>
    <row r="18" spans="1:86" s="308" customFormat="1" ht="39.950000000000003" customHeight="1" thickBot="1" x14ac:dyDescent="0.3">
      <c r="A18" s="309" t="s">
        <v>491</v>
      </c>
      <c r="B18" s="310">
        <v>2737</v>
      </c>
      <c r="C18" s="310">
        <v>2737</v>
      </c>
      <c r="D18" s="289">
        <v>2737</v>
      </c>
      <c r="E18" s="318"/>
      <c r="F18" s="310">
        <v>740</v>
      </c>
      <c r="G18" s="310">
        <v>740</v>
      </c>
      <c r="H18" s="289">
        <v>740</v>
      </c>
      <c r="I18" s="285">
        <f>H18/G18</f>
        <v>1</v>
      </c>
      <c r="J18" s="310">
        <f>12850-11311</f>
        <v>1539</v>
      </c>
      <c r="K18" s="310">
        <f>12850-11311</f>
        <v>1539</v>
      </c>
      <c r="L18" s="289">
        <v>1539</v>
      </c>
      <c r="M18" s="285">
        <f>L18/K18</f>
        <v>1</v>
      </c>
      <c r="N18" s="310"/>
      <c r="O18" s="310"/>
      <c r="P18" s="289"/>
      <c r="Q18" s="318"/>
      <c r="R18" s="310">
        <v>11311</v>
      </c>
      <c r="S18" s="310">
        <v>2947</v>
      </c>
      <c r="T18" s="289">
        <v>2947</v>
      </c>
      <c r="U18" s="318">
        <v>1</v>
      </c>
      <c r="V18" s="310"/>
      <c r="W18" s="310"/>
      <c r="X18" s="289"/>
      <c r="Y18" s="318"/>
      <c r="Z18" s="310"/>
      <c r="AA18" s="310"/>
      <c r="AB18" s="289"/>
      <c r="AC18" s="318"/>
      <c r="AD18" s="310"/>
      <c r="AE18" s="310"/>
      <c r="AF18" s="289"/>
      <c r="AG18" s="318"/>
      <c r="AH18" s="284">
        <f t="shared" si="4"/>
        <v>16327</v>
      </c>
      <c r="AI18" s="284">
        <f>SUM(C18+G18+K18+O18+S18)</f>
        <v>7963</v>
      </c>
      <c r="AJ18" s="284">
        <f>SUM(D18+H18+L18+P18+T18)</f>
        <v>7963</v>
      </c>
      <c r="AK18" s="285">
        <f>AJ18/AI18</f>
        <v>1</v>
      </c>
      <c r="AL18" s="284">
        <f t="shared" si="5"/>
        <v>0</v>
      </c>
      <c r="AM18" s="284">
        <f t="shared" si="5"/>
        <v>0</v>
      </c>
      <c r="AN18" s="284">
        <f t="shared" si="5"/>
        <v>0</v>
      </c>
      <c r="AO18" s="318">
        <v>0</v>
      </c>
      <c r="AP18" s="284">
        <f>SUM(AH18+AL18)</f>
        <v>16327</v>
      </c>
      <c r="AQ18" s="284">
        <f t="shared" si="6"/>
        <v>7963</v>
      </c>
      <c r="AR18" s="284">
        <f t="shared" si="6"/>
        <v>7963</v>
      </c>
      <c r="AS18" s="285">
        <f>AR18/AQ18</f>
        <v>1</v>
      </c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</row>
    <row r="19" spans="1:86" s="364" customFormat="1" ht="39.950000000000003" customHeight="1" thickBot="1" x14ac:dyDescent="0.3">
      <c r="A19" s="360" t="s">
        <v>494</v>
      </c>
      <c r="B19" s="361">
        <f>B17+B18</f>
        <v>68345</v>
      </c>
      <c r="C19" s="361">
        <f>C17+C18</f>
        <v>79894</v>
      </c>
      <c r="D19" s="361">
        <f>D17+D18</f>
        <v>79837</v>
      </c>
      <c r="E19" s="362">
        <f>D19/C19</f>
        <v>0.99928655468495753</v>
      </c>
      <c r="F19" s="361">
        <f t="shared" ref="F19:AR19" si="7">F17+F18</f>
        <v>17056</v>
      </c>
      <c r="G19" s="361">
        <f t="shared" si="7"/>
        <v>24074</v>
      </c>
      <c r="H19" s="361">
        <f>H17+H18</f>
        <v>24073</v>
      </c>
      <c r="I19" s="362">
        <f>H19/G19</f>
        <v>0.99995846141065048</v>
      </c>
      <c r="J19" s="361">
        <f t="shared" si="7"/>
        <v>44428</v>
      </c>
      <c r="K19" s="361">
        <f t="shared" si="7"/>
        <v>96067</v>
      </c>
      <c r="L19" s="361">
        <f>L17+L18</f>
        <v>75904</v>
      </c>
      <c r="M19" s="362">
        <f>L19/K19</f>
        <v>0.79011523207761247</v>
      </c>
      <c r="N19" s="361">
        <f t="shared" si="7"/>
        <v>0</v>
      </c>
      <c r="O19" s="361">
        <f t="shared" si="7"/>
        <v>0</v>
      </c>
      <c r="P19" s="361">
        <f>P17+P18</f>
        <v>0</v>
      </c>
      <c r="Q19" s="362">
        <v>0</v>
      </c>
      <c r="R19" s="361">
        <f t="shared" si="7"/>
        <v>11311</v>
      </c>
      <c r="S19" s="361">
        <f t="shared" si="7"/>
        <v>2947</v>
      </c>
      <c r="T19" s="361">
        <f>T17+T18</f>
        <v>2947</v>
      </c>
      <c r="U19" s="362">
        <f>T19/S19</f>
        <v>1</v>
      </c>
      <c r="V19" s="361">
        <f t="shared" si="7"/>
        <v>0</v>
      </c>
      <c r="W19" s="361">
        <f t="shared" si="7"/>
        <v>1969</v>
      </c>
      <c r="X19" s="361">
        <f>X17+X18</f>
        <v>951</v>
      </c>
      <c r="Y19" s="362">
        <v>0</v>
      </c>
      <c r="Z19" s="361">
        <f t="shared" si="7"/>
        <v>0</v>
      </c>
      <c r="AA19" s="361">
        <f t="shared" si="7"/>
        <v>0</v>
      </c>
      <c r="AB19" s="361">
        <f>AB17+AB18</f>
        <v>0</v>
      </c>
      <c r="AC19" s="362">
        <v>0</v>
      </c>
      <c r="AD19" s="361">
        <f t="shared" si="7"/>
        <v>0</v>
      </c>
      <c r="AE19" s="361">
        <f t="shared" si="7"/>
        <v>0</v>
      </c>
      <c r="AF19" s="361">
        <f>AF17+AF18</f>
        <v>0</v>
      </c>
      <c r="AG19" s="362">
        <v>0</v>
      </c>
      <c r="AH19" s="361">
        <f t="shared" ref="AH19:AJ19" si="8">AH17+AH18</f>
        <v>141140</v>
      </c>
      <c r="AI19" s="361">
        <f t="shared" si="8"/>
        <v>202982</v>
      </c>
      <c r="AJ19" s="361">
        <f t="shared" si="8"/>
        <v>182761</v>
      </c>
      <c r="AK19" s="362">
        <f>AJ19/AI19</f>
        <v>0.90038032929028189</v>
      </c>
      <c r="AL19" s="361">
        <f t="shared" ref="AL19:AN19" si="9">AL17+AL18</f>
        <v>0</v>
      </c>
      <c r="AM19" s="361">
        <f t="shared" si="9"/>
        <v>1969</v>
      </c>
      <c r="AN19" s="361">
        <f t="shared" si="9"/>
        <v>951</v>
      </c>
      <c r="AO19" s="362">
        <v>0</v>
      </c>
      <c r="AP19" s="361">
        <f t="shared" si="7"/>
        <v>141140</v>
      </c>
      <c r="AQ19" s="361">
        <f t="shared" si="7"/>
        <v>204951</v>
      </c>
      <c r="AR19" s="361">
        <f t="shared" si="7"/>
        <v>183712</v>
      </c>
      <c r="AS19" s="362">
        <f>AR19/AQ19</f>
        <v>0.89637035193778025</v>
      </c>
      <c r="AT19" s="351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</row>
    <row r="20" spans="1:86" s="282" customFormat="1" ht="39.950000000000003" customHeight="1" x14ac:dyDescent="0.25">
      <c r="A20" s="278" t="s">
        <v>495</v>
      </c>
      <c r="B20" s="290"/>
      <c r="C20" s="290"/>
      <c r="D20" s="290"/>
      <c r="E20" s="297"/>
      <c r="F20" s="290"/>
      <c r="G20" s="290"/>
      <c r="H20" s="290"/>
      <c r="I20" s="297"/>
      <c r="J20" s="290"/>
      <c r="K20" s="290"/>
      <c r="L20" s="290"/>
      <c r="M20" s="297"/>
      <c r="N20" s="290"/>
      <c r="O20" s="290"/>
      <c r="P20" s="290"/>
      <c r="Q20" s="297"/>
      <c r="R20" s="290"/>
      <c r="S20" s="290"/>
      <c r="T20" s="290"/>
      <c r="U20" s="297"/>
      <c r="V20" s="290"/>
      <c r="W20" s="290"/>
      <c r="X20" s="290"/>
      <c r="Y20" s="297"/>
      <c r="Z20" s="290"/>
      <c r="AA20" s="290"/>
      <c r="AB20" s="290"/>
      <c r="AC20" s="297"/>
      <c r="AD20" s="290"/>
      <c r="AE20" s="290"/>
      <c r="AF20" s="290"/>
      <c r="AG20" s="297"/>
      <c r="AH20" s="290"/>
      <c r="AI20" s="290"/>
      <c r="AJ20" s="290"/>
      <c r="AK20" s="297"/>
      <c r="AL20" s="290"/>
      <c r="AM20" s="290"/>
      <c r="AN20" s="290"/>
      <c r="AO20" s="297"/>
      <c r="AP20" s="290"/>
      <c r="AQ20" s="290"/>
      <c r="AR20" s="290"/>
      <c r="AS20" s="297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</row>
    <row r="21" spans="1:86" s="282" customFormat="1" ht="39.950000000000003" customHeight="1" x14ac:dyDescent="0.25">
      <c r="A21" s="283" t="s">
        <v>490</v>
      </c>
      <c r="B21" s="284">
        <v>120907</v>
      </c>
      <c r="C21" s="284">
        <v>480256</v>
      </c>
      <c r="D21" s="284">
        <v>434384</v>
      </c>
      <c r="E21" s="285">
        <f>D21/C21</f>
        <v>0.90448427505330486</v>
      </c>
      <c r="F21" s="284">
        <v>28585</v>
      </c>
      <c r="G21" s="284">
        <v>76320</v>
      </c>
      <c r="H21" s="284">
        <v>71228</v>
      </c>
      <c r="I21" s="285">
        <f>H21/G21</f>
        <v>0.93328092243186578</v>
      </c>
      <c r="J21" s="284">
        <f>178275-23796</f>
        <v>154479</v>
      </c>
      <c r="K21" s="284">
        <v>267492</v>
      </c>
      <c r="L21" s="284">
        <v>261907</v>
      </c>
      <c r="M21" s="285">
        <f>L21/K21</f>
        <v>0.97912087090455047</v>
      </c>
      <c r="N21" s="303">
        <v>0</v>
      </c>
      <c r="O21" s="303">
        <v>0</v>
      </c>
      <c r="P21" s="284">
        <v>0</v>
      </c>
      <c r="Q21" s="285">
        <v>0</v>
      </c>
      <c r="R21" s="284">
        <v>23796</v>
      </c>
      <c r="S21" s="284">
        <v>3699</v>
      </c>
      <c r="T21" s="284">
        <v>3699</v>
      </c>
      <c r="U21" s="285">
        <f>T21/S21</f>
        <v>1</v>
      </c>
      <c r="V21" s="284">
        <v>2040</v>
      </c>
      <c r="W21" s="284">
        <v>5622</v>
      </c>
      <c r="X21" s="284">
        <v>4656</v>
      </c>
      <c r="Y21" s="285">
        <f>X21/W21</f>
        <v>0.82817502668089649</v>
      </c>
      <c r="Z21" s="284"/>
      <c r="AA21" s="284">
        <v>28992</v>
      </c>
      <c r="AB21" s="284">
        <v>28991</v>
      </c>
      <c r="AC21" s="285">
        <f>AB21/AA21</f>
        <v>0.99996550772626935</v>
      </c>
      <c r="AD21" s="284">
        <v>8000</v>
      </c>
      <c r="AE21" s="284">
        <f>AD21+359</f>
        <v>8359</v>
      </c>
      <c r="AF21" s="284">
        <v>0</v>
      </c>
      <c r="AG21" s="285">
        <f>AF21/AE21</f>
        <v>0</v>
      </c>
      <c r="AH21" s="284">
        <f t="shared" ref="AH21:AH22" si="10">SUM(B21+F21+J21+N21+R21)</f>
        <v>327767</v>
      </c>
      <c r="AI21" s="284">
        <f>SUM(C21+G21+K21+O21+S21)</f>
        <v>827767</v>
      </c>
      <c r="AJ21" s="284">
        <f>SUM(D21+H21+L21+P21+T21)</f>
        <v>771218</v>
      </c>
      <c r="AK21" s="285">
        <f>AJ21/AI21</f>
        <v>0.93168488234007873</v>
      </c>
      <c r="AL21" s="284">
        <f t="shared" ref="AL21:AN22" si="11">SUM(V21+Z21+AD21)</f>
        <v>10040</v>
      </c>
      <c r="AM21" s="284">
        <f t="shared" si="11"/>
        <v>42973</v>
      </c>
      <c r="AN21" s="284">
        <f t="shared" si="11"/>
        <v>33647</v>
      </c>
      <c r="AO21" s="285">
        <f>AN21/AM21</f>
        <v>0.78298001070439582</v>
      </c>
      <c r="AP21" s="284">
        <f>SUM(AH21+AL21)</f>
        <v>337807</v>
      </c>
      <c r="AQ21" s="284">
        <f t="shared" ref="AQ21:AR22" si="12">SUM(AI21+AM21)</f>
        <v>870740</v>
      </c>
      <c r="AR21" s="284">
        <f t="shared" si="12"/>
        <v>804865</v>
      </c>
      <c r="AS21" s="285">
        <f>AR21/AQ21</f>
        <v>0.92434595860991797</v>
      </c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</row>
    <row r="22" spans="1:86" s="282" customFormat="1" ht="39.950000000000003" customHeight="1" thickBot="1" x14ac:dyDescent="0.3">
      <c r="A22" s="288" t="s">
        <v>491</v>
      </c>
      <c r="B22" s="289"/>
      <c r="C22" s="289"/>
      <c r="D22" s="289"/>
      <c r="E22" s="318"/>
      <c r="F22" s="289"/>
      <c r="G22" s="289"/>
      <c r="H22" s="289"/>
      <c r="I22" s="318"/>
      <c r="J22" s="289"/>
      <c r="K22" s="289"/>
      <c r="L22" s="289"/>
      <c r="M22" s="318"/>
      <c r="N22" s="289"/>
      <c r="O22" s="289"/>
      <c r="P22" s="289"/>
      <c r="Q22" s="318"/>
      <c r="R22" s="289"/>
      <c r="S22" s="289"/>
      <c r="T22" s="289"/>
      <c r="U22" s="318"/>
      <c r="V22" s="289"/>
      <c r="W22" s="289"/>
      <c r="X22" s="289"/>
      <c r="Y22" s="318"/>
      <c r="Z22" s="289"/>
      <c r="AA22" s="289"/>
      <c r="AB22" s="289"/>
      <c r="AC22" s="318"/>
      <c r="AD22" s="289"/>
      <c r="AE22" s="289"/>
      <c r="AF22" s="289"/>
      <c r="AG22" s="318"/>
      <c r="AH22" s="284">
        <f t="shared" si="10"/>
        <v>0</v>
      </c>
      <c r="AI22" s="284">
        <f>SUM(C22+G22+K22+O22+S22)</f>
        <v>0</v>
      </c>
      <c r="AJ22" s="284">
        <f>SUM(D22+H22+L22+P22+T22)</f>
        <v>0</v>
      </c>
      <c r="AK22" s="318"/>
      <c r="AL22" s="284">
        <f t="shared" si="11"/>
        <v>0</v>
      </c>
      <c r="AM22" s="284">
        <f t="shared" si="11"/>
        <v>0</v>
      </c>
      <c r="AN22" s="284">
        <f t="shared" si="11"/>
        <v>0</v>
      </c>
      <c r="AO22" s="318"/>
      <c r="AP22" s="284">
        <f>SUM(AH22+AL22)</f>
        <v>0</v>
      </c>
      <c r="AQ22" s="284">
        <f t="shared" si="12"/>
        <v>0</v>
      </c>
      <c r="AR22" s="284">
        <f t="shared" si="12"/>
        <v>0</v>
      </c>
      <c r="AS22" s="318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</row>
    <row r="23" spans="1:86" s="364" customFormat="1" ht="39.950000000000003" customHeight="1" thickBot="1" x14ac:dyDescent="0.3">
      <c r="A23" s="360" t="s">
        <v>496</v>
      </c>
      <c r="B23" s="361">
        <f>B21+B22</f>
        <v>120907</v>
      </c>
      <c r="C23" s="361">
        <f>C21+C22</f>
        <v>480256</v>
      </c>
      <c r="D23" s="361">
        <f>D21+D22</f>
        <v>434384</v>
      </c>
      <c r="E23" s="362">
        <f>D23/C23</f>
        <v>0.90448427505330486</v>
      </c>
      <c r="F23" s="361">
        <f t="shared" ref="F23:AR23" si="13">F21+F22</f>
        <v>28585</v>
      </c>
      <c r="G23" s="361">
        <f t="shared" si="13"/>
        <v>76320</v>
      </c>
      <c r="H23" s="361">
        <f>H21+H22</f>
        <v>71228</v>
      </c>
      <c r="I23" s="362">
        <f>H23/G23</f>
        <v>0.93328092243186578</v>
      </c>
      <c r="J23" s="361">
        <f t="shared" si="13"/>
        <v>154479</v>
      </c>
      <c r="K23" s="361">
        <f t="shared" si="13"/>
        <v>267492</v>
      </c>
      <c r="L23" s="361">
        <f>L21+L22</f>
        <v>261907</v>
      </c>
      <c r="M23" s="362">
        <f>L23/K23</f>
        <v>0.97912087090455047</v>
      </c>
      <c r="N23" s="361">
        <f t="shared" si="13"/>
        <v>0</v>
      </c>
      <c r="O23" s="361">
        <f t="shared" si="13"/>
        <v>0</v>
      </c>
      <c r="P23" s="361">
        <f>P21+P22</f>
        <v>0</v>
      </c>
      <c r="Q23" s="362">
        <v>0</v>
      </c>
      <c r="R23" s="361">
        <f t="shared" si="13"/>
        <v>23796</v>
      </c>
      <c r="S23" s="361">
        <f t="shared" si="13"/>
        <v>3699</v>
      </c>
      <c r="T23" s="361">
        <f>T21+T22</f>
        <v>3699</v>
      </c>
      <c r="U23" s="362">
        <f>T23/S23</f>
        <v>1</v>
      </c>
      <c r="V23" s="361">
        <f t="shared" si="13"/>
        <v>2040</v>
      </c>
      <c r="W23" s="361">
        <f t="shared" si="13"/>
        <v>5622</v>
      </c>
      <c r="X23" s="361">
        <f>X21+X22</f>
        <v>4656</v>
      </c>
      <c r="Y23" s="362">
        <f>X23/W23</f>
        <v>0.82817502668089649</v>
      </c>
      <c r="Z23" s="361">
        <f t="shared" si="13"/>
        <v>0</v>
      </c>
      <c r="AA23" s="361">
        <f t="shared" si="13"/>
        <v>28992</v>
      </c>
      <c r="AB23" s="361">
        <f>AB21+AB22</f>
        <v>28991</v>
      </c>
      <c r="AC23" s="362">
        <f>AB23/AA23</f>
        <v>0.99996550772626935</v>
      </c>
      <c r="AD23" s="361">
        <f t="shared" si="13"/>
        <v>8000</v>
      </c>
      <c r="AE23" s="361">
        <f t="shared" si="13"/>
        <v>8359</v>
      </c>
      <c r="AF23" s="361">
        <f>AF21+AF22</f>
        <v>0</v>
      </c>
      <c r="AG23" s="362">
        <f>AF23/AE23</f>
        <v>0</v>
      </c>
      <c r="AH23" s="361">
        <f t="shared" ref="AH23:AJ23" si="14">AH21+AH22</f>
        <v>327767</v>
      </c>
      <c r="AI23" s="361">
        <f t="shared" si="14"/>
        <v>827767</v>
      </c>
      <c r="AJ23" s="361">
        <f t="shared" si="14"/>
        <v>771218</v>
      </c>
      <c r="AK23" s="362">
        <f>AJ23/AI23</f>
        <v>0.93168488234007873</v>
      </c>
      <c r="AL23" s="361">
        <f t="shared" ref="AL23:AN23" si="15">AL21+AL22</f>
        <v>10040</v>
      </c>
      <c r="AM23" s="361">
        <f t="shared" si="15"/>
        <v>42973</v>
      </c>
      <c r="AN23" s="361">
        <f t="shared" si="15"/>
        <v>33647</v>
      </c>
      <c r="AO23" s="362">
        <f>AN23/AM23</f>
        <v>0.78298001070439582</v>
      </c>
      <c r="AP23" s="361">
        <f t="shared" si="13"/>
        <v>337807</v>
      </c>
      <c r="AQ23" s="361">
        <f t="shared" si="13"/>
        <v>870740</v>
      </c>
      <c r="AR23" s="361">
        <f t="shared" si="13"/>
        <v>804865</v>
      </c>
      <c r="AS23" s="362">
        <f>AR23/AQ23</f>
        <v>0.92434595860991797</v>
      </c>
      <c r="AT23" s="351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</row>
    <row r="24" spans="1:86" s="282" customFormat="1" ht="39.950000000000003" customHeight="1" x14ac:dyDescent="0.25">
      <c r="A24" s="278" t="s">
        <v>497</v>
      </c>
      <c r="B24" s="290"/>
      <c r="C24" s="290"/>
      <c r="D24" s="290"/>
      <c r="E24" s="297"/>
      <c r="F24" s="290"/>
      <c r="G24" s="290"/>
      <c r="H24" s="290"/>
      <c r="I24" s="297"/>
      <c r="J24" s="290"/>
      <c r="K24" s="290"/>
      <c r="L24" s="290"/>
      <c r="M24" s="297"/>
      <c r="N24" s="290"/>
      <c r="O24" s="290"/>
      <c r="P24" s="290"/>
      <c r="Q24" s="297"/>
      <c r="R24" s="290"/>
      <c r="S24" s="290"/>
      <c r="T24" s="290"/>
      <c r="U24" s="297"/>
      <c r="V24" s="290"/>
      <c r="W24" s="290"/>
      <c r="X24" s="290"/>
      <c r="Y24" s="297"/>
      <c r="Z24" s="290"/>
      <c r="AA24" s="290"/>
      <c r="AB24" s="290"/>
      <c r="AC24" s="297"/>
      <c r="AD24" s="290"/>
      <c r="AE24" s="290"/>
      <c r="AF24" s="290"/>
      <c r="AG24" s="297"/>
      <c r="AH24" s="290"/>
      <c r="AI24" s="290"/>
      <c r="AJ24" s="290"/>
      <c r="AK24" s="297"/>
      <c r="AL24" s="290"/>
      <c r="AM24" s="290"/>
      <c r="AN24" s="290"/>
      <c r="AO24" s="297"/>
      <c r="AP24" s="290"/>
      <c r="AQ24" s="290"/>
      <c r="AR24" s="290"/>
      <c r="AS24" s="297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</row>
    <row r="25" spans="1:86" s="308" customFormat="1" ht="39.950000000000003" customHeight="1" x14ac:dyDescent="0.25">
      <c r="A25" s="301" t="s">
        <v>490</v>
      </c>
      <c r="B25" s="302">
        <v>15395</v>
      </c>
      <c r="C25" s="302">
        <v>14983</v>
      </c>
      <c r="D25" s="303">
        <v>14571</v>
      </c>
      <c r="E25" s="304">
        <f t="shared" ref="E25:E30" si="16">D25/C25</f>
        <v>0.97250216912500831</v>
      </c>
      <c r="F25" s="302">
        <v>4155</v>
      </c>
      <c r="G25" s="302">
        <v>4468</v>
      </c>
      <c r="H25" s="303">
        <v>3853</v>
      </c>
      <c r="I25" s="304">
        <f t="shared" ref="I25:I30" si="17">H25/G25</f>
        <v>0.86235452103849597</v>
      </c>
      <c r="J25" s="302">
        <f>3619-1000</f>
        <v>2619</v>
      </c>
      <c r="K25" s="302">
        <v>4713</v>
      </c>
      <c r="L25" s="303">
        <v>4051</v>
      </c>
      <c r="M25" s="304">
        <f t="shared" ref="M25:M30" si="18">L25/K25</f>
        <v>0.8595374496074687</v>
      </c>
      <c r="N25" s="302"/>
      <c r="O25" s="302"/>
      <c r="P25" s="303"/>
      <c r="Q25" s="304"/>
      <c r="R25" s="302">
        <v>1000</v>
      </c>
      <c r="S25" s="302">
        <v>2</v>
      </c>
      <c r="T25" s="303">
        <v>2</v>
      </c>
      <c r="U25" s="304">
        <f>T25/S25</f>
        <v>1</v>
      </c>
      <c r="V25" s="302"/>
      <c r="W25" s="302">
        <v>1123</v>
      </c>
      <c r="X25" s="303">
        <v>22</v>
      </c>
      <c r="Y25" s="304">
        <f t="shared" ref="Y25:Y30" si="19">X25/W25</f>
        <v>1.9590382902938557E-2</v>
      </c>
      <c r="Z25" s="302"/>
      <c r="AA25" s="302">
        <v>2500</v>
      </c>
      <c r="AB25" s="303"/>
      <c r="AC25" s="304">
        <v>0</v>
      </c>
      <c r="AD25" s="302"/>
      <c r="AE25" s="302"/>
      <c r="AF25" s="303"/>
      <c r="AG25" s="304"/>
      <c r="AH25" s="303">
        <f t="shared" ref="AH25:AH26" si="20">SUM(B25+F25+J25+N25+R25)</f>
        <v>23169</v>
      </c>
      <c r="AI25" s="303">
        <f>SUM(C25+G25+K25+O25+S25)</f>
        <v>24166</v>
      </c>
      <c r="AJ25" s="303">
        <f>SUM(D25+H25+L25+P25+T25)</f>
        <v>22477</v>
      </c>
      <c r="AK25" s="304">
        <f t="shared" ref="AK25:AK30" si="21">AJ25/AI25</f>
        <v>0.93010841678391132</v>
      </c>
      <c r="AL25" s="303">
        <f t="shared" ref="AL25:AN26" si="22">SUM(V25+Z25+AD25)</f>
        <v>0</v>
      </c>
      <c r="AM25" s="303">
        <f t="shared" si="22"/>
        <v>3623</v>
      </c>
      <c r="AN25" s="303">
        <f t="shared" si="22"/>
        <v>22</v>
      </c>
      <c r="AO25" s="304">
        <f t="shared" ref="AO25:AO30" si="23">AN25/AM25</f>
        <v>6.0723157604195416E-3</v>
      </c>
      <c r="AP25" s="303">
        <f>SUM(AH25+AL25)</f>
        <v>23169</v>
      </c>
      <c r="AQ25" s="303">
        <f t="shared" ref="AQ25:AR26" si="24">SUM(AI25+AM25)</f>
        <v>27789</v>
      </c>
      <c r="AR25" s="303">
        <f t="shared" si="24"/>
        <v>22499</v>
      </c>
      <c r="AS25" s="304">
        <f t="shared" ref="AS25:AS30" si="25">AR25/AQ25</f>
        <v>0.80963690668969734</v>
      </c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</row>
    <row r="26" spans="1:86" s="308" customFormat="1" ht="39.950000000000003" customHeight="1" thickBot="1" x14ac:dyDescent="0.3">
      <c r="A26" s="309" t="s">
        <v>491</v>
      </c>
      <c r="B26" s="310">
        <v>9624</v>
      </c>
      <c r="C26" s="310">
        <v>9152</v>
      </c>
      <c r="D26" s="310">
        <v>8883</v>
      </c>
      <c r="E26" s="304">
        <f t="shared" si="16"/>
        <v>0.9706075174825175</v>
      </c>
      <c r="F26" s="310">
        <v>2566</v>
      </c>
      <c r="G26" s="310">
        <v>2612</v>
      </c>
      <c r="H26" s="310">
        <v>2522</v>
      </c>
      <c r="I26" s="304">
        <f t="shared" si="17"/>
        <v>0.96554364471669218</v>
      </c>
      <c r="J26" s="310">
        <f>9151-1000</f>
        <v>8151</v>
      </c>
      <c r="K26" s="310">
        <v>8859</v>
      </c>
      <c r="L26" s="310">
        <v>8619</v>
      </c>
      <c r="M26" s="304">
        <f t="shared" si="18"/>
        <v>0.9729089061970877</v>
      </c>
      <c r="N26" s="310"/>
      <c r="O26" s="310"/>
      <c r="P26" s="310"/>
      <c r="Q26" s="319"/>
      <c r="R26" s="310">
        <v>1000</v>
      </c>
      <c r="S26" s="310">
        <v>0</v>
      </c>
      <c r="T26" s="310">
        <v>0</v>
      </c>
      <c r="U26" s="319">
        <v>0</v>
      </c>
      <c r="V26" s="310"/>
      <c r="W26" s="310">
        <v>121</v>
      </c>
      <c r="X26" s="310">
        <v>120</v>
      </c>
      <c r="Y26" s="304">
        <f t="shared" si="19"/>
        <v>0.99173553719008267</v>
      </c>
      <c r="Z26" s="310"/>
      <c r="AA26" s="310"/>
      <c r="AB26" s="310"/>
      <c r="AC26" s="319"/>
      <c r="AD26" s="310"/>
      <c r="AE26" s="310"/>
      <c r="AF26" s="310"/>
      <c r="AG26" s="319"/>
      <c r="AH26" s="303">
        <f t="shared" si="20"/>
        <v>21341</v>
      </c>
      <c r="AI26" s="303">
        <f>SUM(C26+G26+K26+O26+S26)</f>
        <v>20623</v>
      </c>
      <c r="AJ26" s="303">
        <f>SUM(D26+H26+L26+P26+T26)</f>
        <v>20024</v>
      </c>
      <c r="AK26" s="304">
        <f t="shared" si="21"/>
        <v>0.97095475924938179</v>
      </c>
      <c r="AL26" s="303">
        <f t="shared" si="22"/>
        <v>0</v>
      </c>
      <c r="AM26" s="303">
        <f t="shared" si="22"/>
        <v>121</v>
      </c>
      <c r="AN26" s="303">
        <f t="shared" si="22"/>
        <v>120</v>
      </c>
      <c r="AO26" s="304">
        <f t="shared" si="23"/>
        <v>0.99173553719008267</v>
      </c>
      <c r="AP26" s="303">
        <f>SUM(AH26+AL26)</f>
        <v>21341</v>
      </c>
      <c r="AQ26" s="303">
        <f t="shared" si="24"/>
        <v>20744</v>
      </c>
      <c r="AR26" s="303">
        <f t="shared" si="24"/>
        <v>20144</v>
      </c>
      <c r="AS26" s="304">
        <f t="shared" si="25"/>
        <v>0.97107597377554955</v>
      </c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</row>
    <row r="27" spans="1:86" s="364" customFormat="1" ht="27" customHeight="1" thickBot="1" x14ac:dyDescent="0.3">
      <c r="A27" s="360" t="s">
        <v>498</v>
      </c>
      <c r="B27" s="361">
        <f>B25+B26</f>
        <v>25019</v>
      </c>
      <c r="C27" s="361">
        <f>C25+C26</f>
        <v>24135</v>
      </c>
      <c r="D27" s="361">
        <f>D25+D26</f>
        <v>23454</v>
      </c>
      <c r="E27" s="362">
        <f t="shared" si="16"/>
        <v>0.97178371659415785</v>
      </c>
      <c r="F27" s="361">
        <f t="shared" ref="F27:AR27" si="26">F25+F26</f>
        <v>6721</v>
      </c>
      <c r="G27" s="361">
        <f t="shared" si="26"/>
        <v>7080</v>
      </c>
      <c r="H27" s="361">
        <f>H25+H26</f>
        <v>6375</v>
      </c>
      <c r="I27" s="362">
        <f t="shared" si="17"/>
        <v>0.90042372881355937</v>
      </c>
      <c r="J27" s="361">
        <f t="shared" si="26"/>
        <v>10770</v>
      </c>
      <c r="K27" s="361">
        <f t="shared" si="26"/>
        <v>13572</v>
      </c>
      <c r="L27" s="361">
        <f>L25+L26</f>
        <v>12670</v>
      </c>
      <c r="M27" s="362">
        <f t="shared" si="18"/>
        <v>0.9335396404361922</v>
      </c>
      <c r="N27" s="361">
        <f t="shared" si="26"/>
        <v>0</v>
      </c>
      <c r="O27" s="361">
        <f t="shared" si="26"/>
        <v>0</v>
      </c>
      <c r="P27" s="361">
        <f>P25+P26</f>
        <v>0</v>
      </c>
      <c r="Q27" s="362">
        <v>0</v>
      </c>
      <c r="R27" s="361">
        <f t="shared" si="26"/>
        <v>2000</v>
      </c>
      <c r="S27" s="361">
        <f t="shared" si="26"/>
        <v>2</v>
      </c>
      <c r="T27" s="361">
        <f>T25+T26</f>
        <v>2</v>
      </c>
      <c r="U27" s="362">
        <f>T27/S27</f>
        <v>1</v>
      </c>
      <c r="V27" s="361">
        <f t="shared" si="26"/>
        <v>0</v>
      </c>
      <c r="W27" s="361">
        <f t="shared" si="26"/>
        <v>1244</v>
      </c>
      <c r="X27" s="361">
        <f>X25+X26</f>
        <v>142</v>
      </c>
      <c r="Y27" s="362">
        <f t="shared" si="19"/>
        <v>0.11414790996784566</v>
      </c>
      <c r="Z27" s="361">
        <f t="shared" si="26"/>
        <v>0</v>
      </c>
      <c r="AA27" s="361">
        <f t="shared" si="26"/>
        <v>2500</v>
      </c>
      <c r="AB27" s="361">
        <f>AB25+AB26</f>
        <v>0</v>
      </c>
      <c r="AC27" s="362">
        <v>0</v>
      </c>
      <c r="AD27" s="361">
        <f t="shared" si="26"/>
        <v>0</v>
      </c>
      <c r="AE27" s="361">
        <f t="shared" si="26"/>
        <v>0</v>
      </c>
      <c r="AF27" s="361">
        <f>AF25+AF26</f>
        <v>0</v>
      </c>
      <c r="AG27" s="362">
        <v>0</v>
      </c>
      <c r="AH27" s="361">
        <f t="shared" ref="AH27:AJ27" si="27">AH25+AH26</f>
        <v>44510</v>
      </c>
      <c r="AI27" s="361">
        <f t="shared" si="27"/>
        <v>44789</v>
      </c>
      <c r="AJ27" s="361">
        <f t="shared" si="27"/>
        <v>42501</v>
      </c>
      <c r="AK27" s="362">
        <f t="shared" si="21"/>
        <v>0.94891602848913792</v>
      </c>
      <c r="AL27" s="361">
        <f t="shared" ref="AL27:AN27" si="28">AL25+AL26</f>
        <v>0</v>
      </c>
      <c r="AM27" s="361">
        <f t="shared" si="28"/>
        <v>3744</v>
      </c>
      <c r="AN27" s="361">
        <f t="shared" si="28"/>
        <v>142</v>
      </c>
      <c r="AO27" s="362">
        <f t="shared" si="23"/>
        <v>3.7927350427350424E-2</v>
      </c>
      <c r="AP27" s="361">
        <f t="shared" si="26"/>
        <v>44510</v>
      </c>
      <c r="AQ27" s="361">
        <f t="shared" si="26"/>
        <v>48533</v>
      </c>
      <c r="AR27" s="361">
        <f t="shared" si="26"/>
        <v>42643</v>
      </c>
      <c r="AS27" s="362">
        <f t="shared" si="25"/>
        <v>0.87863927636865635</v>
      </c>
      <c r="AT27" s="351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</row>
    <row r="28" spans="1:86" s="282" customFormat="1" ht="50.1" customHeight="1" thickBot="1" x14ac:dyDescent="0.3">
      <c r="A28" s="316" t="s">
        <v>499</v>
      </c>
      <c r="B28" s="365">
        <f t="shared" ref="B28:D29" si="29">B13+B17+B21+B25</f>
        <v>517138</v>
      </c>
      <c r="C28" s="365">
        <f t="shared" si="29"/>
        <v>924628</v>
      </c>
      <c r="D28" s="365">
        <f t="shared" si="29"/>
        <v>877837</v>
      </c>
      <c r="E28" s="297">
        <f t="shared" si="16"/>
        <v>0.94939478363190388</v>
      </c>
      <c r="F28" s="365">
        <f t="shared" ref="F28:H29" si="30">F13+F17+F21+F25</f>
        <v>133892</v>
      </c>
      <c r="G28" s="365">
        <f t="shared" si="30"/>
        <v>200542</v>
      </c>
      <c r="H28" s="365">
        <f t="shared" si="30"/>
        <v>194833</v>
      </c>
      <c r="I28" s="297">
        <f t="shared" si="17"/>
        <v>0.97153214787924724</v>
      </c>
      <c r="J28" s="365">
        <f t="shared" ref="J28:L29" si="31">J13+J17+J21+J25</f>
        <v>323764</v>
      </c>
      <c r="K28" s="365">
        <f t="shared" si="31"/>
        <v>483872</v>
      </c>
      <c r="L28" s="365">
        <f t="shared" si="31"/>
        <v>450098</v>
      </c>
      <c r="M28" s="297">
        <f t="shared" si="18"/>
        <v>0.93020054890549564</v>
      </c>
      <c r="N28" s="365">
        <f t="shared" ref="N28:P29" si="32">N13+N17+N21+N25</f>
        <v>0</v>
      </c>
      <c r="O28" s="365">
        <f t="shared" si="32"/>
        <v>0</v>
      </c>
      <c r="P28" s="365">
        <f t="shared" si="32"/>
        <v>0</v>
      </c>
      <c r="Q28" s="297">
        <v>0</v>
      </c>
      <c r="R28" s="365">
        <f t="shared" ref="R28:T29" si="33">R13+R17+R21+R25</f>
        <v>27496</v>
      </c>
      <c r="S28" s="365">
        <f t="shared" si="33"/>
        <v>8572</v>
      </c>
      <c r="T28" s="365">
        <f t="shared" si="33"/>
        <v>8572</v>
      </c>
      <c r="U28" s="297">
        <f>T28/S28</f>
        <v>1</v>
      </c>
      <c r="V28" s="365">
        <f t="shared" ref="V28:X29" si="34">V13+V17+V21+V25</f>
        <v>2040</v>
      </c>
      <c r="W28" s="365">
        <f t="shared" si="34"/>
        <v>11821</v>
      </c>
      <c r="X28" s="365">
        <f t="shared" si="34"/>
        <v>8733</v>
      </c>
      <c r="Y28" s="297">
        <f t="shared" si="19"/>
        <v>0.73876998561881402</v>
      </c>
      <c r="Z28" s="365">
        <f t="shared" ref="Z28:AB29" si="35">Z13+Z17+Z21+Z25</f>
        <v>0</v>
      </c>
      <c r="AA28" s="365">
        <f t="shared" si="35"/>
        <v>31962</v>
      </c>
      <c r="AB28" s="365">
        <f t="shared" si="35"/>
        <v>29461</v>
      </c>
      <c r="AC28" s="297">
        <f>AB28/AA28</f>
        <v>0.92175082910956763</v>
      </c>
      <c r="AD28" s="365">
        <f t="shared" ref="AD28:AF29" si="36">AD13+AD17+AD21+AD25</f>
        <v>8000</v>
      </c>
      <c r="AE28" s="365">
        <f t="shared" si="36"/>
        <v>8359</v>
      </c>
      <c r="AF28" s="365">
        <f t="shared" si="36"/>
        <v>0</v>
      </c>
      <c r="AG28" s="297">
        <f>AF28/AE28</f>
        <v>0</v>
      </c>
      <c r="AH28" s="290">
        <f t="shared" ref="AH28:AH29" si="37">SUM(B28+F28+J28+N28+R28)</f>
        <v>1002290</v>
      </c>
      <c r="AI28" s="290">
        <f>SUM(C28+G28+K28+O28+S28)</f>
        <v>1617614</v>
      </c>
      <c r="AJ28" s="290">
        <f>SUM(D28+H28+L28+P28+T28)</f>
        <v>1531340</v>
      </c>
      <c r="AK28" s="297">
        <f t="shared" si="21"/>
        <v>0.94666589186295369</v>
      </c>
      <c r="AL28" s="290">
        <f>SUM(V28+Z28+AD28)</f>
        <v>10040</v>
      </c>
      <c r="AM28" s="290">
        <f>SUM(W28+AA28+AE28)</f>
        <v>52142</v>
      </c>
      <c r="AN28" s="317">
        <f>AN13+AN17+AN21+AN25</f>
        <v>38194</v>
      </c>
      <c r="AO28" s="297">
        <f t="shared" si="23"/>
        <v>0.73249971232403821</v>
      </c>
      <c r="AP28" s="290">
        <f>SUM(AH28+AL28)</f>
        <v>1012330</v>
      </c>
      <c r="AQ28" s="290">
        <f t="shared" ref="AQ28:AR29" si="38">SUM(AI28+AM28)</f>
        <v>1669756</v>
      </c>
      <c r="AR28" s="290">
        <f t="shared" si="38"/>
        <v>1569534</v>
      </c>
      <c r="AS28" s="297">
        <f t="shared" si="25"/>
        <v>0.9399780566741488</v>
      </c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</row>
    <row r="29" spans="1:86" s="282" customFormat="1" ht="50.1" customHeight="1" thickBot="1" x14ac:dyDescent="0.3">
      <c r="A29" s="316" t="s">
        <v>500</v>
      </c>
      <c r="B29" s="290">
        <f t="shared" si="29"/>
        <v>12361</v>
      </c>
      <c r="C29" s="290">
        <f t="shared" si="29"/>
        <v>11889</v>
      </c>
      <c r="D29" s="290">
        <f t="shared" si="29"/>
        <v>11620</v>
      </c>
      <c r="E29" s="313">
        <f t="shared" si="16"/>
        <v>0.97737404323324084</v>
      </c>
      <c r="F29" s="290">
        <f t="shared" si="30"/>
        <v>3306</v>
      </c>
      <c r="G29" s="290">
        <f t="shared" si="30"/>
        <v>3352</v>
      </c>
      <c r="H29" s="290">
        <f t="shared" si="30"/>
        <v>3262</v>
      </c>
      <c r="I29" s="313">
        <f t="shared" si="17"/>
        <v>0.97315035799522676</v>
      </c>
      <c r="J29" s="290">
        <f t="shared" si="31"/>
        <v>9690</v>
      </c>
      <c r="K29" s="290">
        <f t="shared" si="31"/>
        <v>10398</v>
      </c>
      <c r="L29" s="290">
        <f t="shared" si="31"/>
        <v>10158</v>
      </c>
      <c r="M29" s="313">
        <f t="shared" si="18"/>
        <v>0.97691863819965374</v>
      </c>
      <c r="N29" s="290">
        <f t="shared" si="32"/>
        <v>0</v>
      </c>
      <c r="O29" s="290">
        <f t="shared" si="32"/>
        <v>0</v>
      </c>
      <c r="P29" s="290">
        <f t="shared" si="32"/>
        <v>0</v>
      </c>
      <c r="Q29" s="313">
        <v>0</v>
      </c>
      <c r="R29" s="290">
        <f t="shared" si="33"/>
        <v>12311</v>
      </c>
      <c r="S29" s="290">
        <f t="shared" si="33"/>
        <v>2947</v>
      </c>
      <c r="T29" s="290">
        <f t="shared" si="33"/>
        <v>2947</v>
      </c>
      <c r="U29" s="313">
        <f>T29/S29</f>
        <v>1</v>
      </c>
      <c r="V29" s="290">
        <f t="shared" si="34"/>
        <v>0</v>
      </c>
      <c r="W29" s="290">
        <f t="shared" si="34"/>
        <v>121</v>
      </c>
      <c r="X29" s="290">
        <f t="shared" si="34"/>
        <v>120</v>
      </c>
      <c r="Y29" s="313">
        <f t="shared" si="19"/>
        <v>0.99173553719008267</v>
      </c>
      <c r="Z29" s="290">
        <f t="shared" si="35"/>
        <v>0</v>
      </c>
      <c r="AA29" s="290">
        <f t="shared" si="35"/>
        <v>0</v>
      </c>
      <c r="AB29" s="290">
        <f t="shared" si="35"/>
        <v>0</v>
      </c>
      <c r="AC29" s="313">
        <v>0</v>
      </c>
      <c r="AD29" s="290">
        <f t="shared" si="36"/>
        <v>0</v>
      </c>
      <c r="AE29" s="290">
        <f t="shared" si="36"/>
        <v>0</v>
      </c>
      <c r="AF29" s="290">
        <f t="shared" si="36"/>
        <v>0</v>
      </c>
      <c r="AG29" s="313">
        <v>0</v>
      </c>
      <c r="AH29" s="365">
        <f t="shared" si="37"/>
        <v>37668</v>
      </c>
      <c r="AI29" s="365">
        <f>SUM(C29+G29+K29+O29+S29)</f>
        <v>28586</v>
      </c>
      <c r="AJ29" s="365">
        <f>SUM(D29+H29+L29+P29+T29)</f>
        <v>27987</v>
      </c>
      <c r="AK29" s="313">
        <f t="shared" si="21"/>
        <v>0.97904568669978309</v>
      </c>
      <c r="AL29" s="365">
        <f>SUM(V29+Z29+AD29)</f>
        <v>0</v>
      </c>
      <c r="AM29" s="365">
        <f>SUM(W29+AA29+AE29)</f>
        <v>121</v>
      </c>
      <c r="AN29" s="365">
        <f>AN14+AN18+AN22+AN26</f>
        <v>120</v>
      </c>
      <c r="AO29" s="313">
        <f t="shared" si="23"/>
        <v>0.99173553719008267</v>
      </c>
      <c r="AP29" s="365">
        <f>SUM(AH29+AL29)</f>
        <v>37668</v>
      </c>
      <c r="AQ29" s="365">
        <f t="shared" si="38"/>
        <v>28707</v>
      </c>
      <c r="AR29" s="365">
        <f t="shared" si="38"/>
        <v>28107</v>
      </c>
      <c r="AS29" s="313">
        <f t="shared" si="25"/>
        <v>0.97909917441738947</v>
      </c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</row>
    <row r="30" spans="1:86" s="364" customFormat="1" ht="50.1" customHeight="1" thickBot="1" x14ac:dyDescent="0.3">
      <c r="A30" s="360" t="s">
        <v>501</v>
      </c>
      <c r="B30" s="361">
        <f t="shared" ref="B30:AR30" si="39">B28+B29</f>
        <v>529499</v>
      </c>
      <c r="C30" s="361">
        <f>C28+C29</f>
        <v>936517</v>
      </c>
      <c r="D30" s="361">
        <f>D28+D29</f>
        <v>889457</v>
      </c>
      <c r="E30" s="362">
        <f t="shared" si="16"/>
        <v>0.94974997784343473</v>
      </c>
      <c r="F30" s="361">
        <f t="shared" si="39"/>
        <v>137198</v>
      </c>
      <c r="G30" s="361">
        <f t="shared" si="39"/>
        <v>203894</v>
      </c>
      <c r="H30" s="361">
        <f>H28+H29</f>
        <v>198095</v>
      </c>
      <c r="I30" s="362">
        <f t="shared" si="17"/>
        <v>0.97155875111577583</v>
      </c>
      <c r="J30" s="361">
        <f t="shared" si="39"/>
        <v>333454</v>
      </c>
      <c r="K30" s="361">
        <f t="shared" si="39"/>
        <v>494270</v>
      </c>
      <c r="L30" s="361">
        <f>L28+L29</f>
        <v>460256</v>
      </c>
      <c r="M30" s="362">
        <f t="shared" si="18"/>
        <v>0.93118336132073565</v>
      </c>
      <c r="N30" s="361">
        <f t="shared" si="39"/>
        <v>0</v>
      </c>
      <c r="O30" s="361">
        <f t="shared" si="39"/>
        <v>0</v>
      </c>
      <c r="P30" s="361">
        <f>P28+P29</f>
        <v>0</v>
      </c>
      <c r="Q30" s="362">
        <v>0</v>
      </c>
      <c r="R30" s="361">
        <f t="shared" si="39"/>
        <v>39807</v>
      </c>
      <c r="S30" s="361">
        <f t="shared" si="39"/>
        <v>11519</v>
      </c>
      <c r="T30" s="361">
        <f>T28+T29</f>
        <v>11519</v>
      </c>
      <c r="U30" s="362">
        <f>T30/S30</f>
        <v>1</v>
      </c>
      <c r="V30" s="361">
        <f t="shared" si="39"/>
        <v>2040</v>
      </c>
      <c r="W30" s="361">
        <f t="shared" si="39"/>
        <v>11942</v>
      </c>
      <c r="X30" s="361">
        <f>X28+X29</f>
        <v>8853</v>
      </c>
      <c r="Y30" s="362">
        <f t="shared" si="19"/>
        <v>0.74133311003182045</v>
      </c>
      <c r="Z30" s="361">
        <f t="shared" si="39"/>
        <v>0</v>
      </c>
      <c r="AA30" s="361">
        <f t="shared" si="39"/>
        <v>31962</v>
      </c>
      <c r="AB30" s="361">
        <f>AB28+AB29</f>
        <v>29461</v>
      </c>
      <c r="AC30" s="362">
        <f>AB30/AA30</f>
        <v>0.92175082910956763</v>
      </c>
      <c r="AD30" s="361">
        <f t="shared" si="39"/>
        <v>8000</v>
      </c>
      <c r="AE30" s="361">
        <f t="shared" si="39"/>
        <v>8359</v>
      </c>
      <c r="AF30" s="361">
        <f>AF28+AF29</f>
        <v>0</v>
      </c>
      <c r="AG30" s="362">
        <f>AF30/AE30</f>
        <v>0</v>
      </c>
      <c r="AH30" s="361">
        <f t="shared" si="39"/>
        <v>1039958</v>
      </c>
      <c r="AI30" s="361">
        <f t="shared" si="39"/>
        <v>1646200</v>
      </c>
      <c r="AJ30" s="361">
        <f t="shared" si="39"/>
        <v>1559327</v>
      </c>
      <c r="AK30" s="362">
        <f t="shared" si="21"/>
        <v>0.94722816182723846</v>
      </c>
      <c r="AL30" s="361">
        <f t="shared" si="39"/>
        <v>10040</v>
      </c>
      <c r="AM30" s="361">
        <f t="shared" si="39"/>
        <v>52263</v>
      </c>
      <c r="AN30" s="361">
        <f>AN28+AN29</f>
        <v>38314</v>
      </c>
      <c r="AO30" s="362">
        <f t="shared" si="23"/>
        <v>0.73309989858982449</v>
      </c>
      <c r="AP30" s="361">
        <f t="shared" si="39"/>
        <v>1049998</v>
      </c>
      <c r="AQ30" s="361">
        <f t="shared" si="39"/>
        <v>1698463</v>
      </c>
      <c r="AR30" s="361">
        <f t="shared" si="39"/>
        <v>1597641</v>
      </c>
      <c r="AS30" s="362">
        <f t="shared" si="25"/>
        <v>0.94063927209482923</v>
      </c>
      <c r="AT30" s="366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</row>
    <row r="31" spans="1:86" s="282" customFormat="1" ht="39.950000000000003" customHeight="1" x14ac:dyDescent="0.25">
      <c r="A31" s="278" t="s">
        <v>502</v>
      </c>
      <c r="B31" s="290"/>
      <c r="C31" s="290"/>
      <c r="D31" s="290"/>
      <c r="E31" s="297"/>
      <c r="F31" s="290"/>
      <c r="G31" s="290"/>
      <c r="H31" s="290"/>
      <c r="I31" s="297"/>
      <c r="J31" s="290"/>
      <c r="K31" s="290"/>
      <c r="L31" s="290"/>
      <c r="M31" s="297"/>
      <c r="N31" s="290"/>
      <c r="O31" s="290"/>
      <c r="P31" s="290"/>
      <c r="Q31" s="297"/>
      <c r="R31" s="290"/>
      <c r="S31" s="290"/>
      <c r="T31" s="290"/>
      <c r="U31" s="297"/>
      <c r="V31" s="290"/>
      <c r="W31" s="290"/>
      <c r="X31" s="290"/>
      <c r="Y31" s="297"/>
      <c r="Z31" s="290"/>
      <c r="AA31" s="290"/>
      <c r="AB31" s="290"/>
      <c r="AC31" s="297"/>
      <c r="AD31" s="290"/>
      <c r="AE31" s="290"/>
      <c r="AF31" s="290"/>
      <c r="AG31" s="297"/>
      <c r="AH31" s="290"/>
      <c r="AI31" s="290"/>
      <c r="AJ31" s="290"/>
      <c r="AK31" s="297"/>
      <c r="AL31" s="290"/>
      <c r="AM31" s="290"/>
      <c r="AN31" s="290"/>
      <c r="AO31" s="297"/>
      <c r="AP31" s="290"/>
      <c r="AQ31" s="290"/>
      <c r="AR31" s="290"/>
      <c r="AS31" s="297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</row>
    <row r="32" spans="1:86" s="282" customFormat="1" ht="39.950000000000003" customHeight="1" x14ac:dyDescent="0.25">
      <c r="A32" s="311" t="s">
        <v>490</v>
      </c>
      <c r="B32" s="284">
        <f>182050-35571</f>
        <v>146479</v>
      </c>
      <c r="C32" s="284">
        <v>151518</v>
      </c>
      <c r="D32" s="284">
        <v>155635</v>
      </c>
      <c r="E32" s="285">
        <f t="shared" ref="E32:E34" si="40">D32/C32</f>
        <v>1.0271716891722436</v>
      </c>
      <c r="F32" s="284">
        <f>54123-9604</f>
        <v>44519</v>
      </c>
      <c r="G32" s="284">
        <v>45181</v>
      </c>
      <c r="H32" s="284">
        <v>46228</v>
      </c>
      <c r="I32" s="285">
        <f t="shared" ref="I32:I34" si="41">H32/G32</f>
        <v>1.0231734578694585</v>
      </c>
      <c r="J32" s="284">
        <v>69887</v>
      </c>
      <c r="K32" s="284">
        <v>53168</v>
      </c>
      <c r="L32" s="284">
        <v>50896</v>
      </c>
      <c r="M32" s="285">
        <f t="shared" ref="M32:M33" si="42">L32/K32</f>
        <v>0.95726752934095694</v>
      </c>
      <c r="N32" s="284"/>
      <c r="O32" s="284"/>
      <c r="P32" s="284"/>
      <c r="Q32" s="285"/>
      <c r="R32" s="284">
        <f>755+15000</f>
        <v>15755</v>
      </c>
      <c r="S32" s="284">
        <v>5918</v>
      </c>
      <c r="T32" s="284">
        <v>5918</v>
      </c>
      <c r="U32" s="285">
        <f t="shared" ref="U32" si="43">T32/S32</f>
        <v>1</v>
      </c>
      <c r="V32" s="284">
        <v>4840</v>
      </c>
      <c r="W32" s="284">
        <v>6357</v>
      </c>
      <c r="X32" s="284">
        <v>6297</v>
      </c>
      <c r="Y32" s="285">
        <f t="shared" ref="Y32" si="44">X32/W32</f>
        <v>0.99056158565361019</v>
      </c>
      <c r="Z32" s="284"/>
      <c r="AA32" s="284"/>
      <c r="AB32" s="284"/>
      <c r="AC32" s="285"/>
      <c r="AD32" s="290"/>
      <c r="AE32" s="290"/>
      <c r="AF32" s="284"/>
      <c r="AG32" s="285"/>
      <c r="AH32" s="284">
        <f t="shared" ref="AH32:AJ34" si="45">SUM(B32+F32+J32+N32+R32)</f>
        <v>276640</v>
      </c>
      <c r="AI32" s="284">
        <f t="shared" si="45"/>
        <v>255785</v>
      </c>
      <c r="AJ32" s="284">
        <f t="shared" si="45"/>
        <v>258677</v>
      </c>
      <c r="AK32" s="285">
        <f t="shared" ref="AK32:AK34" si="46">AJ32/AI32</f>
        <v>1.0113063705846708</v>
      </c>
      <c r="AL32" s="284">
        <f t="shared" ref="AL32:AN34" si="47">SUM(V32+Z32+AD32)</f>
        <v>4840</v>
      </c>
      <c r="AM32" s="284">
        <f t="shared" si="47"/>
        <v>6357</v>
      </c>
      <c r="AN32" s="284">
        <f t="shared" si="47"/>
        <v>6297</v>
      </c>
      <c r="AO32" s="285">
        <f t="shared" ref="AO32" si="48">AN32/AM32</f>
        <v>0.99056158565361019</v>
      </c>
      <c r="AP32" s="284">
        <f>SUM(AH32+AL32)</f>
        <v>281480</v>
      </c>
      <c r="AQ32" s="284">
        <f t="shared" ref="AQ32:AR34" si="49">SUM(AI32+AM32)</f>
        <v>262142</v>
      </c>
      <c r="AR32" s="284">
        <f>SUM(AJ32+AN32)</f>
        <v>264974</v>
      </c>
      <c r="AS32" s="285">
        <f t="shared" ref="AS32:AS34" si="50">AR32/AQ32</f>
        <v>1.0108033050789267</v>
      </c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</row>
    <row r="33" spans="1:86" s="282" customFormat="1" ht="39.950000000000003" customHeight="1" x14ac:dyDescent="0.25">
      <c r="A33" s="288" t="s">
        <v>491</v>
      </c>
      <c r="B33" s="290"/>
      <c r="C33" s="290"/>
      <c r="D33" s="290"/>
      <c r="E33" s="285"/>
      <c r="F33" s="290"/>
      <c r="G33" s="290"/>
      <c r="H33" s="290"/>
      <c r="I33" s="285"/>
      <c r="J33" s="290"/>
      <c r="K33" s="290">
        <v>700</v>
      </c>
      <c r="L33" s="290">
        <v>700</v>
      </c>
      <c r="M33" s="285">
        <f t="shared" si="42"/>
        <v>1</v>
      </c>
      <c r="N33" s="290"/>
      <c r="O33" s="290"/>
      <c r="P33" s="290"/>
      <c r="Q33" s="285"/>
      <c r="R33" s="290"/>
      <c r="S33" s="290"/>
      <c r="T33" s="290"/>
      <c r="U33" s="285"/>
      <c r="V33" s="290"/>
      <c r="W33" s="290"/>
      <c r="X33" s="290"/>
      <c r="Y33" s="285"/>
      <c r="Z33" s="290"/>
      <c r="AA33" s="290"/>
      <c r="AB33" s="290"/>
      <c r="AC33" s="285"/>
      <c r="AD33" s="367"/>
      <c r="AE33" s="367"/>
      <c r="AF33" s="290"/>
      <c r="AG33" s="285"/>
      <c r="AH33" s="284"/>
      <c r="AI33" s="284">
        <f t="shared" si="45"/>
        <v>700</v>
      </c>
      <c r="AJ33" s="284">
        <f t="shared" si="45"/>
        <v>700</v>
      </c>
      <c r="AK33" s="285">
        <f t="shared" si="46"/>
        <v>1</v>
      </c>
      <c r="AL33" s="284">
        <f t="shared" si="47"/>
        <v>0</v>
      </c>
      <c r="AM33" s="284">
        <f t="shared" si="47"/>
        <v>0</v>
      </c>
      <c r="AN33" s="284">
        <f t="shared" si="47"/>
        <v>0</v>
      </c>
      <c r="AO33" s="285">
        <v>0</v>
      </c>
      <c r="AP33" s="284">
        <f>SUM(AH33+AL33)</f>
        <v>0</v>
      </c>
      <c r="AQ33" s="284">
        <f t="shared" si="49"/>
        <v>700</v>
      </c>
      <c r="AR33" s="284">
        <f>SUM(AJ33+AN33)</f>
        <v>700</v>
      </c>
      <c r="AS33" s="285">
        <f t="shared" si="50"/>
        <v>1</v>
      </c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</row>
    <row r="34" spans="1:86" s="308" customFormat="1" ht="39.950000000000003" customHeight="1" thickBot="1" x14ac:dyDescent="0.3">
      <c r="A34" s="309" t="s">
        <v>503</v>
      </c>
      <c r="B34" s="310">
        <v>35571</v>
      </c>
      <c r="C34" s="310">
        <v>35571</v>
      </c>
      <c r="D34" s="310">
        <v>31451</v>
      </c>
      <c r="E34" s="304">
        <f t="shared" si="40"/>
        <v>0.88417531134913274</v>
      </c>
      <c r="F34" s="310">
        <v>9604</v>
      </c>
      <c r="G34" s="310">
        <v>9604</v>
      </c>
      <c r="H34" s="310">
        <v>8493</v>
      </c>
      <c r="I34" s="304">
        <f t="shared" si="41"/>
        <v>0.88431903373594334</v>
      </c>
      <c r="J34" s="310"/>
      <c r="K34" s="310"/>
      <c r="L34" s="310"/>
      <c r="M34" s="304"/>
      <c r="N34" s="310"/>
      <c r="O34" s="310"/>
      <c r="P34" s="310"/>
      <c r="Q34" s="304"/>
      <c r="R34" s="310"/>
      <c r="S34" s="310"/>
      <c r="T34" s="310"/>
      <c r="U34" s="304"/>
      <c r="V34" s="310"/>
      <c r="W34" s="310"/>
      <c r="X34" s="310"/>
      <c r="Y34" s="304"/>
      <c r="Z34" s="310"/>
      <c r="AA34" s="310"/>
      <c r="AB34" s="310"/>
      <c r="AC34" s="304"/>
      <c r="AD34" s="310"/>
      <c r="AE34" s="310"/>
      <c r="AF34" s="310"/>
      <c r="AG34" s="304"/>
      <c r="AH34" s="303">
        <f t="shared" si="45"/>
        <v>45175</v>
      </c>
      <c r="AI34" s="303">
        <f t="shared" si="45"/>
        <v>45175</v>
      </c>
      <c r="AJ34" s="303">
        <f t="shared" si="45"/>
        <v>39944</v>
      </c>
      <c r="AK34" s="304">
        <f t="shared" si="46"/>
        <v>0.88420586607636964</v>
      </c>
      <c r="AL34" s="303">
        <f t="shared" si="47"/>
        <v>0</v>
      </c>
      <c r="AM34" s="303">
        <f t="shared" si="47"/>
        <v>0</v>
      </c>
      <c r="AN34" s="303">
        <f t="shared" si="47"/>
        <v>0</v>
      </c>
      <c r="AO34" s="304">
        <v>0</v>
      </c>
      <c r="AP34" s="303">
        <f>SUM(AH34+AL34)</f>
        <v>45175</v>
      </c>
      <c r="AQ34" s="303">
        <f t="shared" si="49"/>
        <v>45175</v>
      </c>
      <c r="AR34" s="303">
        <f t="shared" si="49"/>
        <v>39944</v>
      </c>
      <c r="AS34" s="304">
        <f t="shared" si="50"/>
        <v>0.88420586607636964</v>
      </c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</row>
    <row r="35" spans="1:86" s="364" customFormat="1" ht="39.950000000000003" customHeight="1" thickBot="1" x14ac:dyDescent="0.3">
      <c r="A35" s="360" t="s">
        <v>504</v>
      </c>
      <c r="B35" s="361">
        <f>SUM(B32:B34)</f>
        <v>182050</v>
      </c>
      <c r="C35" s="361">
        <f>SUM(C32:C34)</f>
        <v>187089</v>
      </c>
      <c r="D35" s="361">
        <f>SUM(D32:D34)</f>
        <v>187086</v>
      </c>
      <c r="E35" s="362">
        <f>D35/C35</f>
        <v>0.99998396485095331</v>
      </c>
      <c r="F35" s="361">
        <f t="shared" ref="F35:AE35" si="51">SUM(F32:F34)</f>
        <v>54123</v>
      </c>
      <c r="G35" s="361">
        <f t="shared" si="51"/>
        <v>54785</v>
      </c>
      <c r="H35" s="361">
        <f>SUM(H32:H34)</f>
        <v>54721</v>
      </c>
      <c r="I35" s="362">
        <f>H35/G35</f>
        <v>0.99883179702473301</v>
      </c>
      <c r="J35" s="361">
        <f t="shared" si="51"/>
        <v>69887</v>
      </c>
      <c r="K35" s="361">
        <f t="shared" si="51"/>
        <v>53868</v>
      </c>
      <c r="L35" s="361">
        <f>SUM(L32:L34)</f>
        <v>51596</v>
      </c>
      <c r="M35" s="362">
        <f>L35/K35</f>
        <v>0.95782282616766912</v>
      </c>
      <c r="N35" s="361">
        <f t="shared" si="51"/>
        <v>0</v>
      </c>
      <c r="O35" s="361">
        <f t="shared" si="51"/>
        <v>0</v>
      </c>
      <c r="P35" s="361">
        <f>SUM(P32:P34)</f>
        <v>0</v>
      </c>
      <c r="Q35" s="362">
        <v>0</v>
      </c>
      <c r="R35" s="361">
        <f t="shared" si="51"/>
        <v>15755</v>
      </c>
      <c r="S35" s="361">
        <f t="shared" si="51"/>
        <v>5918</v>
      </c>
      <c r="T35" s="361">
        <f>SUM(T32:T34)</f>
        <v>5918</v>
      </c>
      <c r="U35" s="362">
        <f>T35/S35</f>
        <v>1</v>
      </c>
      <c r="V35" s="361">
        <f t="shared" si="51"/>
        <v>4840</v>
      </c>
      <c r="W35" s="361">
        <f t="shared" si="51"/>
        <v>6357</v>
      </c>
      <c r="X35" s="361">
        <f>SUM(X32:X34)</f>
        <v>6297</v>
      </c>
      <c r="Y35" s="362">
        <f>X35/W35</f>
        <v>0.99056158565361019</v>
      </c>
      <c r="Z35" s="361">
        <f t="shared" si="51"/>
        <v>0</v>
      </c>
      <c r="AA35" s="361">
        <f t="shared" si="51"/>
        <v>0</v>
      </c>
      <c r="AB35" s="361">
        <f>SUM(AB32:AB34)</f>
        <v>0</v>
      </c>
      <c r="AC35" s="362">
        <v>0</v>
      </c>
      <c r="AD35" s="361">
        <f t="shared" si="51"/>
        <v>0</v>
      </c>
      <c r="AE35" s="361">
        <f t="shared" si="51"/>
        <v>0</v>
      </c>
      <c r="AF35" s="361">
        <f>SUM(AF32:AF34)</f>
        <v>0</v>
      </c>
      <c r="AG35" s="362">
        <v>0</v>
      </c>
      <c r="AH35" s="361">
        <f t="shared" ref="AH35:AR35" si="52">SUM(AH32:AH34)</f>
        <v>321815</v>
      </c>
      <c r="AI35" s="361">
        <f t="shared" si="52"/>
        <v>301660</v>
      </c>
      <c r="AJ35" s="361">
        <f t="shared" si="52"/>
        <v>299321</v>
      </c>
      <c r="AK35" s="362">
        <f>AJ35/AI35</f>
        <v>0.99224623748591134</v>
      </c>
      <c r="AL35" s="361">
        <f t="shared" si="52"/>
        <v>4840</v>
      </c>
      <c r="AM35" s="361">
        <f t="shared" si="52"/>
        <v>6357</v>
      </c>
      <c r="AN35" s="361">
        <f t="shared" si="52"/>
        <v>6297</v>
      </c>
      <c r="AO35" s="362">
        <f>AN35/AM35</f>
        <v>0.99056158565361019</v>
      </c>
      <c r="AP35" s="361">
        <f t="shared" si="52"/>
        <v>326655</v>
      </c>
      <c r="AQ35" s="361">
        <f t="shared" si="52"/>
        <v>308017</v>
      </c>
      <c r="AR35" s="361">
        <f t="shared" si="52"/>
        <v>305618</v>
      </c>
      <c r="AS35" s="362">
        <f>AR35/AQ35</f>
        <v>0.99221146884749867</v>
      </c>
      <c r="AT35" s="351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</row>
    <row r="36" spans="1:86" s="282" customFormat="1" ht="39.950000000000003" customHeight="1" thickBot="1" x14ac:dyDescent="0.3">
      <c r="A36" s="320" t="s">
        <v>505</v>
      </c>
      <c r="B36" s="314">
        <f t="shared" ref="B36:AF36" si="53">B28+B32</f>
        <v>663617</v>
      </c>
      <c r="C36" s="314">
        <f t="shared" si="53"/>
        <v>1076146</v>
      </c>
      <c r="D36" s="314">
        <f t="shared" si="53"/>
        <v>1033472</v>
      </c>
      <c r="E36" s="368">
        <f>D36/C36</f>
        <v>0.96034552932408801</v>
      </c>
      <c r="F36" s="314">
        <f t="shared" si="53"/>
        <v>178411</v>
      </c>
      <c r="G36" s="314">
        <f t="shared" si="53"/>
        <v>245723</v>
      </c>
      <c r="H36" s="314">
        <f t="shared" si="53"/>
        <v>241061</v>
      </c>
      <c r="I36" s="368">
        <f>H36/G36</f>
        <v>0.9810274170509069</v>
      </c>
      <c r="J36" s="314">
        <f t="shared" si="53"/>
        <v>393651</v>
      </c>
      <c r="K36" s="314">
        <f t="shared" si="53"/>
        <v>537040</v>
      </c>
      <c r="L36" s="314">
        <f t="shared" si="53"/>
        <v>500994</v>
      </c>
      <c r="M36" s="368">
        <f>L36/K36</f>
        <v>0.93288023238492479</v>
      </c>
      <c r="N36" s="314">
        <f t="shared" si="53"/>
        <v>0</v>
      </c>
      <c r="O36" s="314">
        <f t="shared" si="53"/>
        <v>0</v>
      </c>
      <c r="P36" s="314">
        <f t="shared" si="53"/>
        <v>0</v>
      </c>
      <c r="Q36" s="368">
        <v>0</v>
      </c>
      <c r="R36" s="314">
        <f t="shared" si="53"/>
        <v>43251</v>
      </c>
      <c r="S36" s="314">
        <f t="shared" si="53"/>
        <v>14490</v>
      </c>
      <c r="T36" s="314">
        <f t="shared" si="53"/>
        <v>14490</v>
      </c>
      <c r="U36" s="368">
        <f>T36/S36</f>
        <v>1</v>
      </c>
      <c r="V36" s="314">
        <f t="shared" si="53"/>
        <v>6880</v>
      </c>
      <c r="W36" s="314">
        <f t="shared" si="53"/>
        <v>18178</v>
      </c>
      <c r="X36" s="314">
        <f t="shared" si="53"/>
        <v>15030</v>
      </c>
      <c r="Y36" s="368">
        <f>X36/W36</f>
        <v>0.82682363296292216</v>
      </c>
      <c r="Z36" s="314">
        <f t="shared" si="53"/>
        <v>0</v>
      </c>
      <c r="AA36" s="314">
        <f t="shared" si="53"/>
        <v>31962</v>
      </c>
      <c r="AB36" s="314">
        <f t="shared" si="53"/>
        <v>29461</v>
      </c>
      <c r="AC36" s="368">
        <f>AB36/AA36</f>
        <v>0.92175082910956763</v>
      </c>
      <c r="AD36" s="314">
        <f t="shared" si="53"/>
        <v>8000</v>
      </c>
      <c r="AE36" s="314">
        <f t="shared" si="53"/>
        <v>8359</v>
      </c>
      <c r="AF36" s="314">
        <f t="shared" si="53"/>
        <v>0</v>
      </c>
      <c r="AG36" s="368">
        <f>AF36/AE36</f>
        <v>0</v>
      </c>
      <c r="AH36" s="298">
        <f t="shared" ref="AH36:AJ38" si="54">SUM(B36+F36+J36+N36+R36)</f>
        <v>1278930</v>
      </c>
      <c r="AI36" s="298">
        <f t="shared" si="54"/>
        <v>1873399</v>
      </c>
      <c r="AJ36" s="298">
        <f t="shared" si="54"/>
        <v>1790017</v>
      </c>
      <c r="AK36" s="368">
        <f>AJ36/AI36</f>
        <v>0.95549159575723053</v>
      </c>
      <c r="AL36" s="298">
        <f>SUM(V36+Z36+AD36)</f>
        <v>14880</v>
      </c>
      <c r="AM36" s="298">
        <f>SUM(W36+AA36+AE36)</f>
        <v>58499</v>
      </c>
      <c r="AN36" s="298">
        <f>SUM(X36+AB36+AF36)</f>
        <v>44491</v>
      </c>
      <c r="AO36" s="368">
        <f>AN36/AM36</f>
        <v>0.76054291526350881</v>
      </c>
      <c r="AP36" s="298">
        <f>SUM(AH36+AL36)</f>
        <v>1293810</v>
      </c>
      <c r="AQ36" s="298">
        <f t="shared" ref="AQ36:AQ38" si="55">SUM(AI36+AM36)</f>
        <v>1931898</v>
      </c>
      <c r="AR36" s="314">
        <f t="shared" ref="AR36" si="56">AR28+AR32</f>
        <v>1834508</v>
      </c>
      <c r="AS36" s="368">
        <f>AR36/AQ36</f>
        <v>0.94958843582839259</v>
      </c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</row>
    <row r="37" spans="1:86" s="282" customFormat="1" ht="39.950000000000003" customHeight="1" thickBot="1" x14ac:dyDescent="0.3">
      <c r="A37" s="321" t="s">
        <v>506</v>
      </c>
      <c r="B37" s="298">
        <f>SUM(B29+B33)</f>
        <v>12361</v>
      </c>
      <c r="C37" s="298">
        <f>SUM(C29+C33)</f>
        <v>11889</v>
      </c>
      <c r="D37" s="298">
        <f>SUM(D29+D33)</f>
        <v>11620</v>
      </c>
      <c r="E37" s="368">
        <f t="shared" ref="E37:E38" si="57">D37/C37</f>
        <v>0.97737404323324084</v>
      </c>
      <c r="F37" s="298">
        <f t="shared" ref="F37:AE37" si="58">SUM(F29+F33)</f>
        <v>3306</v>
      </c>
      <c r="G37" s="298">
        <f t="shared" si="58"/>
        <v>3352</v>
      </c>
      <c r="H37" s="298">
        <f>SUM(H29+H33)</f>
        <v>3262</v>
      </c>
      <c r="I37" s="368">
        <f t="shared" ref="I37:I38" si="59">H37/G37</f>
        <v>0.97315035799522676</v>
      </c>
      <c r="J37" s="298">
        <f t="shared" si="58"/>
        <v>9690</v>
      </c>
      <c r="K37" s="298">
        <f t="shared" si="58"/>
        <v>11098</v>
      </c>
      <c r="L37" s="298">
        <f>SUM(L29+L33)</f>
        <v>10858</v>
      </c>
      <c r="M37" s="368">
        <f t="shared" ref="M37" si="60">L37/K37</f>
        <v>0.97837448188862863</v>
      </c>
      <c r="N37" s="298">
        <f t="shared" si="58"/>
        <v>0</v>
      </c>
      <c r="O37" s="298">
        <f t="shared" si="58"/>
        <v>0</v>
      </c>
      <c r="P37" s="298">
        <f>SUM(P29+P33)</f>
        <v>0</v>
      </c>
      <c r="Q37" s="368">
        <v>0</v>
      </c>
      <c r="R37" s="298">
        <f t="shared" si="58"/>
        <v>12311</v>
      </c>
      <c r="S37" s="298">
        <f t="shared" si="58"/>
        <v>2947</v>
      </c>
      <c r="T37" s="298">
        <f>SUM(T29+T33)</f>
        <v>2947</v>
      </c>
      <c r="U37" s="368">
        <f t="shared" ref="U37" si="61">T37/S37</f>
        <v>1</v>
      </c>
      <c r="V37" s="298">
        <f t="shared" si="58"/>
        <v>0</v>
      </c>
      <c r="W37" s="298">
        <f t="shared" si="58"/>
        <v>121</v>
      </c>
      <c r="X37" s="298">
        <f>SUM(X29+X33)</f>
        <v>120</v>
      </c>
      <c r="Y37" s="368">
        <f t="shared" ref="Y37" si="62">X37/W37</f>
        <v>0.99173553719008267</v>
      </c>
      <c r="Z37" s="298">
        <f t="shared" si="58"/>
        <v>0</v>
      </c>
      <c r="AA37" s="298">
        <f t="shared" si="58"/>
        <v>0</v>
      </c>
      <c r="AB37" s="298">
        <f>SUM(AB29+AB33)</f>
        <v>0</v>
      </c>
      <c r="AC37" s="368">
        <v>0</v>
      </c>
      <c r="AD37" s="298">
        <f t="shared" si="58"/>
        <v>0</v>
      </c>
      <c r="AE37" s="298">
        <f t="shared" si="58"/>
        <v>0</v>
      </c>
      <c r="AF37" s="298">
        <f>SUM(AF29+AF33)</f>
        <v>0</v>
      </c>
      <c r="AG37" s="368">
        <v>0</v>
      </c>
      <c r="AH37" s="322">
        <f t="shared" si="54"/>
        <v>37668</v>
      </c>
      <c r="AI37" s="322">
        <f t="shared" si="54"/>
        <v>29286</v>
      </c>
      <c r="AJ37" s="322">
        <f t="shared" si="54"/>
        <v>28687</v>
      </c>
      <c r="AK37" s="368">
        <f t="shared" ref="AK37:AK38" si="63">AJ37/AI37</f>
        <v>0.97954654100935601</v>
      </c>
      <c r="AL37" s="322">
        <f>SUM(V37+Z37+AD37)</f>
        <v>0</v>
      </c>
      <c r="AM37" s="322">
        <f>SUM(W37+AA37+AE37)</f>
        <v>121</v>
      </c>
      <c r="AN37" s="322">
        <f>SUM(AN29+AN33)</f>
        <v>120</v>
      </c>
      <c r="AO37" s="368">
        <f t="shared" ref="AO37" si="64">AN37/AM37</f>
        <v>0.99173553719008267</v>
      </c>
      <c r="AP37" s="322">
        <f>SUM(AH37+AL37)</f>
        <v>37668</v>
      </c>
      <c r="AQ37" s="322">
        <f t="shared" si="55"/>
        <v>29407</v>
      </c>
      <c r="AR37" s="298">
        <f>SUM(AR29+AR33)</f>
        <v>28807</v>
      </c>
      <c r="AS37" s="368">
        <f t="shared" ref="AS37:AS38" si="65">AR37/AQ37</f>
        <v>0.97959669466453569</v>
      </c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</row>
    <row r="38" spans="1:86" ht="39.950000000000003" customHeight="1" thickBot="1" x14ac:dyDescent="0.3">
      <c r="A38" s="324" t="s">
        <v>507</v>
      </c>
      <c r="B38" s="323">
        <f>SUM(B34)</f>
        <v>35571</v>
      </c>
      <c r="C38" s="323">
        <f>SUM(C34)</f>
        <v>35571</v>
      </c>
      <c r="D38" s="323">
        <f>SUM(D34)</f>
        <v>31451</v>
      </c>
      <c r="E38" s="368">
        <f t="shared" si="57"/>
        <v>0.88417531134913274</v>
      </c>
      <c r="F38" s="323">
        <f t="shared" ref="F38:AE38" si="66">SUM(F34)</f>
        <v>9604</v>
      </c>
      <c r="G38" s="323">
        <f t="shared" si="66"/>
        <v>9604</v>
      </c>
      <c r="H38" s="323">
        <f>SUM(H34)</f>
        <v>8493</v>
      </c>
      <c r="I38" s="368">
        <f t="shared" si="59"/>
        <v>0.88431903373594334</v>
      </c>
      <c r="J38" s="323">
        <f t="shared" si="66"/>
        <v>0</v>
      </c>
      <c r="K38" s="323">
        <f t="shared" si="66"/>
        <v>0</v>
      </c>
      <c r="L38" s="323">
        <f>SUM(L34)</f>
        <v>0</v>
      </c>
      <c r="M38" s="368">
        <v>0</v>
      </c>
      <c r="N38" s="323">
        <f t="shared" si="66"/>
        <v>0</v>
      </c>
      <c r="O38" s="323">
        <f t="shared" si="66"/>
        <v>0</v>
      </c>
      <c r="P38" s="323">
        <f>SUM(P34)</f>
        <v>0</v>
      </c>
      <c r="Q38" s="368">
        <v>0</v>
      </c>
      <c r="R38" s="323">
        <f t="shared" si="66"/>
        <v>0</v>
      </c>
      <c r="S38" s="323">
        <f t="shared" si="66"/>
        <v>0</v>
      </c>
      <c r="T38" s="323">
        <f>SUM(T34)</f>
        <v>0</v>
      </c>
      <c r="U38" s="368">
        <v>0</v>
      </c>
      <c r="V38" s="323">
        <f t="shared" si="66"/>
        <v>0</v>
      </c>
      <c r="W38" s="323">
        <f t="shared" si="66"/>
        <v>0</v>
      </c>
      <c r="X38" s="323">
        <f>SUM(X34)</f>
        <v>0</v>
      </c>
      <c r="Y38" s="368">
        <v>0</v>
      </c>
      <c r="Z38" s="323">
        <f t="shared" si="66"/>
        <v>0</v>
      </c>
      <c r="AA38" s="323">
        <f t="shared" si="66"/>
        <v>0</v>
      </c>
      <c r="AB38" s="323">
        <f>SUM(AB34)</f>
        <v>0</v>
      </c>
      <c r="AC38" s="368">
        <v>0</v>
      </c>
      <c r="AD38" s="323">
        <f t="shared" si="66"/>
        <v>0</v>
      </c>
      <c r="AE38" s="323">
        <f t="shared" si="66"/>
        <v>0</v>
      </c>
      <c r="AF38" s="323">
        <f>SUM(AF34)</f>
        <v>0</v>
      </c>
      <c r="AG38" s="368">
        <v>0</v>
      </c>
      <c r="AH38" s="286">
        <f t="shared" si="54"/>
        <v>45175</v>
      </c>
      <c r="AI38" s="286">
        <f t="shared" si="54"/>
        <v>45175</v>
      </c>
      <c r="AJ38" s="286">
        <f t="shared" si="54"/>
        <v>39944</v>
      </c>
      <c r="AK38" s="368">
        <f t="shared" si="63"/>
        <v>0.88420586607636964</v>
      </c>
      <c r="AL38" s="286">
        <f>SUM(V38+Z38+AD38)</f>
        <v>0</v>
      </c>
      <c r="AM38" s="286">
        <f>SUM(W38+AA38+AE38)</f>
        <v>0</v>
      </c>
      <c r="AN38" s="323">
        <f>SUM(AN34)</f>
        <v>0</v>
      </c>
      <c r="AO38" s="368">
        <v>0</v>
      </c>
      <c r="AP38" s="286">
        <f>SUM(AH38+AL38)</f>
        <v>45175</v>
      </c>
      <c r="AQ38" s="286">
        <f t="shared" si="55"/>
        <v>45175</v>
      </c>
      <c r="AR38" s="323">
        <f>SUM(AR34)</f>
        <v>39944</v>
      </c>
      <c r="AS38" s="368">
        <f t="shared" si="65"/>
        <v>0.88420586607636964</v>
      </c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</row>
    <row r="39" spans="1:86" s="371" customFormat="1" ht="39.950000000000003" customHeight="1" thickBot="1" x14ac:dyDescent="0.3">
      <c r="A39" s="360" t="s">
        <v>508</v>
      </c>
      <c r="B39" s="361">
        <f>SUM(B36:B38)</f>
        <v>711549</v>
      </c>
      <c r="C39" s="361">
        <f>SUM(C36:C38)</f>
        <v>1123606</v>
      </c>
      <c r="D39" s="361">
        <f>SUM(D36:D38)</f>
        <v>1076543</v>
      </c>
      <c r="E39" s="362">
        <f>D39/C39</f>
        <v>0.95811432121223983</v>
      </c>
      <c r="F39" s="361">
        <f t="shared" ref="F39:AQ39" si="67">SUM(F36:F38)</f>
        <v>191321</v>
      </c>
      <c r="G39" s="361">
        <f t="shared" si="67"/>
        <v>258679</v>
      </c>
      <c r="H39" s="361">
        <f>SUM(H36:H38)</f>
        <v>252816</v>
      </c>
      <c r="I39" s="362">
        <f>H39/G39</f>
        <v>0.97733484357060296</v>
      </c>
      <c r="J39" s="361">
        <f t="shared" si="67"/>
        <v>403341</v>
      </c>
      <c r="K39" s="361">
        <f t="shared" si="67"/>
        <v>548138</v>
      </c>
      <c r="L39" s="361">
        <f>SUM(L36:L38)</f>
        <v>511852</v>
      </c>
      <c r="M39" s="362">
        <f>L39/K39</f>
        <v>0.93380134199781806</v>
      </c>
      <c r="N39" s="361">
        <f t="shared" si="67"/>
        <v>0</v>
      </c>
      <c r="O39" s="361">
        <f t="shared" si="67"/>
        <v>0</v>
      </c>
      <c r="P39" s="361">
        <f>SUM(P36:P38)</f>
        <v>0</v>
      </c>
      <c r="Q39" s="362">
        <v>0</v>
      </c>
      <c r="R39" s="361">
        <f t="shared" si="67"/>
        <v>55562</v>
      </c>
      <c r="S39" s="361">
        <f t="shared" si="67"/>
        <v>17437</v>
      </c>
      <c r="T39" s="361">
        <f>SUM(T36:T38)</f>
        <v>17437</v>
      </c>
      <c r="U39" s="362">
        <f>T39/S39</f>
        <v>1</v>
      </c>
      <c r="V39" s="361">
        <f t="shared" si="67"/>
        <v>6880</v>
      </c>
      <c r="W39" s="361">
        <f>SUM(W36:W38)</f>
        <v>18299</v>
      </c>
      <c r="X39" s="361">
        <f>SUM(X36:X38)</f>
        <v>15150</v>
      </c>
      <c r="Y39" s="362">
        <f>X39/W39</f>
        <v>0.82791409366632052</v>
      </c>
      <c r="Z39" s="361">
        <f t="shared" si="67"/>
        <v>0</v>
      </c>
      <c r="AA39" s="361">
        <f t="shared" si="67"/>
        <v>31962</v>
      </c>
      <c r="AB39" s="361">
        <f>SUM(AB36:AB38)</f>
        <v>29461</v>
      </c>
      <c r="AC39" s="362">
        <f>AB39/AA39</f>
        <v>0.92175082910956763</v>
      </c>
      <c r="AD39" s="361">
        <f t="shared" si="67"/>
        <v>8000</v>
      </c>
      <c r="AE39" s="361">
        <f t="shared" si="67"/>
        <v>8359</v>
      </c>
      <c r="AF39" s="361">
        <f>SUM(AF36:AF38)</f>
        <v>0</v>
      </c>
      <c r="AG39" s="362">
        <f>AF39/AE39</f>
        <v>0</v>
      </c>
      <c r="AH39" s="361">
        <f t="shared" si="67"/>
        <v>1361773</v>
      </c>
      <c r="AI39" s="361">
        <f t="shared" si="67"/>
        <v>1947860</v>
      </c>
      <c r="AJ39" s="361">
        <f t="shared" si="67"/>
        <v>1858648</v>
      </c>
      <c r="AK39" s="362">
        <f>AJ39/AI39</f>
        <v>0.95419999383939302</v>
      </c>
      <c r="AL39" s="361">
        <f t="shared" si="67"/>
        <v>14880</v>
      </c>
      <c r="AM39" s="361">
        <f t="shared" si="67"/>
        <v>58620</v>
      </c>
      <c r="AN39" s="361">
        <f>SUM(AN36:AN38)</f>
        <v>44611</v>
      </c>
      <c r="AO39" s="362">
        <f>AN39/AM39</f>
        <v>0.76102012964858412</v>
      </c>
      <c r="AP39" s="361">
        <f t="shared" si="67"/>
        <v>1376653</v>
      </c>
      <c r="AQ39" s="361">
        <f t="shared" si="67"/>
        <v>2006480</v>
      </c>
      <c r="AR39" s="361">
        <f>SUM(AR36:AR38)</f>
        <v>1903259</v>
      </c>
      <c r="AS39" s="362">
        <f>AR39/AQ39</f>
        <v>0.94855617798333403</v>
      </c>
      <c r="AT39" s="351"/>
      <c r="AU39" s="369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  <c r="CB39" s="370"/>
      <c r="CC39" s="370"/>
      <c r="CD39" s="370"/>
      <c r="CE39" s="370"/>
      <c r="CF39" s="370"/>
      <c r="CG39" s="370"/>
      <c r="CH39" s="370"/>
    </row>
    <row r="40" spans="1:86" s="20" customFormat="1" ht="12.75" x14ac:dyDescent="0.2">
      <c r="A40" s="372"/>
      <c r="B40" s="373"/>
      <c r="C40" s="373"/>
      <c r="D40" s="373"/>
      <c r="E40" s="374"/>
      <c r="F40" s="373"/>
      <c r="G40" s="373"/>
      <c r="H40" s="373"/>
      <c r="I40" s="374"/>
      <c r="J40" s="373"/>
      <c r="K40" s="373"/>
      <c r="L40" s="373"/>
      <c r="M40" s="374"/>
      <c r="N40" s="373"/>
      <c r="O40" s="373"/>
      <c r="P40" s="373"/>
      <c r="Q40" s="374"/>
      <c r="R40" s="373"/>
      <c r="S40" s="373"/>
      <c r="T40" s="373"/>
      <c r="U40" s="374"/>
      <c r="V40" s="373"/>
      <c r="W40" s="373"/>
      <c r="X40" s="373"/>
      <c r="Y40" s="374"/>
      <c r="Z40" s="373"/>
      <c r="AA40" s="373"/>
      <c r="AB40" s="373"/>
      <c r="AC40" s="374"/>
      <c r="AD40" s="373"/>
      <c r="AE40" s="373"/>
      <c r="AF40" s="373"/>
      <c r="AG40" s="374"/>
      <c r="AH40" s="373"/>
      <c r="AI40" s="373"/>
      <c r="AJ40" s="373"/>
      <c r="AK40" s="374"/>
      <c r="AL40" s="373"/>
      <c r="AM40" s="373"/>
      <c r="AN40" s="373"/>
      <c r="AO40" s="374"/>
      <c r="AP40" s="373"/>
      <c r="AQ40" s="373"/>
      <c r="AR40" s="373"/>
      <c r="AS40" s="374"/>
      <c r="AT40" s="373"/>
      <c r="AU40" s="373"/>
      <c r="AV40" s="373"/>
      <c r="AW40" s="373"/>
      <c r="AX40" s="373"/>
      <c r="AY40" s="373"/>
      <c r="AZ40" s="373"/>
      <c r="BA40" s="373"/>
    </row>
    <row r="41" spans="1:86" s="20" customFormat="1" ht="17.25" customHeight="1" x14ac:dyDescent="0.2">
      <c r="A41" s="373"/>
      <c r="B41" s="373"/>
      <c r="C41" s="373"/>
      <c r="D41" s="373"/>
      <c r="E41" s="374"/>
      <c r="F41" s="373"/>
      <c r="G41" s="373"/>
      <c r="H41" s="373"/>
      <c r="I41" s="374"/>
      <c r="J41" s="373"/>
      <c r="K41" s="373"/>
      <c r="L41" s="373"/>
      <c r="M41" s="374"/>
      <c r="N41" s="373"/>
      <c r="O41" s="373"/>
      <c r="P41" s="373"/>
      <c r="Q41" s="374"/>
      <c r="R41" s="373"/>
      <c r="S41" s="373"/>
      <c r="T41" s="373"/>
      <c r="U41" s="374"/>
      <c r="V41" s="373"/>
      <c r="W41" s="373"/>
      <c r="X41" s="373"/>
      <c r="Y41" s="374"/>
      <c r="Z41" s="373"/>
      <c r="AA41" s="373"/>
      <c r="AB41" s="373"/>
      <c r="AC41" s="374"/>
      <c r="AD41" s="373"/>
      <c r="AE41" s="373"/>
      <c r="AF41" s="373"/>
      <c r="AG41" s="374"/>
      <c r="AH41" s="373"/>
      <c r="AI41" s="373"/>
      <c r="AJ41" s="373"/>
      <c r="AK41" s="374"/>
      <c r="AL41" s="373"/>
      <c r="AM41" s="373"/>
      <c r="AN41" s="373"/>
      <c r="AO41" s="374"/>
      <c r="AP41" s="373"/>
      <c r="AQ41" s="373"/>
      <c r="AR41" s="375"/>
      <c r="AS41" s="374"/>
      <c r="AT41" s="373"/>
      <c r="AU41" s="373"/>
      <c r="AV41" s="373"/>
      <c r="AW41" s="373"/>
      <c r="AX41" s="373"/>
      <c r="AY41" s="373"/>
      <c r="AZ41" s="373"/>
      <c r="BA41" s="373"/>
    </row>
    <row r="42" spans="1:86" s="20" customFormat="1" ht="12.75" x14ac:dyDescent="0.2">
      <c r="A42" s="373"/>
      <c r="B42" s="373"/>
      <c r="C42" s="373"/>
      <c r="D42" s="373"/>
      <c r="E42" s="374"/>
      <c r="F42" s="373"/>
      <c r="G42" s="373"/>
      <c r="H42" s="373"/>
      <c r="I42" s="374"/>
      <c r="J42" s="373"/>
      <c r="K42" s="373"/>
      <c r="L42" s="373"/>
      <c r="M42" s="374"/>
      <c r="N42" s="373"/>
      <c r="O42" s="373"/>
      <c r="P42" s="373"/>
      <c r="Q42" s="374"/>
      <c r="R42" s="373"/>
      <c r="S42" s="373"/>
      <c r="T42" s="373"/>
      <c r="U42" s="374"/>
      <c r="V42" s="373"/>
      <c r="W42" s="373"/>
      <c r="X42" s="373"/>
      <c r="Y42" s="374"/>
      <c r="Z42" s="373"/>
      <c r="AA42" s="373"/>
      <c r="AB42" s="373"/>
      <c r="AC42" s="374"/>
      <c r="AD42" s="373"/>
      <c r="AE42" s="373"/>
      <c r="AF42" s="373"/>
      <c r="AG42" s="374"/>
      <c r="AH42" s="373"/>
      <c r="AI42" s="373"/>
      <c r="AJ42" s="373"/>
      <c r="AK42" s="374"/>
      <c r="AL42" s="373"/>
      <c r="AM42" s="373"/>
      <c r="AN42" s="373"/>
      <c r="AO42" s="374"/>
      <c r="AP42" s="373"/>
      <c r="AQ42" s="373"/>
      <c r="AR42" s="373"/>
      <c r="AS42" s="374"/>
      <c r="AT42" s="373"/>
      <c r="AU42" s="373"/>
      <c r="AV42" s="373"/>
      <c r="AW42" s="373"/>
      <c r="AX42" s="373"/>
      <c r="AY42" s="373"/>
      <c r="AZ42" s="373"/>
      <c r="BA42" s="373"/>
    </row>
    <row r="43" spans="1:86" s="20" customFormat="1" ht="17.25" customHeight="1" x14ac:dyDescent="0.2">
      <c r="A43" s="373"/>
      <c r="B43" s="373"/>
      <c r="C43" s="373"/>
      <c r="D43" s="373"/>
      <c r="E43" s="374"/>
      <c r="F43" s="373"/>
      <c r="G43" s="373"/>
      <c r="H43" s="373"/>
      <c r="I43" s="374"/>
      <c r="J43" s="373"/>
      <c r="K43" s="373"/>
      <c r="L43" s="373"/>
      <c r="M43" s="374"/>
      <c r="N43" s="373"/>
      <c r="O43" s="373"/>
      <c r="P43" s="373"/>
      <c r="Q43" s="374"/>
      <c r="R43" s="373"/>
      <c r="S43" s="373"/>
      <c r="T43" s="373"/>
      <c r="U43" s="374"/>
      <c r="V43" s="373"/>
      <c r="W43" s="373"/>
      <c r="X43" s="373"/>
      <c r="Y43" s="374"/>
      <c r="Z43" s="373"/>
      <c r="AA43" s="373"/>
      <c r="AB43" s="373"/>
      <c r="AC43" s="374"/>
      <c r="AD43" s="373"/>
      <c r="AE43" s="373"/>
      <c r="AF43" s="373"/>
      <c r="AG43" s="374"/>
      <c r="AH43" s="373"/>
      <c r="AI43" s="373"/>
      <c r="AJ43" s="373"/>
      <c r="AK43" s="374"/>
      <c r="AL43" s="373"/>
      <c r="AM43" s="373"/>
      <c r="AN43" s="373"/>
      <c r="AO43" s="374"/>
      <c r="AP43" s="373"/>
      <c r="AQ43" s="373"/>
      <c r="AR43" s="373"/>
      <c r="AS43" s="374"/>
      <c r="AT43" s="373"/>
      <c r="AU43" s="373"/>
      <c r="AV43" s="373"/>
      <c r="AW43" s="373"/>
      <c r="AX43" s="373"/>
      <c r="AY43" s="373"/>
      <c r="AZ43" s="373"/>
      <c r="BA43" s="373"/>
    </row>
    <row r="44" spans="1:86" s="20" customFormat="1" ht="12.75" x14ac:dyDescent="0.2">
      <c r="A44" s="373"/>
      <c r="B44" s="373"/>
      <c r="C44" s="373"/>
      <c r="D44" s="373"/>
      <c r="E44" s="374"/>
      <c r="F44" s="373"/>
      <c r="G44" s="373"/>
      <c r="H44" s="373"/>
      <c r="I44" s="374"/>
      <c r="J44" s="373"/>
      <c r="K44" s="373"/>
      <c r="L44" s="373"/>
      <c r="M44" s="374"/>
      <c r="N44" s="373"/>
      <c r="O44" s="373"/>
      <c r="P44" s="373"/>
      <c r="Q44" s="374"/>
      <c r="R44" s="373"/>
      <c r="S44" s="373"/>
      <c r="T44" s="373"/>
      <c r="U44" s="374"/>
      <c r="V44" s="373"/>
      <c r="W44" s="373"/>
      <c r="X44" s="373"/>
      <c r="Y44" s="374"/>
      <c r="Z44" s="373"/>
      <c r="AA44" s="373"/>
      <c r="AB44" s="373"/>
      <c r="AC44" s="374"/>
      <c r="AD44" s="373"/>
      <c r="AE44" s="373"/>
      <c r="AF44" s="373"/>
      <c r="AG44" s="374"/>
      <c r="AH44" s="373"/>
      <c r="AI44" s="373"/>
      <c r="AJ44" s="373"/>
      <c r="AK44" s="374"/>
      <c r="AL44" s="373"/>
      <c r="AM44" s="373"/>
      <c r="AN44" s="373"/>
      <c r="AO44" s="374"/>
      <c r="AP44" s="373"/>
      <c r="AQ44" s="373"/>
      <c r="AR44" s="373"/>
      <c r="AS44" s="374"/>
      <c r="AT44" s="373"/>
      <c r="AU44" s="373"/>
      <c r="AV44" s="373"/>
      <c r="AW44" s="373"/>
      <c r="AX44" s="373"/>
      <c r="AY44" s="373"/>
      <c r="AZ44" s="373"/>
      <c r="BA44" s="373"/>
    </row>
    <row r="45" spans="1:86" s="20" customFormat="1" ht="17.25" customHeight="1" x14ac:dyDescent="0.2">
      <c r="A45" s="373"/>
      <c r="B45" s="373"/>
      <c r="C45" s="373"/>
      <c r="D45" s="373"/>
      <c r="E45" s="374"/>
      <c r="F45" s="373"/>
      <c r="G45" s="373"/>
      <c r="H45" s="373"/>
      <c r="I45" s="374"/>
      <c r="J45" s="373"/>
      <c r="K45" s="373"/>
      <c r="L45" s="373"/>
      <c r="M45" s="374"/>
      <c r="N45" s="373"/>
      <c r="O45" s="373"/>
      <c r="P45" s="373"/>
      <c r="Q45" s="374"/>
      <c r="R45" s="373"/>
      <c r="S45" s="373"/>
      <c r="T45" s="373"/>
      <c r="U45" s="374"/>
      <c r="V45" s="373"/>
      <c r="W45" s="373"/>
      <c r="X45" s="373"/>
      <c r="Y45" s="374"/>
      <c r="Z45" s="373"/>
      <c r="AA45" s="373"/>
      <c r="AB45" s="373"/>
      <c r="AC45" s="374"/>
      <c r="AD45" s="373"/>
      <c r="AE45" s="373"/>
      <c r="AF45" s="373"/>
      <c r="AG45" s="374"/>
      <c r="AH45" s="373"/>
      <c r="AI45" s="373"/>
      <c r="AJ45" s="373"/>
      <c r="AK45" s="374"/>
      <c r="AL45" s="373"/>
      <c r="AM45" s="373"/>
      <c r="AN45" s="373"/>
      <c r="AO45" s="374"/>
      <c r="AP45" s="373"/>
      <c r="AQ45" s="373"/>
      <c r="AR45" s="373"/>
      <c r="AS45" s="374"/>
      <c r="AT45" s="373"/>
      <c r="AU45" s="373"/>
      <c r="AV45" s="373"/>
      <c r="AW45" s="373"/>
      <c r="AX45" s="373"/>
      <c r="AY45" s="373"/>
      <c r="AZ45" s="373"/>
      <c r="BA45" s="373"/>
    </row>
    <row r="46" spans="1:86" s="20" customFormat="1" ht="12.75" x14ac:dyDescent="0.2">
      <c r="A46" s="373"/>
      <c r="B46" s="373"/>
      <c r="C46" s="373"/>
      <c r="D46" s="373"/>
      <c r="E46" s="374"/>
      <c r="F46" s="373"/>
      <c r="G46" s="373"/>
      <c r="H46" s="373"/>
      <c r="I46" s="374"/>
      <c r="J46" s="373"/>
      <c r="K46" s="373"/>
      <c r="L46" s="373"/>
      <c r="M46" s="374"/>
      <c r="N46" s="373"/>
      <c r="O46" s="373"/>
      <c r="P46" s="373"/>
      <c r="Q46" s="374"/>
      <c r="R46" s="373"/>
      <c r="S46" s="373"/>
      <c r="T46" s="373"/>
      <c r="U46" s="374"/>
      <c r="V46" s="373"/>
      <c r="W46" s="373"/>
      <c r="X46" s="373"/>
      <c r="Y46" s="374"/>
      <c r="Z46" s="373"/>
      <c r="AA46" s="373"/>
      <c r="AB46" s="373"/>
      <c r="AC46" s="374"/>
      <c r="AD46" s="373"/>
      <c r="AE46" s="373"/>
      <c r="AF46" s="373"/>
      <c r="AG46" s="374"/>
      <c r="AH46" s="373"/>
      <c r="AI46" s="373"/>
      <c r="AJ46" s="373"/>
      <c r="AK46" s="374"/>
      <c r="AL46" s="373"/>
      <c r="AM46" s="373"/>
      <c r="AN46" s="373"/>
      <c r="AO46" s="374"/>
      <c r="AP46" s="373"/>
      <c r="AQ46" s="373"/>
      <c r="AR46" s="373"/>
      <c r="AS46" s="374"/>
      <c r="AT46" s="373"/>
      <c r="AU46" s="373"/>
      <c r="AV46" s="373"/>
      <c r="AW46" s="373"/>
      <c r="AX46" s="373"/>
      <c r="AY46" s="373"/>
      <c r="AZ46" s="373"/>
      <c r="BA46" s="373"/>
    </row>
    <row r="47" spans="1:86" s="20" customFormat="1" ht="17.25" customHeight="1" x14ac:dyDescent="0.2">
      <c r="A47" s="373"/>
      <c r="B47" s="373"/>
      <c r="C47" s="373"/>
      <c r="D47" s="373"/>
      <c r="E47" s="374"/>
      <c r="F47" s="373"/>
      <c r="G47" s="373"/>
      <c r="H47" s="373"/>
      <c r="I47" s="374"/>
      <c r="J47" s="373"/>
      <c r="K47" s="373"/>
      <c r="L47" s="373"/>
      <c r="M47" s="374"/>
      <c r="N47" s="373"/>
      <c r="O47" s="373"/>
      <c r="P47" s="373"/>
      <c r="Q47" s="374"/>
      <c r="R47" s="373"/>
      <c r="S47" s="373"/>
      <c r="T47" s="373"/>
      <c r="U47" s="374"/>
      <c r="V47" s="373"/>
      <c r="W47" s="373"/>
      <c r="X47" s="373"/>
      <c r="Y47" s="374"/>
      <c r="Z47" s="373"/>
      <c r="AA47" s="373"/>
      <c r="AB47" s="373"/>
      <c r="AC47" s="374"/>
      <c r="AD47" s="373"/>
      <c r="AE47" s="373"/>
      <c r="AF47" s="373"/>
      <c r="AG47" s="374"/>
      <c r="AH47" s="373"/>
      <c r="AI47" s="373"/>
      <c r="AJ47" s="373"/>
      <c r="AK47" s="374"/>
      <c r="AL47" s="373"/>
      <c r="AM47" s="373"/>
      <c r="AN47" s="373"/>
      <c r="AO47" s="374"/>
      <c r="AP47" s="373"/>
      <c r="AQ47" s="373"/>
      <c r="AR47" s="373"/>
      <c r="AS47" s="374"/>
      <c r="AT47" s="373"/>
      <c r="AU47" s="373"/>
      <c r="AV47" s="373"/>
      <c r="AW47" s="373"/>
      <c r="AX47" s="373"/>
      <c r="AY47" s="373"/>
      <c r="AZ47" s="373"/>
      <c r="BA47" s="373"/>
    </row>
    <row r="48" spans="1:86" s="20" customFormat="1" ht="12.75" x14ac:dyDescent="0.2">
      <c r="A48" s="373"/>
      <c r="B48" s="373"/>
      <c r="C48" s="373"/>
      <c r="D48" s="373"/>
      <c r="E48" s="374"/>
      <c r="F48" s="373"/>
      <c r="G48" s="373"/>
      <c r="H48" s="373"/>
      <c r="I48" s="374"/>
      <c r="J48" s="373"/>
      <c r="K48" s="373"/>
      <c r="L48" s="373"/>
      <c r="M48" s="374"/>
      <c r="N48" s="373"/>
      <c r="O48" s="373"/>
      <c r="P48" s="373"/>
      <c r="Q48" s="374"/>
      <c r="R48" s="373"/>
      <c r="S48" s="373"/>
      <c r="T48" s="373"/>
      <c r="U48" s="374"/>
      <c r="V48" s="373"/>
      <c r="W48" s="373"/>
      <c r="X48" s="373"/>
      <c r="Y48" s="374"/>
      <c r="Z48" s="373"/>
      <c r="AA48" s="373"/>
      <c r="AB48" s="373"/>
      <c r="AC48" s="374"/>
      <c r="AD48" s="373"/>
      <c r="AE48" s="373"/>
      <c r="AF48" s="373"/>
      <c r="AG48" s="374"/>
      <c r="AH48" s="373"/>
      <c r="AI48" s="373"/>
      <c r="AJ48" s="373"/>
      <c r="AK48" s="374"/>
      <c r="AL48" s="373"/>
      <c r="AM48" s="373"/>
      <c r="AN48" s="373"/>
      <c r="AO48" s="374"/>
      <c r="AP48" s="373"/>
      <c r="AQ48" s="373"/>
      <c r="AR48" s="373"/>
      <c r="AS48" s="374"/>
      <c r="AT48" s="373"/>
      <c r="AU48" s="373"/>
      <c r="AV48" s="373"/>
      <c r="AW48" s="373"/>
      <c r="AX48" s="373"/>
      <c r="AY48" s="373"/>
      <c r="AZ48" s="373"/>
      <c r="BA48" s="373"/>
    </row>
    <row r="49" spans="1:53" s="20" customFormat="1" ht="17.25" customHeight="1" x14ac:dyDescent="0.2">
      <c r="A49" s="373"/>
      <c r="B49" s="373"/>
      <c r="C49" s="373"/>
      <c r="D49" s="373"/>
      <c r="E49" s="374"/>
      <c r="F49" s="373"/>
      <c r="G49" s="373"/>
      <c r="H49" s="373"/>
      <c r="I49" s="374"/>
      <c r="J49" s="373"/>
      <c r="K49" s="373"/>
      <c r="L49" s="373"/>
      <c r="M49" s="374"/>
      <c r="N49" s="373"/>
      <c r="O49" s="373"/>
      <c r="P49" s="373"/>
      <c r="Q49" s="374"/>
      <c r="R49" s="373"/>
      <c r="S49" s="373"/>
      <c r="T49" s="373"/>
      <c r="U49" s="374"/>
      <c r="V49" s="373"/>
      <c r="W49" s="373"/>
      <c r="X49" s="373"/>
      <c r="Y49" s="374"/>
      <c r="Z49" s="373"/>
      <c r="AA49" s="373"/>
      <c r="AB49" s="373"/>
      <c r="AC49" s="374"/>
      <c r="AD49" s="373"/>
      <c r="AE49" s="373"/>
      <c r="AF49" s="373"/>
      <c r="AG49" s="374"/>
      <c r="AH49" s="373"/>
      <c r="AI49" s="373"/>
      <c r="AJ49" s="373"/>
      <c r="AK49" s="374"/>
      <c r="AL49" s="373"/>
      <c r="AM49" s="373"/>
      <c r="AN49" s="373"/>
      <c r="AO49" s="374"/>
      <c r="AP49" s="373"/>
      <c r="AQ49" s="373"/>
      <c r="AR49" s="373"/>
      <c r="AS49" s="374"/>
      <c r="AT49" s="373"/>
      <c r="AU49" s="373"/>
      <c r="AV49" s="373"/>
      <c r="AW49" s="373"/>
      <c r="AX49" s="373"/>
      <c r="AY49" s="373"/>
      <c r="AZ49" s="373"/>
      <c r="BA49" s="373"/>
    </row>
    <row r="50" spans="1:53" s="20" customFormat="1" ht="12.75" x14ac:dyDescent="0.2">
      <c r="A50" s="373"/>
      <c r="B50" s="373"/>
      <c r="C50" s="373"/>
      <c r="D50" s="373"/>
      <c r="E50" s="374"/>
      <c r="F50" s="373"/>
      <c r="G50" s="373"/>
      <c r="H50" s="373"/>
      <c r="I50" s="374"/>
      <c r="J50" s="373"/>
      <c r="K50" s="373"/>
      <c r="L50" s="373"/>
      <c r="M50" s="374"/>
      <c r="N50" s="373"/>
      <c r="O50" s="373"/>
      <c r="P50" s="373"/>
      <c r="Q50" s="374"/>
      <c r="R50" s="373"/>
      <c r="S50" s="373"/>
      <c r="T50" s="373"/>
      <c r="U50" s="374"/>
      <c r="V50" s="373"/>
      <c r="W50" s="373"/>
      <c r="X50" s="373"/>
      <c r="Y50" s="374"/>
      <c r="Z50" s="373"/>
      <c r="AA50" s="373"/>
      <c r="AB50" s="373"/>
      <c r="AC50" s="374"/>
      <c r="AD50" s="373"/>
      <c r="AE50" s="373"/>
      <c r="AF50" s="373"/>
      <c r="AG50" s="374"/>
      <c r="AH50" s="373"/>
      <c r="AI50" s="373"/>
      <c r="AJ50" s="373"/>
      <c r="AK50" s="374"/>
      <c r="AL50" s="373"/>
      <c r="AM50" s="373"/>
      <c r="AN50" s="373"/>
      <c r="AO50" s="374"/>
      <c r="AP50" s="373"/>
      <c r="AQ50" s="373"/>
      <c r="AR50" s="373"/>
      <c r="AS50" s="374"/>
      <c r="AT50" s="373"/>
      <c r="AU50" s="373"/>
      <c r="AV50" s="373"/>
      <c r="AW50" s="373"/>
      <c r="AX50" s="373"/>
      <c r="AY50" s="373"/>
      <c r="AZ50" s="373"/>
      <c r="BA50" s="373"/>
    </row>
    <row r="51" spans="1:53" s="20" customFormat="1" ht="17.25" customHeight="1" x14ac:dyDescent="0.2">
      <c r="A51" s="373"/>
      <c r="B51" s="373"/>
      <c r="C51" s="373"/>
      <c r="D51" s="373"/>
      <c r="E51" s="374"/>
      <c r="F51" s="373"/>
      <c r="G51" s="373"/>
      <c r="H51" s="373"/>
      <c r="I51" s="374"/>
      <c r="J51" s="373"/>
      <c r="K51" s="373"/>
      <c r="L51" s="373"/>
      <c r="M51" s="374"/>
      <c r="N51" s="373"/>
      <c r="O51" s="373"/>
      <c r="P51" s="373"/>
      <c r="Q51" s="374"/>
      <c r="R51" s="373"/>
      <c r="S51" s="373"/>
      <c r="T51" s="373"/>
      <c r="U51" s="374"/>
      <c r="V51" s="373"/>
      <c r="W51" s="373"/>
      <c r="X51" s="373"/>
      <c r="Y51" s="374"/>
      <c r="Z51" s="373"/>
      <c r="AA51" s="373"/>
      <c r="AB51" s="373"/>
      <c r="AC51" s="374"/>
      <c r="AD51" s="373"/>
      <c r="AE51" s="373"/>
      <c r="AF51" s="373"/>
      <c r="AG51" s="374"/>
      <c r="AH51" s="373"/>
      <c r="AI51" s="373"/>
      <c r="AJ51" s="373"/>
      <c r="AK51" s="374"/>
      <c r="AL51" s="373"/>
      <c r="AM51" s="373"/>
      <c r="AN51" s="373"/>
      <c r="AO51" s="374"/>
      <c r="AP51" s="373"/>
      <c r="AQ51" s="373"/>
      <c r="AR51" s="373"/>
      <c r="AS51" s="374"/>
      <c r="AT51" s="373"/>
      <c r="AU51" s="373"/>
      <c r="AV51" s="373"/>
      <c r="AW51" s="373"/>
      <c r="AX51" s="373"/>
      <c r="AY51" s="373"/>
      <c r="AZ51" s="373"/>
      <c r="BA51" s="373"/>
    </row>
    <row r="52" spans="1:53" s="20" customFormat="1" ht="12.75" x14ac:dyDescent="0.2">
      <c r="A52" s="373"/>
      <c r="B52" s="373"/>
      <c r="C52" s="373"/>
      <c r="D52" s="373"/>
      <c r="E52" s="374"/>
      <c r="F52" s="373"/>
      <c r="G52" s="373"/>
      <c r="H52" s="373"/>
      <c r="I52" s="374"/>
      <c r="J52" s="373"/>
      <c r="K52" s="373"/>
      <c r="L52" s="373"/>
      <c r="M52" s="374"/>
      <c r="N52" s="373"/>
      <c r="O52" s="373"/>
      <c r="P52" s="373"/>
      <c r="Q52" s="374"/>
      <c r="R52" s="373"/>
      <c r="S52" s="373"/>
      <c r="T52" s="373"/>
      <c r="U52" s="374"/>
      <c r="V52" s="373"/>
      <c r="W52" s="373"/>
      <c r="X52" s="373"/>
      <c r="Y52" s="374"/>
      <c r="Z52" s="373"/>
      <c r="AA52" s="373"/>
      <c r="AB52" s="373"/>
      <c r="AC52" s="374"/>
      <c r="AD52" s="373"/>
      <c r="AE52" s="373"/>
      <c r="AF52" s="373"/>
      <c r="AG52" s="374"/>
      <c r="AH52" s="373"/>
      <c r="AI52" s="373"/>
      <c r="AJ52" s="373"/>
      <c r="AK52" s="374"/>
      <c r="AL52" s="373"/>
      <c r="AM52" s="373"/>
      <c r="AN52" s="373"/>
      <c r="AO52" s="374"/>
      <c r="AP52" s="373"/>
      <c r="AQ52" s="373"/>
      <c r="AR52" s="373"/>
      <c r="AS52" s="374"/>
      <c r="AT52" s="373"/>
      <c r="AU52" s="373"/>
      <c r="AV52" s="373"/>
      <c r="AW52" s="373"/>
      <c r="AX52" s="373"/>
      <c r="AY52" s="373"/>
      <c r="AZ52" s="373"/>
      <c r="BA52" s="373"/>
    </row>
    <row r="53" spans="1:53" s="20" customFormat="1" ht="17.25" customHeight="1" x14ac:dyDescent="0.2">
      <c r="A53" s="373"/>
      <c r="B53" s="373"/>
      <c r="C53" s="373"/>
      <c r="D53" s="373"/>
      <c r="E53" s="374"/>
      <c r="F53" s="373"/>
      <c r="G53" s="373"/>
      <c r="H53" s="373"/>
      <c r="I53" s="374"/>
      <c r="J53" s="373"/>
      <c r="K53" s="373"/>
      <c r="L53" s="373"/>
      <c r="M53" s="374"/>
      <c r="N53" s="373"/>
      <c r="O53" s="373"/>
      <c r="P53" s="373"/>
      <c r="Q53" s="374"/>
      <c r="R53" s="373"/>
      <c r="S53" s="373"/>
      <c r="T53" s="373"/>
      <c r="U53" s="374"/>
      <c r="V53" s="373"/>
      <c r="W53" s="373"/>
      <c r="X53" s="373"/>
      <c r="Y53" s="374"/>
      <c r="Z53" s="373"/>
      <c r="AA53" s="373"/>
      <c r="AB53" s="373"/>
      <c r="AC53" s="374"/>
      <c r="AD53" s="373"/>
      <c r="AE53" s="373"/>
      <c r="AF53" s="373"/>
      <c r="AG53" s="374"/>
      <c r="AH53" s="373"/>
      <c r="AI53" s="373"/>
      <c r="AJ53" s="373"/>
      <c r="AK53" s="374"/>
      <c r="AL53" s="373"/>
      <c r="AM53" s="373"/>
      <c r="AN53" s="373"/>
      <c r="AO53" s="374"/>
      <c r="AP53" s="373"/>
      <c r="AQ53" s="373"/>
      <c r="AR53" s="373"/>
      <c r="AS53" s="374"/>
      <c r="AT53" s="373"/>
      <c r="AU53" s="373"/>
      <c r="AV53" s="373"/>
      <c r="AW53" s="373"/>
      <c r="AX53" s="373"/>
      <c r="AY53" s="373"/>
      <c r="AZ53" s="373"/>
      <c r="BA53" s="373"/>
    </row>
    <row r="54" spans="1:53" s="20" customFormat="1" ht="12.75" x14ac:dyDescent="0.2">
      <c r="A54" s="373"/>
      <c r="B54" s="373"/>
      <c r="C54" s="373"/>
      <c r="D54" s="373"/>
      <c r="E54" s="374"/>
      <c r="F54" s="373"/>
      <c r="G54" s="373"/>
      <c r="H54" s="373"/>
      <c r="I54" s="374"/>
      <c r="J54" s="373"/>
      <c r="K54" s="373"/>
      <c r="L54" s="373"/>
      <c r="M54" s="374"/>
      <c r="N54" s="373"/>
      <c r="O54" s="373"/>
      <c r="P54" s="373"/>
      <c r="Q54" s="374"/>
      <c r="R54" s="373"/>
      <c r="S54" s="373"/>
      <c r="T54" s="373"/>
      <c r="U54" s="374"/>
      <c r="V54" s="373"/>
      <c r="W54" s="373"/>
      <c r="X54" s="373"/>
      <c r="Y54" s="374"/>
      <c r="Z54" s="373"/>
      <c r="AA54" s="373"/>
      <c r="AB54" s="373"/>
      <c r="AC54" s="374"/>
      <c r="AD54" s="373"/>
      <c r="AE54" s="373"/>
      <c r="AF54" s="373"/>
      <c r="AG54" s="374"/>
      <c r="AH54" s="373"/>
      <c r="AI54" s="373"/>
      <c r="AJ54" s="373"/>
      <c r="AK54" s="374"/>
      <c r="AL54" s="373"/>
      <c r="AM54" s="373"/>
      <c r="AN54" s="373"/>
      <c r="AO54" s="374"/>
      <c r="AP54" s="373"/>
      <c r="AQ54" s="373"/>
      <c r="AR54" s="373"/>
      <c r="AS54" s="374"/>
      <c r="AT54" s="373"/>
      <c r="AU54" s="373"/>
      <c r="AV54" s="373"/>
      <c r="AW54" s="373"/>
      <c r="AX54" s="373"/>
      <c r="AY54" s="373"/>
      <c r="AZ54" s="373"/>
      <c r="BA54" s="373"/>
    </row>
    <row r="55" spans="1:53" s="20" customFormat="1" ht="17.25" customHeight="1" x14ac:dyDescent="0.2">
      <c r="A55" s="373"/>
      <c r="B55" s="373"/>
      <c r="C55" s="373"/>
      <c r="D55" s="373"/>
      <c r="E55" s="374"/>
      <c r="F55" s="373"/>
      <c r="G55" s="373"/>
      <c r="H55" s="373"/>
      <c r="I55" s="374"/>
      <c r="J55" s="373"/>
      <c r="K55" s="373"/>
      <c r="L55" s="373"/>
      <c r="M55" s="374"/>
      <c r="N55" s="373"/>
      <c r="O55" s="373"/>
      <c r="P55" s="373"/>
      <c r="Q55" s="374"/>
      <c r="R55" s="373"/>
      <c r="S55" s="373"/>
      <c r="T55" s="373"/>
      <c r="U55" s="374"/>
      <c r="V55" s="373"/>
      <c r="W55" s="373"/>
      <c r="X55" s="373"/>
      <c r="Y55" s="374"/>
      <c r="Z55" s="373"/>
      <c r="AA55" s="373"/>
      <c r="AB55" s="373"/>
      <c r="AC55" s="374"/>
      <c r="AD55" s="373"/>
      <c r="AE55" s="373"/>
      <c r="AF55" s="373"/>
      <c r="AG55" s="374"/>
      <c r="AH55" s="373"/>
      <c r="AI55" s="373"/>
      <c r="AJ55" s="373"/>
      <c r="AK55" s="374"/>
      <c r="AL55" s="373"/>
      <c r="AM55" s="373"/>
      <c r="AN55" s="373"/>
      <c r="AO55" s="374"/>
      <c r="AP55" s="373"/>
      <c r="AQ55" s="373"/>
      <c r="AR55" s="373"/>
      <c r="AS55" s="374"/>
      <c r="AT55" s="373"/>
      <c r="AU55" s="373"/>
      <c r="AV55" s="373"/>
      <c r="AW55" s="373"/>
      <c r="AX55" s="373"/>
      <c r="AY55" s="373"/>
      <c r="AZ55" s="373"/>
      <c r="BA55" s="373"/>
    </row>
    <row r="56" spans="1:53" s="20" customFormat="1" ht="12.75" x14ac:dyDescent="0.2">
      <c r="A56" s="373"/>
      <c r="B56" s="373"/>
      <c r="C56" s="373"/>
      <c r="D56" s="373"/>
      <c r="E56" s="374"/>
      <c r="F56" s="373"/>
      <c r="G56" s="373"/>
      <c r="H56" s="373"/>
      <c r="I56" s="374"/>
      <c r="J56" s="373"/>
      <c r="K56" s="373"/>
      <c r="L56" s="373"/>
      <c r="M56" s="374"/>
      <c r="N56" s="373"/>
      <c r="O56" s="373"/>
      <c r="P56" s="373"/>
      <c r="Q56" s="374"/>
      <c r="R56" s="373"/>
      <c r="S56" s="373"/>
      <c r="T56" s="373"/>
      <c r="U56" s="374"/>
      <c r="V56" s="373"/>
      <c r="W56" s="373"/>
      <c r="X56" s="373"/>
      <c r="Y56" s="374"/>
      <c r="Z56" s="373"/>
      <c r="AA56" s="373"/>
      <c r="AB56" s="373"/>
      <c r="AC56" s="374"/>
      <c r="AD56" s="373"/>
      <c r="AE56" s="373"/>
      <c r="AF56" s="373"/>
      <c r="AG56" s="374"/>
      <c r="AH56" s="373"/>
      <c r="AI56" s="373"/>
      <c r="AJ56" s="373"/>
      <c r="AK56" s="374"/>
      <c r="AL56" s="373"/>
      <c r="AM56" s="373"/>
      <c r="AN56" s="373"/>
      <c r="AO56" s="374"/>
      <c r="AP56" s="373"/>
      <c r="AQ56" s="373"/>
      <c r="AR56" s="373"/>
      <c r="AS56" s="374"/>
      <c r="AT56" s="373"/>
      <c r="AU56" s="373"/>
      <c r="AV56" s="373"/>
      <c r="AW56" s="373"/>
      <c r="AX56" s="373"/>
      <c r="AY56" s="373"/>
      <c r="AZ56" s="373"/>
      <c r="BA56" s="373"/>
    </row>
    <row r="57" spans="1:53" s="20" customFormat="1" ht="17.25" customHeight="1" x14ac:dyDescent="0.2">
      <c r="A57" s="373"/>
      <c r="B57" s="373"/>
      <c r="C57" s="373"/>
      <c r="D57" s="373"/>
      <c r="E57" s="374"/>
      <c r="F57" s="373"/>
      <c r="G57" s="373"/>
      <c r="H57" s="373"/>
      <c r="I57" s="374"/>
      <c r="J57" s="373"/>
      <c r="K57" s="373"/>
      <c r="L57" s="373"/>
      <c r="M57" s="374"/>
      <c r="N57" s="373"/>
      <c r="O57" s="373"/>
      <c r="P57" s="373"/>
      <c r="Q57" s="374"/>
      <c r="R57" s="373"/>
      <c r="S57" s="373"/>
      <c r="T57" s="373"/>
      <c r="U57" s="374"/>
      <c r="V57" s="373"/>
      <c r="W57" s="373"/>
      <c r="X57" s="373"/>
      <c r="Y57" s="374"/>
      <c r="Z57" s="373"/>
      <c r="AA57" s="373"/>
      <c r="AB57" s="373"/>
      <c r="AC57" s="374"/>
      <c r="AD57" s="373"/>
      <c r="AE57" s="373"/>
      <c r="AF57" s="373"/>
      <c r="AG57" s="374"/>
      <c r="AH57" s="373"/>
      <c r="AI57" s="373"/>
      <c r="AJ57" s="373"/>
      <c r="AK57" s="374"/>
      <c r="AL57" s="373"/>
      <c r="AM57" s="373"/>
      <c r="AN57" s="373"/>
      <c r="AO57" s="374"/>
      <c r="AP57" s="373"/>
      <c r="AQ57" s="373"/>
      <c r="AR57" s="373"/>
      <c r="AS57" s="374"/>
      <c r="AT57" s="373"/>
      <c r="AU57" s="373"/>
      <c r="AV57" s="373"/>
      <c r="AW57" s="373"/>
      <c r="AX57" s="373"/>
      <c r="AY57" s="373"/>
      <c r="AZ57" s="373"/>
      <c r="BA57" s="373"/>
    </row>
    <row r="58" spans="1:53" s="20" customFormat="1" ht="12.75" x14ac:dyDescent="0.2">
      <c r="A58" s="373"/>
      <c r="B58" s="373"/>
      <c r="C58" s="373"/>
      <c r="D58" s="373"/>
      <c r="E58" s="374"/>
      <c r="F58" s="373"/>
      <c r="G58" s="373"/>
      <c r="H58" s="373"/>
      <c r="I58" s="374"/>
      <c r="J58" s="373"/>
      <c r="K58" s="373"/>
      <c r="L58" s="373"/>
      <c r="M58" s="374"/>
      <c r="N58" s="373"/>
      <c r="O58" s="373"/>
      <c r="P58" s="373"/>
      <c r="Q58" s="374"/>
      <c r="R58" s="373"/>
      <c r="S58" s="373"/>
      <c r="T58" s="373"/>
      <c r="U58" s="374"/>
      <c r="V58" s="373"/>
      <c r="W58" s="373"/>
      <c r="X58" s="373"/>
      <c r="Y58" s="374"/>
      <c r="Z58" s="373"/>
      <c r="AA58" s="373"/>
      <c r="AB58" s="373"/>
      <c r="AC58" s="374"/>
      <c r="AD58" s="373"/>
      <c r="AE58" s="373"/>
      <c r="AF58" s="373"/>
      <c r="AG58" s="374"/>
      <c r="AH58" s="373"/>
      <c r="AI58" s="373"/>
      <c r="AJ58" s="373"/>
      <c r="AK58" s="374"/>
      <c r="AL58" s="373"/>
      <c r="AM58" s="373"/>
      <c r="AN58" s="373"/>
      <c r="AO58" s="374"/>
      <c r="AP58" s="373"/>
      <c r="AQ58" s="373"/>
      <c r="AR58" s="373"/>
      <c r="AS58" s="374"/>
      <c r="AT58" s="373"/>
      <c r="AU58" s="373"/>
      <c r="AV58" s="373"/>
      <c r="AW58" s="373"/>
      <c r="AX58" s="373"/>
      <c r="AY58" s="373"/>
      <c r="AZ58" s="373"/>
      <c r="BA58" s="373"/>
    </row>
    <row r="59" spans="1:53" s="20" customFormat="1" ht="17.25" customHeight="1" x14ac:dyDescent="0.2">
      <c r="A59" s="373"/>
      <c r="B59" s="373"/>
      <c r="C59" s="373"/>
      <c r="D59" s="373"/>
      <c r="E59" s="374"/>
      <c r="F59" s="373"/>
      <c r="G59" s="373"/>
      <c r="H59" s="373"/>
      <c r="I59" s="374"/>
      <c r="J59" s="373"/>
      <c r="K59" s="373"/>
      <c r="L59" s="373"/>
      <c r="M59" s="374"/>
      <c r="N59" s="373"/>
      <c r="O59" s="373"/>
      <c r="P59" s="373"/>
      <c r="Q59" s="374"/>
      <c r="R59" s="373"/>
      <c r="S59" s="373"/>
      <c r="T59" s="373"/>
      <c r="U59" s="374"/>
      <c r="V59" s="373"/>
      <c r="W59" s="373"/>
      <c r="X59" s="373"/>
      <c r="Y59" s="374"/>
      <c r="Z59" s="373"/>
      <c r="AA59" s="373"/>
      <c r="AB59" s="373"/>
      <c r="AC59" s="374"/>
      <c r="AD59" s="373"/>
      <c r="AE59" s="373"/>
      <c r="AF59" s="373"/>
      <c r="AG59" s="374"/>
      <c r="AH59" s="373"/>
      <c r="AI59" s="373"/>
      <c r="AJ59" s="373"/>
      <c r="AK59" s="374"/>
      <c r="AL59" s="373"/>
      <c r="AM59" s="373"/>
      <c r="AN59" s="373"/>
      <c r="AO59" s="374"/>
      <c r="AP59" s="373"/>
      <c r="AQ59" s="373"/>
      <c r="AR59" s="373"/>
      <c r="AS59" s="374"/>
      <c r="AT59" s="373"/>
      <c r="AU59" s="373"/>
      <c r="AV59" s="373"/>
      <c r="AW59" s="373"/>
      <c r="AX59" s="373"/>
      <c r="AY59" s="373"/>
      <c r="AZ59" s="373"/>
      <c r="BA59" s="373"/>
    </row>
    <row r="60" spans="1:53" s="20" customFormat="1" ht="12.75" x14ac:dyDescent="0.2">
      <c r="A60" s="373"/>
      <c r="B60" s="373"/>
      <c r="C60" s="373"/>
      <c r="D60" s="373"/>
      <c r="E60" s="374"/>
      <c r="F60" s="373"/>
      <c r="G60" s="373"/>
      <c r="H60" s="373"/>
      <c r="I60" s="374"/>
      <c r="J60" s="373"/>
      <c r="K60" s="373"/>
      <c r="L60" s="373"/>
      <c r="M60" s="374"/>
      <c r="N60" s="373"/>
      <c r="O60" s="373"/>
      <c r="P60" s="373"/>
      <c r="Q60" s="374"/>
      <c r="R60" s="373"/>
      <c r="S60" s="373"/>
      <c r="T60" s="373"/>
      <c r="U60" s="374"/>
      <c r="V60" s="373"/>
      <c r="W60" s="373"/>
      <c r="X60" s="373"/>
      <c r="Y60" s="374"/>
      <c r="Z60" s="373"/>
      <c r="AA60" s="373"/>
      <c r="AB60" s="373"/>
      <c r="AC60" s="374"/>
      <c r="AD60" s="373"/>
      <c r="AE60" s="373"/>
      <c r="AF60" s="373"/>
      <c r="AG60" s="374"/>
      <c r="AH60" s="373"/>
      <c r="AI60" s="373"/>
      <c r="AJ60" s="373"/>
      <c r="AK60" s="374"/>
      <c r="AL60" s="373"/>
      <c r="AM60" s="373"/>
      <c r="AN60" s="373"/>
      <c r="AO60" s="374"/>
      <c r="AP60" s="373"/>
      <c r="AQ60" s="373"/>
      <c r="AR60" s="373"/>
      <c r="AS60" s="374"/>
      <c r="AT60" s="373"/>
      <c r="AU60" s="373"/>
      <c r="AV60" s="373"/>
      <c r="AW60" s="373"/>
      <c r="AX60" s="373"/>
      <c r="AY60" s="373"/>
      <c r="AZ60" s="373"/>
      <c r="BA60" s="373"/>
    </row>
    <row r="61" spans="1:53" s="20" customFormat="1" ht="17.25" customHeight="1" x14ac:dyDescent="0.2">
      <c r="A61" s="373"/>
      <c r="B61" s="373"/>
      <c r="C61" s="373"/>
      <c r="D61" s="373"/>
      <c r="E61" s="374"/>
      <c r="F61" s="373"/>
      <c r="G61" s="373"/>
      <c r="H61" s="373"/>
      <c r="I61" s="374"/>
      <c r="J61" s="373"/>
      <c r="K61" s="373"/>
      <c r="L61" s="373"/>
      <c r="M61" s="374"/>
      <c r="N61" s="373"/>
      <c r="O61" s="373"/>
      <c r="P61" s="373"/>
      <c r="Q61" s="374"/>
      <c r="R61" s="373"/>
      <c r="S61" s="373"/>
      <c r="T61" s="373"/>
      <c r="U61" s="374"/>
      <c r="V61" s="373"/>
      <c r="W61" s="373"/>
      <c r="X61" s="373"/>
      <c r="Y61" s="374"/>
      <c r="Z61" s="373"/>
      <c r="AA61" s="373"/>
      <c r="AB61" s="373"/>
      <c r="AC61" s="374"/>
      <c r="AD61" s="373"/>
      <c r="AE61" s="373"/>
      <c r="AF61" s="373"/>
      <c r="AG61" s="374"/>
      <c r="AH61" s="373"/>
      <c r="AI61" s="373"/>
      <c r="AJ61" s="373"/>
      <c r="AK61" s="374"/>
      <c r="AL61" s="373"/>
      <c r="AM61" s="373"/>
      <c r="AN61" s="373"/>
      <c r="AO61" s="374"/>
      <c r="AP61" s="373"/>
      <c r="AQ61" s="373"/>
      <c r="AR61" s="373"/>
      <c r="AS61" s="374"/>
      <c r="AT61" s="373"/>
      <c r="AU61" s="373"/>
      <c r="AV61" s="373"/>
      <c r="AW61" s="373"/>
      <c r="AX61" s="373"/>
      <c r="AY61" s="373"/>
      <c r="AZ61" s="373"/>
      <c r="BA61" s="373"/>
    </row>
    <row r="62" spans="1:53" s="20" customFormat="1" ht="12.75" x14ac:dyDescent="0.2">
      <c r="A62" s="373"/>
      <c r="B62" s="373"/>
      <c r="C62" s="373"/>
      <c r="D62" s="373"/>
      <c r="E62" s="374"/>
      <c r="F62" s="373"/>
      <c r="G62" s="373"/>
      <c r="H62" s="373"/>
      <c r="I62" s="374"/>
      <c r="J62" s="373"/>
      <c r="K62" s="373"/>
      <c r="L62" s="373"/>
      <c r="M62" s="374"/>
      <c r="N62" s="373"/>
      <c r="O62" s="373"/>
      <c r="P62" s="373"/>
      <c r="Q62" s="374"/>
      <c r="R62" s="373"/>
      <c r="S62" s="373"/>
      <c r="T62" s="373"/>
      <c r="U62" s="374"/>
      <c r="V62" s="373"/>
      <c r="W62" s="373"/>
      <c r="X62" s="373"/>
      <c r="Y62" s="374"/>
      <c r="Z62" s="373"/>
      <c r="AA62" s="373"/>
      <c r="AB62" s="373"/>
      <c r="AC62" s="374"/>
      <c r="AD62" s="373"/>
      <c r="AE62" s="373"/>
      <c r="AF62" s="373"/>
      <c r="AG62" s="374"/>
      <c r="AH62" s="373"/>
      <c r="AI62" s="373"/>
      <c r="AJ62" s="373"/>
      <c r="AK62" s="374"/>
      <c r="AL62" s="373"/>
      <c r="AM62" s="373"/>
      <c r="AN62" s="373"/>
      <c r="AO62" s="374"/>
      <c r="AP62" s="373"/>
      <c r="AQ62" s="373"/>
      <c r="AR62" s="373"/>
      <c r="AS62" s="374"/>
      <c r="AT62" s="373"/>
      <c r="AU62" s="373"/>
      <c r="AV62" s="373"/>
      <c r="AW62" s="373"/>
      <c r="AX62" s="373"/>
      <c r="AY62" s="373"/>
      <c r="AZ62" s="373"/>
      <c r="BA62" s="373"/>
    </row>
    <row r="63" spans="1:53" s="20" customFormat="1" ht="17.25" customHeight="1" x14ac:dyDescent="0.2">
      <c r="A63" s="373"/>
      <c r="B63" s="373"/>
      <c r="C63" s="373"/>
      <c r="D63" s="373"/>
      <c r="E63" s="374"/>
      <c r="F63" s="373"/>
      <c r="G63" s="373"/>
      <c r="H63" s="373"/>
      <c r="I63" s="374"/>
      <c r="J63" s="373"/>
      <c r="K63" s="373"/>
      <c r="L63" s="373"/>
      <c r="M63" s="374"/>
      <c r="N63" s="373"/>
      <c r="O63" s="373"/>
      <c r="P63" s="373"/>
      <c r="Q63" s="374"/>
      <c r="R63" s="373"/>
      <c r="S63" s="373"/>
      <c r="T63" s="373"/>
      <c r="U63" s="374"/>
      <c r="V63" s="373"/>
      <c r="W63" s="373"/>
      <c r="X63" s="373"/>
      <c r="Y63" s="374"/>
      <c r="Z63" s="373"/>
      <c r="AA63" s="373"/>
      <c r="AB63" s="373"/>
      <c r="AC63" s="374"/>
      <c r="AD63" s="373"/>
      <c r="AE63" s="373"/>
      <c r="AF63" s="373"/>
      <c r="AG63" s="374"/>
      <c r="AH63" s="373"/>
      <c r="AI63" s="373"/>
      <c r="AJ63" s="373"/>
      <c r="AK63" s="374"/>
      <c r="AL63" s="373"/>
      <c r="AM63" s="373"/>
      <c r="AN63" s="373"/>
      <c r="AO63" s="374"/>
      <c r="AP63" s="373"/>
      <c r="AQ63" s="373"/>
      <c r="AR63" s="373"/>
      <c r="AS63" s="374"/>
      <c r="AT63" s="373"/>
      <c r="AU63" s="373"/>
      <c r="AV63" s="373"/>
      <c r="AW63" s="373"/>
      <c r="AX63" s="373"/>
      <c r="AY63" s="373"/>
      <c r="AZ63" s="373"/>
      <c r="BA63" s="373"/>
    </row>
    <row r="64" spans="1:53" s="20" customFormat="1" ht="12.75" x14ac:dyDescent="0.2">
      <c r="A64" s="373"/>
      <c r="B64" s="373"/>
      <c r="C64" s="373"/>
      <c r="D64" s="373"/>
      <c r="E64" s="374"/>
      <c r="F64" s="373"/>
      <c r="G64" s="373"/>
      <c r="H64" s="373"/>
      <c r="I64" s="374"/>
      <c r="J64" s="373"/>
      <c r="K64" s="373"/>
      <c r="L64" s="373"/>
      <c r="M64" s="374"/>
      <c r="N64" s="373"/>
      <c r="O64" s="373"/>
      <c r="P64" s="373"/>
      <c r="Q64" s="374"/>
      <c r="R64" s="373"/>
      <c r="S64" s="373"/>
      <c r="T64" s="373"/>
      <c r="U64" s="374"/>
      <c r="V64" s="373"/>
      <c r="W64" s="373"/>
      <c r="X64" s="373"/>
      <c r="Y64" s="374"/>
      <c r="Z64" s="373"/>
      <c r="AA64" s="373"/>
      <c r="AB64" s="373"/>
      <c r="AC64" s="374"/>
      <c r="AD64" s="373"/>
      <c r="AE64" s="373"/>
      <c r="AF64" s="373"/>
      <c r="AG64" s="374"/>
      <c r="AH64" s="373"/>
      <c r="AI64" s="373"/>
      <c r="AJ64" s="373"/>
      <c r="AK64" s="374"/>
      <c r="AL64" s="373"/>
      <c r="AM64" s="373"/>
      <c r="AN64" s="373"/>
      <c r="AO64" s="374"/>
      <c r="AP64" s="373"/>
      <c r="AQ64" s="373"/>
      <c r="AR64" s="373"/>
      <c r="AS64" s="374"/>
      <c r="AT64" s="373"/>
      <c r="AU64" s="373"/>
      <c r="AV64" s="373"/>
      <c r="AW64" s="373"/>
      <c r="AX64" s="373"/>
      <c r="AY64" s="373"/>
      <c r="AZ64" s="373"/>
      <c r="BA64" s="373"/>
    </row>
    <row r="65" spans="1:53" s="20" customFormat="1" ht="17.25" customHeight="1" x14ac:dyDescent="0.2">
      <c r="A65" s="373"/>
      <c r="B65" s="373"/>
      <c r="C65" s="373"/>
      <c r="D65" s="373"/>
      <c r="E65" s="374"/>
      <c r="F65" s="373"/>
      <c r="G65" s="373"/>
      <c r="H65" s="373"/>
      <c r="I65" s="374"/>
      <c r="J65" s="373"/>
      <c r="K65" s="373"/>
      <c r="L65" s="373"/>
      <c r="M65" s="374"/>
      <c r="N65" s="373"/>
      <c r="O65" s="373"/>
      <c r="P65" s="373"/>
      <c r="Q65" s="374"/>
      <c r="R65" s="373"/>
      <c r="S65" s="373"/>
      <c r="T65" s="373"/>
      <c r="U65" s="374"/>
      <c r="V65" s="373"/>
      <c r="W65" s="373"/>
      <c r="X65" s="373"/>
      <c r="Y65" s="374"/>
      <c r="Z65" s="373"/>
      <c r="AA65" s="373"/>
      <c r="AB65" s="373"/>
      <c r="AC65" s="374"/>
      <c r="AD65" s="373"/>
      <c r="AE65" s="373"/>
      <c r="AF65" s="373"/>
      <c r="AG65" s="374"/>
      <c r="AH65" s="373"/>
      <c r="AI65" s="373"/>
      <c r="AJ65" s="373"/>
      <c r="AK65" s="374"/>
      <c r="AL65" s="373"/>
      <c r="AM65" s="373"/>
      <c r="AN65" s="373"/>
      <c r="AO65" s="374"/>
      <c r="AP65" s="373"/>
      <c r="AQ65" s="373"/>
      <c r="AR65" s="373"/>
      <c r="AS65" s="374"/>
      <c r="AT65" s="373"/>
      <c r="AU65" s="373"/>
      <c r="AV65" s="373"/>
      <c r="AW65" s="373"/>
      <c r="AX65" s="373"/>
      <c r="AY65" s="373"/>
      <c r="AZ65" s="373"/>
      <c r="BA65" s="373"/>
    </row>
    <row r="66" spans="1:53" s="20" customFormat="1" ht="12.75" x14ac:dyDescent="0.2">
      <c r="A66" s="373"/>
      <c r="B66" s="373"/>
      <c r="C66" s="373"/>
      <c r="D66" s="373"/>
      <c r="E66" s="374"/>
      <c r="F66" s="373"/>
      <c r="G66" s="373"/>
      <c r="H66" s="373"/>
      <c r="I66" s="374"/>
      <c r="J66" s="373"/>
      <c r="K66" s="373"/>
      <c r="L66" s="373"/>
      <c r="M66" s="374"/>
      <c r="N66" s="373"/>
      <c r="O66" s="373"/>
      <c r="P66" s="373"/>
      <c r="Q66" s="374"/>
      <c r="R66" s="373"/>
      <c r="S66" s="373"/>
      <c r="T66" s="373"/>
      <c r="U66" s="374"/>
      <c r="V66" s="373"/>
      <c r="W66" s="373"/>
      <c r="X66" s="373"/>
      <c r="Y66" s="374"/>
      <c r="Z66" s="373"/>
      <c r="AA66" s="373"/>
      <c r="AB66" s="373"/>
      <c r="AC66" s="374"/>
      <c r="AD66" s="373"/>
      <c r="AE66" s="373"/>
      <c r="AF66" s="373"/>
      <c r="AG66" s="374"/>
      <c r="AH66" s="373"/>
      <c r="AI66" s="373"/>
      <c r="AJ66" s="373"/>
      <c r="AK66" s="374"/>
      <c r="AL66" s="373"/>
      <c r="AM66" s="373"/>
      <c r="AN66" s="373"/>
      <c r="AO66" s="374"/>
      <c r="AP66" s="373"/>
      <c r="AQ66" s="373"/>
      <c r="AR66" s="373"/>
      <c r="AS66" s="374"/>
      <c r="AT66" s="373"/>
      <c r="AU66" s="373"/>
      <c r="AV66" s="373"/>
      <c r="AW66" s="373"/>
      <c r="AX66" s="373"/>
      <c r="AY66" s="373"/>
      <c r="AZ66" s="373"/>
      <c r="BA66" s="373"/>
    </row>
    <row r="67" spans="1:53" s="20" customFormat="1" ht="17.25" customHeight="1" x14ac:dyDescent="0.2">
      <c r="A67" s="373"/>
      <c r="B67" s="373"/>
      <c r="C67" s="373"/>
      <c r="D67" s="373"/>
      <c r="E67" s="374"/>
      <c r="F67" s="373"/>
      <c r="G67" s="373"/>
      <c r="H67" s="373"/>
      <c r="I67" s="374"/>
      <c r="J67" s="373"/>
      <c r="K67" s="373"/>
      <c r="L67" s="373"/>
      <c r="M67" s="374"/>
      <c r="N67" s="373"/>
      <c r="O67" s="373"/>
      <c r="P67" s="373"/>
      <c r="Q67" s="374"/>
      <c r="R67" s="373"/>
      <c r="S67" s="373"/>
      <c r="T67" s="373"/>
      <c r="U67" s="374"/>
      <c r="V67" s="373"/>
      <c r="W67" s="373"/>
      <c r="X67" s="373"/>
      <c r="Y67" s="374"/>
      <c r="Z67" s="373"/>
      <c r="AA67" s="373"/>
      <c r="AB67" s="373"/>
      <c r="AC67" s="374"/>
      <c r="AD67" s="373"/>
      <c r="AE67" s="373"/>
      <c r="AF67" s="373"/>
      <c r="AG67" s="374"/>
      <c r="AH67" s="373"/>
      <c r="AI67" s="373"/>
      <c r="AJ67" s="373"/>
      <c r="AK67" s="374"/>
      <c r="AL67" s="373"/>
      <c r="AM67" s="373"/>
      <c r="AN67" s="373"/>
      <c r="AO67" s="374"/>
      <c r="AP67" s="373"/>
      <c r="AQ67" s="373"/>
      <c r="AR67" s="373"/>
      <c r="AS67" s="374"/>
      <c r="AT67" s="373"/>
      <c r="AU67" s="373"/>
      <c r="AV67" s="373"/>
      <c r="AW67" s="373"/>
      <c r="AX67" s="373"/>
      <c r="AY67" s="373"/>
      <c r="AZ67" s="373"/>
      <c r="BA67" s="373"/>
    </row>
    <row r="68" spans="1:53" s="20" customFormat="1" ht="12.75" x14ac:dyDescent="0.2">
      <c r="A68" s="373"/>
      <c r="B68" s="373"/>
      <c r="C68" s="373"/>
      <c r="D68" s="373"/>
      <c r="E68" s="374"/>
      <c r="F68" s="373"/>
      <c r="G68" s="373"/>
      <c r="H68" s="373"/>
      <c r="I68" s="374"/>
      <c r="J68" s="373"/>
      <c r="K68" s="373"/>
      <c r="L68" s="373"/>
      <c r="M68" s="374"/>
      <c r="N68" s="373"/>
      <c r="O68" s="373"/>
      <c r="P68" s="373"/>
      <c r="Q68" s="374"/>
      <c r="R68" s="373"/>
      <c r="S68" s="373"/>
      <c r="T68" s="373"/>
      <c r="U68" s="374"/>
      <c r="V68" s="373"/>
      <c r="W68" s="373"/>
      <c r="X68" s="373"/>
      <c r="Y68" s="374"/>
      <c r="Z68" s="373"/>
      <c r="AA68" s="373"/>
      <c r="AB68" s="373"/>
      <c r="AC68" s="374"/>
      <c r="AD68" s="373"/>
      <c r="AE68" s="373"/>
      <c r="AF68" s="373"/>
      <c r="AG68" s="374"/>
      <c r="AH68" s="373"/>
      <c r="AI68" s="373"/>
      <c r="AJ68" s="373"/>
      <c r="AK68" s="374"/>
      <c r="AL68" s="373"/>
      <c r="AM68" s="373"/>
      <c r="AN68" s="373"/>
      <c r="AO68" s="374"/>
      <c r="AP68" s="373"/>
      <c r="AQ68" s="373"/>
      <c r="AR68" s="373"/>
      <c r="AS68" s="374"/>
      <c r="AT68" s="373"/>
      <c r="AU68" s="373"/>
      <c r="AV68" s="373"/>
      <c r="AW68" s="373"/>
      <c r="AX68" s="373"/>
      <c r="AY68" s="373"/>
      <c r="AZ68" s="373"/>
      <c r="BA68" s="373"/>
    </row>
    <row r="69" spans="1:53" s="20" customFormat="1" ht="17.25" customHeight="1" x14ac:dyDescent="0.2">
      <c r="A69" s="373"/>
      <c r="B69" s="373"/>
      <c r="C69" s="373"/>
      <c r="D69" s="373"/>
      <c r="E69" s="374"/>
      <c r="F69" s="373"/>
      <c r="G69" s="373"/>
      <c r="H69" s="373"/>
      <c r="I69" s="374"/>
      <c r="J69" s="373"/>
      <c r="K69" s="373"/>
      <c r="L69" s="373"/>
      <c r="M69" s="374"/>
      <c r="N69" s="373"/>
      <c r="O69" s="373"/>
      <c r="P69" s="373"/>
      <c r="Q69" s="374"/>
      <c r="R69" s="373"/>
      <c r="S69" s="373"/>
      <c r="T69" s="373"/>
      <c r="U69" s="374"/>
      <c r="V69" s="373"/>
      <c r="W69" s="373"/>
      <c r="X69" s="373"/>
      <c r="Y69" s="374"/>
      <c r="Z69" s="373"/>
      <c r="AA69" s="373"/>
      <c r="AB69" s="373"/>
      <c r="AC69" s="374"/>
      <c r="AD69" s="373"/>
      <c r="AE69" s="373"/>
      <c r="AF69" s="373"/>
      <c r="AG69" s="374"/>
      <c r="AH69" s="373"/>
      <c r="AI69" s="373"/>
      <c r="AJ69" s="373"/>
      <c r="AK69" s="374"/>
      <c r="AL69" s="373"/>
      <c r="AM69" s="373"/>
      <c r="AN69" s="373"/>
      <c r="AO69" s="374"/>
      <c r="AP69" s="373"/>
      <c r="AQ69" s="373"/>
      <c r="AR69" s="373"/>
      <c r="AS69" s="374"/>
      <c r="AT69" s="373"/>
      <c r="AU69" s="373"/>
      <c r="AV69" s="373"/>
      <c r="AW69" s="373"/>
      <c r="AX69" s="373"/>
      <c r="AY69" s="373"/>
      <c r="AZ69" s="373"/>
      <c r="BA69" s="373"/>
    </row>
    <row r="70" spans="1:53" s="20" customFormat="1" ht="12.75" x14ac:dyDescent="0.2">
      <c r="A70" s="373"/>
      <c r="B70" s="373"/>
      <c r="C70" s="373"/>
      <c r="D70" s="373"/>
      <c r="E70" s="374"/>
      <c r="F70" s="373"/>
      <c r="G70" s="373"/>
      <c r="H70" s="373"/>
      <c r="I70" s="374"/>
      <c r="J70" s="373"/>
      <c r="K70" s="373"/>
      <c r="L70" s="373"/>
      <c r="M70" s="374"/>
      <c r="N70" s="373"/>
      <c r="O70" s="373"/>
      <c r="P70" s="373"/>
      <c r="Q70" s="374"/>
      <c r="R70" s="373"/>
      <c r="S70" s="373"/>
      <c r="T70" s="373"/>
      <c r="U70" s="374"/>
      <c r="V70" s="373"/>
      <c r="W70" s="373"/>
      <c r="X70" s="373"/>
      <c r="Y70" s="374"/>
      <c r="Z70" s="373"/>
      <c r="AA70" s="373"/>
      <c r="AB70" s="373"/>
      <c r="AC70" s="374"/>
      <c r="AD70" s="373"/>
      <c r="AE70" s="373"/>
      <c r="AF70" s="373"/>
      <c r="AG70" s="374"/>
      <c r="AH70" s="373"/>
      <c r="AI70" s="373"/>
      <c r="AJ70" s="373"/>
      <c r="AK70" s="374"/>
      <c r="AL70" s="373"/>
      <c r="AM70" s="373"/>
      <c r="AN70" s="373"/>
      <c r="AO70" s="374"/>
      <c r="AP70" s="373"/>
      <c r="AQ70" s="373"/>
      <c r="AR70" s="373"/>
      <c r="AS70" s="374"/>
      <c r="AT70" s="373"/>
      <c r="AU70" s="373"/>
      <c r="AV70" s="373"/>
      <c r="AW70" s="373"/>
      <c r="AX70" s="373"/>
      <c r="AY70" s="373"/>
      <c r="AZ70" s="373"/>
      <c r="BA70" s="373"/>
    </row>
    <row r="71" spans="1:53" s="20" customFormat="1" ht="17.25" customHeight="1" x14ac:dyDescent="0.2">
      <c r="A71" s="373"/>
      <c r="B71" s="373"/>
      <c r="C71" s="373"/>
      <c r="D71" s="373"/>
      <c r="E71" s="374"/>
      <c r="F71" s="373"/>
      <c r="G71" s="373"/>
      <c r="H71" s="373"/>
      <c r="I71" s="374"/>
      <c r="J71" s="373"/>
      <c r="K71" s="373"/>
      <c r="L71" s="373"/>
      <c r="M71" s="374"/>
      <c r="N71" s="373"/>
      <c r="O71" s="373"/>
      <c r="P71" s="373"/>
      <c r="Q71" s="374"/>
      <c r="R71" s="373"/>
      <c r="S71" s="373"/>
      <c r="T71" s="373"/>
      <c r="U71" s="374"/>
      <c r="V71" s="373"/>
      <c r="W71" s="373"/>
      <c r="X71" s="373"/>
      <c r="Y71" s="374"/>
      <c r="Z71" s="373"/>
      <c r="AA71" s="373"/>
      <c r="AB71" s="373"/>
      <c r="AC71" s="374"/>
      <c r="AD71" s="373"/>
      <c r="AE71" s="373"/>
      <c r="AF71" s="373"/>
      <c r="AG71" s="374"/>
      <c r="AH71" s="373"/>
      <c r="AI71" s="373"/>
      <c r="AJ71" s="373"/>
      <c r="AK71" s="374"/>
      <c r="AL71" s="373"/>
      <c r="AM71" s="373"/>
      <c r="AN71" s="373"/>
      <c r="AO71" s="374"/>
      <c r="AP71" s="373"/>
      <c r="AQ71" s="373"/>
      <c r="AR71" s="373"/>
      <c r="AS71" s="374"/>
      <c r="AT71" s="373"/>
      <c r="AU71" s="373"/>
      <c r="AV71" s="373"/>
      <c r="AW71" s="373"/>
      <c r="AX71" s="373"/>
      <c r="AY71" s="373"/>
      <c r="AZ71" s="373"/>
      <c r="BA71" s="373"/>
    </row>
    <row r="72" spans="1:53" s="20" customFormat="1" ht="12.75" x14ac:dyDescent="0.2">
      <c r="A72" s="373"/>
      <c r="B72" s="373"/>
      <c r="C72" s="373"/>
      <c r="D72" s="373"/>
      <c r="E72" s="374"/>
      <c r="F72" s="373"/>
      <c r="G72" s="373"/>
      <c r="H72" s="373"/>
      <c r="I72" s="374"/>
      <c r="J72" s="373"/>
      <c r="K72" s="373"/>
      <c r="L72" s="373"/>
      <c r="M72" s="374"/>
      <c r="N72" s="373"/>
      <c r="O72" s="373"/>
      <c r="P72" s="373"/>
      <c r="Q72" s="374"/>
      <c r="R72" s="373"/>
      <c r="S72" s="373"/>
      <c r="T72" s="373"/>
      <c r="U72" s="374"/>
      <c r="V72" s="373"/>
      <c r="W72" s="373"/>
      <c r="X72" s="373"/>
      <c r="Y72" s="374"/>
      <c r="Z72" s="373"/>
      <c r="AA72" s="373"/>
      <c r="AB72" s="373"/>
      <c r="AC72" s="374"/>
      <c r="AD72" s="373"/>
      <c r="AE72" s="373"/>
      <c r="AF72" s="373"/>
      <c r="AG72" s="374"/>
      <c r="AH72" s="373"/>
      <c r="AI72" s="373"/>
      <c r="AJ72" s="373"/>
      <c r="AK72" s="374"/>
      <c r="AL72" s="373"/>
      <c r="AM72" s="373"/>
      <c r="AN72" s="373"/>
      <c r="AO72" s="374"/>
      <c r="AP72" s="373"/>
      <c r="AQ72" s="373"/>
      <c r="AR72" s="373"/>
      <c r="AS72" s="374"/>
      <c r="AT72" s="373"/>
      <c r="AU72" s="373"/>
      <c r="AV72" s="373"/>
      <c r="AW72" s="373"/>
      <c r="AX72" s="373"/>
      <c r="AY72" s="373"/>
      <c r="AZ72" s="373"/>
      <c r="BA72" s="373"/>
    </row>
    <row r="73" spans="1:53" s="20" customFormat="1" ht="17.25" customHeight="1" x14ac:dyDescent="0.2">
      <c r="A73" s="373"/>
      <c r="B73" s="373"/>
      <c r="C73" s="373"/>
      <c r="D73" s="373"/>
      <c r="E73" s="374"/>
      <c r="F73" s="373"/>
      <c r="G73" s="373"/>
      <c r="H73" s="373"/>
      <c r="I73" s="374"/>
      <c r="J73" s="373"/>
      <c r="K73" s="373"/>
      <c r="L73" s="373"/>
      <c r="M73" s="374"/>
      <c r="N73" s="373"/>
      <c r="O73" s="373"/>
      <c r="P73" s="373"/>
      <c r="Q73" s="374"/>
      <c r="R73" s="373"/>
      <c r="S73" s="373"/>
      <c r="T73" s="373"/>
      <c r="U73" s="374"/>
      <c r="V73" s="373"/>
      <c r="W73" s="373"/>
      <c r="X73" s="373"/>
      <c r="Y73" s="374"/>
      <c r="Z73" s="373"/>
      <c r="AA73" s="373"/>
      <c r="AB73" s="373"/>
      <c r="AC73" s="374"/>
      <c r="AD73" s="373"/>
      <c r="AE73" s="373"/>
      <c r="AF73" s="373"/>
      <c r="AG73" s="374"/>
      <c r="AH73" s="373"/>
      <c r="AI73" s="373"/>
      <c r="AJ73" s="373"/>
      <c r="AK73" s="374"/>
      <c r="AL73" s="373"/>
      <c r="AM73" s="373"/>
      <c r="AN73" s="373"/>
      <c r="AO73" s="374"/>
      <c r="AP73" s="373"/>
      <c r="AQ73" s="373"/>
      <c r="AR73" s="373"/>
      <c r="AS73" s="374"/>
      <c r="AT73" s="373"/>
      <c r="AU73" s="373"/>
      <c r="AV73" s="373"/>
      <c r="AW73" s="373"/>
      <c r="AX73" s="373"/>
      <c r="AY73" s="373"/>
      <c r="AZ73" s="373"/>
      <c r="BA73" s="373"/>
    </row>
    <row r="74" spans="1:53" s="20" customFormat="1" ht="12.75" x14ac:dyDescent="0.2">
      <c r="A74" s="373"/>
      <c r="B74" s="373"/>
      <c r="C74" s="373"/>
      <c r="D74" s="373"/>
      <c r="E74" s="374"/>
      <c r="F74" s="373"/>
      <c r="G74" s="373"/>
      <c r="H74" s="373"/>
      <c r="I74" s="374"/>
      <c r="J74" s="373"/>
      <c r="K74" s="373"/>
      <c r="L74" s="373"/>
      <c r="M74" s="374"/>
      <c r="N74" s="373"/>
      <c r="O74" s="373"/>
      <c r="P74" s="373"/>
      <c r="Q74" s="374"/>
      <c r="R74" s="373"/>
      <c r="S74" s="373"/>
      <c r="T74" s="373"/>
      <c r="U74" s="374"/>
      <c r="V74" s="373"/>
      <c r="W74" s="373"/>
      <c r="X74" s="373"/>
      <c r="Y74" s="374"/>
      <c r="Z74" s="373"/>
      <c r="AA74" s="373"/>
      <c r="AB74" s="373"/>
      <c r="AC74" s="374"/>
      <c r="AD74" s="373"/>
      <c r="AE74" s="373"/>
      <c r="AF74" s="373"/>
      <c r="AG74" s="374"/>
      <c r="AH74" s="373"/>
      <c r="AI74" s="373"/>
      <c r="AJ74" s="373"/>
      <c r="AK74" s="374"/>
      <c r="AL74" s="373"/>
      <c r="AM74" s="373"/>
      <c r="AN74" s="373"/>
      <c r="AO74" s="374"/>
      <c r="AP74" s="373"/>
      <c r="AQ74" s="373"/>
      <c r="AR74" s="373"/>
      <c r="AS74" s="374"/>
      <c r="AT74" s="373"/>
      <c r="AU74" s="373"/>
      <c r="AV74" s="373"/>
      <c r="AW74" s="373"/>
      <c r="AX74" s="373"/>
      <c r="AY74" s="373"/>
      <c r="AZ74" s="373"/>
      <c r="BA74" s="373"/>
    </row>
    <row r="75" spans="1:53" s="20" customFormat="1" ht="17.25" customHeight="1" x14ac:dyDescent="0.2">
      <c r="A75" s="373"/>
      <c r="B75" s="373"/>
      <c r="C75" s="373"/>
      <c r="D75" s="373"/>
      <c r="E75" s="374"/>
      <c r="F75" s="373"/>
      <c r="G75" s="373"/>
      <c r="H75" s="373"/>
      <c r="I75" s="374"/>
      <c r="J75" s="373"/>
      <c r="K75" s="373"/>
      <c r="L75" s="373"/>
      <c r="M75" s="374"/>
      <c r="N75" s="373"/>
      <c r="O75" s="373"/>
      <c r="P75" s="373"/>
      <c r="Q75" s="374"/>
      <c r="R75" s="373"/>
      <c r="S75" s="373"/>
      <c r="T75" s="373"/>
      <c r="U75" s="374"/>
      <c r="V75" s="373"/>
      <c r="W75" s="373"/>
      <c r="X75" s="373"/>
      <c r="Y75" s="374"/>
      <c r="Z75" s="373"/>
      <c r="AA75" s="373"/>
      <c r="AB75" s="373"/>
      <c r="AC75" s="374"/>
      <c r="AD75" s="373"/>
      <c r="AE75" s="373"/>
      <c r="AF75" s="373"/>
      <c r="AG75" s="374"/>
      <c r="AH75" s="373"/>
      <c r="AI75" s="373"/>
      <c r="AJ75" s="373"/>
      <c r="AK75" s="374"/>
      <c r="AL75" s="373"/>
      <c r="AM75" s="373"/>
      <c r="AN75" s="373"/>
      <c r="AO75" s="374"/>
      <c r="AP75" s="373"/>
      <c r="AQ75" s="373"/>
      <c r="AR75" s="373"/>
      <c r="AS75" s="374"/>
      <c r="AT75" s="373"/>
      <c r="AU75" s="373"/>
      <c r="AV75" s="373"/>
      <c r="AW75" s="373"/>
      <c r="AX75" s="373"/>
      <c r="AY75" s="373"/>
      <c r="AZ75" s="373"/>
      <c r="BA75" s="373"/>
    </row>
    <row r="76" spans="1:53" s="20" customFormat="1" ht="12.75" x14ac:dyDescent="0.2">
      <c r="A76" s="373"/>
      <c r="B76" s="373"/>
      <c r="C76" s="373"/>
      <c r="D76" s="373"/>
      <c r="E76" s="374"/>
      <c r="F76" s="373"/>
      <c r="G76" s="373"/>
      <c r="H76" s="373"/>
      <c r="I76" s="374"/>
      <c r="J76" s="373"/>
      <c r="K76" s="373"/>
      <c r="L76" s="373"/>
      <c r="M76" s="374"/>
      <c r="N76" s="373"/>
      <c r="O76" s="373"/>
      <c r="P76" s="373"/>
      <c r="Q76" s="374"/>
      <c r="R76" s="373"/>
      <c r="S76" s="373"/>
      <c r="T76" s="373"/>
      <c r="U76" s="374"/>
      <c r="V76" s="373"/>
      <c r="W76" s="373"/>
      <c r="X76" s="373"/>
      <c r="Y76" s="374"/>
      <c r="Z76" s="373"/>
      <c r="AA76" s="373"/>
      <c r="AB76" s="373"/>
      <c r="AC76" s="374"/>
      <c r="AD76" s="373"/>
      <c r="AE76" s="373"/>
      <c r="AF76" s="373"/>
      <c r="AG76" s="374"/>
      <c r="AH76" s="373"/>
      <c r="AI76" s="373"/>
      <c r="AJ76" s="373"/>
      <c r="AK76" s="374"/>
      <c r="AL76" s="373"/>
      <c r="AM76" s="373"/>
      <c r="AN76" s="373"/>
      <c r="AO76" s="374"/>
      <c r="AP76" s="373"/>
      <c r="AQ76" s="373"/>
      <c r="AR76" s="373"/>
      <c r="AS76" s="374"/>
      <c r="AT76" s="373"/>
      <c r="AU76" s="373"/>
      <c r="AV76" s="373"/>
      <c r="AW76" s="373"/>
      <c r="AX76" s="373"/>
      <c r="AY76" s="373"/>
      <c r="AZ76" s="373"/>
      <c r="BA76" s="373"/>
    </row>
    <row r="77" spans="1:53" s="20" customFormat="1" ht="17.25" customHeight="1" x14ac:dyDescent="0.2">
      <c r="A77" s="373"/>
      <c r="B77" s="373"/>
      <c r="C77" s="373"/>
      <c r="D77" s="373"/>
      <c r="E77" s="374"/>
      <c r="F77" s="373"/>
      <c r="G77" s="373"/>
      <c r="H77" s="373"/>
      <c r="I77" s="374"/>
      <c r="J77" s="373"/>
      <c r="K77" s="373"/>
      <c r="L77" s="373"/>
      <c r="M77" s="374"/>
      <c r="N77" s="373"/>
      <c r="O77" s="373"/>
      <c r="P77" s="373"/>
      <c r="Q77" s="374"/>
      <c r="R77" s="373"/>
      <c r="S77" s="373"/>
      <c r="T77" s="373"/>
      <c r="U77" s="374"/>
      <c r="V77" s="373"/>
      <c r="W77" s="373"/>
      <c r="X77" s="373"/>
      <c r="Y77" s="374"/>
      <c r="Z77" s="373"/>
      <c r="AA77" s="373"/>
      <c r="AB77" s="373"/>
      <c r="AC77" s="374"/>
      <c r="AD77" s="373"/>
      <c r="AE77" s="373"/>
      <c r="AF77" s="373"/>
      <c r="AG77" s="374"/>
      <c r="AH77" s="373"/>
      <c r="AI77" s="373"/>
      <c r="AJ77" s="373"/>
      <c r="AK77" s="374"/>
      <c r="AL77" s="373"/>
      <c r="AM77" s="373"/>
      <c r="AN77" s="373"/>
      <c r="AO77" s="374"/>
      <c r="AP77" s="373"/>
      <c r="AQ77" s="373"/>
      <c r="AR77" s="373"/>
      <c r="AS77" s="374"/>
      <c r="AT77" s="373"/>
      <c r="AU77" s="373"/>
      <c r="AV77" s="373"/>
      <c r="AW77" s="373"/>
      <c r="AX77" s="373"/>
      <c r="AY77" s="373"/>
      <c r="AZ77" s="373"/>
      <c r="BA77" s="373"/>
    </row>
    <row r="78" spans="1:53" s="20" customFormat="1" ht="12.75" x14ac:dyDescent="0.2">
      <c r="A78" s="373"/>
      <c r="B78" s="373"/>
      <c r="C78" s="373"/>
      <c r="D78" s="373"/>
      <c r="E78" s="374"/>
      <c r="F78" s="373"/>
      <c r="G78" s="373"/>
      <c r="H78" s="373"/>
      <c r="I78" s="374"/>
      <c r="J78" s="373"/>
      <c r="K78" s="373"/>
      <c r="L78" s="373"/>
      <c r="M78" s="374"/>
      <c r="N78" s="373"/>
      <c r="O78" s="373"/>
      <c r="P78" s="373"/>
      <c r="Q78" s="374"/>
      <c r="R78" s="373"/>
      <c r="S78" s="373"/>
      <c r="T78" s="373"/>
      <c r="U78" s="374"/>
      <c r="V78" s="373"/>
      <c r="W78" s="373"/>
      <c r="X78" s="373"/>
      <c r="Y78" s="374"/>
      <c r="Z78" s="373"/>
      <c r="AA78" s="373"/>
      <c r="AB78" s="373"/>
      <c r="AC78" s="374"/>
      <c r="AD78" s="373"/>
      <c r="AE78" s="373"/>
      <c r="AF78" s="373"/>
      <c r="AG78" s="374"/>
      <c r="AH78" s="373"/>
      <c r="AI78" s="373"/>
      <c r="AJ78" s="373"/>
      <c r="AK78" s="374"/>
      <c r="AL78" s="373"/>
      <c r="AM78" s="373"/>
      <c r="AN78" s="373"/>
      <c r="AO78" s="374"/>
      <c r="AP78" s="373"/>
      <c r="AQ78" s="373"/>
      <c r="AR78" s="373"/>
      <c r="AS78" s="374"/>
      <c r="AT78" s="373"/>
      <c r="AU78" s="373"/>
      <c r="AV78" s="373"/>
      <c r="AW78" s="373"/>
      <c r="AX78" s="373"/>
      <c r="AY78" s="373"/>
      <c r="AZ78" s="373"/>
      <c r="BA78" s="373"/>
    </row>
    <row r="79" spans="1:53" s="20" customFormat="1" ht="17.25" customHeight="1" x14ac:dyDescent="0.2">
      <c r="A79" s="373"/>
      <c r="B79" s="373"/>
      <c r="C79" s="373"/>
      <c r="D79" s="373"/>
      <c r="E79" s="374"/>
      <c r="F79" s="373"/>
      <c r="G79" s="373"/>
      <c r="H79" s="373"/>
      <c r="I79" s="374"/>
      <c r="J79" s="373"/>
      <c r="K79" s="373"/>
      <c r="L79" s="373"/>
      <c r="M79" s="374"/>
      <c r="N79" s="373"/>
      <c r="O79" s="373"/>
      <c r="P79" s="373"/>
      <c r="Q79" s="374"/>
      <c r="R79" s="373"/>
      <c r="S79" s="373"/>
      <c r="T79" s="373"/>
      <c r="U79" s="374"/>
      <c r="V79" s="373"/>
      <c r="W79" s="373"/>
      <c r="X79" s="373"/>
      <c r="Y79" s="374"/>
      <c r="Z79" s="373"/>
      <c r="AA79" s="373"/>
      <c r="AB79" s="373"/>
      <c r="AC79" s="374"/>
      <c r="AD79" s="373"/>
      <c r="AE79" s="373"/>
      <c r="AF79" s="373"/>
      <c r="AG79" s="374"/>
      <c r="AH79" s="373"/>
      <c r="AI79" s="373"/>
      <c r="AJ79" s="373"/>
      <c r="AK79" s="374"/>
      <c r="AL79" s="373"/>
      <c r="AM79" s="373"/>
      <c r="AN79" s="373"/>
      <c r="AO79" s="374"/>
      <c r="AP79" s="373"/>
      <c r="AQ79" s="373"/>
      <c r="AR79" s="373"/>
      <c r="AS79" s="374"/>
      <c r="AT79" s="373"/>
      <c r="AU79" s="373"/>
      <c r="AV79" s="373"/>
      <c r="AW79" s="373"/>
      <c r="AX79" s="373"/>
      <c r="AY79" s="373"/>
      <c r="AZ79" s="373"/>
      <c r="BA79" s="373"/>
    </row>
    <row r="80" spans="1:53" s="20" customFormat="1" ht="12.75" x14ac:dyDescent="0.2">
      <c r="A80" s="373"/>
      <c r="B80" s="373"/>
      <c r="C80" s="373"/>
      <c r="D80" s="373"/>
      <c r="E80" s="374"/>
      <c r="F80" s="373"/>
      <c r="G80" s="373"/>
      <c r="H80" s="373"/>
      <c r="I80" s="374"/>
      <c r="J80" s="373"/>
      <c r="K80" s="373"/>
      <c r="L80" s="373"/>
      <c r="M80" s="374"/>
      <c r="N80" s="373"/>
      <c r="O80" s="373"/>
      <c r="P80" s="373"/>
      <c r="Q80" s="374"/>
      <c r="R80" s="373"/>
      <c r="S80" s="373"/>
      <c r="T80" s="373"/>
      <c r="U80" s="374"/>
      <c r="V80" s="373"/>
      <c r="W80" s="373"/>
      <c r="X80" s="373"/>
      <c r="Y80" s="374"/>
      <c r="Z80" s="373"/>
      <c r="AA80" s="373"/>
      <c r="AB80" s="373"/>
      <c r="AC80" s="374"/>
      <c r="AD80" s="373"/>
      <c r="AE80" s="373"/>
      <c r="AF80" s="373"/>
      <c r="AG80" s="374"/>
      <c r="AH80" s="373"/>
      <c r="AI80" s="373"/>
      <c r="AJ80" s="373"/>
      <c r="AK80" s="374"/>
      <c r="AL80" s="373"/>
      <c r="AM80" s="373"/>
      <c r="AN80" s="373"/>
      <c r="AO80" s="374"/>
      <c r="AP80" s="373"/>
      <c r="AQ80" s="373"/>
      <c r="AR80" s="373"/>
      <c r="AS80" s="374"/>
      <c r="AT80" s="373"/>
      <c r="AU80" s="373"/>
      <c r="AV80" s="373"/>
      <c r="AW80" s="373"/>
      <c r="AX80" s="373"/>
      <c r="AY80" s="373"/>
      <c r="AZ80" s="373"/>
      <c r="BA80" s="373"/>
    </row>
    <row r="81" spans="1:53" s="20" customFormat="1" ht="17.25" customHeight="1" x14ac:dyDescent="0.2">
      <c r="A81" s="373"/>
      <c r="B81" s="373"/>
      <c r="C81" s="373"/>
      <c r="D81" s="373"/>
      <c r="E81" s="374"/>
      <c r="F81" s="373"/>
      <c r="G81" s="373"/>
      <c r="H81" s="373"/>
      <c r="I81" s="374"/>
      <c r="J81" s="373"/>
      <c r="K81" s="373"/>
      <c r="L81" s="373"/>
      <c r="M81" s="374"/>
      <c r="N81" s="373"/>
      <c r="O81" s="373"/>
      <c r="P81" s="373"/>
      <c r="Q81" s="374"/>
      <c r="R81" s="373"/>
      <c r="S81" s="373"/>
      <c r="T81" s="373"/>
      <c r="U81" s="374"/>
      <c r="V81" s="373"/>
      <c r="W81" s="373"/>
      <c r="X81" s="373"/>
      <c r="Y81" s="374"/>
      <c r="Z81" s="373"/>
      <c r="AA81" s="373"/>
      <c r="AB81" s="373"/>
      <c r="AC81" s="374"/>
      <c r="AD81" s="373"/>
      <c r="AE81" s="373"/>
      <c r="AF81" s="373"/>
      <c r="AG81" s="374"/>
      <c r="AH81" s="373"/>
      <c r="AI81" s="373"/>
      <c r="AJ81" s="373"/>
      <c r="AK81" s="374"/>
      <c r="AL81" s="373"/>
      <c r="AM81" s="373"/>
      <c r="AN81" s="373"/>
      <c r="AO81" s="374"/>
      <c r="AP81" s="373"/>
      <c r="AQ81" s="373"/>
      <c r="AR81" s="373"/>
      <c r="AS81" s="374"/>
      <c r="AT81" s="373"/>
      <c r="AU81" s="373"/>
      <c r="AV81" s="373"/>
      <c r="AW81" s="373"/>
      <c r="AX81" s="373"/>
      <c r="AY81" s="373"/>
      <c r="AZ81" s="373"/>
      <c r="BA81" s="373"/>
    </row>
    <row r="82" spans="1:53" s="20" customFormat="1" ht="12.75" x14ac:dyDescent="0.2">
      <c r="A82" s="373"/>
      <c r="B82" s="373"/>
      <c r="C82" s="373"/>
      <c r="D82" s="373"/>
      <c r="E82" s="374"/>
      <c r="F82" s="373"/>
      <c r="G82" s="373"/>
      <c r="H82" s="373"/>
      <c r="I82" s="374"/>
      <c r="J82" s="373"/>
      <c r="K82" s="373"/>
      <c r="L82" s="373"/>
      <c r="M82" s="374"/>
      <c r="N82" s="373"/>
      <c r="O82" s="373"/>
      <c r="P82" s="373"/>
      <c r="Q82" s="374"/>
      <c r="R82" s="373"/>
      <c r="S82" s="373"/>
      <c r="T82" s="373"/>
      <c r="U82" s="374"/>
      <c r="V82" s="373"/>
      <c r="W82" s="373"/>
      <c r="X82" s="373"/>
      <c r="Y82" s="374"/>
      <c r="Z82" s="373"/>
      <c r="AA82" s="373"/>
      <c r="AB82" s="373"/>
      <c r="AC82" s="374"/>
      <c r="AD82" s="373"/>
      <c r="AE82" s="373"/>
      <c r="AF82" s="373"/>
      <c r="AG82" s="374"/>
      <c r="AH82" s="373"/>
      <c r="AI82" s="373"/>
      <c r="AJ82" s="373"/>
      <c r="AK82" s="374"/>
      <c r="AL82" s="373"/>
      <c r="AM82" s="373"/>
      <c r="AN82" s="373"/>
      <c r="AO82" s="374"/>
      <c r="AP82" s="373"/>
      <c r="AQ82" s="373"/>
      <c r="AR82" s="373"/>
      <c r="AS82" s="374"/>
      <c r="AT82" s="373"/>
      <c r="AU82" s="373"/>
      <c r="AV82" s="373"/>
      <c r="AW82" s="373"/>
      <c r="AX82" s="373"/>
      <c r="AY82" s="373"/>
      <c r="AZ82" s="373"/>
      <c r="BA82" s="373"/>
    </row>
    <row r="83" spans="1:53" s="20" customFormat="1" ht="17.25" customHeight="1" x14ac:dyDescent="0.2">
      <c r="A83" s="373"/>
      <c r="B83" s="373"/>
      <c r="C83" s="373"/>
      <c r="D83" s="373"/>
      <c r="E83" s="374"/>
      <c r="F83" s="373"/>
      <c r="G83" s="373"/>
      <c r="H83" s="373"/>
      <c r="I83" s="374"/>
      <c r="J83" s="373"/>
      <c r="K83" s="373"/>
      <c r="L83" s="373"/>
      <c r="M83" s="374"/>
      <c r="N83" s="373"/>
      <c r="O83" s="373"/>
      <c r="P83" s="373"/>
      <c r="Q83" s="374"/>
      <c r="R83" s="373"/>
      <c r="S83" s="373"/>
      <c r="T83" s="373"/>
      <c r="U83" s="374"/>
      <c r="V83" s="373"/>
      <c r="W83" s="373"/>
      <c r="X83" s="373"/>
      <c r="Y83" s="374"/>
      <c r="Z83" s="373"/>
      <c r="AA83" s="373"/>
      <c r="AB83" s="373"/>
      <c r="AC83" s="374"/>
      <c r="AD83" s="373"/>
      <c r="AE83" s="373"/>
      <c r="AF83" s="373"/>
      <c r="AG83" s="374"/>
      <c r="AH83" s="373"/>
      <c r="AI83" s="373"/>
      <c r="AJ83" s="373"/>
      <c r="AK83" s="374"/>
      <c r="AL83" s="373"/>
      <c r="AM83" s="373"/>
      <c r="AN83" s="373"/>
      <c r="AO83" s="374"/>
      <c r="AP83" s="373"/>
      <c r="AQ83" s="373"/>
      <c r="AR83" s="373"/>
      <c r="AS83" s="374"/>
      <c r="AT83" s="373"/>
      <c r="AU83" s="373"/>
      <c r="AV83" s="373"/>
      <c r="AW83" s="373"/>
      <c r="AX83" s="373"/>
      <c r="AY83" s="373"/>
      <c r="AZ83" s="373"/>
      <c r="BA83" s="373"/>
    </row>
    <row r="84" spans="1:53" s="20" customFormat="1" ht="12.75" x14ac:dyDescent="0.2">
      <c r="A84" s="373"/>
      <c r="B84" s="373"/>
      <c r="C84" s="373"/>
      <c r="D84" s="373"/>
      <c r="E84" s="374"/>
      <c r="F84" s="373"/>
      <c r="G84" s="373"/>
      <c r="H84" s="373"/>
      <c r="I84" s="374"/>
      <c r="J84" s="373"/>
      <c r="K84" s="373"/>
      <c r="L84" s="373"/>
      <c r="M84" s="374"/>
      <c r="N84" s="373"/>
      <c r="O84" s="373"/>
      <c r="P84" s="373"/>
      <c r="Q84" s="374"/>
      <c r="R84" s="373"/>
      <c r="S84" s="373"/>
      <c r="T84" s="373"/>
      <c r="U84" s="374"/>
      <c r="V84" s="373"/>
      <c r="W84" s="373"/>
      <c r="X84" s="373"/>
      <c r="Y84" s="374"/>
      <c r="Z84" s="373"/>
      <c r="AA84" s="373"/>
      <c r="AB84" s="373"/>
      <c r="AC84" s="374"/>
      <c r="AD84" s="373"/>
      <c r="AE84" s="373"/>
      <c r="AF84" s="373"/>
      <c r="AG84" s="374"/>
      <c r="AH84" s="373"/>
      <c r="AI84" s="373"/>
      <c r="AJ84" s="373"/>
      <c r="AK84" s="374"/>
      <c r="AL84" s="373"/>
      <c r="AM84" s="373"/>
      <c r="AN84" s="373"/>
      <c r="AO84" s="374"/>
      <c r="AP84" s="373"/>
      <c r="AQ84" s="373"/>
      <c r="AR84" s="373"/>
      <c r="AS84" s="374"/>
      <c r="AT84" s="373"/>
      <c r="AU84" s="373"/>
      <c r="AV84" s="373"/>
      <c r="AW84" s="373"/>
      <c r="AX84" s="373"/>
      <c r="AY84" s="373"/>
      <c r="AZ84" s="373"/>
      <c r="BA84" s="373"/>
    </row>
    <row r="85" spans="1:53" s="20" customFormat="1" ht="17.25" customHeight="1" x14ac:dyDescent="0.2">
      <c r="A85" s="373"/>
      <c r="B85" s="373"/>
      <c r="C85" s="373"/>
      <c r="D85" s="373"/>
      <c r="E85" s="374"/>
      <c r="F85" s="373"/>
      <c r="G85" s="373"/>
      <c r="H85" s="373"/>
      <c r="I85" s="374"/>
      <c r="J85" s="373"/>
      <c r="K85" s="373"/>
      <c r="L85" s="373"/>
      <c r="M85" s="374"/>
      <c r="N85" s="373"/>
      <c r="O85" s="373"/>
      <c r="P85" s="373"/>
      <c r="Q85" s="374"/>
      <c r="R85" s="373"/>
      <c r="S85" s="373"/>
      <c r="T85" s="373"/>
      <c r="U85" s="374"/>
      <c r="V85" s="373"/>
      <c r="W85" s="373"/>
      <c r="X85" s="373"/>
      <c r="Y85" s="374"/>
      <c r="Z85" s="373"/>
      <c r="AA85" s="373"/>
      <c r="AB85" s="373"/>
      <c r="AC85" s="374"/>
      <c r="AD85" s="373"/>
      <c r="AE85" s="373"/>
      <c r="AF85" s="373"/>
      <c r="AG85" s="374"/>
      <c r="AH85" s="373"/>
      <c r="AI85" s="373"/>
      <c r="AJ85" s="373"/>
      <c r="AK85" s="374"/>
      <c r="AL85" s="373"/>
      <c r="AM85" s="373"/>
      <c r="AN85" s="373"/>
      <c r="AO85" s="374"/>
      <c r="AP85" s="373"/>
      <c r="AQ85" s="373"/>
      <c r="AR85" s="373"/>
      <c r="AS85" s="374"/>
      <c r="AT85" s="373"/>
      <c r="AU85" s="373"/>
      <c r="AV85" s="373"/>
      <c r="AW85" s="373"/>
      <c r="AX85" s="373"/>
      <c r="AY85" s="373"/>
      <c r="AZ85" s="373"/>
      <c r="BA85" s="373"/>
    </row>
    <row r="86" spans="1:53" s="20" customFormat="1" ht="12.75" x14ac:dyDescent="0.2">
      <c r="A86" s="373"/>
      <c r="B86" s="373"/>
      <c r="C86" s="373"/>
      <c r="D86" s="373"/>
      <c r="E86" s="374"/>
      <c r="F86" s="373"/>
      <c r="G86" s="373"/>
      <c r="H86" s="373"/>
      <c r="I86" s="374"/>
      <c r="J86" s="373"/>
      <c r="K86" s="373"/>
      <c r="L86" s="373"/>
      <c r="M86" s="374"/>
      <c r="N86" s="373"/>
      <c r="O86" s="373"/>
      <c r="P86" s="373"/>
      <c r="Q86" s="374"/>
      <c r="R86" s="373"/>
      <c r="S86" s="373"/>
      <c r="T86" s="373"/>
      <c r="U86" s="374"/>
      <c r="V86" s="373"/>
      <c r="W86" s="373"/>
      <c r="X86" s="373"/>
      <c r="Y86" s="374"/>
      <c r="Z86" s="373"/>
      <c r="AA86" s="373"/>
      <c r="AB86" s="373"/>
      <c r="AC86" s="374"/>
      <c r="AD86" s="373"/>
      <c r="AE86" s="373"/>
      <c r="AF86" s="373"/>
      <c r="AG86" s="374"/>
      <c r="AH86" s="373"/>
      <c r="AI86" s="373"/>
      <c r="AJ86" s="373"/>
      <c r="AK86" s="374"/>
      <c r="AL86" s="373"/>
      <c r="AM86" s="373"/>
      <c r="AN86" s="373"/>
      <c r="AO86" s="374"/>
      <c r="AP86" s="373"/>
      <c r="AQ86" s="373"/>
      <c r="AR86" s="373"/>
      <c r="AS86" s="374"/>
      <c r="AT86" s="373"/>
      <c r="AU86" s="373"/>
      <c r="AV86" s="373"/>
      <c r="AW86" s="373"/>
      <c r="AX86" s="373"/>
      <c r="AY86" s="373"/>
      <c r="AZ86" s="373"/>
      <c r="BA86" s="373"/>
    </row>
    <row r="87" spans="1:53" s="20" customFormat="1" ht="17.25" customHeight="1" x14ac:dyDescent="0.2">
      <c r="A87" s="373"/>
      <c r="B87" s="373"/>
      <c r="C87" s="373"/>
      <c r="D87" s="373"/>
      <c r="E87" s="374"/>
      <c r="F87" s="373"/>
      <c r="G87" s="373"/>
      <c r="H87" s="373"/>
      <c r="I87" s="374"/>
      <c r="J87" s="373"/>
      <c r="K87" s="373"/>
      <c r="L87" s="373"/>
      <c r="M87" s="374"/>
      <c r="N87" s="373"/>
      <c r="O87" s="373"/>
      <c r="P87" s="373"/>
      <c r="Q87" s="374"/>
      <c r="R87" s="373"/>
      <c r="S87" s="373"/>
      <c r="T87" s="373"/>
      <c r="U87" s="374"/>
      <c r="V87" s="373"/>
      <c r="W87" s="373"/>
      <c r="X87" s="373"/>
      <c r="Y87" s="374"/>
      <c r="Z87" s="373"/>
      <c r="AA87" s="373"/>
      <c r="AB87" s="373"/>
      <c r="AC87" s="374"/>
      <c r="AD87" s="373"/>
      <c r="AE87" s="373"/>
      <c r="AF87" s="373"/>
      <c r="AG87" s="374"/>
      <c r="AH87" s="373"/>
      <c r="AI87" s="373"/>
      <c r="AJ87" s="373"/>
      <c r="AK87" s="374"/>
      <c r="AL87" s="373"/>
      <c r="AM87" s="373"/>
      <c r="AN87" s="373"/>
      <c r="AO87" s="374"/>
      <c r="AP87" s="373"/>
      <c r="AQ87" s="373"/>
      <c r="AR87" s="373"/>
      <c r="AS87" s="374"/>
      <c r="AT87" s="373"/>
      <c r="AU87" s="373"/>
      <c r="AV87" s="373"/>
      <c r="AW87" s="373"/>
      <c r="AX87" s="373"/>
      <c r="AY87" s="373"/>
      <c r="AZ87" s="373"/>
      <c r="BA87" s="373"/>
    </row>
    <row r="88" spans="1:53" s="20" customFormat="1" ht="12.75" x14ac:dyDescent="0.2">
      <c r="E88" s="357"/>
      <c r="I88" s="357"/>
      <c r="M88" s="357"/>
      <c r="Q88" s="357"/>
      <c r="U88" s="357"/>
      <c r="Y88" s="357"/>
      <c r="AC88" s="357"/>
      <c r="AG88" s="357"/>
      <c r="AK88" s="357"/>
      <c r="AO88" s="357"/>
      <c r="AS88" s="357"/>
    </row>
    <row r="89" spans="1:53" s="20" customFormat="1" ht="17.25" customHeight="1" x14ac:dyDescent="0.2">
      <c r="E89" s="357"/>
      <c r="I89" s="357"/>
      <c r="M89" s="357"/>
      <c r="Q89" s="357"/>
      <c r="U89" s="357"/>
      <c r="Y89" s="357"/>
      <c r="AC89" s="357"/>
      <c r="AG89" s="357"/>
      <c r="AK89" s="357"/>
      <c r="AO89" s="357"/>
      <c r="AS89" s="357"/>
    </row>
    <row r="90" spans="1:53" s="20" customFormat="1" ht="12.75" x14ac:dyDescent="0.2">
      <c r="E90" s="357"/>
      <c r="I90" s="357"/>
      <c r="M90" s="357"/>
      <c r="Q90" s="357"/>
      <c r="U90" s="357"/>
      <c r="Y90" s="357"/>
      <c r="AC90" s="357"/>
      <c r="AG90" s="357"/>
      <c r="AK90" s="357"/>
      <c r="AO90" s="357"/>
      <c r="AS90" s="357"/>
    </row>
    <row r="91" spans="1:53" s="20" customFormat="1" ht="17.25" customHeight="1" x14ac:dyDescent="0.2">
      <c r="E91" s="357"/>
      <c r="I91" s="357"/>
      <c r="M91" s="357"/>
      <c r="Q91" s="357"/>
      <c r="U91" s="357"/>
      <c r="Y91" s="357"/>
      <c r="AC91" s="357"/>
      <c r="AG91" s="357"/>
      <c r="AK91" s="357"/>
      <c r="AO91" s="357"/>
      <c r="AS91" s="357"/>
    </row>
    <row r="92" spans="1:53" s="20" customFormat="1" ht="12.75" x14ac:dyDescent="0.2">
      <c r="E92" s="357"/>
      <c r="I92" s="357"/>
      <c r="M92" s="357"/>
      <c r="Q92" s="357"/>
      <c r="U92" s="357"/>
      <c r="Y92" s="357"/>
      <c r="AC92" s="357"/>
      <c r="AG92" s="357"/>
      <c r="AK92" s="357"/>
      <c r="AO92" s="357"/>
      <c r="AS92" s="357"/>
    </row>
    <row r="93" spans="1:53" s="20" customFormat="1" ht="17.25" customHeight="1" x14ac:dyDescent="0.2">
      <c r="E93" s="357"/>
      <c r="I93" s="357"/>
      <c r="M93" s="357"/>
      <c r="Q93" s="357"/>
      <c r="U93" s="357"/>
      <c r="Y93" s="357"/>
      <c r="AC93" s="357"/>
      <c r="AG93" s="357"/>
      <c r="AK93" s="357"/>
      <c r="AO93" s="357"/>
      <c r="AS93" s="357"/>
    </row>
    <row r="94" spans="1:53" s="20" customFormat="1" ht="12.75" x14ac:dyDescent="0.2">
      <c r="E94" s="357"/>
      <c r="I94" s="357"/>
      <c r="M94" s="357"/>
      <c r="Q94" s="357"/>
      <c r="U94" s="357"/>
      <c r="Y94" s="357"/>
      <c r="AC94" s="357"/>
      <c r="AG94" s="357"/>
      <c r="AK94" s="357"/>
      <c r="AO94" s="357"/>
      <c r="AS94" s="357"/>
    </row>
    <row r="95" spans="1:53" s="20" customFormat="1" ht="17.25" customHeight="1" x14ac:dyDescent="0.2">
      <c r="E95" s="357"/>
      <c r="I95" s="357"/>
      <c r="M95" s="357"/>
      <c r="Q95" s="357"/>
      <c r="U95" s="357"/>
      <c r="Y95" s="357"/>
      <c r="AC95" s="357"/>
      <c r="AG95" s="357"/>
      <c r="AK95" s="357"/>
      <c r="AO95" s="357"/>
      <c r="AS95" s="357"/>
    </row>
    <row r="96" spans="1:53" s="20" customFormat="1" ht="12.75" x14ac:dyDescent="0.2">
      <c r="E96" s="357"/>
      <c r="I96" s="357"/>
      <c r="M96" s="357"/>
      <c r="Q96" s="357"/>
      <c r="U96" s="357"/>
      <c r="Y96" s="357"/>
      <c r="AC96" s="357"/>
      <c r="AG96" s="357"/>
      <c r="AK96" s="357"/>
      <c r="AO96" s="357"/>
      <c r="AS96" s="357"/>
    </row>
    <row r="97" spans="5:45" s="20" customFormat="1" ht="17.25" customHeight="1" x14ac:dyDescent="0.2">
      <c r="E97" s="357"/>
      <c r="I97" s="357"/>
      <c r="M97" s="357"/>
      <c r="Q97" s="357"/>
      <c r="U97" s="357"/>
      <c r="Y97" s="357"/>
      <c r="AC97" s="357"/>
      <c r="AG97" s="357"/>
      <c r="AK97" s="357"/>
      <c r="AO97" s="357"/>
      <c r="AS97" s="357"/>
    </row>
    <row r="98" spans="5:45" s="20" customFormat="1" ht="12.75" x14ac:dyDescent="0.2">
      <c r="E98" s="357"/>
      <c r="I98" s="357"/>
      <c r="M98" s="357"/>
      <c r="Q98" s="357"/>
      <c r="U98" s="357"/>
      <c r="Y98" s="357"/>
      <c r="AC98" s="357"/>
      <c r="AG98" s="357"/>
      <c r="AK98" s="357"/>
      <c r="AO98" s="357"/>
      <c r="AS98" s="357"/>
    </row>
    <row r="99" spans="5:45" s="20" customFormat="1" ht="17.25" customHeight="1" x14ac:dyDescent="0.2">
      <c r="E99" s="357"/>
      <c r="I99" s="357"/>
      <c r="M99" s="357"/>
      <c r="Q99" s="357"/>
      <c r="U99" s="357"/>
      <c r="Y99" s="357"/>
      <c r="AC99" s="357"/>
      <c r="AG99" s="357"/>
      <c r="AK99" s="357"/>
      <c r="AO99" s="357"/>
      <c r="AS99" s="357"/>
    </row>
    <row r="100" spans="5:45" s="20" customFormat="1" ht="12.75" x14ac:dyDescent="0.2">
      <c r="E100" s="357"/>
      <c r="I100" s="357"/>
      <c r="M100" s="357"/>
      <c r="Q100" s="357"/>
      <c r="U100" s="357"/>
      <c r="Y100" s="357"/>
      <c r="AC100" s="357"/>
      <c r="AG100" s="357"/>
      <c r="AK100" s="357"/>
      <c r="AO100" s="357"/>
      <c r="AS100" s="357"/>
    </row>
    <row r="101" spans="5:45" s="20" customFormat="1" ht="17.25" customHeight="1" x14ac:dyDescent="0.2">
      <c r="E101" s="357"/>
      <c r="I101" s="357"/>
      <c r="M101" s="357"/>
      <c r="Q101" s="357"/>
      <c r="U101" s="357"/>
      <c r="Y101" s="357"/>
      <c r="AC101" s="357"/>
      <c r="AG101" s="357"/>
      <c r="AK101" s="357"/>
      <c r="AO101" s="357"/>
      <c r="AS101" s="357"/>
    </row>
    <row r="102" spans="5:45" s="20" customFormat="1" ht="12.75" x14ac:dyDescent="0.2">
      <c r="E102" s="357"/>
      <c r="I102" s="357"/>
      <c r="M102" s="357"/>
      <c r="Q102" s="357"/>
      <c r="U102" s="357"/>
      <c r="Y102" s="357"/>
      <c r="AC102" s="357"/>
      <c r="AG102" s="357"/>
      <c r="AK102" s="357"/>
      <c r="AO102" s="357"/>
      <c r="AS102" s="357"/>
    </row>
    <row r="103" spans="5:45" s="20" customFormat="1" ht="17.25" customHeight="1" x14ac:dyDescent="0.2">
      <c r="E103" s="357"/>
      <c r="I103" s="357"/>
      <c r="M103" s="357"/>
      <c r="Q103" s="357"/>
      <c r="U103" s="357"/>
      <c r="Y103" s="357"/>
      <c r="AC103" s="357"/>
      <c r="AG103" s="357"/>
      <c r="AK103" s="357"/>
      <c r="AO103" s="357"/>
      <c r="AS103" s="357"/>
    </row>
    <row r="104" spans="5:45" s="20" customFormat="1" ht="12.75" x14ac:dyDescent="0.2">
      <c r="E104" s="357"/>
      <c r="I104" s="357"/>
      <c r="M104" s="357"/>
      <c r="Q104" s="357"/>
      <c r="U104" s="357"/>
      <c r="Y104" s="357"/>
      <c r="AC104" s="357"/>
      <c r="AG104" s="357"/>
      <c r="AK104" s="357"/>
      <c r="AO104" s="357"/>
      <c r="AS104" s="357"/>
    </row>
    <row r="105" spans="5:45" s="20" customFormat="1" ht="17.25" customHeight="1" x14ac:dyDescent="0.2">
      <c r="E105" s="357"/>
      <c r="I105" s="357"/>
      <c r="M105" s="357"/>
      <c r="Q105" s="357"/>
      <c r="U105" s="357"/>
      <c r="Y105" s="357"/>
      <c r="AC105" s="357"/>
      <c r="AG105" s="357"/>
      <c r="AK105" s="357"/>
      <c r="AO105" s="357"/>
      <c r="AS105" s="357"/>
    </row>
    <row r="106" spans="5:45" s="20" customFormat="1" ht="12.75" x14ac:dyDescent="0.2">
      <c r="E106" s="357"/>
      <c r="I106" s="357"/>
      <c r="M106" s="357"/>
      <c r="Q106" s="357"/>
      <c r="U106" s="357"/>
      <c r="Y106" s="357"/>
      <c r="AC106" s="357"/>
      <c r="AG106" s="357"/>
      <c r="AK106" s="357"/>
      <c r="AO106" s="357"/>
      <c r="AS106" s="357"/>
    </row>
    <row r="107" spans="5:45" s="20" customFormat="1" ht="17.25" customHeight="1" x14ac:dyDescent="0.2">
      <c r="E107" s="357"/>
      <c r="I107" s="357"/>
      <c r="M107" s="357"/>
      <c r="Q107" s="357"/>
      <c r="U107" s="357"/>
      <c r="Y107" s="357"/>
      <c r="AC107" s="357"/>
      <c r="AG107" s="357"/>
      <c r="AK107" s="357"/>
      <c r="AO107" s="357"/>
      <c r="AS107" s="357"/>
    </row>
    <row r="108" spans="5:45" s="20" customFormat="1" ht="12.75" x14ac:dyDescent="0.2">
      <c r="E108" s="357"/>
      <c r="I108" s="357"/>
      <c r="M108" s="357"/>
      <c r="Q108" s="357"/>
      <c r="U108" s="357"/>
      <c r="Y108" s="357"/>
      <c r="AC108" s="357"/>
      <c r="AG108" s="357"/>
      <c r="AK108" s="357"/>
      <c r="AO108" s="357"/>
      <c r="AS108" s="357"/>
    </row>
    <row r="109" spans="5:45" s="20" customFormat="1" ht="17.25" customHeight="1" x14ac:dyDescent="0.2">
      <c r="E109" s="357"/>
      <c r="I109" s="357"/>
      <c r="M109" s="357"/>
      <c r="Q109" s="357"/>
      <c r="U109" s="357"/>
      <c r="Y109" s="357"/>
      <c r="AC109" s="357"/>
      <c r="AG109" s="357"/>
      <c r="AK109" s="357"/>
      <c r="AO109" s="357"/>
      <c r="AS109" s="357"/>
    </row>
    <row r="110" spans="5:45" s="20" customFormat="1" ht="12.75" x14ac:dyDescent="0.2">
      <c r="E110" s="357"/>
      <c r="I110" s="357"/>
      <c r="M110" s="357"/>
      <c r="Q110" s="357"/>
      <c r="U110" s="357"/>
      <c r="Y110" s="357"/>
      <c r="AC110" s="357"/>
      <c r="AG110" s="357"/>
      <c r="AK110" s="357"/>
      <c r="AO110" s="357"/>
      <c r="AS110" s="357"/>
    </row>
    <row r="111" spans="5:45" s="20" customFormat="1" ht="17.25" customHeight="1" x14ac:dyDescent="0.2">
      <c r="E111" s="357"/>
      <c r="I111" s="357"/>
      <c r="M111" s="357"/>
      <c r="Q111" s="357"/>
      <c r="U111" s="357"/>
      <c r="Y111" s="357"/>
      <c r="AC111" s="357"/>
      <c r="AG111" s="357"/>
      <c r="AK111" s="357"/>
      <c r="AO111" s="357"/>
      <c r="AS111" s="357"/>
    </row>
    <row r="112" spans="5:45" s="20" customFormat="1" ht="12.75" x14ac:dyDescent="0.2">
      <c r="E112" s="357"/>
      <c r="I112" s="357"/>
      <c r="M112" s="357"/>
      <c r="Q112" s="357"/>
      <c r="U112" s="357"/>
      <c r="Y112" s="357"/>
      <c r="AC112" s="357"/>
      <c r="AG112" s="357"/>
      <c r="AK112" s="357"/>
      <c r="AO112" s="357"/>
      <c r="AS112" s="357"/>
    </row>
    <row r="113" spans="5:45" s="20" customFormat="1" ht="17.25" customHeight="1" x14ac:dyDescent="0.2">
      <c r="E113" s="357"/>
      <c r="I113" s="357"/>
      <c r="M113" s="357"/>
      <c r="Q113" s="357"/>
      <c r="U113" s="357"/>
      <c r="Y113" s="357"/>
      <c r="AC113" s="357"/>
      <c r="AG113" s="357"/>
      <c r="AK113" s="357"/>
      <c r="AO113" s="357"/>
      <c r="AS113" s="357"/>
    </row>
    <row r="114" spans="5:45" s="20" customFormat="1" ht="12.75" x14ac:dyDescent="0.2">
      <c r="E114" s="357"/>
      <c r="I114" s="357"/>
      <c r="M114" s="357"/>
      <c r="Q114" s="357"/>
      <c r="U114" s="357"/>
      <c r="Y114" s="357"/>
      <c r="AC114" s="357"/>
      <c r="AG114" s="357"/>
      <c r="AK114" s="357"/>
      <c r="AO114" s="357"/>
      <c r="AS114" s="357"/>
    </row>
    <row r="115" spans="5:45" s="20" customFormat="1" ht="17.25" customHeight="1" x14ac:dyDescent="0.2">
      <c r="E115" s="357"/>
      <c r="I115" s="357"/>
      <c r="M115" s="357"/>
      <c r="Q115" s="357"/>
      <c r="U115" s="357"/>
      <c r="Y115" s="357"/>
      <c r="AC115" s="357"/>
      <c r="AG115" s="357"/>
      <c r="AK115" s="357"/>
      <c r="AO115" s="357"/>
      <c r="AS115" s="357"/>
    </row>
    <row r="116" spans="5:45" s="20" customFormat="1" ht="12.75" x14ac:dyDescent="0.2">
      <c r="E116" s="357"/>
      <c r="I116" s="357"/>
      <c r="M116" s="357"/>
      <c r="Q116" s="357"/>
      <c r="U116" s="357"/>
      <c r="Y116" s="357"/>
      <c r="AC116" s="357"/>
      <c r="AG116" s="357"/>
      <c r="AK116" s="357"/>
      <c r="AO116" s="357"/>
      <c r="AS116" s="357"/>
    </row>
    <row r="117" spans="5:45" s="20" customFormat="1" ht="17.25" customHeight="1" x14ac:dyDescent="0.2">
      <c r="E117" s="357"/>
      <c r="I117" s="357"/>
      <c r="M117" s="357"/>
      <c r="Q117" s="357"/>
      <c r="U117" s="357"/>
      <c r="Y117" s="357"/>
      <c r="AC117" s="357"/>
      <c r="AG117" s="357"/>
      <c r="AK117" s="357"/>
      <c r="AO117" s="357"/>
      <c r="AS117" s="357"/>
    </row>
    <row r="118" spans="5:45" s="20" customFormat="1" ht="12.75" x14ac:dyDescent="0.2">
      <c r="E118" s="357"/>
      <c r="I118" s="357"/>
      <c r="M118" s="357"/>
      <c r="Q118" s="357"/>
      <c r="U118" s="357"/>
      <c r="Y118" s="357"/>
      <c r="AC118" s="357"/>
      <c r="AG118" s="357"/>
      <c r="AK118" s="357"/>
      <c r="AO118" s="357"/>
      <c r="AS118" s="357"/>
    </row>
    <row r="119" spans="5:45" s="20" customFormat="1" ht="17.25" customHeight="1" x14ac:dyDescent="0.2">
      <c r="E119" s="357"/>
      <c r="I119" s="357"/>
      <c r="M119" s="357"/>
      <c r="Q119" s="357"/>
      <c r="U119" s="357"/>
      <c r="Y119" s="357"/>
      <c r="AC119" s="357"/>
      <c r="AG119" s="357"/>
      <c r="AK119" s="357"/>
      <c r="AO119" s="357"/>
      <c r="AS119" s="357"/>
    </row>
    <row r="120" spans="5:45" s="20" customFormat="1" ht="12.75" x14ac:dyDescent="0.2">
      <c r="E120" s="357"/>
      <c r="I120" s="357"/>
      <c r="M120" s="357"/>
      <c r="Q120" s="357"/>
      <c r="U120" s="357"/>
      <c r="Y120" s="357"/>
      <c r="AC120" s="357"/>
      <c r="AG120" s="357"/>
      <c r="AK120" s="357"/>
      <c r="AO120" s="357"/>
      <c r="AS120" s="357"/>
    </row>
    <row r="121" spans="5:45" s="20" customFormat="1" ht="17.25" customHeight="1" x14ac:dyDescent="0.2">
      <c r="E121" s="357"/>
      <c r="I121" s="357"/>
      <c r="M121" s="357"/>
      <c r="Q121" s="357"/>
      <c r="U121" s="357"/>
      <c r="Y121" s="357"/>
      <c r="AC121" s="357"/>
      <c r="AG121" s="357"/>
      <c r="AK121" s="357"/>
      <c r="AO121" s="357"/>
      <c r="AS121" s="357"/>
    </row>
    <row r="122" spans="5:45" s="20" customFormat="1" ht="12.75" x14ac:dyDescent="0.2">
      <c r="E122" s="357"/>
      <c r="I122" s="357"/>
      <c r="M122" s="357"/>
      <c r="Q122" s="357"/>
      <c r="U122" s="357"/>
      <c r="Y122" s="357"/>
      <c r="AC122" s="357"/>
      <c r="AG122" s="357"/>
      <c r="AK122" s="357"/>
      <c r="AO122" s="357"/>
      <c r="AS122" s="357"/>
    </row>
    <row r="123" spans="5:45" s="20" customFormat="1" ht="17.25" customHeight="1" x14ac:dyDescent="0.2">
      <c r="E123" s="357"/>
      <c r="I123" s="357"/>
      <c r="M123" s="357"/>
      <c r="Q123" s="357"/>
      <c r="U123" s="357"/>
      <c r="Y123" s="357"/>
      <c r="AC123" s="357"/>
      <c r="AG123" s="357"/>
      <c r="AK123" s="357"/>
      <c r="AO123" s="357"/>
      <c r="AS123" s="357"/>
    </row>
    <row r="124" spans="5:45" s="20" customFormat="1" ht="12.75" x14ac:dyDescent="0.2">
      <c r="E124" s="357"/>
      <c r="I124" s="357"/>
      <c r="M124" s="357"/>
      <c r="Q124" s="357"/>
      <c r="U124" s="357"/>
      <c r="Y124" s="357"/>
      <c r="AC124" s="357"/>
      <c r="AG124" s="357"/>
      <c r="AK124" s="357"/>
      <c r="AO124" s="357"/>
      <c r="AS124" s="357"/>
    </row>
    <row r="125" spans="5:45" s="20" customFormat="1" ht="17.25" customHeight="1" x14ac:dyDescent="0.2">
      <c r="E125" s="357"/>
      <c r="I125" s="357"/>
      <c r="M125" s="357"/>
      <c r="Q125" s="357"/>
      <c r="U125" s="357"/>
      <c r="Y125" s="357"/>
      <c r="AC125" s="357"/>
      <c r="AG125" s="357"/>
      <c r="AK125" s="357"/>
      <c r="AO125" s="357"/>
      <c r="AS125" s="357"/>
    </row>
    <row r="126" spans="5:45" s="20" customFormat="1" ht="12.75" x14ac:dyDescent="0.2">
      <c r="E126" s="357"/>
      <c r="I126" s="357"/>
      <c r="M126" s="357"/>
      <c r="Q126" s="357"/>
      <c r="U126" s="357"/>
      <c r="Y126" s="357"/>
      <c r="AC126" s="357"/>
      <c r="AG126" s="357"/>
      <c r="AK126" s="357"/>
      <c r="AO126" s="357"/>
      <c r="AS126" s="357"/>
    </row>
    <row r="127" spans="5:45" s="20" customFormat="1" ht="17.25" customHeight="1" x14ac:dyDescent="0.2">
      <c r="E127" s="357"/>
      <c r="I127" s="357"/>
      <c r="M127" s="357"/>
      <c r="Q127" s="357"/>
      <c r="U127" s="357"/>
      <c r="Y127" s="357"/>
      <c r="AC127" s="357"/>
      <c r="AG127" s="357"/>
      <c r="AK127" s="357"/>
      <c r="AO127" s="357"/>
      <c r="AS127" s="357"/>
    </row>
    <row r="128" spans="5:45" s="20" customFormat="1" ht="12.75" x14ac:dyDescent="0.2">
      <c r="E128" s="357"/>
      <c r="I128" s="357"/>
      <c r="M128" s="357"/>
      <c r="Q128" s="357"/>
      <c r="U128" s="357"/>
      <c r="Y128" s="357"/>
      <c r="AC128" s="357"/>
      <c r="AG128" s="357"/>
      <c r="AK128" s="357"/>
      <c r="AO128" s="357"/>
      <c r="AS128" s="357"/>
    </row>
    <row r="129" spans="5:45" s="20" customFormat="1" ht="17.25" customHeight="1" x14ac:dyDescent="0.2">
      <c r="E129" s="357"/>
      <c r="I129" s="357"/>
      <c r="M129" s="357"/>
      <c r="Q129" s="357"/>
      <c r="U129" s="357"/>
      <c r="Y129" s="357"/>
      <c r="AC129" s="357"/>
      <c r="AG129" s="357"/>
      <c r="AK129" s="357"/>
      <c r="AO129" s="357"/>
      <c r="AS129" s="357"/>
    </row>
    <row r="130" spans="5:45" s="20" customFormat="1" ht="12.75" x14ac:dyDescent="0.2">
      <c r="E130" s="357"/>
      <c r="I130" s="357"/>
      <c r="M130" s="357"/>
      <c r="Q130" s="357"/>
      <c r="U130" s="357"/>
      <c r="Y130" s="357"/>
      <c r="AC130" s="357"/>
      <c r="AG130" s="357"/>
      <c r="AK130" s="357"/>
      <c r="AO130" s="357"/>
      <c r="AS130" s="357"/>
    </row>
    <row r="131" spans="5:45" s="20" customFormat="1" ht="17.25" customHeight="1" x14ac:dyDescent="0.2">
      <c r="E131" s="357"/>
      <c r="I131" s="357"/>
      <c r="M131" s="357"/>
      <c r="Q131" s="357"/>
      <c r="U131" s="357"/>
      <c r="Y131" s="357"/>
      <c r="AC131" s="357"/>
      <c r="AG131" s="357"/>
      <c r="AK131" s="357"/>
      <c r="AO131" s="357"/>
      <c r="AS131" s="357"/>
    </row>
    <row r="132" spans="5:45" s="20" customFormat="1" ht="12.75" x14ac:dyDescent="0.2">
      <c r="E132" s="357"/>
      <c r="I132" s="357"/>
      <c r="M132" s="357"/>
      <c r="Q132" s="357"/>
      <c r="U132" s="357"/>
      <c r="Y132" s="357"/>
      <c r="AC132" s="357"/>
      <c r="AG132" s="357"/>
      <c r="AK132" s="357"/>
      <c r="AO132" s="357"/>
      <c r="AS132" s="357"/>
    </row>
    <row r="133" spans="5:45" s="20" customFormat="1" ht="17.25" customHeight="1" x14ac:dyDescent="0.2">
      <c r="E133" s="357"/>
      <c r="I133" s="357"/>
      <c r="M133" s="357"/>
      <c r="Q133" s="357"/>
      <c r="U133" s="357"/>
      <c r="Y133" s="357"/>
      <c r="AC133" s="357"/>
      <c r="AG133" s="357"/>
      <c r="AK133" s="357"/>
      <c r="AO133" s="357"/>
      <c r="AS133" s="357"/>
    </row>
    <row r="134" spans="5:45" s="20" customFormat="1" ht="12.75" x14ac:dyDescent="0.2">
      <c r="E134" s="357"/>
      <c r="I134" s="357"/>
      <c r="M134" s="357"/>
      <c r="Q134" s="357"/>
      <c r="U134" s="357"/>
      <c r="Y134" s="357"/>
      <c r="AC134" s="357"/>
      <c r="AG134" s="357"/>
      <c r="AK134" s="357"/>
      <c r="AO134" s="357"/>
      <c r="AS134" s="357"/>
    </row>
    <row r="135" spans="5:45" s="20" customFormat="1" ht="17.25" customHeight="1" x14ac:dyDescent="0.2">
      <c r="E135" s="357"/>
      <c r="I135" s="357"/>
      <c r="M135" s="357"/>
      <c r="Q135" s="357"/>
      <c r="U135" s="357"/>
      <c r="Y135" s="357"/>
      <c r="AC135" s="357"/>
      <c r="AG135" s="357"/>
      <c r="AK135" s="357"/>
      <c r="AO135" s="357"/>
      <c r="AS135" s="357"/>
    </row>
    <row r="136" spans="5:45" s="20" customFormat="1" ht="12.75" x14ac:dyDescent="0.2">
      <c r="E136" s="357"/>
      <c r="I136" s="357"/>
      <c r="M136" s="357"/>
      <c r="Q136" s="357"/>
      <c r="U136" s="357"/>
      <c r="Y136" s="357"/>
      <c r="AC136" s="357"/>
      <c r="AG136" s="357"/>
      <c r="AK136" s="357"/>
      <c r="AO136" s="357"/>
      <c r="AS136" s="357"/>
    </row>
    <row r="137" spans="5:45" s="20" customFormat="1" ht="17.25" customHeight="1" x14ac:dyDescent="0.2">
      <c r="E137" s="357"/>
      <c r="I137" s="357"/>
      <c r="M137" s="357"/>
      <c r="Q137" s="357"/>
      <c r="U137" s="357"/>
      <c r="Y137" s="357"/>
      <c r="AC137" s="357"/>
      <c r="AG137" s="357"/>
      <c r="AK137" s="357"/>
      <c r="AO137" s="357"/>
      <c r="AS137" s="357"/>
    </row>
    <row r="138" spans="5:45" s="20" customFormat="1" ht="12.75" x14ac:dyDescent="0.2">
      <c r="E138" s="357"/>
      <c r="I138" s="357"/>
      <c r="M138" s="357"/>
      <c r="Q138" s="357"/>
      <c r="U138" s="357"/>
      <c r="Y138" s="357"/>
      <c r="AC138" s="357"/>
      <c r="AG138" s="357"/>
      <c r="AK138" s="357"/>
      <c r="AO138" s="357"/>
      <c r="AS138" s="357"/>
    </row>
    <row r="139" spans="5:45" s="20" customFormat="1" ht="17.25" customHeight="1" x14ac:dyDescent="0.2">
      <c r="E139" s="357"/>
      <c r="I139" s="357"/>
      <c r="M139" s="357"/>
      <c r="Q139" s="357"/>
      <c r="U139" s="357"/>
      <c r="Y139" s="357"/>
      <c r="AC139" s="357"/>
      <c r="AG139" s="357"/>
      <c r="AK139" s="357"/>
      <c r="AO139" s="357"/>
      <c r="AS139" s="357"/>
    </row>
    <row r="140" spans="5:45" s="20" customFormat="1" ht="12.75" x14ac:dyDescent="0.2">
      <c r="E140" s="357"/>
      <c r="I140" s="357"/>
      <c r="M140" s="357"/>
      <c r="Q140" s="357"/>
      <c r="U140" s="357"/>
      <c r="Y140" s="357"/>
      <c r="AC140" s="357"/>
      <c r="AG140" s="357"/>
      <c r="AK140" s="357"/>
      <c r="AO140" s="357"/>
      <c r="AS140" s="357"/>
    </row>
  </sheetData>
  <mergeCells count="25">
    <mergeCell ref="AH8:AS9"/>
    <mergeCell ref="AH10:AK10"/>
    <mergeCell ref="AL10:AO10"/>
    <mergeCell ref="AP10:AS10"/>
    <mergeCell ref="N8:Q10"/>
    <mergeCell ref="R8:U10"/>
    <mergeCell ref="V8:Y10"/>
    <mergeCell ref="Z8:AC10"/>
    <mergeCell ref="AD8:AG10"/>
    <mergeCell ref="A4:Y4"/>
    <mergeCell ref="Z4:AS4"/>
    <mergeCell ref="AL6:AP6"/>
    <mergeCell ref="A7:A11"/>
    <mergeCell ref="B7:E7"/>
    <mergeCell ref="F7:I7"/>
    <mergeCell ref="J7:M7"/>
    <mergeCell ref="N7:Q7"/>
    <mergeCell ref="R7:U7"/>
    <mergeCell ref="V7:Y7"/>
    <mergeCell ref="Z7:AC7"/>
    <mergeCell ref="AD7:AG7"/>
    <mergeCell ref="AH7:AS7"/>
    <mergeCell ref="B8:E10"/>
    <mergeCell ref="F8:I10"/>
    <mergeCell ref="J8:M10"/>
  </mergeCells>
  <pageMargins left="0.7" right="0.7" top="0.75" bottom="0.75" header="0.3" footer="0.3"/>
  <pageSetup paperSize="9" scale="30" orientation="landscape" r:id="rId1"/>
  <colBreaks count="1" manualBreakCount="1">
    <brk id="25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9"/>
  <sheetViews>
    <sheetView view="pageBreakPreview" topLeftCell="G1" zoomScale="95" zoomScaleNormal="100" zoomScaleSheetLayoutView="95" workbookViewId="0"/>
  </sheetViews>
  <sheetFormatPr defaultRowHeight="15" x14ac:dyDescent="0.25"/>
  <cols>
    <col min="1" max="1" width="39.5703125" style="25" customWidth="1"/>
    <col min="2" max="17" width="10.7109375" style="25" customWidth="1"/>
    <col min="18" max="18" width="12.140625" style="341" customWidth="1"/>
    <col min="19" max="19" width="12" style="341" customWidth="1"/>
    <col min="20" max="20" width="9.85546875" style="341" customWidth="1"/>
    <col min="21" max="21" width="10.85546875" style="341" customWidth="1"/>
    <col min="22" max="22" width="9.140625" style="341"/>
    <col min="23" max="23" width="11.140625" style="341" customWidth="1"/>
    <col min="24" max="24" width="9.140625" style="341"/>
    <col min="25" max="25" width="11.42578125" style="341" customWidth="1"/>
    <col min="26" max="26" width="12.28515625" style="341" customWidth="1"/>
    <col min="27" max="256" width="9.140625" style="341"/>
    <col min="257" max="257" width="39.5703125" style="341" customWidth="1"/>
    <col min="258" max="273" width="10.7109375" style="341" customWidth="1"/>
    <col min="274" max="274" width="12.140625" style="341" customWidth="1"/>
    <col min="275" max="275" width="12" style="341" customWidth="1"/>
    <col min="276" max="276" width="9.85546875" style="341" customWidth="1"/>
    <col min="277" max="277" width="10.85546875" style="341" customWidth="1"/>
    <col min="278" max="278" width="9.140625" style="341"/>
    <col min="279" max="279" width="11.140625" style="341" customWidth="1"/>
    <col min="280" max="280" width="9.140625" style="341"/>
    <col min="281" max="281" width="11.42578125" style="341" customWidth="1"/>
    <col min="282" max="282" width="12.28515625" style="341" customWidth="1"/>
    <col min="283" max="512" width="9.140625" style="341"/>
    <col min="513" max="513" width="39.5703125" style="341" customWidth="1"/>
    <col min="514" max="529" width="10.7109375" style="341" customWidth="1"/>
    <col min="530" max="530" width="12.140625" style="341" customWidth="1"/>
    <col min="531" max="531" width="12" style="341" customWidth="1"/>
    <col min="532" max="532" width="9.85546875" style="341" customWidth="1"/>
    <col min="533" max="533" width="10.85546875" style="341" customWidth="1"/>
    <col min="534" max="534" width="9.140625" style="341"/>
    <col min="535" max="535" width="11.140625" style="341" customWidth="1"/>
    <col min="536" max="536" width="9.140625" style="341"/>
    <col min="537" max="537" width="11.42578125" style="341" customWidth="1"/>
    <col min="538" max="538" width="12.28515625" style="341" customWidth="1"/>
    <col min="539" max="768" width="9.140625" style="341"/>
    <col min="769" max="769" width="39.5703125" style="341" customWidth="1"/>
    <col min="770" max="785" width="10.7109375" style="341" customWidth="1"/>
    <col min="786" max="786" width="12.140625" style="341" customWidth="1"/>
    <col min="787" max="787" width="12" style="341" customWidth="1"/>
    <col min="788" max="788" width="9.85546875" style="341" customWidth="1"/>
    <col min="789" max="789" width="10.85546875" style="341" customWidth="1"/>
    <col min="790" max="790" width="9.140625" style="341"/>
    <col min="791" max="791" width="11.140625" style="341" customWidth="1"/>
    <col min="792" max="792" width="9.140625" style="341"/>
    <col min="793" max="793" width="11.42578125" style="341" customWidth="1"/>
    <col min="794" max="794" width="12.28515625" style="341" customWidth="1"/>
    <col min="795" max="1024" width="9.140625" style="341"/>
    <col min="1025" max="1025" width="39.5703125" style="341" customWidth="1"/>
    <col min="1026" max="1041" width="10.7109375" style="341" customWidth="1"/>
    <col min="1042" max="1042" width="12.140625" style="341" customWidth="1"/>
    <col min="1043" max="1043" width="12" style="341" customWidth="1"/>
    <col min="1044" max="1044" width="9.85546875" style="341" customWidth="1"/>
    <col min="1045" max="1045" width="10.85546875" style="341" customWidth="1"/>
    <col min="1046" max="1046" width="9.140625" style="341"/>
    <col min="1047" max="1047" width="11.140625" style="341" customWidth="1"/>
    <col min="1048" max="1048" width="9.140625" style="341"/>
    <col min="1049" max="1049" width="11.42578125" style="341" customWidth="1"/>
    <col min="1050" max="1050" width="12.28515625" style="341" customWidth="1"/>
    <col min="1051" max="1280" width="9.140625" style="341"/>
    <col min="1281" max="1281" width="39.5703125" style="341" customWidth="1"/>
    <col min="1282" max="1297" width="10.7109375" style="341" customWidth="1"/>
    <col min="1298" max="1298" width="12.140625" style="341" customWidth="1"/>
    <col min="1299" max="1299" width="12" style="341" customWidth="1"/>
    <col min="1300" max="1300" width="9.85546875" style="341" customWidth="1"/>
    <col min="1301" max="1301" width="10.85546875" style="341" customWidth="1"/>
    <col min="1302" max="1302" width="9.140625" style="341"/>
    <col min="1303" max="1303" width="11.140625" style="341" customWidth="1"/>
    <col min="1304" max="1304" width="9.140625" style="341"/>
    <col min="1305" max="1305" width="11.42578125" style="341" customWidth="1"/>
    <col min="1306" max="1306" width="12.28515625" style="341" customWidth="1"/>
    <col min="1307" max="1536" width="9.140625" style="341"/>
    <col min="1537" max="1537" width="39.5703125" style="341" customWidth="1"/>
    <col min="1538" max="1553" width="10.7109375" style="341" customWidth="1"/>
    <col min="1554" max="1554" width="12.140625" style="341" customWidth="1"/>
    <col min="1555" max="1555" width="12" style="341" customWidth="1"/>
    <col min="1556" max="1556" width="9.85546875" style="341" customWidth="1"/>
    <col min="1557" max="1557" width="10.85546875" style="341" customWidth="1"/>
    <col min="1558" max="1558" width="9.140625" style="341"/>
    <col min="1559" max="1559" width="11.140625" style="341" customWidth="1"/>
    <col min="1560" max="1560" width="9.140625" style="341"/>
    <col min="1561" max="1561" width="11.42578125" style="341" customWidth="1"/>
    <col min="1562" max="1562" width="12.28515625" style="341" customWidth="1"/>
    <col min="1563" max="1792" width="9.140625" style="341"/>
    <col min="1793" max="1793" width="39.5703125" style="341" customWidth="1"/>
    <col min="1794" max="1809" width="10.7109375" style="341" customWidth="1"/>
    <col min="1810" max="1810" width="12.140625" style="341" customWidth="1"/>
    <col min="1811" max="1811" width="12" style="341" customWidth="1"/>
    <col min="1812" max="1812" width="9.85546875" style="341" customWidth="1"/>
    <col min="1813" max="1813" width="10.85546875" style="341" customWidth="1"/>
    <col min="1814" max="1814" width="9.140625" style="341"/>
    <col min="1815" max="1815" width="11.140625" style="341" customWidth="1"/>
    <col min="1816" max="1816" width="9.140625" style="341"/>
    <col min="1817" max="1817" width="11.42578125" style="341" customWidth="1"/>
    <col min="1818" max="1818" width="12.28515625" style="341" customWidth="1"/>
    <col min="1819" max="2048" width="9.140625" style="341"/>
    <col min="2049" max="2049" width="39.5703125" style="341" customWidth="1"/>
    <col min="2050" max="2065" width="10.7109375" style="341" customWidth="1"/>
    <col min="2066" max="2066" width="12.140625" style="341" customWidth="1"/>
    <col min="2067" max="2067" width="12" style="341" customWidth="1"/>
    <col min="2068" max="2068" width="9.85546875" style="341" customWidth="1"/>
    <col min="2069" max="2069" width="10.85546875" style="341" customWidth="1"/>
    <col min="2070" max="2070" width="9.140625" style="341"/>
    <col min="2071" max="2071" width="11.140625" style="341" customWidth="1"/>
    <col min="2072" max="2072" width="9.140625" style="341"/>
    <col min="2073" max="2073" width="11.42578125" style="341" customWidth="1"/>
    <col min="2074" max="2074" width="12.28515625" style="341" customWidth="1"/>
    <col min="2075" max="2304" width="9.140625" style="341"/>
    <col min="2305" max="2305" width="39.5703125" style="341" customWidth="1"/>
    <col min="2306" max="2321" width="10.7109375" style="341" customWidth="1"/>
    <col min="2322" max="2322" width="12.140625" style="341" customWidth="1"/>
    <col min="2323" max="2323" width="12" style="341" customWidth="1"/>
    <col min="2324" max="2324" width="9.85546875" style="341" customWidth="1"/>
    <col min="2325" max="2325" width="10.85546875" style="341" customWidth="1"/>
    <col min="2326" max="2326" width="9.140625" style="341"/>
    <col min="2327" max="2327" width="11.140625" style="341" customWidth="1"/>
    <col min="2328" max="2328" width="9.140625" style="341"/>
    <col min="2329" max="2329" width="11.42578125" style="341" customWidth="1"/>
    <col min="2330" max="2330" width="12.28515625" style="341" customWidth="1"/>
    <col min="2331" max="2560" width="9.140625" style="341"/>
    <col min="2561" max="2561" width="39.5703125" style="341" customWidth="1"/>
    <col min="2562" max="2577" width="10.7109375" style="341" customWidth="1"/>
    <col min="2578" max="2578" width="12.140625" style="341" customWidth="1"/>
    <col min="2579" max="2579" width="12" style="341" customWidth="1"/>
    <col min="2580" max="2580" width="9.85546875" style="341" customWidth="1"/>
    <col min="2581" max="2581" width="10.85546875" style="341" customWidth="1"/>
    <col min="2582" max="2582" width="9.140625" style="341"/>
    <col min="2583" max="2583" width="11.140625" style="341" customWidth="1"/>
    <col min="2584" max="2584" width="9.140625" style="341"/>
    <col min="2585" max="2585" width="11.42578125" style="341" customWidth="1"/>
    <col min="2586" max="2586" width="12.28515625" style="341" customWidth="1"/>
    <col min="2587" max="2816" width="9.140625" style="341"/>
    <col min="2817" max="2817" width="39.5703125" style="341" customWidth="1"/>
    <col min="2818" max="2833" width="10.7109375" style="341" customWidth="1"/>
    <col min="2834" max="2834" width="12.140625" style="341" customWidth="1"/>
    <col min="2835" max="2835" width="12" style="341" customWidth="1"/>
    <col min="2836" max="2836" width="9.85546875" style="341" customWidth="1"/>
    <col min="2837" max="2837" width="10.85546875" style="341" customWidth="1"/>
    <col min="2838" max="2838" width="9.140625" style="341"/>
    <col min="2839" max="2839" width="11.140625" style="341" customWidth="1"/>
    <col min="2840" max="2840" width="9.140625" style="341"/>
    <col min="2841" max="2841" width="11.42578125" style="341" customWidth="1"/>
    <col min="2842" max="2842" width="12.28515625" style="341" customWidth="1"/>
    <col min="2843" max="3072" width="9.140625" style="341"/>
    <col min="3073" max="3073" width="39.5703125" style="341" customWidth="1"/>
    <col min="3074" max="3089" width="10.7109375" style="341" customWidth="1"/>
    <col min="3090" max="3090" width="12.140625" style="341" customWidth="1"/>
    <col min="3091" max="3091" width="12" style="341" customWidth="1"/>
    <col min="3092" max="3092" width="9.85546875" style="341" customWidth="1"/>
    <col min="3093" max="3093" width="10.85546875" style="341" customWidth="1"/>
    <col min="3094" max="3094" width="9.140625" style="341"/>
    <col min="3095" max="3095" width="11.140625" style="341" customWidth="1"/>
    <col min="3096" max="3096" width="9.140625" style="341"/>
    <col min="3097" max="3097" width="11.42578125" style="341" customWidth="1"/>
    <col min="3098" max="3098" width="12.28515625" style="341" customWidth="1"/>
    <col min="3099" max="3328" width="9.140625" style="341"/>
    <col min="3329" max="3329" width="39.5703125" style="341" customWidth="1"/>
    <col min="3330" max="3345" width="10.7109375" style="341" customWidth="1"/>
    <col min="3346" max="3346" width="12.140625" style="341" customWidth="1"/>
    <col min="3347" max="3347" width="12" style="341" customWidth="1"/>
    <col min="3348" max="3348" width="9.85546875" style="341" customWidth="1"/>
    <col min="3349" max="3349" width="10.85546875" style="341" customWidth="1"/>
    <col min="3350" max="3350" width="9.140625" style="341"/>
    <col min="3351" max="3351" width="11.140625" style="341" customWidth="1"/>
    <col min="3352" max="3352" width="9.140625" style="341"/>
    <col min="3353" max="3353" width="11.42578125" style="341" customWidth="1"/>
    <col min="3354" max="3354" width="12.28515625" style="341" customWidth="1"/>
    <col min="3355" max="3584" width="9.140625" style="341"/>
    <col min="3585" max="3585" width="39.5703125" style="341" customWidth="1"/>
    <col min="3586" max="3601" width="10.7109375" style="341" customWidth="1"/>
    <col min="3602" max="3602" width="12.140625" style="341" customWidth="1"/>
    <col min="3603" max="3603" width="12" style="341" customWidth="1"/>
    <col min="3604" max="3604" width="9.85546875" style="341" customWidth="1"/>
    <col min="3605" max="3605" width="10.85546875" style="341" customWidth="1"/>
    <col min="3606" max="3606" width="9.140625" style="341"/>
    <col min="3607" max="3607" width="11.140625" style="341" customWidth="1"/>
    <col min="3608" max="3608" width="9.140625" style="341"/>
    <col min="3609" max="3609" width="11.42578125" style="341" customWidth="1"/>
    <col min="3610" max="3610" width="12.28515625" style="341" customWidth="1"/>
    <col min="3611" max="3840" width="9.140625" style="341"/>
    <col min="3841" max="3841" width="39.5703125" style="341" customWidth="1"/>
    <col min="3842" max="3857" width="10.7109375" style="341" customWidth="1"/>
    <col min="3858" max="3858" width="12.140625" style="341" customWidth="1"/>
    <col min="3859" max="3859" width="12" style="341" customWidth="1"/>
    <col min="3860" max="3860" width="9.85546875" style="341" customWidth="1"/>
    <col min="3861" max="3861" width="10.85546875" style="341" customWidth="1"/>
    <col min="3862" max="3862" width="9.140625" style="341"/>
    <col min="3863" max="3863" width="11.140625" style="341" customWidth="1"/>
    <col min="3864" max="3864" width="9.140625" style="341"/>
    <col min="3865" max="3865" width="11.42578125" style="341" customWidth="1"/>
    <col min="3866" max="3866" width="12.28515625" style="341" customWidth="1"/>
    <col min="3867" max="4096" width="9.140625" style="341"/>
    <col min="4097" max="4097" width="39.5703125" style="341" customWidth="1"/>
    <col min="4098" max="4113" width="10.7109375" style="341" customWidth="1"/>
    <col min="4114" max="4114" width="12.140625" style="341" customWidth="1"/>
    <col min="4115" max="4115" width="12" style="341" customWidth="1"/>
    <col min="4116" max="4116" width="9.85546875" style="341" customWidth="1"/>
    <col min="4117" max="4117" width="10.85546875" style="341" customWidth="1"/>
    <col min="4118" max="4118" width="9.140625" style="341"/>
    <col min="4119" max="4119" width="11.140625" style="341" customWidth="1"/>
    <col min="4120" max="4120" width="9.140625" style="341"/>
    <col min="4121" max="4121" width="11.42578125" style="341" customWidth="1"/>
    <col min="4122" max="4122" width="12.28515625" style="341" customWidth="1"/>
    <col min="4123" max="4352" width="9.140625" style="341"/>
    <col min="4353" max="4353" width="39.5703125" style="341" customWidth="1"/>
    <col min="4354" max="4369" width="10.7109375" style="341" customWidth="1"/>
    <col min="4370" max="4370" width="12.140625" style="341" customWidth="1"/>
    <col min="4371" max="4371" width="12" style="341" customWidth="1"/>
    <col min="4372" max="4372" width="9.85546875" style="341" customWidth="1"/>
    <col min="4373" max="4373" width="10.85546875" style="341" customWidth="1"/>
    <col min="4374" max="4374" width="9.140625" style="341"/>
    <col min="4375" max="4375" width="11.140625" style="341" customWidth="1"/>
    <col min="4376" max="4376" width="9.140625" style="341"/>
    <col min="4377" max="4377" width="11.42578125" style="341" customWidth="1"/>
    <col min="4378" max="4378" width="12.28515625" style="341" customWidth="1"/>
    <col min="4379" max="4608" width="9.140625" style="341"/>
    <col min="4609" max="4609" width="39.5703125" style="341" customWidth="1"/>
    <col min="4610" max="4625" width="10.7109375" style="341" customWidth="1"/>
    <col min="4626" max="4626" width="12.140625" style="341" customWidth="1"/>
    <col min="4627" max="4627" width="12" style="341" customWidth="1"/>
    <col min="4628" max="4628" width="9.85546875" style="341" customWidth="1"/>
    <col min="4629" max="4629" width="10.85546875" style="341" customWidth="1"/>
    <col min="4630" max="4630" width="9.140625" style="341"/>
    <col min="4631" max="4631" width="11.140625" style="341" customWidth="1"/>
    <col min="4632" max="4632" width="9.140625" style="341"/>
    <col min="4633" max="4633" width="11.42578125" style="341" customWidth="1"/>
    <col min="4634" max="4634" width="12.28515625" style="341" customWidth="1"/>
    <col min="4635" max="4864" width="9.140625" style="341"/>
    <col min="4865" max="4865" width="39.5703125" style="341" customWidth="1"/>
    <col min="4866" max="4881" width="10.7109375" style="341" customWidth="1"/>
    <col min="4882" max="4882" width="12.140625" style="341" customWidth="1"/>
    <col min="4883" max="4883" width="12" style="341" customWidth="1"/>
    <col min="4884" max="4884" width="9.85546875" style="341" customWidth="1"/>
    <col min="4885" max="4885" width="10.85546875" style="341" customWidth="1"/>
    <col min="4886" max="4886" width="9.140625" style="341"/>
    <col min="4887" max="4887" width="11.140625" style="341" customWidth="1"/>
    <col min="4888" max="4888" width="9.140625" style="341"/>
    <col min="4889" max="4889" width="11.42578125" style="341" customWidth="1"/>
    <col min="4890" max="4890" width="12.28515625" style="341" customWidth="1"/>
    <col min="4891" max="5120" width="9.140625" style="341"/>
    <col min="5121" max="5121" width="39.5703125" style="341" customWidth="1"/>
    <col min="5122" max="5137" width="10.7109375" style="341" customWidth="1"/>
    <col min="5138" max="5138" width="12.140625" style="341" customWidth="1"/>
    <col min="5139" max="5139" width="12" style="341" customWidth="1"/>
    <col min="5140" max="5140" width="9.85546875" style="341" customWidth="1"/>
    <col min="5141" max="5141" width="10.85546875" style="341" customWidth="1"/>
    <col min="5142" max="5142" width="9.140625" style="341"/>
    <col min="5143" max="5143" width="11.140625" style="341" customWidth="1"/>
    <col min="5144" max="5144" width="9.140625" style="341"/>
    <col min="5145" max="5145" width="11.42578125" style="341" customWidth="1"/>
    <col min="5146" max="5146" width="12.28515625" style="341" customWidth="1"/>
    <col min="5147" max="5376" width="9.140625" style="341"/>
    <col min="5377" max="5377" width="39.5703125" style="341" customWidth="1"/>
    <col min="5378" max="5393" width="10.7109375" style="341" customWidth="1"/>
    <col min="5394" max="5394" width="12.140625" style="341" customWidth="1"/>
    <col min="5395" max="5395" width="12" style="341" customWidth="1"/>
    <col min="5396" max="5396" width="9.85546875" style="341" customWidth="1"/>
    <col min="5397" max="5397" width="10.85546875" style="341" customWidth="1"/>
    <col min="5398" max="5398" width="9.140625" style="341"/>
    <col min="5399" max="5399" width="11.140625" style="341" customWidth="1"/>
    <col min="5400" max="5400" width="9.140625" style="341"/>
    <col min="5401" max="5401" width="11.42578125" style="341" customWidth="1"/>
    <col min="5402" max="5402" width="12.28515625" style="341" customWidth="1"/>
    <col min="5403" max="5632" width="9.140625" style="341"/>
    <col min="5633" max="5633" width="39.5703125" style="341" customWidth="1"/>
    <col min="5634" max="5649" width="10.7109375" style="341" customWidth="1"/>
    <col min="5650" max="5650" width="12.140625" style="341" customWidth="1"/>
    <col min="5651" max="5651" width="12" style="341" customWidth="1"/>
    <col min="5652" max="5652" width="9.85546875" style="341" customWidth="1"/>
    <col min="5653" max="5653" width="10.85546875" style="341" customWidth="1"/>
    <col min="5654" max="5654" width="9.140625" style="341"/>
    <col min="5655" max="5655" width="11.140625" style="341" customWidth="1"/>
    <col min="5656" max="5656" width="9.140625" style="341"/>
    <col min="5657" max="5657" width="11.42578125" style="341" customWidth="1"/>
    <col min="5658" max="5658" width="12.28515625" style="341" customWidth="1"/>
    <col min="5659" max="5888" width="9.140625" style="341"/>
    <col min="5889" max="5889" width="39.5703125" style="341" customWidth="1"/>
    <col min="5890" max="5905" width="10.7109375" style="341" customWidth="1"/>
    <col min="5906" max="5906" width="12.140625" style="341" customWidth="1"/>
    <col min="5907" max="5907" width="12" style="341" customWidth="1"/>
    <col min="5908" max="5908" width="9.85546875" style="341" customWidth="1"/>
    <col min="5909" max="5909" width="10.85546875" style="341" customWidth="1"/>
    <col min="5910" max="5910" width="9.140625" style="341"/>
    <col min="5911" max="5911" width="11.140625" style="341" customWidth="1"/>
    <col min="5912" max="5912" width="9.140625" style="341"/>
    <col min="5913" max="5913" width="11.42578125" style="341" customWidth="1"/>
    <col min="5914" max="5914" width="12.28515625" style="341" customWidth="1"/>
    <col min="5915" max="6144" width="9.140625" style="341"/>
    <col min="6145" max="6145" width="39.5703125" style="341" customWidth="1"/>
    <col min="6146" max="6161" width="10.7109375" style="341" customWidth="1"/>
    <col min="6162" max="6162" width="12.140625" style="341" customWidth="1"/>
    <col min="6163" max="6163" width="12" style="341" customWidth="1"/>
    <col min="6164" max="6164" width="9.85546875" style="341" customWidth="1"/>
    <col min="6165" max="6165" width="10.85546875" style="341" customWidth="1"/>
    <col min="6166" max="6166" width="9.140625" style="341"/>
    <col min="6167" max="6167" width="11.140625" style="341" customWidth="1"/>
    <col min="6168" max="6168" width="9.140625" style="341"/>
    <col min="6169" max="6169" width="11.42578125" style="341" customWidth="1"/>
    <col min="6170" max="6170" width="12.28515625" style="341" customWidth="1"/>
    <col min="6171" max="6400" width="9.140625" style="341"/>
    <col min="6401" max="6401" width="39.5703125" style="341" customWidth="1"/>
    <col min="6402" max="6417" width="10.7109375" style="341" customWidth="1"/>
    <col min="6418" max="6418" width="12.140625" style="341" customWidth="1"/>
    <col min="6419" max="6419" width="12" style="341" customWidth="1"/>
    <col min="6420" max="6420" width="9.85546875" style="341" customWidth="1"/>
    <col min="6421" max="6421" width="10.85546875" style="341" customWidth="1"/>
    <col min="6422" max="6422" width="9.140625" style="341"/>
    <col min="6423" max="6423" width="11.140625" style="341" customWidth="1"/>
    <col min="6424" max="6424" width="9.140625" style="341"/>
    <col min="6425" max="6425" width="11.42578125" style="341" customWidth="1"/>
    <col min="6426" max="6426" width="12.28515625" style="341" customWidth="1"/>
    <col min="6427" max="6656" width="9.140625" style="341"/>
    <col min="6657" max="6657" width="39.5703125" style="341" customWidth="1"/>
    <col min="6658" max="6673" width="10.7109375" style="341" customWidth="1"/>
    <col min="6674" max="6674" width="12.140625" style="341" customWidth="1"/>
    <col min="6675" max="6675" width="12" style="341" customWidth="1"/>
    <col min="6676" max="6676" width="9.85546875" style="341" customWidth="1"/>
    <col min="6677" max="6677" width="10.85546875" style="341" customWidth="1"/>
    <col min="6678" max="6678" width="9.140625" style="341"/>
    <col min="6679" max="6679" width="11.140625" style="341" customWidth="1"/>
    <col min="6680" max="6680" width="9.140625" style="341"/>
    <col min="6681" max="6681" width="11.42578125" style="341" customWidth="1"/>
    <col min="6682" max="6682" width="12.28515625" style="341" customWidth="1"/>
    <col min="6683" max="6912" width="9.140625" style="341"/>
    <col min="6913" max="6913" width="39.5703125" style="341" customWidth="1"/>
    <col min="6914" max="6929" width="10.7109375" style="341" customWidth="1"/>
    <col min="6930" max="6930" width="12.140625" style="341" customWidth="1"/>
    <col min="6931" max="6931" width="12" style="341" customWidth="1"/>
    <col min="6932" max="6932" width="9.85546875" style="341" customWidth="1"/>
    <col min="6933" max="6933" width="10.85546875" style="341" customWidth="1"/>
    <col min="6934" max="6934" width="9.140625" style="341"/>
    <col min="6935" max="6935" width="11.140625" style="341" customWidth="1"/>
    <col min="6936" max="6936" width="9.140625" style="341"/>
    <col min="6937" max="6937" width="11.42578125" style="341" customWidth="1"/>
    <col min="6938" max="6938" width="12.28515625" style="341" customWidth="1"/>
    <col min="6939" max="7168" width="9.140625" style="341"/>
    <col min="7169" max="7169" width="39.5703125" style="341" customWidth="1"/>
    <col min="7170" max="7185" width="10.7109375" style="341" customWidth="1"/>
    <col min="7186" max="7186" width="12.140625" style="341" customWidth="1"/>
    <col min="7187" max="7187" width="12" style="341" customWidth="1"/>
    <col min="7188" max="7188" width="9.85546875" style="341" customWidth="1"/>
    <col min="7189" max="7189" width="10.85546875" style="341" customWidth="1"/>
    <col min="7190" max="7190" width="9.140625" style="341"/>
    <col min="7191" max="7191" width="11.140625" style="341" customWidth="1"/>
    <col min="7192" max="7192" width="9.140625" style="341"/>
    <col min="7193" max="7193" width="11.42578125" style="341" customWidth="1"/>
    <col min="7194" max="7194" width="12.28515625" style="341" customWidth="1"/>
    <col min="7195" max="7424" width="9.140625" style="341"/>
    <col min="7425" max="7425" width="39.5703125" style="341" customWidth="1"/>
    <col min="7426" max="7441" width="10.7109375" style="341" customWidth="1"/>
    <col min="7442" max="7442" width="12.140625" style="341" customWidth="1"/>
    <col min="7443" max="7443" width="12" style="341" customWidth="1"/>
    <col min="7444" max="7444" width="9.85546875" style="341" customWidth="1"/>
    <col min="7445" max="7445" width="10.85546875" style="341" customWidth="1"/>
    <col min="7446" max="7446" width="9.140625" style="341"/>
    <col min="7447" max="7447" width="11.140625" style="341" customWidth="1"/>
    <col min="7448" max="7448" width="9.140625" style="341"/>
    <col min="7449" max="7449" width="11.42578125" style="341" customWidth="1"/>
    <col min="7450" max="7450" width="12.28515625" style="341" customWidth="1"/>
    <col min="7451" max="7680" width="9.140625" style="341"/>
    <col min="7681" max="7681" width="39.5703125" style="341" customWidth="1"/>
    <col min="7682" max="7697" width="10.7109375" style="341" customWidth="1"/>
    <col min="7698" max="7698" width="12.140625" style="341" customWidth="1"/>
    <col min="7699" max="7699" width="12" style="341" customWidth="1"/>
    <col min="7700" max="7700" width="9.85546875" style="341" customWidth="1"/>
    <col min="7701" max="7701" width="10.85546875" style="341" customWidth="1"/>
    <col min="7702" max="7702" width="9.140625" style="341"/>
    <col min="7703" max="7703" width="11.140625" style="341" customWidth="1"/>
    <col min="7704" max="7704" width="9.140625" style="341"/>
    <col min="7705" max="7705" width="11.42578125" style="341" customWidth="1"/>
    <col min="7706" max="7706" width="12.28515625" style="341" customWidth="1"/>
    <col min="7707" max="7936" width="9.140625" style="341"/>
    <col min="7937" max="7937" width="39.5703125" style="341" customWidth="1"/>
    <col min="7938" max="7953" width="10.7109375" style="341" customWidth="1"/>
    <col min="7954" max="7954" width="12.140625" style="341" customWidth="1"/>
    <col min="7955" max="7955" width="12" style="341" customWidth="1"/>
    <col min="7956" max="7956" width="9.85546875" style="341" customWidth="1"/>
    <col min="7957" max="7957" width="10.85546875" style="341" customWidth="1"/>
    <col min="7958" max="7958" width="9.140625" style="341"/>
    <col min="7959" max="7959" width="11.140625" style="341" customWidth="1"/>
    <col min="7960" max="7960" width="9.140625" style="341"/>
    <col min="7961" max="7961" width="11.42578125" style="341" customWidth="1"/>
    <col min="7962" max="7962" width="12.28515625" style="341" customWidth="1"/>
    <col min="7963" max="8192" width="9.140625" style="341"/>
    <col min="8193" max="8193" width="39.5703125" style="341" customWidth="1"/>
    <col min="8194" max="8209" width="10.7109375" style="341" customWidth="1"/>
    <col min="8210" max="8210" width="12.140625" style="341" customWidth="1"/>
    <col min="8211" max="8211" width="12" style="341" customWidth="1"/>
    <col min="8212" max="8212" width="9.85546875" style="341" customWidth="1"/>
    <col min="8213" max="8213" width="10.85546875" style="341" customWidth="1"/>
    <col min="8214" max="8214" width="9.140625" style="341"/>
    <col min="8215" max="8215" width="11.140625" style="341" customWidth="1"/>
    <col min="8216" max="8216" width="9.140625" style="341"/>
    <col min="8217" max="8217" width="11.42578125" style="341" customWidth="1"/>
    <col min="8218" max="8218" width="12.28515625" style="341" customWidth="1"/>
    <col min="8219" max="8448" width="9.140625" style="341"/>
    <col min="8449" max="8449" width="39.5703125" style="341" customWidth="1"/>
    <col min="8450" max="8465" width="10.7109375" style="341" customWidth="1"/>
    <col min="8466" max="8466" width="12.140625" style="341" customWidth="1"/>
    <col min="8467" max="8467" width="12" style="341" customWidth="1"/>
    <col min="8468" max="8468" width="9.85546875" style="341" customWidth="1"/>
    <col min="8469" max="8469" width="10.85546875" style="341" customWidth="1"/>
    <col min="8470" max="8470" width="9.140625" style="341"/>
    <col min="8471" max="8471" width="11.140625" style="341" customWidth="1"/>
    <col min="8472" max="8472" width="9.140625" style="341"/>
    <col min="8473" max="8473" width="11.42578125" style="341" customWidth="1"/>
    <col min="8474" max="8474" width="12.28515625" style="341" customWidth="1"/>
    <col min="8475" max="8704" width="9.140625" style="341"/>
    <col min="8705" max="8705" width="39.5703125" style="341" customWidth="1"/>
    <col min="8706" max="8721" width="10.7109375" style="341" customWidth="1"/>
    <col min="8722" max="8722" width="12.140625" style="341" customWidth="1"/>
    <col min="8723" max="8723" width="12" style="341" customWidth="1"/>
    <col min="8724" max="8724" width="9.85546875" style="341" customWidth="1"/>
    <col min="8725" max="8725" width="10.85546875" style="341" customWidth="1"/>
    <col min="8726" max="8726" width="9.140625" style="341"/>
    <col min="8727" max="8727" width="11.140625" style="341" customWidth="1"/>
    <col min="8728" max="8728" width="9.140625" style="341"/>
    <col min="8729" max="8729" width="11.42578125" style="341" customWidth="1"/>
    <col min="8730" max="8730" width="12.28515625" style="341" customWidth="1"/>
    <col min="8731" max="8960" width="9.140625" style="341"/>
    <col min="8961" max="8961" width="39.5703125" style="341" customWidth="1"/>
    <col min="8962" max="8977" width="10.7109375" style="341" customWidth="1"/>
    <col min="8978" max="8978" width="12.140625" style="341" customWidth="1"/>
    <col min="8979" max="8979" width="12" style="341" customWidth="1"/>
    <col min="8980" max="8980" width="9.85546875" style="341" customWidth="1"/>
    <col min="8981" max="8981" width="10.85546875" style="341" customWidth="1"/>
    <col min="8982" max="8982" width="9.140625" style="341"/>
    <col min="8983" max="8983" width="11.140625" style="341" customWidth="1"/>
    <col min="8984" max="8984" width="9.140625" style="341"/>
    <col min="8985" max="8985" width="11.42578125" style="341" customWidth="1"/>
    <col min="8986" max="8986" width="12.28515625" style="341" customWidth="1"/>
    <col min="8987" max="9216" width="9.140625" style="341"/>
    <col min="9217" max="9217" width="39.5703125" style="341" customWidth="1"/>
    <col min="9218" max="9233" width="10.7109375" style="341" customWidth="1"/>
    <col min="9234" max="9234" width="12.140625" style="341" customWidth="1"/>
    <col min="9235" max="9235" width="12" style="341" customWidth="1"/>
    <col min="9236" max="9236" width="9.85546875" style="341" customWidth="1"/>
    <col min="9237" max="9237" width="10.85546875" style="341" customWidth="1"/>
    <col min="9238" max="9238" width="9.140625" style="341"/>
    <col min="9239" max="9239" width="11.140625" style="341" customWidth="1"/>
    <col min="9240" max="9240" width="9.140625" style="341"/>
    <col min="9241" max="9241" width="11.42578125" style="341" customWidth="1"/>
    <col min="9242" max="9242" width="12.28515625" style="341" customWidth="1"/>
    <col min="9243" max="9472" width="9.140625" style="341"/>
    <col min="9473" max="9473" width="39.5703125" style="341" customWidth="1"/>
    <col min="9474" max="9489" width="10.7109375" style="341" customWidth="1"/>
    <col min="9490" max="9490" width="12.140625" style="341" customWidth="1"/>
    <col min="9491" max="9491" width="12" style="341" customWidth="1"/>
    <col min="9492" max="9492" width="9.85546875" style="341" customWidth="1"/>
    <col min="9493" max="9493" width="10.85546875" style="341" customWidth="1"/>
    <col min="9494" max="9494" width="9.140625" style="341"/>
    <col min="9495" max="9495" width="11.140625" style="341" customWidth="1"/>
    <col min="9496" max="9496" width="9.140625" style="341"/>
    <col min="9497" max="9497" width="11.42578125" style="341" customWidth="1"/>
    <col min="9498" max="9498" width="12.28515625" style="341" customWidth="1"/>
    <col min="9499" max="9728" width="9.140625" style="341"/>
    <col min="9729" max="9729" width="39.5703125" style="341" customWidth="1"/>
    <col min="9730" max="9745" width="10.7109375" style="341" customWidth="1"/>
    <col min="9746" max="9746" width="12.140625" style="341" customWidth="1"/>
    <col min="9747" max="9747" width="12" style="341" customWidth="1"/>
    <col min="9748" max="9748" width="9.85546875" style="341" customWidth="1"/>
    <col min="9749" max="9749" width="10.85546875" style="341" customWidth="1"/>
    <col min="9750" max="9750" width="9.140625" style="341"/>
    <col min="9751" max="9751" width="11.140625" style="341" customWidth="1"/>
    <col min="9752" max="9752" width="9.140625" style="341"/>
    <col min="9753" max="9753" width="11.42578125" style="341" customWidth="1"/>
    <col min="9754" max="9754" width="12.28515625" style="341" customWidth="1"/>
    <col min="9755" max="9984" width="9.140625" style="341"/>
    <col min="9985" max="9985" width="39.5703125" style="341" customWidth="1"/>
    <col min="9986" max="10001" width="10.7109375" style="341" customWidth="1"/>
    <col min="10002" max="10002" width="12.140625" style="341" customWidth="1"/>
    <col min="10003" max="10003" width="12" style="341" customWidth="1"/>
    <col min="10004" max="10004" width="9.85546875" style="341" customWidth="1"/>
    <col min="10005" max="10005" width="10.85546875" style="341" customWidth="1"/>
    <col min="10006" max="10006" width="9.140625" style="341"/>
    <col min="10007" max="10007" width="11.140625" style="341" customWidth="1"/>
    <col min="10008" max="10008" width="9.140625" style="341"/>
    <col min="10009" max="10009" width="11.42578125" style="341" customWidth="1"/>
    <col min="10010" max="10010" width="12.28515625" style="341" customWidth="1"/>
    <col min="10011" max="10240" width="9.140625" style="341"/>
    <col min="10241" max="10241" width="39.5703125" style="341" customWidth="1"/>
    <col min="10242" max="10257" width="10.7109375" style="341" customWidth="1"/>
    <col min="10258" max="10258" width="12.140625" style="341" customWidth="1"/>
    <col min="10259" max="10259" width="12" style="341" customWidth="1"/>
    <col min="10260" max="10260" width="9.85546875" style="341" customWidth="1"/>
    <col min="10261" max="10261" width="10.85546875" style="341" customWidth="1"/>
    <col min="10262" max="10262" width="9.140625" style="341"/>
    <col min="10263" max="10263" width="11.140625" style="341" customWidth="1"/>
    <col min="10264" max="10264" width="9.140625" style="341"/>
    <col min="10265" max="10265" width="11.42578125" style="341" customWidth="1"/>
    <col min="10266" max="10266" width="12.28515625" style="341" customWidth="1"/>
    <col min="10267" max="10496" width="9.140625" style="341"/>
    <col min="10497" max="10497" width="39.5703125" style="341" customWidth="1"/>
    <col min="10498" max="10513" width="10.7109375" style="341" customWidth="1"/>
    <col min="10514" max="10514" width="12.140625" style="341" customWidth="1"/>
    <col min="10515" max="10515" width="12" style="341" customWidth="1"/>
    <col min="10516" max="10516" width="9.85546875" style="341" customWidth="1"/>
    <col min="10517" max="10517" width="10.85546875" style="341" customWidth="1"/>
    <col min="10518" max="10518" width="9.140625" style="341"/>
    <col min="10519" max="10519" width="11.140625" style="341" customWidth="1"/>
    <col min="10520" max="10520" width="9.140625" style="341"/>
    <col min="10521" max="10521" width="11.42578125" style="341" customWidth="1"/>
    <col min="10522" max="10522" width="12.28515625" style="341" customWidth="1"/>
    <col min="10523" max="10752" width="9.140625" style="341"/>
    <col min="10753" max="10753" width="39.5703125" style="341" customWidth="1"/>
    <col min="10754" max="10769" width="10.7109375" style="341" customWidth="1"/>
    <col min="10770" max="10770" width="12.140625" style="341" customWidth="1"/>
    <col min="10771" max="10771" width="12" style="341" customWidth="1"/>
    <col min="10772" max="10772" width="9.85546875" style="341" customWidth="1"/>
    <col min="10773" max="10773" width="10.85546875" style="341" customWidth="1"/>
    <col min="10774" max="10774" width="9.140625" style="341"/>
    <col min="10775" max="10775" width="11.140625" style="341" customWidth="1"/>
    <col min="10776" max="10776" width="9.140625" style="341"/>
    <col min="10777" max="10777" width="11.42578125" style="341" customWidth="1"/>
    <col min="10778" max="10778" width="12.28515625" style="341" customWidth="1"/>
    <col min="10779" max="11008" width="9.140625" style="341"/>
    <col min="11009" max="11009" width="39.5703125" style="341" customWidth="1"/>
    <col min="11010" max="11025" width="10.7109375" style="341" customWidth="1"/>
    <col min="11026" max="11026" width="12.140625" style="341" customWidth="1"/>
    <col min="11027" max="11027" width="12" style="341" customWidth="1"/>
    <col min="11028" max="11028" width="9.85546875" style="341" customWidth="1"/>
    <col min="11029" max="11029" width="10.85546875" style="341" customWidth="1"/>
    <col min="11030" max="11030" width="9.140625" style="341"/>
    <col min="11031" max="11031" width="11.140625" style="341" customWidth="1"/>
    <col min="11032" max="11032" width="9.140625" style="341"/>
    <col min="11033" max="11033" width="11.42578125" style="341" customWidth="1"/>
    <col min="11034" max="11034" width="12.28515625" style="341" customWidth="1"/>
    <col min="11035" max="11264" width="9.140625" style="341"/>
    <col min="11265" max="11265" width="39.5703125" style="341" customWidth="1"/>
    <col min="11266" max="11281" width="10.7109375" style="341" customWidth="1"/>
    <col min="11282" max="11282" width="12.140625" style="341" customWidth="1"/>
    <col min="11283" max="11283" width="12" style="341" customWidth="1"/>
    <col min="11284" max="11284" width="9.85546875" style="341" customWidth="1"/>
    <col min="11285" max="11285" width="10.85546875" style="341" customWidth="1"/>
    <col min="11286" max="11286" width="9.140625" style="341"/>
    <col min="11287" max="11287" width="11.140625" style="341" customWidth="1"/>
    <col min="11288" max="11288" width="9.140625" style="341"/>
    <col min="11289" max="11289" width="11.42578125" style="341" customWidth="1"/>
    <col min="11290" max="11290" width="12.28515625" style="341" customWidth="1"/>
    <col min="11291" max="11520" width="9.140625" style="341"/>
    <col min="11521" max="11521" width="39.5703125" style="341" customWidth="1"/>
    <col min="11522" max="11537" width="10.7109375" style="341" customWidth="1"/>
    <col min="11538" max="11538" width="12.140625" style="341" customWidth="1"/>
    <col min="11539" max="11539" width="12" style="341" customWidth="1"/>
    <col min="11540" max="11540" width="9.85546875" style="341" customWidth="1"/>
    <col min="11541" max="11541" width="10.85546875" style="341" customWidth="1"/>
    <col min="11542" max="11542" width="9.140625" style="341"/>
    <col min="11543" max="11543" width="11.140625" style="341" customWidth="1"/>
    <col min="11544" max="11544" width="9.140625" style="341"/>
    <col min="11545" max="11545" width="11.42578125" style="341" customWidth="1"/>
    <col min="11546" max="11546" width="12.28515625" style="341" customWidth="1"/>
    <col min="11547" max="11776" width="9.140625" style="341"/>
    <col min="11777" max="11777" width="39.5703125" style="341" customWidth="1"/>
    <col min="11778" max="11793" width="10.7109375" style="341" customWidth="1"/>
    <col min="11794" max="11794" width="12.140625" style="341" customWidth="1"/>
    <col min="11795" max="11795" width="12" style="341" customWidth="1"/>
    <col min="11796" max="11796" width="9.85546875" style="341" customWidth="1"/>
    <col min="11797" max="11797" width="10.85546875" style="341" customWidth="1"/>
    <col min="11798" max="11798" width="9.140625" style="341"/>
    <col min="11799" max="11799" width="11.140625" style="341" customWidth="1"/>
    <col min="11800" max="11800" width="9.140625" style="341"/>
    <col min="11801" max="11801" width="11.42578125" style="341" customWidth="1"/>
    <col min="11802" max="11802" width="12.28515625" style="341" customWidth="1"/>
    <col min="11803" max="12032" width="9.140625" style="341"/>
    <col min="12033" max="12033" width="39.5703125" style="341" customWidth="1"/>
    <col min="12034" max="12049" width="10.7109375" style="341" customWidth="1"/>
    <col min="12050" max="12050" width="12.140625" style="341" customWidth="1"/>
    <col min="12051" max="12051" width="12" style="341" customWidth="1"/>
    <col min="12052" max="12052" width="9.85546875" style="341" customWidth="1"/>
    <col min="12053" max="12053" width="10.85546875" style="341" customWidth="1"/>
    <col min="12054" max="12054" width="9.140625" style="341"/>
    <col min="12055" max="12055" width="11.140625" style="341" customWidth="1"/>
    <col min="12056" max="12056" width="9.140625" style="341"/>
    <col min="12057" max="12057" width="11.42578125" style="341" customWidth="1"/>
    <col min="12058" max="12058" width="12.28515625" style="341" customWidth="1"/>
    <col min="12059" max="12288" width="9.140625" style="341"/>
    <col min="12289" max="12289" width="39.5703125" style="341" customWidth="1"/>
    <col min="12290" max="12305" width="10.7109375" style="341" customWidth="1"/>
    <col min="12306" max="12306" width="12.140625" style="341" customWidth="1"/>
    <col min="12307" max="12307" width="12" style="341" customWidth="1"/>
    <col min="12308" max="12308" width="9.85546875" style="341" customWidth="1"/>
    <col min="12309" max="12309" width="10.85546875" style="341" customWidth="1"/>
    <col min="12310" max="12310" width="9.140625" style="341"/>
    <col min="12311" max="12311" width="11.140625" style="341" customWidth="1"/>
    <col min="12312" max="12312" width="9.140625" style="341"/>
    <col min="12313" max="12313" width="11.42578125" style="341" customWidth="1"/>
    <col min="12314" max="12314" width="12.28515625" style="341" customWidth="1"/>
    <col min="12315" max="12544" width="9.140625" style="341"/>
    <col min="12545" max="12545" width="39.5703125" style="341" customWidth="1"/>
    <col min="12546" max="12561" width="10.7109375" style="341" customWidth="1"/>
    <col min="12562" max="12562" width="12.140625" style="341" customWidth="1"/>
    <col min="12563" max="12563" width="12" style="341" customWidth="1"/>
    <col min="12564" max="12564" width="9.85546875" style="341" customWidth="1"/>
    <col min="12565" max="12565" width="10.85546875" style="341" customWidth="1"/>
    <col min="12566" max="12566" width="9.140625" style="341"/>
    <col min="12567" max="12567" width="11.140625" style="341" customWidth="1"/>
    <col min="12568" max="12568" width="9.140625" style="341"/>
    <col min="12569" max="12569" width="11.42578125" style="341" customWidth="1"/>
    <col min="12570" max="12570" width="12.28515625" style="341" customWidth="1"/>
    <col min="12571" max="12800" width="9.140625" style="341"/>
    <col min="12801" max="12801" width="39.5703125" style="341" customWidth="1"/>
    <col min="12802" max="12817" width="10.7109375" style="341" customWidth="1"/>
    <col min="12818" max="12818" width="12.140625" style="341" customWidth="1"/>
    <col min="12819" max="12819" width="12" style="341" customWidth="1"/>
    <col min="12820" max="12820" width="9.85546875" style="341" customWidth="1"/>
    <col min="12821" max="12821" width="10.85546875" style="341" customWidth="1"/>
    <col min="12822" max="12822" width="9.140625" style="341"/>
    <col min="12823" max="12823" width="11.140625" style="341" customWidth="1"/>
    <col min="12824" max="12824" width="9.140625" style="341"/>
    <col min="12825" max="12825" width="11.42578125" style="341" customWidth="1"/>
    <col min="12826" max="12826" width="12.28515625" style="341" customWidth="1"/>
    <col min="12827" max="13056" width="9.140625" style="341"/>
    <col min="13057" max="13057" width="39.5703125" style="341" customWidth="1"/>
    <col min="13058" max="13073" width="10.7109375" style="341" customWidth="1"/>
    <col min="13074" max="13074" width="12.140625" style="341" customWidth="1"/>
    <col min="13075" max="13075" width="12" style="341" customWidth="1"/>
    <col min="13076" max="13076" width="9.85546875" style="341" customWidth="1"/>
    <col min="13077" max="13077" width="10.85546875" style="341" customWidth="1"/>
    <col min="13078" max="13078" width="9.140625" style="341"/>
    <col min="13079" max="13079" width="11.140625" style="341" customWidth="1"/>
    <col min="13080" max="13080" width="9.140625" style="341"/>
    <col min="13081" max="13081" width="11.42578125" style="341" customWidth="1"/>
    <col min="13082" max="13082" width="12.28515625" style="341" customWidth="1"/>
    <col min="13083" max="13312" width="9.140625" style="341"/>
    <col min="13313" max="13313" width="39.5703125" style="341" customWidth="1"/>
    <col min="13314" max="13329" width="10.7109375" style="341" customWidth="1"/>
    <col min="13330" max="13330" width="12.140625" style="341" customWidth="1"/>
    <col min="13331" max="13331" width="12" style="341" customWidth="1"/>
    <col min="13332" max="13332" width="9.85546875" style="341" customWidth="1"/>
    <col min="13333" max="13333" width="10.85546875" style="341" customWidth="1"/>
    <col min="13334" max="13334" width="9.140625" style="341"/>
    <col min="13335" max="13335" width="11.140625" style="341" customWidth="1"/>
    <col min="13336" max="13336" width="9.140625" style="341"/>
    <col min="13337" max="13337" width="11.42578125" style="341" customWidth="1"/>
    <col min="13338" max="13338" width="12.28515625" style="341" customWidth="1"/>
    <col min="13339" max="13568" width="9.140625" style="341"/>
    <col min="13569" max="13569" width="39.5703125" style="341" customWidth="1"/>
    <col min="13570" max="13585" width="10.7109375" style="341" customWidth="1"/>
    <col min="13586" max="13586" width="12.140625" style="341" customWidth="1"/>
    <col min="13587" max="13587" width="12" style="341" customWidth="1"/>
    <col min="13588" max="13588" width="9.85546875" style="341" customWidth="1"/>
    <col min="13589" max="13589" width="10.85546875" style="341" customWidth="1"/>
    <col min="13590" max="13590" width="9.140625" style="341"/>
    <col min="13591" max="13591" width="11.140625" style="341" customWidth="1"/>
    <col min="13592" max="13592" width="9.140625" style="341"/>
    <col min="13593" max="13593" width="11.42578125" style="341" customWidth="1"/>
    <col min="13594" max="13594" width="12.28515625" style="341" customWidth="1"/>
    <col min="13595" max="13824" width="9.140625" style="341"/>
    <col min="13825" max="13825" width="39.5703125" style="341" customWidth="1"/>
    <col min="13826" max="13841" width="10.7109375" style="341" customWidth="1"/>
    <col min="13842" max="13842" width="12.140625" style="341" customWidth="1"/>
    <col min="13843" max="13843" width="12" style="341" customWidth="1"/>
    <col min="13844" max="13844" width="9.85546875" style="341" customWidth="1"/>
    <col min="13845" max="13845" width="10.85546875" style="341" customWidth="1"/>
    <col min="13846" max="13846" width="9.140625" style="341"/>
    <col min="13847" max="13847" width="11.140625" style="341" customWidth="1"/>
    <col min="13848" max="13848" width="9.140625" style="341"/>
    <col min="13849" max="13849" width="11.42578125" style="341" customWidth="1"/>
    <col min="13850" max="13850" width="12.28515625" style="341" customWidth="1"/>
    <col min="13851" max="14080" width="9.140625" style="341"/>
    <col min="14081" max="14081" width="39.5703125" style="341" customWidth="1"/>
    <col min="14082" max="14097" width="10.7109375" style="341" customWidth="1"/>
    <col min="14098" max="14098" width="12.140625" style="341" customWidth="1"/>
    <col min="14099" max="14099" width="12" style="341" customWidth="1"/>
    <col min="14100" max="14100" width="9.85546875" style="341" customWidth="1"/>
    <col min="14101" max="14101" width="10.85546875" style="341" customWidth="1"/>
    <col min="14102" max="14102" width="9.140625" style="341"/>
    <col min="14103" max="14103" width="11.140625" style="341" customWidth="1"/>
    <col min="14104" max="14104" width="9.140625" style="341"/>
    <col min="14105" max="14105" width="11.42578125" style="341" customWidth="1"/>
    <col min="14106" max="14106" width="12.28515625" style="341" customWidth="1"/>
    <col min="14107" max="14336" width="9.140625" style="341"/>
    <col min="14337" max="14337" width="39.5703125" style="341" customWidth="1"/>
    <col min="14338" max="14353" width="10.7109375" style="341" customWidth="1"/>
    <col min="14354" max="14354" width="12.140625" style="341" customWidth="1"/>
    <col min="14355" max="14355" width="12" style="341" customWidth="1"/>
    <col min="14356" max="14356" width="9.85546875" style="341" customWidth="1"/>
    <col min="14357" max="14357" width="10.85546875" style="341" customWidth="1"/>
    <col min="14358" max="14358" width="9.140625" style="341"/>
    <col min="14359" max="14359" width="11.140625" style="341" customWidth="1"/>
    <col min="14360" max="14360" width="9.140625" style="341"/>
    <col min="14361" max="14361" width="11.42578125" style="341" customWidth="1"/>
    <col min="14362" max="14362" width="12.28515625" style="341" customWidth="1"/>
    <col min="14363" max="14592" width="9.140625" style="341"/>
    <col min="14593" max="14593" width="39.5703125" style="341" customWidth="1"/>
    <col min="14594" max="14609" width="10.7109375" style="341" customWidth="1"/>
    <col min="14610" max="14610" width="12.140625" style="341" customWidth="1"/>
    <col min="14611" max="14611" width="12" style="341" customWidth="1"/>
    <col min="14612" max="14612" width="9.85546875" style="341" customWidth="1"/>
    <col min="14613" max="14613" width="10.85546875" style="341" customWidth="1"/>
    <col min="14614" max="14614" width="9.140625" style="341"/>
    <col min="14615" max="14615" width="11.140625" style="341" customWidth="1"/>
    <col min="14616" max="14616" width="9.140625" style="341"/>
    <col min="14617" max="14617" width="11.42578125" style="341" customWidth="1"/>
    <col min="14618" max="14618" width="12.28515625" style="341" customWidth="1"/>
    <col min="14619" max="14848" width="9.140625" style="341"/>
    <col min="14849" max="14849" width="39.5703125" style="341" customWidth="1"/>
    <col min="14850" max="14865" width="10.7109375" style="341" customWidth="1"/>
    <col min="14866" max="14866" width="12.140625" style="341" customWidth="1"/>
    <col min="14867" max="14867" width="12" style="341" customWidth="1"/>
    <col min="14868" max="14868" width="9.85546875" style="341" customWidth="1"/>
    <col min="14869" max="14869" width="10.85546875" style="341" customWidth="1"/>
    <col min="14870" max="14870" width="9.140625" style="341"/>
    <col min="14871" max="14871" width="11.140625" style="341" customWidth="1"/>
    <col min="14872" max="14872" width="9.140625" style="341"/>
    <col min="14873" max="14873" width="11.42578125" style="341" customWidth="1"/>
    <col min="14874" max="14874" width="12.28515625" style="341" customWidth="1"/>
    <col min="14875" max="15104" width="9.140625" style="341"/>
    <col min="15105" max="15105" width="39.5703125" style="341" customWidth="1"/>
    <col min="15106" max="15121" width="10.7109375" style="341" customWidth="1"/>
    <col min="15122" max="15122" width="12.140625" style="341" customWidth="1"/>
    <col min="15123" max="15123" width="12" style="341" customWidth="1"/>
    <col min="15124" max="15124" width="9.85546875" style="341" customWidth="1"/>
    <col min="15125" max="15125" width="10.85546875" style="341" customWidth="1"/>
    <col min="15126" max="15126" width="9.140625" style="341"/>
    <col min="15127" max="15127" width="11.140625" style="341" customWidth="1"/>
    <col min="15128" max="15128" width="9.140625" style="341"/>
    <col min="15129" max="15129" width="11.42578125" style="341" customWidth="1"/>
    <col min="15130" max="15130" width="12.28515625" style="341" customWidth="1"/>
    <col min="15131" max="15360" width="9.140625" style="341"/>
    <col min="15361" max="15361" width="39.5703125" style="341" customWidth="1"/>
    <col min="15362" max="15377" width="10.7109375" style="341" customWidth="1"/>
    <col min="15378" max="15378" width="12.140625" style="341" customWidth="1"/>
    <col min="15379" max="15379" width="12" style="341" customWidth="1"/>
    <col min="15380" max="15380" width="9.85546875" style="341" customWidth="1"/>
    <col min="15381" max="15381" width="10.85546875" style="341" customWidth="1"/>
    <col min="15382" max="15382" width="9.140625" style="341"/>
    <col min="15383" max="15383" width="11.140625" style="341" customWidth="1"/>
    <col min="15384" max="15384" width="9.140625" style="341"/>
    <col min="15385" max="15385" width="11.42578125" style="341" customWidth="1"/>
    <col min="15386" max="15386" width="12.28515625" style="341" customWidth="1"/>
    <col min="15387" max="15616" width="9.140625" style="341"/>
    <col min="15617" max="15617" width="39.5703125" style="341" customWidth="1"/>
    <col min="15618" max="15633" width="10.7109375" style="341" customWidth="1"/>
    <col min="15634" max="15634" width="12.140625" style="341" customWidth="1"/>
    <col min="15635" max="15635" width="12" style="341" customWidth="1"/>
    <col min="15636" max="15636" width="9.85546875" style="341" customWidth="1"/>
    <col min="15637" max="15637" width="10.85546875" style="341" customWidth="1"/>
    <col min="15638" max="15638" width="9.140625" style="341"/>
    <col min="15639" max="15639" width="11.140625" style="341" customWidth="1"/>
    <col min="15640" max="15640" width="9.140625" style="341"/>
    <col min="15641" max="15641" width="11.42578125" style="341" customWidth="1"/>
    <col min="15642" max="15642" width="12.28515625" style="341" customWidth="1"/>
    <col min="15643" max="15872" width="9.140625" style="341"/>
    <col min="15873" max="15873" width="39.5703125" style="341" customWidth="1"/>
    <col min="15874" max="15889" width="10.7109375" style="341" customWidth="1"/>
    <col min="15890" max="15890" width="12.140625" style="341" customWidth="1"/>
    <col min="15891" max="15891" width="12" style="341" customWidth="1"/>
    <col min="15892" max="15892" width="9.85546875" style="341" customWidth="1"/>
    <col min="15893" max="15893" width="10.85546875" style="341" customWidth="1"/>
    <col min="15894" max="15894" width="9.140625" style="341"/>
    <col min="15895" max="15895" width="11.140625" style="341" customWidth="1"/>
    <col min="15896" max="15896" width="9.140625" style="341"/>
    <col min="15897" max="15897" width="11.42578125" style="341" customWidth="1"/>
    <col min="15898" max="15898" width="12.28515625" style="341" customWidth="1"/>
    <col min="15899" max="16128" width="9.140625" style="341"/>
    <col min="16129" max="16129" width="39.5703125" style="341" customWidth="1"/>
    <col min="16130" max="16145" width="10.7109375" style="341" customWidth="1"/>
    <col min="16146" max="16146" width="12.140625" style="341" customWidth="1"/>
    <col min="16147" max="16147" width="12" style="341" customWidth="1"/>
    <col min="16148" max="16148" width="9.85546875" style="341" customWidth="1"/>
    <col min="16149" max="16149" width="10.85546875" style="341" customWidth="1"/>
    <col min="16150" max="16150" width="9.140625" style="341"/>
    <col min="16151" max="16151" width="11.140625" style="341" customWidth="1"/>
    <col min="16152" max="16152" width="9.140625" style="341"/>
    <col min="16153" max="16153" width="11.42578125" style="341" customWidth="1"/>
    <col min="16154" max="16154" width="12.28515625" style="341" customWidth="1"/>
    <col min="16155" max="16384" width="9.140625" style="341"/>
  </cols>
  <sheetData>
    <row r="1" spans="1:26" x14ac:dyDescent="0.25">
      <c r="A1" s="25" t="s">
        <v>972</v>
      </c>
    </row>
    <row r="3" spans="1:26" ht="15.75" x14ac:dyDescent="0.25">
      <c r="A3" s="564"/>
    </row>
    <row r="4" spans="1:26" ht="15.75" x14ac:dyDescent="0.25">
      <c r="A4" s="908" t="s">
        <v>804</v>
      </c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  <c r="X4" s="908"/>
      <c r="Y4" s="908"/>
      <c r="Z4" s="908"/>
    </row>
    <row r="5" spans="1:26" ht="16.5" thickBot="1" x14ac:dyDescent="0.3">
      <c r="A5" s="565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</row>
    <row r="6" spans="1:26" s="589" customFormat="1" ht="15.75" thickBot="1" x14ac:dyDescent="0.3">
      <c r="A6" s="909" t="s">
        <v>777</v>
      </c>
      <c r="B6" s="906" t="s">
        <v>543</v>
      </c>
      <c r="C6" s="907"/>
      <c r="D6" s="907"/>
      <c r="E6" s="907"/>
      <c r="F6" s="907"/>
      <c r="G6" s="587"/>
      <c r="H6" s="912" t="s">
        <v>778</v>
      </c>
      <c r="I6" s="913"/>
      <c r="J6" s="913"/>
      <c r="K6" s="913"/>
      <c r="L6" s="913"/>
      <c r="M6" s="913"/>
      <c r="N6" s="913"/>
      <c r="O6" s="913"/>
      <c r="P6" s="913"/>
      <c r="Q6" s="913"/>
      <c r="R6" s="913"/>
      <c r="S6" s="913"/>
      <c r="T6" s="913"/>
      <c r="U6" s="913"/>
      <c r="V6" s="913"/>
      <c r="W6" s="913"/>
      <c r="X6" s="913"/>
      <c r="Y6" s="588"/>
      <c r="Z6" s="914" t="s">
        <v>779</v>
      </c>
    </row>
    <row r="7" spans="1:26" s="589" customFormat="1" ht="15.75" thickBot="1" x14ac:dyDescent="0.3">
      <c r="A7" s="910"/>
      <c r="B7" s="906" t="s">
        <v>780</v>
      </c>
      <c r="C7" s="915"/>
      <c r="D7" s="909" t="s">
        <v>781</v>
      </c>
      <c r="E7" s="909" t="s">
        <v>782</v>
      </c>
      <c r="F7" s="909" t="s">
        <v>783</v>
      </c>
      <c r="G7" s="909" t="s">
        <v>784</v>
      </c>
      <c r="H7" s="906" t="s">
        <v>785</v>
      </c>
      <c r="I7" s="907"/>
      <c r="J7" s="907"/>
      <c r="K7" s="907"/>
      <c r="L7" s="907"/>
      <c r="M7" s="590"/>
      <c r="N7" s="906" t="s">
        <v>786</v>
      </c>
      <c r="O7" s="907"/>
      <c r="P7" s="907"/>
      <c r="Q7" s="907"/>
      <c r="R7" s="907"/>
      <c r="S7" s="587"/>
      <c r="T7" s="906" t="s">
        <v>787</v>
      </c>
      <c r="U7" s="907"/>
      <c r="V7" s="907"/>
      <c r="W7" s="907"/>
      <c r="X7" s="907"/>
      <c r="Y7" s="587"/>
      <c r="Z7" s="914"/>
    </row>
    <row r="8" spans="1:26" s="589" customFormat="1" ht="74.25" thickBot="1" x14ac:dyDescent="0.3">
      <c r="A8" s="911"/>
      <c r="B8" s="591" t="s">
        <v>788</v>
      </c>
      <c r="C8" s="592" t="s">
        <v>789</v>
      </c>
      <c r="D8" s="916"/>
      <c r="E8" s="916"/>
      <c r="F8" s="916"/>
      <c r="G8" s="916"/>
      <c r="H8" s="593" t="s">
        <v>790</v>
      </c>
      <c r="I8" s="593" t="s">
        <v>789</v>
      </c>
      <c r="J8" s="593" t="s">
        <v>791</v>
      </c>
      <c r="K8" s="593" t="s">
        <v>792</v>
      </c>
      <c r="L8" s="593" t="s">
        <v>793</v>
      </c>
      <c r="M8" s="593" t="s">
        <v>794</v>
      </c>
      <c r="N8" s="593" t="s">
        <v>790</v>
      </c>
      <c r="O8" s="593" t="s">
        <v>789</v>
      </c>
      <c r="P8" s="593" t="s">
        <v>791</v>
      </c>
      <c r="Q8" s="593" t="s">
        <v>792</v>
      </c>
      <c r="R8" s="593" t="s">
        <v>793</v>
      </c>
      <c r="S8" s="593" t="s">
        <v>794</v>
      </c>
      <c r="T8" s="593" t="s">
        <v>790</v>
      </c>
      <c r="U8" s="593" t="s">
        <v>789</v>
      </c>
      <c r="V8" s="593" t="s">
        <v>791</v>
      </c>
      <c r="W8" s="593" t="s">
        <v>792</v>
      </c>
      <c r="X8" s="593" t="s">
        <v>793</v>
      </c>
      <c r="Y8" s="593" t="s">
        <v>794</v>
      </c>
      <c r="Z8" s="914"/>
    </row>
    <row r="9" spans="1:26" ht="21" customHeight="1" thickBot="1" x14ac:dyDescent="0.3">
      <c r="A9" s="567" t="s">
        <v>795</v>
      </c>
      <c r="B9" s="56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9"/>
      <c r="P9" s="569"/>
      <c r="Q9" s="569"/>
      <c r="R9" s="569"/>
      <c r="S9" s="570"/>
      <c r="T9" s="568"/>
      <c r="U9" s="569"/>
      <c r="V9" s="569"/>
      <c r="W9" s="569"/>
      <c r="X9" s="569"/>
      <c r="Y9" s="569"/>
      <c r="Z9" s="571"/>
    </row>
    <row r="10" spans="1:26" ht="21" customHeight="1" thickBot="1" x14ac:dyDescent="0.3">
      <c r="A10" s="572" t="s">
        <v>489</v>
      </c>
      <c r="B10" s="573">
        <f t="shared" ref="B10:C17" si="0">H10+N10</f>
        <v>112.5</v>
      </c>
      <c r="C10" s="573">
        <f t="shared" si="0"/>
        <v>116.5</v>
      </c>
      <c r="D10" s="573">
        <f>SUM(J10+P10)</f>
        <v>116.5</v>
      </c>
      <c r="E10" s="573">
        <f t="shared" ref="E10:G13" si="1">SUM(K10+Q10)</f>
        <v>18.5</v>
      </c>
      <c r="F10" s="573">
        <f>SUM(L10+R10)</f>
        <v>131.19999999999999</v>
      </c>
      <c r="G10" s="573">
        <f t="shared" si="1"/>
        <v>16.2</v>
      </c>
      <c r="H10" s="574">
        <v>112</v>
      </c>
      <c r="I10" s="574">
        <v>112</v>
      </c>
      <c r="J10" s="574">
        <v>112</v>
      </c>
      <c r="K10" s="574">
        <v>14</v>
      </c>
      <c r="L10" s="574">
        <v>128</v>
      </c>
      <c r="M10" s="574">
        <v>13</v>
      </c>
      <c r="N10" s="573">
        <v>0.5</v>
      </c>
      <c r="O10" s="575">
        <v>4.5</v>
      </c>
      <c r="P10" s="575">
        <v>4.5</v>
      </c>
      <c r="Q10" s="575">
        <v>4.5</v>
      </c>
      <c r="R10" s="575">
        <v>3.2</v>
      </c>
      <c r="S10" s="575">
        <v>3.2</v>
      </c>
      <c r="T10" s="574">
        <v>1</v>
      </c>
      <c r="U10" s="576">
        <v>9</v>
      </c>
      <c r="V10" s="576">
        <v>9</v>
      </c>
      <c r="W10" s="576">
        <v>9</v>
      </c>
      <c r="X10" s="576">
        <v>6</v>
      </c>
      <c r="Y10" s="576">
        <v>6</v>
      </c>
      <c r="Z10" s="577">
        <v>4</v>
      </c>
    </row>
    <row r="11" spans="1:26" ht="21" customHeight="1" thickBot="1" x14ac:dyDescent="0.3">
      <c r="A11" s="572" t="s">
        <v>796</v>
      </c>
      <c r="B11" s="573">
        <f t="shared" si="0"/>
        <v>27.5</v>
      </c>
      <c r="C11" s="573">
        <f t="shared" si="0"/>
        <v>27.5</v>
      </c>
      <c r="D11" s="573">
        <f t="shared" ref="D11:D13" si="2">SUM(J11+P11)</f>
        <v>27.5</v>
      </c>
      <c r="E11" s="573">
        <f t="shared" si="1"/>
        <v>18.5</v>
      </c>
      <c r="F11" s="573">
        <f t="shared" si="1"/>
        <v>24.5</v>
      </c>
      <c r="G11" s="573">
        <f t="shared" si="1"/>
        <v>20.5</v>
      </c>
      <c r="H11" s="574">
        <v>27</v>
      </c>
      <c r="I11" s="574">
        <v>27</v>
      </c>
      <c r="J11" s="574">
        <v>27</v>
      </c>
      <c r="K11" s="574">
        <v>18</v>
      </c>
      <c r="L11" s="574">
        <v>24</v>
      </c>
      <c r="M11" s="574">
        <v>20</v>
      </c>
      <c r="N11" s="573">
        <v>0.5</v>
      </c>
      <c r="O11" s="575">
        <v>0.5</v>
      </c>
      <c r="P11" s="575">
        <v>0.5</v>
      </c>
      <c r="Q11" s="575">
        <v>0.5</v>
      </c>
      <c r="R11" s="575">
        <v>0.5</v>
      </c>
      <c r="S11" s="575">
        <v>0.5</v>
      </c>
      <c r="T11" s="574">
        <v>1</v>
      </c>
      <c r="U11" s="576">
        <v>1</v>
      </c>
      <c r="V11" s="576">
        <v>1</v>
      </c>
      <c r="W11" s="576">
        <v>1</v>
      </c>
      <c r="X11" s="576">
        <v>1</v>
      </c>
      <c r="Y11" s="576">
        <v>1</v>
      </c>
      <c r="Z11" s="578">
        <v>4</v>
      </c>
    </row>
    <row r="12" spans="1:26" ht="21" customHeight="1" thickBot="1" x14ac:dyDescent="0.3">
      <c r="A12" s="572" t="s">
        <v>797</v>
      </c>
      <c r="B12" s="573">
        <f t="shared" si="0"/>
        <v>10.75</v>
      </c>
      <c r="C12" s="573">
        <f t="shared" si="0"/>
        <v>10.75</v>
      </c>
      <c r="D12" s="573">
        <f t="shared" si="2"/>
        <v>10.25</v>
      </c>
      <c r="E12" s="573">
        <f t="shared" si="1"/>
        <v>2</v>
      </c>
      <c r="F12" s="573">
        <f t="shared" si="1"/>
        <v>8.8000000000000007</v>
      </c>
      <c r="G12" s="573">
        <f t="shared" si="1"/>
        <v>0</v>
      </c>
      <c r="H12" s="574">
        <v>10</v>
      </c>
      <c r="I12" s="574">
        <v>10</v>
      </c>
      <c r="J12" s="574">
        <v>9</v>
      </c>
      <c r="K12" s="574">
        <v>2</v>
      </c>
      <c r="L12" s="574">
        <v>8</v>
      </c>
      <c r="M12" s="574"/>
      <c r="N12" s="573">
        <v>0.75</v>
      </c>
      <c r="O12" s="575">
        <v>0.75</v>
      </c>
      <c r="P12" s="575">
        <v>1.25</v>
      </c>
      <c r="Q12" s="575"/>
      <c r="R12" s="575">
        <v>0.8</v>
      </c>
      <c r="S12" s="575"/>
      <c r="T12" s="574">
        <v>1</v>
      </c>
      <c r="U12" s="576">
        <v>1</v>
      </c>
      <c r="V12" s="576">
        <v>2</v>
      </c>
      <c r="W12" s="576"/>
      <c r="X12" s="576">
        <v>1</v>
      </c>
      <c r="Y12" s="576"/>
      <c r="Z12" s="578">
        <v>6</v>
      </c>
    </row>
    <row r="13" spans="1:26" ht="21" customHeight="1" thickBot="1" x14ac:dyDescent="0.3">
      <c r="A13" s="572" t="s">
        <v>799</v>
      </c>
      <c r="B13" s="573">
        <f t="shared" si="0"/>
        <v>43.25</v>
      </c>
      <c r="C13" s="573">
        <f t="shared" si="0"/>
        <v>43.25</v>
      </c>
      <c r="D13" s="573">
        <f t="shared" si="2"/>
        <v>35</v>
      </c>
      <c r="E13" s="573">
        <f t="shared" si="1"/>
        <v>401</v>
      </c>
      <c r="F13" s="573">
        <f t="shared" si="1"/>
        <v>36</v>
      </c>
      <c r="G13" s="573">
        <f t="shared" si="1"/>
        <v>380</v>
      </c>
      <c r="H13" s="574">
        <v>42</v>
      </c>
      <c r="I13" s="574">
        <v>42</v>
      </c>
      <c r="J13" s="574">
        <v>35</v>
      </c>
      <c r="K13" s="574">
        <v>401</v>
      </c>
      <c r="L13" s="574">
        <v>36</v>
      </c>
      <c r="M13" s="574">
        <v>379</v>
      </c>
      <c r="N13" s="573">
        <v>1.25</v>
      </c>
      <c r="O13" s="575">
        <v>1.25</v>
      </c>
      <c r="P13" s="575"/>
      <c r="Q13" s="575"/>
      <c r="R13" s="575"/>
      <c r="S13" s="575">
        <v>1</v>
      </c>
      <c r="T13" s="574">
        <v>2</v>
      </c>
      <c r="U13" s="576">
        <v>2</v>
      </c>
      <c r="V13" s="576"/>
      <c r="W13" s="576"/>
      <c r="X13" s="576"/>
      <c r="Y13" s="576">
        <v>1</v>
      </c>
      <c r="Z13" s="578" t="s">
        <v>798</v>
      </c>
    </row>
    <row r="14" spans="1:26" ht="21" customHeight="1" thickBot="1" x14ac:dyDescent="0.3">
      <c r="A14" s="579" t="s">
        <v>800</v>
      </c>
      <c r="B14" s="580">
        <f t="shared" si="0"/>
        <v>194</v>
      </c>
      <c r="C14" s="580">
        <f t="shared" si="0"/>
        <v>198</v>
      </c>
      <c r="D14" s="580">
        <f t="shared" ref="D14:F17" si="3">J14+V14</f>
        <v>195</v>
      </c>
      <c r="E14" s="580">
        <f t="shared" si="3"/>
        <v>0</v>
      </c>
      <c r="F14" s="580">
        <f t="shared" si="3"/>
        <v>204</v>
      </c>
      <c r="G14" s="580">
        <f t="shared" ref="G14:G17" si="4">M14+S14</f>
        <v>0</v>
      </c>
      <c r="H14" s="581">
        <f>SUM(H10:H13)</f>
        <v>191</v>
      </c>
      <c r="I14" s="581">
        <f t="shared" ref="I14:X14" si="5">SUM(I10:I13)</f>
        <v>191</v>
      </c>
      <c r="J14" s="581">
        <f t="shared" si="5"/>
        <v>183</v>
      </c>
      <c r="K14" s="581"/>
      <c r="L14" s="581">
        <f t="shared" si="5"/>
        <v>196</v>
      </c>
      <c r="M14" s="581"/>
      <c r="N14" s="580">
        <f t="shared" si="5"/>
        <v>3</v>
      </c>
      <c r="O14" s="580">
        <f t="shared" si="5"/>
        <v>7</v>
      </c>
      <c r="P14" s="580">
        <f t="shared" si="5"/>
        <v>6.25</v>
      </c>
      <c r="Q14" s="580"/>
      <c r="R14" s="580">
        <f>SUM(R10:R13)</f>
        <v>4.5</v>
      </c>
      <c r="S14" s="580"/>
      <c r="T14" s="581">
        <f t="shared" si="5"/>
        <v>5</v>
      </c>
      <c r="U14" s="581">
        <f t="shared" si="5"/>
        <v>13</v>
      </c>
      <c r="V14" s="581">
        <f t="shared" si="5"/>
        <v>12</v>
      </c>
      <c r="W14" s="581"/>
      <c r="X14" s="581">
        <f t="shared" si="5"/>
        <v>8</v>
      </c>
      <c r="Y14" s="581"/>
      <c r="Z14" s="571"/>
    </row>
    <row r="15" spans="1:26" ht="21" customHeight="1" thickBot="1" x14ac:dyDescent="0.3">
      <c r="A15" s="579" t="s">
        <v>801</v>
      </c>
      <c r="B15" s="580">
        <f t="shared" si="0"/>
        <v>68</v>
      </c>
      <c r="C15" s="580">
        <f t="shared" si="0"/>
        <v>73</v>
      </c>
      <c r="D15" s="580">
        <f>SUM(J15+P15)</f>
        <v>68</v>
      </c>
      <c r="E15" s="580">
        <f t="shared" ref="E15:F16" si="6">SUM(K15+Q15)</f>
        <v>4</v>
      </c>
      <c r="F15" s="580">
        <f>SUM(L15+R15)</f>
        <v>66</v>
      </c>
      <c r="G15" s="580">
        <f t="shared" ref="G15:G16" si="7">SUM(M15+S15)</f>
        <v>4</v>
      </c>
      <c r="H15" s="581">
        <v>68</v>
      </c>
      <c r="I15" s="581">
        <v>73</v>
      </c>
      <c r="J15" s="581">
        <v>68</v>
      </c>
      <c r="K15" s="581">
        <v>4</v>
      </c>
      <c r="L15" s="581">
        <v>66</v>
      </c>
      <c r="M15" s="581">
        <v>4</v>
      </c>
      <c r="N15" s="580"/>
      <c r="O15" s="582"/>
      <c r="P15" s="582"/>
      <c r="Q15" s="582"/>
      <c r="R15" s="582"/>
      <c r="S15" s="582"/>
      <c r="T15" s="581"/>
      <c r="U15" s="583"/>
      <c r="V15" s="583"/>
      <c r="W15" s="583"/>
      <c r="X15" s="583"/>
      <c r="Y15" s="583"/>
      <c r="Z15" s="571"/>
    </row>
    <row r="16" spans="1:26" ht="21" customHeight="1" thickBot="1" x14ac:dyDescent="0.3">
      <c r="A16" s="579" t="s">
        <v>802</v>
      </c>
      <c r="B16" s="580">
        <f t="shared" si="0"/>
        <v>2</v>
      </c>
      <c r="C16" s="580">
        <f t="shared" si="0"/>
        <v>2</v>
      </c>
      <c r="D16" s="580">
        <f t="shared" ref="D16" si="8">SUM(J16+P16)</f>
        <v>2</v>
      </c>
      <c r="E16" s="580">
        <f t="shared" si="6"/>
        <v>0</v>
      </c>
      <c r="F16" s="580">
        <f t="shared" si="6"/>
        <v>2</v>
      </c>
      <c r="G16" s="580">
        <f t="shared" si="7"/>
        <v>0</v>
      </c>
      <c r="H16" s="581">
        <v>2</v>
      </c>
      <c r="I16" s="581">
        <v>2</v>
      </c>
      <c r="J16" s="581">
        <v>2</v>
      </c>
      <c r="K16" s="581"/>
      <c r="L16" s="581">
        <v>2</v>
      </c>
      <c r="M16" s="581"/>
      <c r="N16" s="580"/>
      <c r="O16" s="582"/>
      <c r="P16" s="582"/>
      <c r="Q16" s="582"/>
      <c r="R16" s="582"/>
      <c r="S16" s="582"/>
      <c r="T16" s="581"/>
      <c r="U16" s="583"/>
      <c r="V16" s="583"/>
      <c r="W16" s="583"/>
      <c r="X16" s="583"/>
      <c r="Y16" s="583"/>
      <c r="Z16" s="571"/>
    </row>
    <row r="17" spans="1:26" s="597" customFormat="1" ht="21" customHeight="1" thickBot="1" x14ac:dyDescent="0.3">
      <c r="A17" s="594" t="s">
        <v>803</v>
      </c>
      <c r="B17" s="595">
        <f t="shared" si="0"/>
        <v>264</v>
      </c>
      <c r="C17" s="595">
        <f t="shared" si="0"/>
        <v>273</v>
      </c>
      <c r="D17" s="595">
        <f t="shared" si="3"/>
        <v>265</v>
      </c>
      <c r="E17" s="595">
        <f t="shared" si="3"/>
        <v>4</v>
      </c>
      <c r="F17" s="595">
        <f>L17+X17</f>
        <v>272</v>
      </c>
      <c r="G17" s="595">
        <f t="shared" si="4"/>
        <v>4</v>
      </c>
      <c r="H17" s="596">
        <f>SUM(H14+H15+H16)</f>
        <v>261</v>
      </c>
      <c r="I17" s="596">
        <f t="shared" ref="I17:Y17" si="9">SUM(I14+I15+I16)</f>
        <v>266</v>
      </c>
      <c r="J17" s="596">
        <f t="shared" si="9"/>
        <v>253</v>
      </c>
      <c r="K17" s="596">
        <f t="shared" si="9"/>
        <v>4</v>
      </c>
      <c r="L17" s="596">
        <f t="shared" si="9"/>
        <v>264</v>
      </c>
      <c r="M17" s="596">
        <f t="shared" si="9"/>
        <v>4</v>
      </c>
      <c r="N17" s="595">
        <f t="shared" si="9"/>
        <v>3</v>
      </c>
      <c r="O17" s="595">
        <f t="shared" si="9"/>
        <v>7</v>
      </c>
      <c r="P17" s="595">
        <f t="shared" si="9"/>
        <v>6.25</v>
      </c>
      <c r="Q17" s="595">
        <f t="shared" si="9"/>
        <v>0</v>
      </c>
      <c r="R17" s="595">
        <f>SUM(R14+R15+R16)</f>
        <v>4.5</v>
      </c>
      <c r="S17" s="595">
        <f t="shared" si="9"/>
        <v>0</v>
      </c>
      <c r="T17" s="596">
        <f t="shared" si="9"/>
        <v>5</v>
      </c>
      <c r="U17" s="596">
        <f t="shared" si="9"/>
        <v>13</v>
      </c>
      <c r="V17" s="596">
        <f t="shared" si="9"/>
        <v>12</v>
      </c>
      <c r="W17" s="596">
        <f t="shared" si="9"/>
        <v>0</v>
      </c>
      <c r="X17" s="596">
        <f t="shared" si="9"/>
        <v>8</v>
      </c>
      <c r="Y17" s="596">
        <f t="shared" si="9"/>
        <v>0</v>
      </c>
      <c r="Z17" s="598"/>
    </row>
    <row r="18" spans="1:26" x14ac:dyDescent="0.25">
      <c r="A18" s="584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</row>
    <row r="19" spans="1:26" x14ac:dyDescent="0.25">
      <c r="A19" s="586"/>
    </row>
  </sheetData>
  <mergeCells count="13">
    <mergeCell ref="H7:L7"/>
    <mergeCell ref="N7:R7"/>
    <mergeCell ref="T7:X7"/>
    <mergeCell ref="A4:Z4"/>
    <mergeCell ref="A6:A8"/>
    <mergeCell ref="B6:F6"/>
    <mergeCell ref="H6:X6"/>
    <mergeCell ref="Z6:Z8"/>
    <mergeCell ref="B7:C7"/>
    <mergeCell ref="D7:D8"/>
    <mergeCell ref="E7:E8"/>
    <mergeCell ref="F7:F8"/>
    <mergeCell ref="G7:G8"/>
  </mergeCells>
  <pageMargins left="0.7" right="0.7" top="0.75" bottom="0.75" header="0.3" footer="0.3"/>
  <pageSetup paperSize="9" scale="40" orientation="landscape" r:id="rId1"/>
  <colBreaks count="1" manualBreakCount="1">
    <brk id="26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topLeftCell="A4" zoomScale="106" zoomScaleNormal="100" zoomScaleSheetLayoutView="106" workbookViewId="0"/>
  </sheetViews>
  <sheetFormatPr defaultRowHeight="12.75" x14ac:dyDescent="0.2"/>
  <cols>
    <col min="1" max="5" width="9.140625" style="20"/>
    <col min="6" max="7" width="16.28515625" style="20" customWidth="1"/>
    <col min="8" max="8" width="9.140625" style="20"/>
    <col min="9" max="9" width="4.7109375" style="20" customWidth="1"/>
    <col min="10" max="10" width="1" style="20" customWidth="1"/>
    <col min="11" max="11" width="14.42578125" style="20" customWidth="1"/>
    <col min="12" max="13" width="11.85546875" style="20" customWidth="1"/>
    <col min="14" max="261" width="9.140625" style="20"/>
    <col min="262" max="263" width="16.28515625" style="20" customWidth="1"/>
    <col min="264" max="264" width="9.140625" style="20"/>
    <col min="265" max="265" width="4.7109375" style="20" customWidth="1"/>
    <col min="266" max="266" width="1" style="20" customWidth="1"/>
    <col min="267" max="267" width="14.42578125" style="20" customWidth="1"/>
    <col min="268" max="269" width="11.85546875" style="20" customWidth="1"/>
    <col min="270" max="517" width="9.140625" style="20"/>
    <col min="518" max="519" width="16.28515625" style="20" customWidth="1"/>
    <col min="520" max="520" width="9.140625" style="20"/>
    <col min="521" max="521" width="4.7109375" style="20" customWidth="1"/>
    <col min="522" max="522" width="1" style="20" customWidth="1"/>
    <col min="523" max="523" width="14.42578125" style="20" customWidth="1"/>
    <col min="524" max="525" width="11.85546875" style="20" customWidth="1"/>
    <col min="526" max="773" width="9.140625" style="20"/>
    <col min="774" max="775" width="16.28515625" style="20" customWidth="1"/>
    <col min="776" max="776" width="9.140625" style="20"/>
    <col min="777" max="777" width="4.7109375" style="20" customWidth="1"/>
    <col min="778" max="778" width="1" style="20" customWidth="1"/>
    <col min="779" max="779" width="14.42578125" style="20" customWidth="1"/>
    <col min="780" max="781" width="11.85546875" style="20" customWidth="1"/>
    <col min="782" max="1029" width="9.140625" style="20"/>
    <col min="1030" max="1031" width="16.28515625" style="20" customWidth="1"/>
    <col min="1032" max="1032" width="9.140625" style="20"/>
    <col min="1033" max="1033" width="4.7109375" style="20" customWidth="1"/>
    <col min="1034" max="1034" width="1" style="20" customWidth="1"/>
    <col min="1035" max="1035" width="14.42578125" style="20" customWidth="1"/>
    <col min="1036" max="1037" width="11.85546875" style="20" customWidth="1"/>
    <col min="1038" max="1285" width="9.140625" style="20"/>
    <col min="1286" max="1287" width="16.28515625" style="20" customWidth="1"/>
    <col min="1288" max="1288" width="9.140625" style="20"/>
    <col min="1289" max="1289" width="4.7109375" style="20" customWidth="1"/>
    <col min="1290" max="1290" width="1" style="20" customWidth="1"/>
    <col min="1291" max="1291" width="14.42578125" style="20" customWidth="1"/>
    <col min="1292" max="1293" width="11.85546875" style="20" customWidth="1"/>
    <col min="1294" max="1541" width="9.140625" style="20"/>
    <col min="1542" max="1543" width="16.28515625" style="20" customWidth="1"/>
    <col min="1544" max="1544" width="9.140625" style="20"/>
    <col min="1545" max="1545" width="4.7109375" style="20" customWidth="1"/>
    <col min="1546" max="1546" width="1" style="20" customWidth="1"/>
    <col min="1547" max="1547" width="14.42578125" style="20" customWidth="1"/>
    <col min="1548" max="1549" width="11.85546875" style="20" customWidth="1"/>
    <col min="1550" max="1797" width="9.140625" style="20"/>
    <col min="1798" max="1799" width="16.28515625" style="20" customWidth="1"/>
    <col min="1800" max="1800" width="9.140625" style="20"/>
    <col min="1801" max="1801" width="4.7109375" style="20" customWidth="1"/>
    <col min="1802" max="1802" width="1" style="20" customWidth="1"/>
    <col min="1803" max="1803" width="14.42578125" style="20" customWidth="1"/>
    <col min="1804" max="1805" width="11.85546875" style="20" customWidth="1"/>
    <col min="1806" max="2053" width="9.140625" style="20"/>
    <col min="2054" max="2055" width="16.28515625" style="20" customWidth="1"/>
    <col min="2056" max="2056" width="9.140625" style="20"/>
    <col min="2057" max="2057" width="4.7109375" style="20" customWidth="1"/>
    <col min="2058" max="2058" width="1" style="20" customWidth="1"/>
    <col min="2059" max="2059" width="14.42578125" style="20" customWidth="1"/>
    <col min="2060" max="2061" width="11.85546875" style="20" customWidth="1"/>
    <col min="2062" max="2309" width="9.140625" style="20"/>
    <col min="2310" max="2311" width="16.28515625" style="20" customWidth="1"/>
    <col min="2312" max="2312" width="9.140625" style="20"/>
    <col min="2313" max="2313" width="4.7109375" style="20" customWidth="1"/>
    <col min="2314" max="2314" width="1" style="20" customWidth="1"/>
    <col min="2315" max="2315" width="14.42578125" style="20" customWidth="1"/>
    <col min="2316" max="2317" width="11.85546875" style="20" customWidth="1"/>
    <col min="2318" max="2565" width="9.140625" style="20"/>
    <col min="2566" max="2567" width="16.28515625" style="20" customWidth="1"/>
    <col min="2568" max="2568" width="9.140625" style="20"/>
    <col min="2569" max="2569" width="4.7109375" style="20" customWidth="1"/>
    <col min="2570" max="2570" width="1" style="20" customWidth="1"/>
    <col min="2571" max="2571" width="14.42578125" style="20" customWidth="1"/>
    <col min="2572" max="2573" width="11.85546875" style="20" customWidth="1"/>
    <col min="2574" max="2821" width="9.140625" style="20"/>
    <col min="2822" max="2823" width="16.28515625" style="20" customWidth="1"/>
    <col min="2824" max="2824" width="9.140625" style="20"/>
    <col min="2825" max="2825" width="4.7109375" style="20" customWidth="1"/>
    <col min="2826" max="2826" width="1" style="20" customWidth="1"/>
    <col min="2827" max="2827" width="14.42578125" style="20" customWidth="1"/>
    <col min="2828" max="2829" width="11.85546875" style="20" customWidth="1"/>
    <col min="2830" max="3077" width="9.140625" style="20"/>
    <col min="3078" max="3079" width="16.28515625" style="20" customWidth="1"/>
    <col min="3080" max="3080" width="9.140625" style="20"/>
    <col min="3081" max="3081" width="4.7109375" style="20" customWidth="1"/>
    <col min="3082" max="3082" width="1" style="20" customWidth="1"/>
    <col min="3083" max="3083" width="14.42578125" style="20" customWidth="1"/>
    <col min="3084" max="3085" width="11.85546875" style="20" customWidth="1"/>
    <col min="3086" max="3333" width="9.140625" style="20"/>
    <col min="3334" max="3335" width="16.28515625" style="20" customWidth="1"/>
    <col min="3336" max="3336" width="9.140625" style="20"/>
    <col min="3337" max="3337" width="4.7109375" style="20" customWidth="1"/>
    <col min="3338" max="3338" width="1" style="20" customWidth="1"/>
    <col min="3339" max="3339" width="14.42578125" style="20" customWidth="1"/>
    <col min="3340" max="3341" width="11.85546875" style="20" customWidth="1"/>
    <col min="3342" max="3589" width="9.140625" style="20"/>
    <col min="3590" max="3591" width="16.28515625" style="20" customWidth="1"/>
    <col min="3592" max="3592" width="9.140625" style="20"/>
    <col min="3593" max="3593" width="4.7109375" style="20" customWidth="1"/>
    <col min="3594" max="3594" width="1" style="20" customWidth="1"/>
    <col min="3595" max="3595" width="14.42578125" style="20" customWidth="1"/>
    <col min="3596" max="3597" width="11.85546875" style="20" customWidth="1"/>
    <col min="3598" max="3845" width="9.140625" style="20"/>
    <col min="3846" max="3847" width="16.28515625" style="20" customWidth="1"/>
    <col min="3848" max="3848" width="9.140625" style="20"/>
    <col min="3849" max="3849" width="4.7109375" style="20" customWidth="1"/>
    <col min="3850" max="3850" width="1" style="20" customWidth="1"/>
    <col min="3851" max="3851" width="14.42578125" style="20" customWidth="1"/>
    <col min="3852" max="3853" width="11.85546875" style="20" customWidth="1"/>
    <col min="3854" max="4101" width="9.140625" style="20"/>
    <col min="4102" max="4103" width="16.28515625" style="20" customWidth="1"/>
    <col min="4104" max="4104" width="9.140625" style="20"/>
    <col min="4105" max="4105" width="4.7109375" style="20" customWidth="1"/>
    <col min="4106" max="4106" width="1" style="20" customWidth="1"/>
    <col min="4107" max="4107" width="14.42578125" style="20" customWidth="1"/>
    <col min="4108" max="4109" width="11.85546875" style="20" customWidth="1"/>
    <col min="4110" max="4357" width="9.140625" style="20"/>
    <col min="4358" max="4359" width="16.28515625" style="20" customWidth="1"/>
    <col min="4360" max="4360" width="9.140625" style="20"/>
    <col min="4361" max="4361" width="4.7109375" style="20" customWidth="1"/>
    <col min="4362" max="4362" width="1" style="20" customWidth="1"/>
    <col min="4363" max="4363" width="14.42578125" style="20" customWidth="1"/>
    <col min="4364" max="4365" width="11.85546875" style="20" customWidth="1"/>
    <col min="4366" max="4613" width="9.140625" style="20"/>
    <col min="4614" max="4615" width="16.28515625" style="20" customWidth="1"/>
    <col min="4616" max="4616" width="9.140625" style="20"/>
    <col min="4617" max="4617" width="4.7109375" style="20" customWidth="1"/>
    <col min="4618" max="4618" width="1" style="20" customWidth="1"/>
    <col min="4619" max="4619" width="14.42578125" style="20" customWidth="1"/>
    <col min="4620" max="4621" width="11.85546875" style="20" customWidth="1"/>
    <col min="4622" max="4869" width="9.140625" style="20"/>
    <col min="4870" max="4871" width="16.28515625" style="20" customWidth="1"/>
    <col min="4872" max="4872" width="9.140625" style="20"/>
    <col min="4873" max="4873" width="4.7109375" style="20" customWidth="1"/>
    <col min="4874" max="4874" width="1" style="20" customWidth="1"/>
    <col min="4875" max="4875" width="14.42578125" style="20" customWidth="1"/>
    <col min="4876" max="4877" width="11.85546875" style="20" customWidth="1"/>
    <col min="4878" max="5125" width="9.140625" style="20"/>
    <col min="5126" max="5127" width="16.28515625" style="20" customWidth="1"/>
    <col min="5128" max="5128" width="9.140625" style="20"/>
    <col min="5129" max="5129" width="4.7109375" style="20" customWidth="1"/>
    <col min="5130" max="5130" width="1" style="20" customWidth="1"/>
    <col min="5131" max="5131" width="14.42578125" style="20" customWidth="1"/>
    <col min="5132" max="5133" width="11.85546875" style="20" customWidth="1"/>
    <col min="5134" max="5381" width="9.140625" style="20"/>
    <col min="5382" max="5383" width="16.28515625" style="20" customWidth="1"/>
    <col min="5384" max="5384" width="9.140625" style="20"/>
    <col min="5385" max="5385" width="4.7109375" style="20" customWidth="1"/>
    <col min="5386" max="5386" width="1" style="20" customWidth="1"/>
    <col min="5387" max="5387" width="14.42578125" style="20" customWidth="1"/>
    <col min="5388" max="5389" width="11.85546875" style="20" customWidth="1"/>
    <col min="5390" max="5637" width="9.140625" style="20"/>
    <col min="5638" max="5639" width="16.28515625" style="20" customWidth="1"/>
    <col min="5640" max="5640" width="9.140625" style="20"/>
    <col min="5641" max="5641" width="4.7109375" style="20" customWidth="1"/>
    <col min="5642" max="5642" width="1" style="20" customWidth="1"/>
    <col min="5643" max="5643" width="14.42578125" style="20" customWidth="1"/>
    <col min="5644" max="5645" width="11.85546875" style="20" customWidth="1"/>
    <col min="5646" max="5893" width="9.140625" style="20"/>
    <col min="5894" max="5895" width="16.28515625" style="20" customWidth="1"/>
    <col min="5896" max="5896" width="9.140625" style="20"/>
    <col min="5897" max="5897" width="4.7109375" style="20" customWidth="1"/>
    <col min="5898" max="5898" width="1" style="20" customWidth="1"/>
    <col min="5899" max="5899" width="14.42578125" style="20" customWidth="1"/>
    <col min="5900" max="5901" width="11.85546875" style="20" customWidth="1"/>
    <col min="5902" max="6149" width="9.140625" style="20"/>
    <col min="6150" max="6151" width="16.28515625" style="20" customWidth="1"/>
    <col min="6152" max="6152" width="9.140625" style="20"/>
    <col min="6153" max="6153" width="4.7109375" style="20" customWidth="1"/>
    <col min="6154" max="6154" width="1" style="20" customWidth="1"/>
    <col min="6155" max="6155" width="14.42578125" style="20" customWidth="1"/>
    <col min="6156" max="6157" width="11.85546875" style="20" customWidth="1"/>
    <col min="6158" max="6405" width="9.140625" style="20"/>
    <col min="6406" max="6407" width="16.28515625" style="20" customWidth="1"/>
    <col min="6408" max="6408" width="9.140625" style="20"/>
    <col min="6409" max="6409" width="4.7109375" style="20" customWidth="1"/>
    <col min="6410" max="6410" width="1" style="20" customWidth="1"/>
    <col min="6411" max="6411" width="14.42578125" style="20" customWidth="1"/>
    <col min="6412" max="6413" width="11.85546875" style="20" customWidth="1"/>
    <col min="6414" max="6661" width="9.140625" style="20"/>
    <col min="6662" max="6663" width="16.28515625" style="20" customWidth="1"/>
    <col min="6664" max="6664" width="9.140625" style="20"/>
    <col min="6665" max="6665" width="4.7109375" style="20" customWidth="1"/>
    <col min="6666" max="6666" width="1" style="20" customWidth="1"/>
    <col min="6667" max="6667" width="14.42578125" style="20" customWidth="1"/>
    <col min="6668" max="6669" width="11.85546875" style="20" customWidth="1"/>
    <col min="6670" max="6917" width="9.140625" style="20"/>
    <col min="6918" max="6919" width="16.28515625" style="20" customWidth="1"/>
    <col min="6920" max="6920" width="9.140625" style="20"/>
    <col min="6921" max="6921" width="4.7109375" style="20" customWidth="1"/>
    <col min="6922" max="6922" width="1" style="20" customWidth="1"/>
    <col min="6923" max="6923" width="14.42578125" style="20" customWidth="1"/>
    <col min="6924" max="6925" width="11.85546875" style="20" customWidth="1"/>
    <col min="6926" max="7173" width="9.140625" style="20"/>
    <col min="7174" max="7175" width="16.28515625" style="20" customWidth="1"/>
    <col min="7176" max="7176" width="9.140625" style="20"/>
    <col min="7177" max="7177" width="4.7109375" style="20" customWidth="1"/>
    <col min="7178" max="7178" width="1" style="20" customWidth="1"/>
    <col min="7179" max="7179" width="14.42578125" style="20" customWidth="1"/>
    <col min="7180" max="7181" width="11.85546875" style="20" customWidth="1"/>
    <col min="7182" max="7429" width="9.140625" style="20"/>
    <col min="7430" max="7431" width="16.28515625" style="20" customWidth="1"/>
    <col min="7432" max="7432" width="9.140625" style="20"/>
    <col min="7433" max="7433" width="4.7109375" style="20" customWidth="1"/>
    <col min="7434" max="7434" width="1" style="20" customWidth="1"/>
    <col min="7435" max="7435" width="14.42578125" style="20" customWidth="1"/>
    <col min="7436" max="7437" width="11.85546875" style="20" customWidth="1"/>
    <col min="7438" max="7685" width="9.140625" style="20"/>
    <col min="7686" max="7687" width="16.28515625" style="20" customWidth="1"/>
    <col min="7688" max="7688" width="9.140625" style="20"/>
    <col min="7689" max="7689" width="4.7109375" style="20" customWidth="1"/>
    <col min="7690" max="7690" width="1" style="20" customWidth="1"/>
    <col min="7691" max="7691" width="14.42578125" style="20" customWidth="1"/>
    <col min="7692" max="7693" width="11.85546875" style="20" customWidth="1"/>
    <col min="7694" max="7941" width="9.140625" style="20"/>
    <col min="7942" max="7943" width="16.28515625" style="20" customWidth="1"/>
    <col min="7944" max="7944" width="9.140625" style="20"/>
    <col min="7945" max="7945" width="4.7109375" style="20" customWidth="1"/>
    <col min="7946" max="7946" width="1" style="20" customWidth="1"/>
    <col min="7947" max="7947" width="14.42578125" style="20" customWidth="1"/>
    <col min="7948" max="7949" width="11.85546875" style="20" customWidth="1"/>
    <col min="7950" max="8197" width="9.140625" style="20"/>
    <col min="8198" max="8199" width="16.28515625" style="20" customWidth="1"/>
    <col min="8200" max="8200" width="9.140625" style="20"/>
    <col min="8201" max="8201" width="4.7109375" style="20" customWidth="1"/>
    <col min="8202" max="8202" width="1" style="20" customWidth="1"/>
    <col min="8203" max="8203" width="14.42578125" style="20" customWidth="1"/>
    <col min="8204" max="8205" width="11.85546875" style="20" customWidth="1"/>
    <col min="8206" max="8453" width="9.140625" style="20"/>
    <col min="8454" max="8455" width="16.28515625" style="20" customWidth="1"/>
    <col min="8456" max="8456" width="9.140625" style="20"/>
    <col min="8457" max="8457" width="4.7109375" style="20" customWidth="1"/>
    <col min="8458" max="8458" width="1" style="20" customWidth="1"/>
    <col min="8459" max="8459" width="14.42578125" style="20" customWidth="1"/>
    <col min="8460" max="8461" width="11.85546875" style="20" customWidth="1"/>
    <col min="8462" max="8709" width="9.140625" style="20"/>
    <col min="8710" max="8711" width="16.28515625" style="20" customWidth="1"/>
    <col min="8712" max="8712" width="9.140625" style="20"/>
    <col min="8713" max="8713" width="4.7109375" style="20" customWidth="1"/>
    <col min="8714" max="8714" width="1" style="20" customWidth="1"/>
    <col min="8715" max="8715" width="14.42578125" style="20" customWidth="1"/>
    <col min="8716" max="8717" width="11.85546875" style="20" customWidth="1"/>
    <col min="8718" max="8965" width="9.140625" style="20"/>
    <col min="8966" max="8967" width="16.28515625" style="20" customWidth="1"/>
    <col min="8968" max="8968" width="9.140625" style="20"/>
    <col min="8969" max="8969" width="4.7109375" style="20" customWidth="1"/>
    <col min="8970" max="8970" width="1" style="20" customWidth="1"/>
    <col min="8971" max="8971" width="14.42578125" style="20" customWidth="1"/>
    <col min="8972" max="8973" width="11.85546875" style="20" customWidth="1"/>
    <col min="8974" max="9221" width="9.140625" style="20"/>
    <col min="9222" max="9223" width="16.28515625" style="20" customWidth="1"/>
    <col min="9224" max="9224" width="9.140625" style="20"/>
    <col min="9225" max="9225" width="4.7109375" style="20" customWidth="1"/>
    <col min="9226" max="9226" width="1" style="20" customWidth="1"/>
    <col min="9227" max="9227" width="14.42578125" style="20" customWidth="1"/>
    <col min="9228" max="9229" width="11.85546875" style="20" customWidth="1"/>
    <col min="9230" max="9477" width="9.140625" style="20"/>
    <col min="9478" max="9479" width="16.28515625" style="20" customWidth="1"/>
    <col min="9480" max="9480" width="9.140625" style="20"/>
    <col min="9481" max="9481" width="4.7109375" style="20" customWidth="1"/>
    <col min="9482" max="9482" width="1" style="20" customWidth="1"/>
    <col min="9483" max="9483" width="14.42578125" style="20" customWidth="1"/>
    <col min="9484" max="9485" width="11.85546875" style="20" customWidth="1"/>
    <col min="9486" max="9733" width="9.140625" style="20"/>
    <col min="9734" max="9735" width="16.28515625" style="20" customWidth="1"/>
    <col min="9736" max="9736" width="9.140625" style="20"/>
    <col min="9737" max="9737" width="4.7109375" style="20" customWidth="1"/>
    <col min="9738" max="9738" width="1" style="20" customWidth="1"/>
    <col min="9739" max="9739" width="14.42578125" style="20" customWidth="1"/>
    <col min="9740" max="9741" width="11.85546875" style="20" customWidth="1"/>
    <col min="9742" max="9989" width="9.140625" style="20"/>
    <col min="9990" max="9991" width="16.28515625" style="20" customWidth="1"/>
    <col min="9992" max="9992" width="9.140625" style="20"/>
    <col min="9993" max="9993" width="4.7109375" style="20" customWidth="1"/>
    <col min="9994" max="9994" width="1" style="20" customWidth="1"/>
    <col min="9995" max="9995" width="14.42578125" style="20" customWidth="1"/>
    <col min="9996" max="9997" width="11.85546875" style="20" customWidth="1"/>
    <col min="9998" max="10245" width="9.140625" style="20"/>
    <col min="10246" max="10247" width="16.28515625" style="20" customWidth="1"/>
    <col min="10248" max="10248" width="9.140625" style="20"/>
    <col min="10249" max="10249" width="4.7109375" style="20" customWidth="1"/>
    <col min="10250" max="10250" width="1" style="20" customWidth="1"/>
    <col min="10251" max="10251" width="14.42578125" style="20" customWidth="1"/>
    <col min="10252" max="10253" width="11.85546875" style="20" customWidth="1"/>
    <col min="10254" max="10501" width="9.140625" style="20"/>
    <col min="10502" max="10503" width="16.28515625" style="20" customWidth="1"/>
    <col min="10504" max="10504" width="9.140625" style="20"/>
    <col min="10505" max="10505" width="4.7109375" style="20" customWidth="1"/>
    <col min="10506" max="10506" width="1" style="20" customWidth="1"/>
    <col min="10507" max="10507" width="14.42578125" style="20" customWidth="1"/>
    <col min="10508" max="10509" width="11.85546875" style="20" customWidth="1"/>
    <col min="10510" max="10757" width="9.140625" style="20"/>
    <col min="10758" max="10759" width="16.28515625" style="20" customWidth="1"/>
    <col min="10760" max="10760" width="9.140625" style="20"/>
    <col min="10761" max="10761" width="4.7109375" style="20" customWidth="1"/>
    <col min="10762" max="10762" width="1" style="20" customWidth="1"/>
    <col min="10763" max="10763" width="14.42578125" style="20" customWidth="1"/>
    <col min="10764" max="10765" width="11.85546875" style="20" customWidth="1"/>
    <col min="10766" max="11013" width="9.140625" style="20"/>
    <col min="11014" max="11015" width="16.28515625" style="20" customWidth="1"/>
    <col min="11016" max="11016" width="9.140625" style="20"/>
    <col min="11017" max="11017" width="4.7109375" style="20" customWidth="1"/>
    <col min="11018" max="11018" width="1" style="20" customWidth="1"/>
    <col min="11019" max="11019" width="14.42578125" style="20" customWidth="1"/>
    <col min="11020" max="11021" width="11.85546875" style="20" customWidth="1"/>
    <col min="11022" max="11269" width="9.140625" style="20"/>
    <col min="11270" max="11271" width="16.28515625" style="20" customWidth="1"/>
    <col min="11272" max="11272" width="9.140625" style="20"/>
    <col min="11273" max="11273" width="4.7109375" style="20" customWidth="1"/>
    <col min="11274" max="11274" width="1" style="20" customWidth="1"/>
    <col min="11275" max="11275" width="14.42578125" style="20" customWidth="1"/>
    <col min="11276" max="11277" width="11.85546875" style="20" customWidth="1"/>
    <col min="11278" max="11525" width="9.140625" style="20"/>
    <col min="11526" max="11527" width="16.28515625" style="20" customWidth="1"/>
    <col min="11528" max="11528" width="9.140625" style="20"/>
    <col min="11529" max="11529" width="4.7109375" style="20" customWidth="1"/>
    <col min="11530" max="11530" width="1" style="20" customWidth="1"/>
    <col min="11531" max="11531" width="14.42578125" style="20" customWidth="1"/>
    <col min="11532" max="11533" width="11.85546875" style="20" customWidth="1"/>
    <col min="11534" max="11781" width="9.140625" style="20"/>
    <col min="11782" max="11783" width="16.28515625" style="20" customWidth="1"/>
    <col min="11784" max="11784" width="9.140625" style="20"/>
    <col min="11785" max="11785" width="4.7109375" style="20" customWidth="1"/>
    <col min="11786" max="11786" width="1" style="20" customWidth="1"/>
    <col min="11787" max="11787" width="14.42578125" style="20" customWidth="1"/>
    <col min="11788" max="11789" width="11.85546875" style="20" customWidth="1"/>
    <col min="11790" max="12037" width="9.140625" style="20"/>
    <col min="12038" max="12039" width="16.28515625" style="20" customWidth="1"/>
    <col min="12040" max="12040" width="9.140625" style="20"/>
    <col min="12041" max="12041" width="4.7109375" style="20" customWidth="1"/>
    <col min="12042" max="12042" width="1" style="20" customWidth="1"/>
    <col min="12043" max="12043" width="14.42578125" style="20" customWidth="1"/>
    <col min="12044" max="12045" width="11.85546875" style="20" customWidth="1"/>
    <col min="12046" max="12293" width="9.140625" style="20"/>
    <col min="12294" max="12295" width="16.28515625" style="20" customWidth="1"/>
    <col min="12296" max="12296" width="9.140625" style="20"/>
    <col min="12297" max="12297" width="4.7109375" style="20" customWidth="1"/>
    <col min="12298" max="12298" width="1" style="20" customWidth="1"/>
    <col min="12299" max="12299" width="14.42578125" style="20" customWidth="1"/>
    <col min="12300" max="12301" width="11.85546875" style="20" customWidth="1"/>
    <col min="12302" max="12549" width="9.140625" style="20"/>
    <col min="12550" max="12551" width="16.28515625" style="20" customWidth="1"/>
    <col min="12552" max="12552" width="9.140625" style="20"/>
    <col min="12553" max="12553" width="4.7109375" style="20" customWidth="1"/>
    <col min="12554" max="12554" width="1" style="20" customWidth="1"/>
    <col min="12555" max="12555" width="14.42578125" style="20" customWidth="1"/>
    <col min="12556" max="12557" width="11.85546875" style="20" customWidth="1"/>
    <col min="12558" max="12805" width="9.140625" style="20"/>
    <col min="12806" max="12807" width="16.28515625" style="20" customWidth="1"/>
    <col min="12808" max="12808" width="9.140625" style="20"/>
    <col min="12809" max="12809" width="4.7109375" style="20" customWidth="1"/>
    <col min="12810" max="12810" width="1" style="20" customWidth="1"/>
    <col min="12811" max="12811" width="14.42578125" style="20" customWidth="1"/>
    <col min="12812" max="12813" width="11.85546875" style="20" customWidth="1"/>
    <col min="12814" max="13061" width="9.140625" style="20"/>
    <col min="13062" max="13063" width="16.28515625" style="20" customWidth="1"/>
    <col min="13064" max="13064" width="9.140625" style="20"/>
    <col min="13065" max="13065" width="4.7109375" style="20" customWidth="1"/>
    <col min="13066" max="13066" width="1" style="20" customWidth="1"/>
    <col min="13067" max="13067" width="14.42578125" style="20" customWidth="1"/>
    <col min="13068" max="13069" width="11.85546875" style="20" customWidth="1"/>
    <col min="13070" max="13317" width="9.140625" style="20"/>
    <col min="13318" max="13319" width="16.28515625" style="20" customWidth="1"/>
    <col min="13320" max="13320" width="9.140625" style="20"/>
    <col min="13321" max="13321" width="4.7109375" style="20" customWidth="1"/>
    <col min="13322" max="13322" width="1" style="20" customWidth="1"/>
    <col min="13323" max="13323" width="14.42578125" style="20" customWidth="1"/>
    <col min="13324" max="13325" width="11.85546875" style="20" customWidth="1"/>
    <col min="13326" max="13573" width="9.140625" style="20"/>
    <col min="13574" max="13575" width="16.28515625" style="20" customWidth="1"/>
    <col min="13576" max="13576" width="9.140625" style="20"/>
    <col min="13577" max="13577" width="4.7109375" style="20" customWidth="1"/>
    <col min="13578" max="13578" width="1" style="20" customWidth="1"/>
    <col min="13579" max="13579" width="14.42578125" style="20" customWidth="1"/>
    <col min="13580" max="13581" width="11.85546875" style="20" customWidth="1"/>
    <col min="13582" max="13829" width="9.140625" style="20"/>
    <col min="13830" max="13831" width="16.28515625" style="20" customWidth="1"/>
    <col min="13832" max="13832" width="9.140625" style="20"/>
    <col min="13833" max="13833" width="4.7109375" style="20" customWidth="1"/>
    <col min="13834" max="13834" width="1" style="20" customWidth="1"/>
    <col min="13835" max="13835" width="14.42578125" style="20" customWidth="1"/>
    <col min="13836" max="13837" width="11.85546875" style="20" customWidth="1"/>
    <col min="13838" max="14085" width="9.140625" style="20"/>
    <col min="14086" max="14087" width="16.28515625" style="20" customWidth="1"/>
    <col min="14088" max="14088" width="9.140625" style="20"/>
    <col min="14089" max="14089" width="4.7109375" style="20" customWidth="1"/>
    <col min="14090" max="14090" width="1" style="20" customWidth="1"/>
    <col min="14091" max="14091" width="14.42578125" style="20" customWidth="1"/>
    <col min="14092" max="14093" width="11.85546875" style="20" customWidth="1"/>
    <col min="14094" max="14341" width="9.140625" style="20"/>
    <col min="14342" max="14343" width="16.28515625" style="20" customWidth="1"/>
    <col min="14344" max="14344" width="9.140625" style="20"/>
    <col min="14345" max="14345" width="4.7109375" style="20" customWidth="1"/>
    <col min="14346" max="14346" width="1" style="20" customWidth="1"/>
    <col min="14347" max="14347" width="14.42578125" style="20" customWidth="1"/>
    <col min="14348" max="14349" width="11.85546875" style="20" customWidth="1"/>
    <col min="14350" max="14597" width="9.140625" style="20"/>
    <col min="14598" max="14599" width="16.28515625" style="20" customWidth="1"/>
    <col min="14600" max="14600" width="9.140625" style="20"/>
    <col min="14601" max="14601" width="4.7109375" style="20" customWidth="1"/>
    <col min="14602" max="14602" width="1" style="20" customWidth="1"/>
    <col min="14603" max="14603" width="14.42578125" style="20" customWidth="1"/>
    <col min="14604" max="14605" width="11.85546875" style="20" customWidth="1"/>
    <col min="14606" max="14853" width="9.140625" style="20"/>
    <col min="14854" max="14855" width="16.28515625" style="20" customWidth="1"/>
    <col min="14856" max="14856" width="9.140625" style="20"/>
    <col min="14857" max="14857" width="4.7109375" style="20" customWidth="1"/>
    <col min="14858" max="14858" width="1" style="20" customWidth="1"/>
    <col min="14859" max="14859" width="14.42578125" style="20" customWidth="1"/>
    <col min="14860" max="14861" width="11.85546875" style="20" customWidth="1"/>
    <col min="14862" max="15109" width="9.140625" style="20"/>
    <col min="15110" max="15111" width="16.28515625" style="20" customWidth="1"/>
    <col min="15112" max="15112" width="9.140625" style="20"/>
    <col min="15113" max="15113" width="4.7109375" style="20" customWidth="1"/>
    <col min="15114" max="15114" width="1" style="20" customWidth="1"/>
    <col min="15115" max="15115" width="14.42578125" style="20" customWidth="1"/>
    <col min="15116" max="15117" width="11.85546875" style="20" customWidth="1"/>
    <col min="15118" max="15365" width="9.140625" style="20"/>
    <col min="15366" max="15367" width="16.28515625" style="20" customWidth="1"/>
    <col min="15368" max="15368" width="9.140625" style="20"/>
    <col min="15369" max="15369" width="4.7109375" style="20" customWidth="1"/>
    <col min="15370" max="15370" width="1" style="20" customWidth="1"/>
    <col min="15371" max="15371" width="14.42578125" style="20" customWidth="1"/>
    <col min="15372" max="15373" width="11.85546875" style="20" customWidth="1"/>
    <col min="15374" max="15621" width="9.140625" style="20"/>
    <col min="15622" max="15623" width="16.28515625" style="20" customWidth="1"/>
    <col min="15624" max="15624" width="9.140625" style="20"/>
    <col min="15625" max="15625" width="4.7109375" style="20" customWidth="1"/>
    <col min="15626" max="15626" width="1" style="20" customWidth="1"/>
    <col min="15627" max="15627" width="14.42578125" style="20" customWidth="1"/>
    <col min="15628" max="15629" width="11.85546875" style="20" customWidth="1"/>
    <col min="15630" max="15877" width="9.140625" style="20"/>
    <col min="15878" max="15879" width="16.28515625" style="20" customWidth="1"/>
    <col min="15880" max="15880" width="9.140625" style="20"/>
    <col min="15881" max="15881" width="4.7109375" style="20" customWidth="1"/>
    <col min="15882" max="15882" width="1" style="20" customWidth="1"/>
    <col min="15883" max="15883" width="14.42578125" style="20" customWidth="1"/>
    <col min="15884" max="15885" width="11.85546875" style="20" customWidth="1"/>
    <col min="15886" max="16133" width="9.140625" style="20"/>
    <col min="16134" max="16135" width="16.28515625" style="20" customWidth="1"/>
    <col min="16136" max="16136" width="9.140625" style="20"/>
    <col min="16137" max="16137" width="4.7109375" style="20" customWidth="1"/>
    <col min="16138" max="16138" width="1" style="20" customWidth="1"/>
    <col min="16139" max="16139" width="14.42578125" style="20" customWidth="1"/>
    <col min="16140" max="16141" width="11.85546875" style="20" customWidth="1"/>
    <col min="16142" max="16384" width="9.140625" style="20"/>
  </cols>
  <sheetData>
    <row r="1" spans="1:13" s="1" customFormat="1" ht="15.75" x14ac:dyDescent="0.2">
      <c r="A1" s="695" t="s">
        <v>973</v>
      </c>
      <c r="B1" s="694"/>
      <c r="C1" s="694"/>
      <c r="D1" s="694"/>
      <c r="E1" s="694"/>
      <c r="F1" s="694"/>
      <c r="G1" s="694"/>
      <c r="H1" s="694"/>
      <c r="I1" s="694"/>
      <c r="J1" s="688"/>
      <c r="K1" s="694"/>
      <c r="L1" s="694"/>
      <c r="M1" s="688"/>
    </row>
    <row r="2" spans="1:13" x14ac:dyDescent="0.2">
      <c r="A2" s="685"/>
      <c r="B2" s="686"/>
      <c r="C2" s="686"/>
      <c r="D2" s="686"/>
      <c r="E2" s="686"/>
      <c r="F2" s="686"/>
      <c r="G2" s="686"/>
      <c r="H2" s="686"/>
      <c r="I2" s="686"/>
      <c r="J2" s="687"/>
      <c r="K2" s="686"/>
      <c r="L2" s="686"/>
      <c r="M2" s="687"/>
    </row>
    <row r="3" spans="1:13" x14ac:dyDescent="0.2">
      <c r="A3" s="685"/>
      <c r="B3" s="686"/>
      <c r="C3" s="686"/>
      <c r="D3" s="686"/>
      <c r="E3" s="686"/>
      <c r="F3" s="686"/>
      <c r="G3" s="686"/>
      <c r="H3" s="686"/>
      <c r="I3" s="686"/>
      <c r="J3" s="687"/>
      <c r="K3" s="686"/>
      <c r="L3" s="686"/>
      <c r="M3" s="687"/>
    </row>
    <row r="4" spans="1:13" s="599" customFormat="1" ht="45.75" customHeight="1" x14ac:dyDescent="0.2">
      <c r="A4" s="938" t="s">
        <v>832</v>
      </c>
      <c r="B4" s="938"/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</row>
    <row r="5" spans="1:13" s="599" customFormat="1" x14ac:dyDescent="0.2">
      <c r="A5" s="938"/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</row>
    <row r="6" spans="1:13" x14ac:dyDescent="0.2">
      <c r="A6" s="938"/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</row>
    <row r="7" spans="1:13" s="381" customFormat="1" ht="12.75" customHeight="1" thickBot="1" x14ac:dyDescent="0.25">
      <c r="A7" s="917" t="s">
        <v>805</v>
      </c>
      <c r="B7" s="917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</row>
    <row r="8" spans="1:13" s="381" customFormat="1" ht="12.75" customHeight="1" x14ac:dyDescent="0.2">
      <c r="A8" s="925" t="s">
        <v>806</v>
      </c>
      <c r="B8" s="926"/>
      <c r="C8" s="926"/>
      <c r="D8" s="926"/>
      <c r="E8" s="926"/>
      <c r="F8" s="926"/>
      <c r="G8" s="927"/>
      <c r="H8" s="934" t="s">
        <v>310</v>
      </c>
      <c r="I8" s="935"/>
      <c r="J8" s="935"/>
      <c r="K8" s="934" t="s">
        <v>311</v>
      </c>
      <c r="L8" s="934" t="s">
        <v>837</v>
      </c>
      <c r="M8" s="934" t="s">
        <v>838</v>
      </c>
    </row>
    <row r="9" spans="1:13" s="381" customFormat="1" ht="12.75" customHeight="1" x14ac:dyDescent="0.2">
      <c r="A9" s="928"/>
      <c r="B9" s="929"/>
      <c r="C9" s="929"/>
      <c r="D9" s="929"/>
      <c r="E9" s="929"/>
      <c r="F9" s="929"/>
      <c r="G9" s="930"/>
      <c r="H9" s="936"/>
      <c r="I9" s="936"/>
      <c r="J9" s="936"/>
      <c r="K9" s="957"/>
      <c r="L9" s="957"/>
      <c r="M9" s="957"/>
    </row>
    <row r="10" spans="1:13" s="381" customFormat="1" ht="12.75" customHeight="1" x14ac:dyDescent="0.2">
      <c r="A10" s="928"/>
      <c r="B10" s="929"/>
      <c r="C10" s="929"/>
      <c r="D10" s="929"/>
      <c r="E10" s="929"/>
      <c r="F10" s="929"/>
      <c r="G10" s="930"/>
      <c r="H10" s="936"/>
      <c r="I10" s="936"/>
      <c r="J10" s="936"/>
      <c r="K10" s="957"/>
      <c r="L10" s="957"/>
      <c r="M10" s="957"/>
    </row>
    <row r="11" spans="1:13" ht="12.75" customHeight="1" thickBot="1" x14ac:dyDescent="0.25">
      <c r="A11" s="931"/>
      <c r="B11" s="932"/>
      <c r="C11" s="932"/>
      <c r="D11" s="932"/>
      <c r="E11" s="932"/>
      <c r="F11" s="932"/>
      <c r="G11" s="933"/>
      <c r="H11" s="937"/>
      <c r="I11" s="937"/>
      <c r="J11" s="937"/>
      <c r="K11" s="958"/>
      <c r="L11" s="958"/>
      <c r="M11" s="958"/>
    </row>
    <row r="12" spans="1:13" ht="23.25" customHeight="1" x14ac:dyDescent="0.25">
      <c r="A12" s="920" t="s">
        <v>731</v>
      </c>
      <c r="B12" s="921"/>
      <c r="C12" s="921"/>
      <c r="D12" s="921"/>
      <c r="E12" s="921"/>
      <c r="F12" s="922"/>
      <c r="G12" s="714"/>
      <c r="H12" s="923">
        <v>50000</v>
      </c>
      <c r="I12" s="924"/>
      <c r="J12" s="924"/>
      <c r="K12" s="715">
        <v>0</v>
      </c>
      <c r="L12" s="716">
        <v>0</v>
      </c>
      <c r="M12" s="721">
        <v>0</v>
      </c>
    </row>
    <row r="13" spans="1:13" s="25" customFormat="1" ht="23.25" customHeight="1" x14ac:dyDescent="0.2">
      <c r="A13" s="693" t="s">
        <v>833</v>
      </c>
      <c r="B13" s="692"/>
      <c r="C13" s="692"/>
      <c r="D13" s="692"/>
      <c r="E13" s="692"/>
      <c r="F13" s="692"/>
      <c r="G13" s="691"/>
      <c r="H13" s="918"/>
      <c r="I13" s="919"/>
      <c r="J13" s="919"/>
      <c r="K13" s="712"/>
      <c r="L13" s="711"/>
      <c r="M13" s="722"/>
    </row>
    <row r="14" spans="1:13" s="25" customFormat="1" ht="23.25" customHeight="1" x14ac:dyDescent="0.25">
      <c r="A14" s="946" t="s">
        <v>807</v>
      </c>
      <c r="B14" s="947"/>
      <c r="C14" s="947"/>
      <c r="D14" s="947"/>
      <c r="E14" s="947"/>
      <c r="F14" s="948"/>
      <c r="G14" s="689"/>
      <c r="H14" s="949">
        <v>175727</v>
      </c>
      <c r="I14" s="949"/>
      <c r="J14" s="949"/>
      <c r="K14" s="727">
        <f>SUM(G15+G17+G18)</f>
        <v>161572</v>
      </c>
      <c r="L14" s="727">
        <v>0</v>
      </c>
      <c r="M14" s="728">
        <v>0</v>
      </c>
    </row>
    <row r="15" spans="1:13" s="25" customFormat="1" ht="68.25" customHeight="1" x14ac:dyDescent="0.2">
      <c r="A15" s="944" t="s">
        <v>834</v>
      </c>
      <c r="B15" s="945"/>
      <c r="C15" s="945"/>
      <c r="D15" s="945"/>
      <c r="E15" s="945"/>
      <c r="F15" s="945"/>
      <c r="G15" s="674">
        <v>12166</v>
      </c>
      <c r="H15" s="918"/>
      <c r="I15" s="918"/>
      <c r="J15" s="918"/>
      <c r="K15" s="712"/>
      <c r="L15" s="712"/>
      <c r="M15" s="723"/>
    </row>
    <row r="16" spans="1:13" s="25" customFormat="1" ht="33" customHeight="1" x14ac:dyDescent="0.2">
      <c r="A16" s="951" t="s">
        <v>835</v>
      </c>
      <c r="B16" s="952"/>
      <c r="C16" s="952"/>
      <c r="D16" s="952"/>
      <c r="E16" s="952"/>
      <c r="F16" s="952"/>
      <c r="G16" s="953"/>
      <c r="H16" s="943"/>
      <c r="I16" s="943"/>
      <c r="J16" s="943"/>
      <c r="K16" s="713"/>
      <c r="L16" s="713"/>
      <c r="M16" s="724"/>
    </row>
    <row r="17" spans="1:13" s="25" customFormat="1" ht="33" customHeight="1" x14ac:dyDescent="0.2">
      <c r="A17" s="944" t="s">
        <v>736</v>
      </c>
      <c r="B17" s="950"/>
      <c r="C17" s="950"/>
      <c r="D17" s="950"/>
      <c r="E17" s="950"/>
      <c r="F17" s="950"/>
      <c r="G17" s="674">
        <v>49950</v>
      </c>
      <c r="H17" s="943"/>
      <c r="I17" s="943"/>
      <c r="J17" s="943"/>
      <c r="K17" s="713"/>
      <c r="L17" s="713"/>
      <c r="M17" s="724"/>
    </row>
    <row r="18" spans="1:13" ht="33" customHeight="1" thickBot="1" x14ac:dyDescent="0.25">
      <c r="A18" s="954" t="s">
        <v>836</v>
      </c>
      <c r="B18" s="955"/>
      <c r="C18" s="955"/>
      <c r="D18" s="955"/>
      <c r="E18" s="955"/>
      <c r="F18" s="955"/>
      <c r="G18" s="717">
        <v>99456</v>
      </c>
      <c r="H18" s="956"/>
      <c r="I18" s="956"/>
      <c r="J18" s="956"/>
      <c r="K18" s="718"/>
      <c r="L18" s="718"/>
      <c r="M18" s="725"/>
    </row>
    <row r="19" spans="1:13" ht="33" customHeight="1" thickBot="1" x14ac:dyDescent="0.25">
      <c r="A19" s="939" t="s">
        <v>808</v>
      </c>
      <c r="B19" s="940"/>
      <c r="C19" s="940"/>
      <c r="D19" s="940"/>
      <c r="E19" s="940"/>
      <c r="F19" s="941"/>
      <c r="G19" s="719"/>
      <c r="H19" s="942">
        <f>SUM(H12+H14)</f>
        <v>225727</v>
      </c>
      <c r="I19" s="942"/>
      <c r="J19" s="942"/>
      <c r="K19" s="720">
        <f>SUM(K12+K14)</f>
        <v>161572</v>
      </c>
      <c r="L19" s="720">
        <f>SUM(L12+L14)</f>
        <v>0</v>
      </c>
      <c r="M19" s="726">
        <v>0</v>
      </c>
    </row>
    <row r="20" spans="1:13" x14ac:dyDescent="0.2">
      <c r="A20" s="637"/>
      <c r="B20" s="637"/>
      <c r="C20" s="637"/>
      <c r="D20" s="637"/>
      <c r="E20" s="637"/>
      <c r="F20" s="637"/>
      <c r="G20" s="637"/>
      <c r="H20" s="637"/>
      <c r="I20" s="637"/>
      <c r="J20" s="637"/>
      <c r="K20" s="637"/>
      <c r="L20" s="637"/>
      <c r="M20" s="637"/>
    </row>
    <row r="21" spans="1:13" x14ac:dyDescent="0.2">
      <c r="A21" s="637"/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</row>
    <row r="22" spans="1:13" x14ac:dyDescent="0.2">
      <c r="A22" s="637"/>
      <c r="B22" s="637"/>
      <c r="C22" s="637"/>
      <c r="D22" s="637"/>
      <c r="E22" s="637"/>
      <c r="F22" s="637"/>
      <c r="G22" s="637"/>
      <c r="H22" s="637"/>
      <c r="I22" s="637"/>
      <c r="J22" s="637"/>
      <c r="K22" s="637"/>
      <c r="L22" s="637"/>
      <c r="M22" s="637"/>
    </row>
    <row r="23" spans="1:13" ht="15.75" x14ac:dyDescent="0.2">
      <c r="A23" s="637"/>
      <c r="B23" s="637"/>
      <c r="C23" s="638"/>
      <c r="D23" s="638"/>
      <c r="E23" s="638"/>
      <c r="F23" s="638"/>
      <c r="G23" s="638"/>
      <c r="H23" s="638"/>
      <c r="I23" s="638"/>
      <c r="J23" s="637"/>
      <c r="K23" s="637"/>
      <c r="L23" s="637"/>
      <c r="M23" s="637"/>
    </row>
    <row r="24" spans="1:13" ht="15.75" x14ac:dyDescent="0.25">
      <c r="A24" s="639"/>
      <c r="B24" s="639"/>
      <c r="C24" s="690"/>
      <c r="D24" s="690"/>
      <c r="E24" s="690"/>
      <c r="F24" s="690"/>
      <c r="G24" s="690"/>
      <c r="H24" s="690"/>
      <c r="I24" s="690"/>
      <c r="J24" s="639"/>
      <c r="K24" s="690"/>
      <c r="L24" s="690"/>
      <c r="M24" s="639"/>
    </row>
    <row r="25" spans="1:13" ht="15.75" x14ac:dyDescent="0.25">
      <c r="A25" s="639"/>
      <c r="B25" s="639"/>
      <c r="C25" s="690"/>
      <c r="D25" s="690"/>
      <c r="E25" s="690"/>
      <c r="F25" s="690"/>
      <c r="G25" s="690"/>
      <c r="H25" s="690"/>
      <c r="I25" s="690"/>
      <c r="J25" s="639"/>
      <c r="K25" s="690"/>
      <c r="L25" s="690"/>
      <c r="M25" s="639"/>
    </row>
  </sheetData>
  <mergeCells count="22">
    <mergeCell ref="A4:M6"/>
    <mergeCell ref="A19:F19"/>
    <mergeCell ref="H19:J19"/>
    <mergeCell ref="H16:J16"/>
    <mergeCell ref="A15:F15"/>
    <mergeCell ref="A14:F14"/>
    <mergeCell ref="H14:J14"/>
    <mergeCell ref="A17:F17"/>
    <mergeCell ref="A16:G16"/>
    <mergeCell ref="H15:J15"/>
    <mergeCell ref="H17:J17"/>
    <mergeCell ref="A18:F18"/>
    <mergeCell ref="H18:J18"/>
    <mergeCell ref="K8:K11"/>
    <mergeCell ref="L8:L11"/>
    <mergeCell ref="M8:M11"/>
    <mergeCell ref="A7:M7"/>
    <mergeCell ref="H13:J13"/>
    <mergeCell ref="A12:F12"/>
    <mergeCell ref="H12:J12"/>
    <mergeCell ref="A8:G11"/>
    <mergeCell ref="H8:J11"/>
  </mergeCells>
  <pageMargins left="0.7" right="0.7" top="0.75" bottom="0.75" header="0.3" footer="0.3"/>
  <pageSetup paperSize="9" scale="6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view="pageBreakPreview" zoomScale="95" zoomScaleNormal="100" zoomScaleSheetLayoutView="95" workbookViewId="0">
      <selection activeCell="A2" sqref="A2:I2"/>
    </sheetView>
  </sheetViews>
  <sheetFormatPr defaultRowHeight="15.75" x14ac:dyDescent="0.25"/>
  <cols>
    <col min="1" max="1" width="41.7109375" style="564" customWidth="1"/>
    <col min="2" max="2" width="11.7109375" style="564" customWidth="1"/>
    <col min="3" max="3" width="14.28515625" style="564" customWidth="1"/>
    <col min="4" max="4" width="14" style="564" customWidth="1"/>
    <col min="5" max="9" width="15.42578125" style="564" customWidth="1"/>
    <col min="10" max="256" width="9.140625" style="564"/>
    <col min="257" max="257" width="41.7109375" style="564" customWidth="1"/>
    <col min="258" max="258" width="11.7109375" style="564" customWidth="1"/>
    <col min="259" max="259" width="14.28515625" style="564" customWidth="1"/>
    <col min="260" max="260" width="14" style="564" customWidth="1"/>
    <col min="261" max="265" width="15.42578125" style="564" customWidth="1"/>
    <col min="266" max="512" width="9.140625" style="564"/>
    <col min="513" max="513" width="41.7109375" style="564" customWidth="1"/>
    <col min="514" max="514" width="11.7109375" style="564" customWidth="1"/>
    <col min="515" max="515" width="14.28515625" style="564" customWidth="1"/>
    <col min="516" max="516" width="14" style="564" customWidth="1"/>
    <col min="517" max="521" width="15.42578125" style="564" customWidth="1"/>
    <col min="522" max="768" width="9.140625" style="564"/>
    <col min="769" max="769" width="41.7109375" style="564" customWidth="1"/>
    <col min="770" max="770" width="11.7109375" style="564" customWidth="1"/>
    <col min="771" max="771" width="14.28515625" style="564" customWidth="1"/>
    <col min="772" max="772" width="14" style="564" customWidth="1"/>
    <col min="773" max="777" width="15.42578125" style="564" customWidth="1"/>
    <col min="778" max="1024" width="9.140625" style="564"/>
    <col min="1025" max="1025" width="41.7109375" style="564" customWidth="1"/>
    <col min="1026" max="1026" width="11.7109375" style="564" customWidth="1"/>
    <col min="1027" max="1027" width="14.28515625" style="564" customWidth="1"/>
    <col min="1028" max="1028" width="14" style="564" customWidth="1"/>
    <col min="1029" max="1033" width="15.42578125" style="564" customWidth="1"/>
    <col min="1034" max="1280" width="9.140625" style="564"/>
    <col min="1281" max="1281" width="41.7109375" style="564" customWidth="1"/>
    <col min="1282" max="1282" width="11.7109375" style="564" customWidth="1"/>
    <col min="1283" max="1283" width="14.28515625" style="564" customWidth="1"/>
    <col min="1284" max="1284" width="14" style="564" customWidth="1"/>
    <col min="1285" max="1289" width="15.42578125" style="564" customWidth="1"/>
    <col min="1290" max="1536" width="9.140625" style="564"/>
    <col min="1537" max="1537" width="41.7109375" style="564" customWidth="1"/>
    <col min="1538" max="1538" width="11.7109375" style="564" customWidth="1"/>
    <col min="1539" max="1539" width="14.28515625" style="564" customWidth="1"/>
    <col min="1540" max="1540" width="14" style="564" customWidth="1"/>
    <col min="1541" max="1545" width="15.42578125" style="564" customWidth="1"/>
    <col min="1546" max="1792" width="9.140625" style="564"/>
    <col min="1793" max="1793" width="41.7109375" style="564" customWidth="1"/>
    <col min="1794" max="1794" width="11.7109375" style="564" customWidth="1"/>
    <col min="1795" max="1795" width="14.28515625" style="564" customWidth="1"/>
    <col min="1796" max="1796" width="14" style="564" customWidth="1"/>
    <col min="1797" max="1801" width="15.42578125" style="564" customWidth="1"/>
    <col min="1802" max="2048" width="9.140625" style="564"/>
    <col min="2049" max="2049" width="41.7109375" style="564" customWidth="1"/>
    <col min="2050" max="2050" width="11.7109375" style="564" customWidth="1"/>
    <col min="2051" max="2051" width="14.28515625" style="564" customWidth="1"/>
    <col min="2052" max="2052" width="14" style="564" customWidth="1"/>
    <col min="2053" max="2057" width="15.42578125" style="564" customWidth="1"/>
    <col min="2058" max="2304" width="9.140625" style="564"/>
    <col min="2305" max="2305" width="41.7109375" style="564" customWidth="1"/>
    <col min="2306" max="2306" width="11.7109375" style="564" customWidth="1"/>
    <col min="2307" max="2307" width="14.28515625" style="564" customWidth="1"/>
    <col min="2308" max="2308" width="14" style="564" customWidth="1"/>
    <col min="2309" max="2313" width="15.42578125" style="564" customWidth="1"/>
    <col min="2314" max="2560" width="9.140625" style="564"/>
    <col min="2561" max="2561" width="41.7109375" style="564" customWidth="1"/>
    <col min="2562" max="2562" width="11.7109375" style="564" customWidth="1"/>
    <col min="2563" max="2563" width="14.28515625" style="564" customWidth="1"/>
    <col min="2564" max="2564" width="14" style="564" customWidth="1"/>
    <col min="2565" max="2569" width="15.42578125" style="564" customWidth="1"/>
    <col min="2570" max="2816" width="9.140625" style="564"/>
    <col min="2817" max="2817" width="41.7109375" style="564" customWidth="1"/>
    <col min="2818" max="2818" width="11.7109375" style="564" customWidth="1"/>
    <col min="2819" max="2819" width="14.28515625" style="564" customWidth="1"/>
    <col min="2820" max="2820" width="14" style="564" customWidth="1"/>
    <col min="2821" max="2825" width="15.42578125" style="564" customWidth="1"/>
    <col min="2826" max="3072" width="9.140625" style="564"/>
    <col min="3073" max="3073" width="41.7109375" style="564" customWidth="1"/>
    <col min="3074" max="3074" width="11.7109375" style="564" customWidth="1"/>
    <col min="3075" max="3075" width="14.28515625" style="564" customWidth="1"/>
    <col min="3076" max="3076" width="14" style="564" customWidth="1"/>
    <col min="3077" max="3081" width="15.42578125" style="564" customWidth="1"/>
    <col min="3082" max="3328" width="9.140625" style="564"/>
    <col min="3329" max="3329" width="41.7109375" style="564" customWidth="1"/>
    <col min="3330" max="3330" width="11.7109375" style="564" customWidth="1"/>
    <col min="3331" max="3331" width="14.28515625" style="564" customWidth="1"/>
    <col min="3332" max="3332" width="14" style="564" customWidth="1"/>
    <col min="3333" max="3337" width="15.42578125" style="564" customWidth="1"/>
    <col min="3338" max="3584" width="9.140625" style="564"/>
    <col min="3585" max="3585" width="41.7109375" style="564" customWidth="1"/>
    <col min="3586" max="3586" width="11.7109375" style="564" customWidth="1"/>
    <col min="3587" max="3587" width="14.28515625" style="564" customWidth="1"/>
    <col min="3588" max="3588" width="14" style="564" customWidth="1"/>
    <col min="3589" max="3593" width="15.42578125" style="564" customWidth="1"/>
    <col min="3594" max="3840" width="9.140625" style="564"/>
    <col min="3841" max="3841" width="41.7109375" style="564" customWidth="1"/>
    <col min="3842" max="3842" width="11.7109375" style="564" customWidth="1"/>
    <col min="3843" max="3843" width="14.28515625" style="564" customWidth="1"/>
    <col min="3844" max="3844" width="14" style="564" customWidth="1"/>
    <col min="3845" max="3849" width="15.42578125" style="564" customWidth="1"/>
    <col min="3850" max="4096" width="9.140625" style="564"/>
    <col min="4097" max="4097" width="41.7109375" style="564" customWidth="1"/>
    <col min="4098" max="4098" width="11.7109375" style="564" customWidth="1"/>
    <col min="4099" max="4099" width="14.28515625" style="564" customWidth="1"/>
    <col min="4100" max="4100" width="14" style="564" customWidth="1"/>
    <col min="4101" max="4105" width="15.42578125" style="564" customWidth="1"/>
    <col min="4106" max="4352" width="9.140625" style="564"/>
    <col min="4353" max="4353" width="41.7109375" style="564" customWidth="1"/>
    <col min="4354" max="4354" width="11.7109375" style="564" customWidth="1"/>
    <col min="4355" max="4355" width="14.28515625" style="564" customWidth="1"/>
    <col min="4356" max="4356" width="14" style="564" customWidth="1"/>
    <col min="4357" max="4361" width="15.42578125" style="564" customWidth="1"/>
    <col min="4362" max="4608" width="9.140625" style="564"/>
    <col min="4609" max="4609" width="41.7109375" style="564" customWidth="1"/>
    <col min="4610" max="4610" width="11.7109375" style="564" customWidth="1"/>
    <col min="4611" max="4611" width="14.28515625" style="564" customWidth="1"/>
    <col min="4612" max="4612" width="14" style="564" customWidth="1"/>
    <col min="4613" max="4617" width="15.42578125" style="564" customWidth="1"/>
    <col min="4618" max="4864" width="9.140625" style="564"/>
    <col min="4865" max="4865" width="41.7109375" style="564" customWidth="1"/>
    <col min="4866" max="4866" width="11.7109375" style="564" customWidth="1"/>
    <col min="4867" max="4867" width="14.28515625" style="564" customWidth="1"/>
    <col min="4868" max="4868" width="14" style="564" customWidth="1"/>
    <col min="4869" max="4873" width="15.42578125" style="564" customWidth="1"/>
    <col min="4874" max="5120" width="9.140625" style="564"/>
    <col min="5121" max="5121" width="41.7109375" style="564" customWidth="1"/>
    <col min="5122" max="5122" width="11.7109375" style="564" customWidth="1"/>
    <col min="5123" max="5123" width="14.28515625" style="564" customWidth="1"/>
    <col min="5124" max="5124" width="14" style="564" customWidth="1"/>
    <col min="5125" max="5129" width="15.42578125" style="564" customWidth="1"/>
    <col min="5130" max="5376" width="9.140625" style="564"/>
    <col min="5377" max="5377" width="41.7109375" style="564" customWidth="1"/>
    <col min="5378" max="5378" width="11.7109375" style="564" customWidth="1"/>
    <col min="5379" max="5379" width="14.28515625" style="564" customWidth="1"/>
    <col min="5380" max="5380" width="14" style="564" customWidth="1"/>
    <col min="5381" max="5385" width="15.42578125" style="564" customWidth="1"/>
    <col min="5386" max="5632" width="9.140625" style="564"/>
    <col min="5633" max="5633" width="41.7109375" style="564" customWidth="1"/>
    <col min="5634" max="5634" width="11.7109375" style="564" customWidth="1"/>
    <col min="5635" max="5635" width="14.28515625" style="564" customWidth="1"/>
    <col min="5636" max="5636" width="14" style="564" customWidth="1"/>
    <col min="5637" max="5641" width="15.42578125" style="564" customWidth="1"/>
    <col min="5642" max="5888" width="9.140625" style="564"/>
    <col min="5889" max="5889" width="41.7109375" style="564" customWidth="1"/>
    <col min="5890" max="5890" width="11.7109375" style="564" customWidth="1"/>
    <col min="5891" max="5891" width="14.28515625" style="564" customWidth="1"/>
    <col min="5892" max="5892" width="14" style="564" customWidth="1"/>
    <col min="5893" max="5897" width="15.42578125" style="564" customWidth="1"/>
    <col min="5898" max="6144" width="9.140625" style="564"/>
    <col min="6145" max="6145" width="41.7109375" style="564" customWidth="1"/>
    <col min="6146" max="6146" width="11.7109375" style="564" customWidth="1"/>
    <col min="6147" max="6147" width="14.28515625" style="564" customWidth="1"/>
    <col min="6148" max="6148" width="14" style="564" customWidth="1"/>
    <col min="6149" max="6153" width="15.42578125" style="564" customWidth="1"/>
    <col min="6154" max="6400" width="9.140625" style="564"/>
    <col min="6401" max="6401" width="41.7109375" style="564" customWidth="1"/>
    <col min="6402" max="6402" width="11.7109375" style="564" customWidth="1"/>
    <col min="6403" max="6403" width="14.28515625" style="564" customWidth="1"/>
    <col min="6404" max="6404" width="14" style="564" customWidth="1"/>
    <col min="6405" max="6409" width="15.42578125" style="564" customWidth="1"/>
    <col min="6410" max="6656" width="9.140625" style="564"/>
    <col min="6657" max="6657" width="41.7109375" style="564" customWidth="1"/>
    <col min="6658" max="6658" width="11.7109375" style="564" customWidth="1"/>
    <col min="6659" max="6659" width="14.28515625" style="564" customWidth="1"/>
    <col min="6660" max="6660" width="14" style="564" customWidth="1"/>
    <col min="6661" max="6665" width="15.42578125" style="564" customWidth="1"/>
    <col min="6666" max="6912" width="9.140625" style="564"/>
    <col min="6913" max="6913" width="41.7109375" style="564" customWidth="1"/>
    <col min="6914" max="6914" width="11.7109375" style="564" customWidth="1"/>
    <col min="6915" max="6915" width="14.28515625" style="564" customWidth="1"/>
    <col min="6916" max="6916" width="14" style="564" customWidth="1"/>
    <col min="6917" max="6921" width="15.42578125" style="564" customWidth="1"/>
    <col min="6922" max="7168" width="9.140625" style="564"/>
    <col min="7169" max="7169" width="41.7109375" style="564" customWidth="1"/>
    <col min="7170" max="7170" width="11.7109375" style="564" customWidth="1"/>
    <col min="7171" max="7171" width="14.28515625" style="564" customWidth="1"/>
    <col min="7172" max="7172" width="14" style="564" customWidth="1"/>
    <col min="7173" max="7177" width="15.42578125" style="564" customWidth="1"/>
    <col min="7178" max="7424" width="9.140625" style="564"/>
    <col min="7425" max="7425" width="41.7109375" style="564" customWidth="1"/>
    <col min="7426" max="7426" width="11.7109375" style="564" customWidth="1"/>
    <col min="7427" max="7427" width="14.28515625" style="564" customWidth="1"/>
    <col min="7428" max="7428" width="14" style="564" customWidth="1"/>
    <col min="7429" max="7433" width="15.42578125" style="564" customWidth="1"/>
    <col min="7434" max="7680" width="9.140625" style="564"/>
    <col min="7681" max="7681" width="41.7109375" style="564" customWidth="1"/>
    <col min="7682" max="7682" width="11.7109375" style="564" customWidth="1"/>
    <col min="7683" max="7683" width="14.28515625" style="564" customWidth="1"/>
    <col min="7684" max="7684" width="14" style="564" customWidth="1"/>
    <col min="7685" max="7689" width="15.42578125" style="564" customWidth="1"/>
    <col min="7690" max="7936" width="9.140625" style="564"/>
    <col min="7937" max="7937" width="41.7109375" style="564" customWidth="1"/>
    <col min="7938" max="7938" width="11.7109375" style="564" customWidth="1"/>
    <col min="7939" max="7939" width="14.28515625" style="564" customWidth="1"/>
    <col min="7940" max="7940" width="14" style="564" customWidth="1"/>
    <col min="7941" max="7945" width="15.42578125" style="564" customWidth="1"/>
    <col min="7946" max="8192" width="9.140625" style="564"/>
    <col min="8193" max="8193" width="41.7109375" style="564" customWidth="1"/>
    <col min="8194" max="8194" width="11.7109375" style="564" customWidth="1"/>
    <col min="8195" max="8195" width="14.28515625" style="564" customWidth="1"/>
    <col min="8196" max="8196" width="14" style="564" customWidth="1"/>
    <col min="8197" max="8201" width="15.42578125" style="564" customWidth="1"/>
    <col min="8202" max="8448" width="9.140625" style="564"/>
    <col min="8449" max="8449" width="41.7109375" style="564" customWidth="1"/>
    <col min="8450" max="8450" width="11.7109375" style="564" customWidth="1"/>
    <col min="8451" max="8451" width="14.28515625" style="564" customWidth="1"/>
    <col min="8452" max="8452" width="14" style="564" customWidth="1"/>
    <col min="8453" max="8457" width="15.42578125" style="564" customWidth="1"/>
    <col min="8458" max="8704" width="9.140625" style="564"/>
    <col min="8705" max="8705" width="41.7109375" style="564" customWidth="1"/>
    <col min="8706" max="8706" width="11.7109375" style="564" customWidth="1"/>
    <col min="8707" max="8707" width="14.28515625" style="564" customWidth="1"/>
    <col min="8708" max="8708" width="14" style="564" customWidth="1"/>
    <col min="8709" max="8713" width="15.42578125" style="564" customWidth="1"/>
    <col min="8714" max="8960" width="9.140625" style="564"/>
    <col min="8961" max="8961" width="41.7109375" style="564" customWidth="1"/>
    <col min="8962" max="8962" width="11.7109375" style="564" customWidth="1"/>
    <col min="8963" max="8963" width="14.28515625" style="564" customWidth="1"/>
    <col min="8964" max="8964" width="14" style="564" customWidth="1"/>
    <col min="8965" max="8969" width="15.42578125" style="564" customWidth="1"/>
    <col min="8970" max="9216" width="9.140625" style="564"/>
    <col min="9217" max="9217" width="41.7109375" style="564" customWidth="1"/>
    <col min="9218" max="9218" width="11.7109375" style="564" customWidth="1"/>
    <col min="9219" max="9219" width="14.28515625" style="564" customWidth="1"/>
    <col min="9220" max="9220" width="14" style="564" customWidth="1"/>
    <col min="9221" max="9225" width="15.42578125" style="564" customWidth="1"/>
    <col min="9226" max="9472" width="9.140625" style="564"/>
    <col min="9473" max="9473" width="41.7109375" style="564" customWidth="1"/>
    <col min="9474" max="9474" width="11.7109375" style="564" customWidth="1"/>
    <col min="9475" max="9475" width="14.28515625" style="564" customWidth="1"/>
    <col min="9476" max="9476" width="14" style="564" customWidth="1"/>
    <col min="9477" max="9481" width="15.42578125" style="564" customWidth="1"/>
    <col min="9482" max="9728" width="9.140625" style="564"/>
    <col min="9729" max="9729" width="41.7109375" style="564" customWidth="1"/>
    <col min="9730" max="9730" width="11.7109375" style="564" customWidth="1"/>
    <col min="9731" max="9731" width="14.28515625" style="564" customWidth="1"/>
    <col min="9732" max="9732" width="14" style="564" customWidth="1"/>
    <col min="9733" max="9737" width="15.42578125" style="564" customWidth="1"/>
    <col min="9738" max="9984" width="9.140625" style="564"/>
    <col min="9985" max="9985" width="41.7109375" style="564" customWidth="1"/>
    <col min="9986" max="9986" width="11.7109375" style="564" customWidth="1"/>
    <col min="9987" max="9987" width="14.28515625" style="564" customWidth="1"/>
    <col min="9988" max="9988" width="14" style="564" customWidth="1"/>
    <col min="9989" max="9993" width="15.42578125" style="564" customWidth="1"/>
    <col min="9994" max="10240" width="9.140625" style="564"/>
    <col min="10241" max="10241" width="41.7109375" style="564" customWidth="1"/>
    <col min="10242" max="10242" width="11.7109375" style="564" customWidth="1"/>
    <col min="10243" max="10243" width="14.28515625" style="564" customWidth="1"/>
    <col min="10244" max="10244" width="14" style="564" customWidth="1"/>
    <col min="10245" max="10249" width="15.42578125" style="564" customWidth="1"/>
    <col min="10250" max="10496" width="9.140625" style="564"/>
    <col min="10497" max="10497" width="41.7109375" style="564" customWidth="1"/>
    <col min="10498" max="10498" width="11.7109375" style="564" customWidth="1"/>
    <col min="10499" max="10499" width="14.28515625" style="564" customWidth="1"/>
    <col min="10500" max="10500" width="14" style="564" customWidth="1"/>
    <col min="10501" max="10505" width="15.42578125" style="564" customWidth="1"/>
    <col min="10506" max="10752" width="9.140625" style="564"/>
    <col min="10753" max="10753" width="41.7109375" style="564" customWidth="1"/>
    <col min="10754" max="10754" width="11.7109375" style="564" customWidth="1"/>
    <col min="10755" max="10755" width="14.28515625" style="564" customWidth="1"/>
    <col min="10756" max="10756" width="14" style="564" customWidth="1"/>
    <col min="10757" max="10761" width="15.42578125" style="564" customWidth="1"/>
    <col min="10762" max="11008" width="9.140625" style="564"/>
    <col min="11009" max="11009" width="41.7109375" style="564" customWidth="1"/>
    <col min="11010" max="11010" width="11.7109375" style="564" customWidth="1"/>
    <col min="11011" max="11011" width="14.28515625" style="564" customWidth="1"/>
    <col min="11012" max="11012" width="14" style="564" customWidth="1"/>
    <col min="11013" max="11017" width="15.42578125" style="564" customWidth="1"/>
    <col min="11018" max="11264" width="9.140625" style="564"/>
    <col min="11265" max="11265" width="41.7109375" style="564" customWidth="1"/>
    <col min="11266" max="11266" width="11.7109375" style="564" customWidth="1"/>
    <col min="11267" max="11267" width="14.28515625" style="564" customWidth="1"/>
    <col min="11268" max="11268" width="14" style="564" customWidth="1"/>
    <col min="11269" max="11273" width="15.42578125" style="564" customWidth="1"/>
    <col min="11274" max="11520" width="9.140625" style="564"/>
    <col min="11521" max="11521" width="41.7109375" style="564" customWidth="1"/>
    <col min="11522" max="11522" width="11.7109375" style="564" customWidth="1"/>
    <col min="11523" max="11523" width="14.28515625" style="564" customWidth="1"/>
    <col min="11524" max="11524" width="14" style="564" customWidth="1"/>
    <col min="11525" max="11529" width="15.42578125" style="564" customWidth="1"/>
    <col min="11530" max="11776" width="9.140625" style="564"/>
    <col min="11777" max="11777" width="41.7109375" style="564" customWidth="1"/>
    <col min="11778" max="11778" width="11.7109375" style="564" customWidth="1"/>
    <col min="11779" max="11779" width="14.28515625" style="564" customWidth="1"/>
    <col min="11780" max="11780" width="14" style="564" customWidth="1"/>
    <col min="11781" max="11785" width="15.42578125" style="564" customWidth="1"/>
    <col min="11786" max="12032" width="9.140625" style="564"/>
    <col min="12033" max="12033" width="41.7109375" style="564" customWidth="1"/>
    <col min="12034" max="12034" width="11.7109375" style="564" customWidth="1"/>
    <col min="12035" max="12035" width="14.28515625" style="564" customWidth="1"/>
    <col min="12036" max="12036" width="14" style="564" customWidth="1"/>
    <col min="12037" max="12041" width="15.42578125" style="564" customWidth="1"/>
    <col min="12042" max="12288" width="9.140625" style="564"/>
    <col min="12289" max="12289" width="41.7109375" style="564" customWidth="1"/>
    <col min="12290" max="12290" width="11.7109375" style="564" customWidth="1"/>
    <col min="12291" max="12291" width="14.28515625" style="564" customWidth="1"/>
    <col min="12292" max="12292" width="14" style="564" customWidth="1"/>
    <col min="12293" max="12297" width="15.42578125" style="564" customWidth="1"/>
    <col min="12298" max="12544" width="9.140625" style="564"/>
    <col min="12545" max="12545" width="41.7109375" style="564" customWidth="1"/>
    <col min="12546" max="12546" width="11.7109375" style="564" customWidth="1"/>
    <col min="12547" max="12547" width="14.28515625" style="564" customWidth="1"/>
    <col min="12548" max="12548" width="14" style="564" customWidth="1"/>
    <col min="12549" max="12553" width="15.42578125" style="564" customWidth="1"/>
    <col min="12554" max="12800" width="9.140625" style="564"/>
    <col min="12801" max="12801" width="41.7109375" style="564" customWidth="1"/>
    <col min="12802" max="12802" width="11.7109375" style="564" customWidth="1"/>
    <col min="12803" max="12803" width="14.28515625" style="564" customWidth="1"/>
    <col min="12804" max="12804" width="14" style="564" customWidth="1"/>
    <col min="12805" max="12809" width="15.42578125" style="564" customWidth="1"/>
    <col min="12810" max="13056" width="9.140625" style="564"/>
    <col min="13057" max="13057" width="41.7109375" style="564" customWidth="1"/>
    <col min="13058" max="13058" width="11.7109375" style="564" customWidth="1"/>
    <col min="13059" max="13059" width="14.28515625" style="564" customWidth="1"/>
    <col min="13060" max="13060" width="14" style="564" customWidth="1"/>
    <col min="13061" max="13065" width="15.42578125" style="564" customWidth="1"/>
    <col min="13066" max="13312" width="9.140625" style="564"/>
    <col min="13313" max="13313" width="41.7109375" style="564" customWidth="1"/>
    <col min="13314" max="13314" width="11.7109375" style="564" customWidth="1"/>
    <col min="13315" max="13315" width="14.28515625" style="564" customWidth="1"/>
    <col min="13316" max="13316" width="14" style="564" customWidth="1"/>
    <col min="13317" max="13321" width="15.42578125" style="564" customWidth="1"/>
    <col min="13322" max="13568" width="9.140625" style="564"/>
    <col min="13569" max="13569" width="41.7109375" style="564" customWidth="1"/>
    <col min="13570" max="13570" width="11.7109375" style="564" customWidth="1"/>
    <col min="13571" max="13571" width="14.28515625" style="564" customWidth="1"/>
    <col min="13572" max="13572" width="14" style="564" customWidth="1"/>
    <col min="13573" max="13577" width="15.42578125" style="564" customWidth="1"/>
    <col min="13578" max="13824" width="9.140625" style="564"/>
    <col min="13825" max="13825" width="41.7109375" style="564" customWidth="1"/>
    <col min="13826" max="13826" width="11.7109375" style="564" customWidth="1"/>
    <col min="13827" max="13827" width="14.28515625" style="564" customWidth="1"/>
    <col min="13828" max="13828" width="14" style="564" customWidth="1"/>
    <col min="13829" max="13833" width="15.42578125" style="564" customWidth="1"/>
    <col min="13834" max="14080" width="9.140625" style="564"/>
    <col min="14081" max="14081" width="41.7109375" style="564" customWidth="1"/>
    <col min="14082" max="14082" width="11.7109375" style="564" customWidth="1"/>
    <col min="14083" max="14083" width="14.28515625" style="564" customWidth="1"/>
    <col min="14084" max="14084" width="14" style="564" customWidth="1"/>
    <col min="14085" max="14089" width="15.42578125" style="564" customWidth="1"/>
    <col min="14090" max="14336" width="9.140625" style="564"/>
    <col min="14337" max="14337" width="41.7109375" style="564" customWidth="1"/>
    <col min="14338" max="14338" width="11.7109375" style="564" customWidth="1"/>
    <col min="14339" max="14339" width="14.28515625" style="564" customWidth="1"/>
    <col min="14340" max="14340" width="14" style="564" customWidth="1"/>
    <col min="14341" max="14345" width="15.42578125" style="564" customWidth="1"/>
    <col min="14346" max="14592" width="9.140625" style="564"/>
    <col min="14593" max="14593" width="41.7109375" style="564" customWidth="1"/>
    <col min="14594" max="14594" width="11.7109375" style="564" customWidth="1"/>
    <col min="14595" max="14595" width="14.28515625" style="564" customWidth="1"/>
    <col min="14596" max="14596" width="14" style="564" customWidth="1"/>
    <col min="14597" max="14601" width="15.42578125" style="564" customWidth="1"/>
    <col min="14602" max="14848" width="9.140625" style="564"/>
    <col min="14849" max="14849" width="41.7109375" style="564" customWidth="1"/>
    <col min="14850" max="14850" width="11.7109375" style="564" customWidth="1"/>
    <col min="14851" max="14851" width="14.28515625" style="564" customWidth="1"/>
    <col min="14852" max="14852" width="14" style="564" customWidth="1"/>
    <col min="14853" max="14857" width="15.42578125" style="564" customWidth="1"/>
    <col min="14858" max="15104" width="9.140625" style="564"/>
    <col min="15105" max="15105" width="41.7109375" style="564" customWidth="1"/>
    <col min="15106" max="15106" width="11.7109375" style="564" customWidth="1"/>
    <col min="15107" max="15107" width="14.28515625" style="564" customWidth="1"/>
    <col min="15108" max="15108" width="14" style="564" customWidth="1"/>
    <col min="15109" max="15113" width="15.42578125" style="564" customWidth="1"/>
    <col min="15114" max="15360" width="9.140625" style="564"/>
    <col min="15361" max="15361" width="41.7109375" style="564" customWidth="1"/>
    <col min="15362" max="15362" width="11.7109375" style="564" customWidth="1"/>
    <col min="15363" max="15363" width="14.28515625" style="564" customWidth="1"/>
    <col min="15364" max="15364" width="14" style="564" customWidth="1"/>
    <col min="15365" max="15369" width="15.42578125" style="564" customWidth="1"/>
    <col min="15370" max="15616" width="9.140625" style="564"/>
    <col min="15617" max="15617" width="41.7109375" style="564" customWidth="1"/>
    <col min="15618" max="15618" width="11.7109375" style="564" customWidth="1"/>
    <col min="15619" max="15619" width="14.28515625" style="564" customWidth="1"/>
    <col min="15620" max="15620" width="14" style="564" customWidth="1"/>
    <col min="15621" max="15625" width="15.42578125" style="564" customWidth="1"/>
    <col min="15626" max="15872" width="9.140625" style="564"/>
    <col min="15873" max="15873" width="41.7109375" style="564" customWidth="1"/>
    <col min="15874" max="15874" width="11.7109375" style="564" customWidth="1"/>
    <col min="15875" max="15875" width="14.28515625" style="564" customWidth="1"/>
    <col min="15876" max="15876" width="14" style="564" customWidth="1"/>
    <col min="15877" max="15881" width="15.42578125" style="564" customWidth="1"/>
    <col min="15882" max="16128" width="9.140625" style="564"/>
    <col min="16129" max="16129" width="41.7109375" style="564" customWidth="1"/>
    <col min="16130" max="16130" width="11.7109375" style="564" customWidth="1"/>
    <col min="16131" max="16131" width="14.28515625" style="564" customWidth="1"/>
    <col min="16132" max="16132" width="14" style="564" customWidth="1"/>
    <col min="16133" max="16137" width="15.42578125" style="564" customWidth="1"/>
    <col min="16138" max="16384" width="9.140625" style="564"/>
  </cols>
  <sheetData>
    <row r="2" spans="1:9" x14ac:dyDescent="0.25">
      <c r="A2" s="962" t="s">
        <v>974</v>
      </c>
      <c r="B2" s="962"/>
      <c r="C2" s="962"/>
      <c r="D2" s="962"/>
      <c r="E2" s="962"/>
      <c r="F2" s="962"/>
      <c r="G2" s="962"/>
      <c r="H2" s="962"/>
      <c r="I2" s="962"/>
    </row>
    <row r="3" spans="1:9" x14ac:dyDescent="0.25">
      <c r="A3" s="600"/>
      <c r="B3" s="600"/>
      <c r="C3" s="600"/>
      <c r="D3" s="600"/>
      <c r="E3" s="600"/>
      <c r="F3" s="600"/>
      <c r="G3" s="600"/>
      <c r="H3" s="600"/>
      <c r="I3" s="600"/>
    </row>
    <row r="4" spans="1:9" x14ac:dyDescent="0.25">
      <c r="A4" s="963" t="s">
        <v>843</v>
      </c>
      <c r="B4" s="964"/>
      <c r="C4" s="964"/>
      <c r="D4" s="964"/>
      <c r="E4" s="964"/>
      <c r="F4" s="964"/>
      <c r="G4" s="964"/>
      <c r="H4" s="964"/>
      <c r="I4" s="964"/>
    </row>
    <row r="5" spans="1:9" x14ac:dyDescent="0.25">
      <c r="A5" s="964"/>
      <c r="B5" s="964"/>
      <c r="C5" s="964"/>
      <c r="D5" s="964"/>
      <c r="E5" s="964"/>
      <c r="F5" s="964"/>
      <c r="G5" s="964"/>
      <c r="H5" s="964"/>
      <c r="I5" s="964"/>
    </row>
    <row r="6" spans="1:9" x14ac:dyDescent="0.25">
      <c r="A6" s="964"/>
      <c r="B6" s="964"/>
      <c r="C6" s="964"/>
      <c r="D6" s="964"/>
      <c r="E6" s="964"/>
      <c r="F6" s="964"/>
      <c r="G6" s="964"/>
      <c r="H6" s="964"/>
      <c r="I6" s="964"/>
    </row>
    <row r="7" spans="1:9" x14ac:dyDescent="0.25">
      <c r="A7" s="601"/>
      <c r="B7" s="601"/>
      <c r="C7" s="601"/>
      <c r="D7" s="601"/>
      <c r="E7" s="601"/>
      <c r="F7" s="601"/>
      <c r="G7" s="601"/>
      <c r="H7" s="601"/>
      <c r="I7" s="601"/>
    </row>
    <row r="8" spans="1:9" ht="16.5" thickBot="1" x14ac:dyDescent="0.3">
      <c r="E8" s="965" t="s">
        <v>308</v>
      </c>
      <c r="F8" s="965"/>
      <c r="G8" s="965"/>
      <c r="H8" s="965"/>
      <c r="I8" s="965"/>
    </row>
    <row r="9" spans="1:9" s="602" customFormat="1" ht="16.5" thickBot="1" x14ac:dyDescent="0.3">
      <c r="A9" s="959" t="s">
        <v>0</v>
      </c>
      <c r="B9" s="959" t="s">
        <v>809</v>
      </c>
      <c r="C9" s="967" t="s">
        <v>810</v>
      </c>
      <c r="D9" s="959" t="s">
        <v>839</v>
      </c>
      <c r="E9" s="961" t="s">
        <v>811</v>
      </c>
      <c r="F9" s="961"/>
      <c r="G9" s="961"/>
      <c r="H9" s="961"/>
      <c r="I9" s="961"/>
    </row>
    <row r="10" spans="1:9" s="602" customFormat="1" ht="16.5" thickBot="1" x14ac:dyDescent="0.3">
      <c r="A10" s="966"/>
      <c r="B10" s="966"/>
      <c r="C10" s="968"/>
      <c r="D10" s="966"/>
      <c r="E10" s="959" t="s">
        <v>812</v>
      </c>
      <c r="F10" s="959" t="s">
        <v>813</v>
      </c>
      <c r="G10" s="959" t="s">
        <v>840</v>
      </c>
      <c r="H10" s="961" t="s">
        <v>841</v>
      </c>
      <c r="I10" s="961" t="s">
        <v>842</v>
      </c>
    </row>
    <row r="11" spans="1:9" s="602" customFormat="1" ht="66" customHeight="1" thickBot="1" x14ac:dyDescent="0.3">
      <c r="A11" s="960"/>
      <c r="B11" s="960"/>
      <c r="C11" s="969"/>
      <c r="D11" s="960"/>
      <c r="E11" s="960"/>
      <c r="F11" s="960"/>
      <c r="G11" s="960"/>
      <c r="H11" s="961"/>
      <c r="I11" s="961"/>
    </row>
    <row r="12" spans="1:9" x14ac:dyDescent="0.25">
      <c r="A12" s="603" t="s">
        <v>814</v>
      </c>
      <c r="B12" s="604"/>
      <c r="C12" s="605"/>
      <c r="D12" s="605"/>
      <c r="E12" s="605"/>
      <c r="F12" s="605"/>
      <c r="G12" s="605"/>
      <c r="H12" s="605"/>
      <c r="I12" s="605"/>
    </row>
    <row r="13" spans="1:9" x14ac:dyDescent="0.25">
      <c r="A13" s="606" t="s">
        <v>815</v>
      </c>
      <c r="B13" s="607"/>
      <c r="C13" s="608"/>
      <c r="D13" s="608"/>
      <c r="E13" s="608"/>
      <c r="F13" s="608"/>
      <c r="G13" s="608"/>
      <c r="H13" s="608"/>
      <c r="I13" s="608"/>
    </row>
    <row r="14" spans="1:9" ht="26.25" thickBot="1" x14ac:dyDescent="0.3">
      <c r="A14" s="609" t="s">
        <v>816</v>
      </c>
      <c r="B14" s="610">
        <v>2011</v>
      </c>
      <c r="C14" s="611">
        <v>152125</v>
      </c>
      <c r="D14" s="611">
        <f>SUM(E14:I14)</f>
        <v>111941</v>
      </c>
      <c r="E14" s="611">
        <v>11481</v>
      </c>
      <c r="F14" s="611">
        <v>11481</v>
      </c>
      <c r="G14" s="611">
        <v>11481</v>
      </c>
      <c r="H14" s="611">
        <f>5*11481</f>
        <v>57405</v>
      </c>
      <c r="I14" s="611">
        <f>11481+8612</f>
        <v>20093</v>
      </c>
    </row>
    <row r="15" spans="1:9" ht="16.5" thickBot="1" x14ac:dyDescent="0.3">
      <c r="A15" s="612" t="s">
        <v>817</v>
      </c>
      <c r="B15" s="613"/>
      <c r="C15" s="614">
        <f>C14</f>
        <v>152125</v>
      </c>
      <c r="D15" s="614">
        <f>SUM(E15:I15)</f>
        <v>111941</v>
      </c>
      <c r="E15" s="614">
        <f>E14</f>
        <v>11481</v>
      </c>
      <c r="F15" s="614">
        <f>F14</f>
        <v>11481</v>
      </c>
      <c r="G15" s="614">
        <f>G14</f>
        <v>11481</v>
      </c>
      <c r="H15" s="614">
        <f>H14</f>
        <v>57405</v>
      </c>
      <c r="I15" s="614">
        <f>I14</f>
        <v>20093</v>
      </c>
    </row>
    <row r="16" spans="1:9" s="618" customFormat="1" ht="16.5" thickBot="1" x14ac:dyDescent="0.3">
      <c r="A16" s="615" t="s">
        <v>818</v>
      </c>
      <c r="B16" s="616"/>
      <c r="C16" s="617">
        <f>SUM(C15)</f>
        <v>152125</v>
      </c>
      <c r="D16" s="617">
        <f t="shared" ref="D16:I16" si="0">SUM(D15)</f>
        <v>111941</v>
      </c>
      <c r="E16" s="617">
        <f t="shared" si="0"/>
        <v>11481</v>
      </c>
      <c r="F16" s="617">
        <f t="shared" si="0"/>
        <v>11481</v>
      </c>
      <c r="G16" s="617">
        <f t="shared" si="0"/>
        <v>11481</v>
      </c>
      <c r="H16" s="617">
        <f t="shared" si="0"/>
        <v>57405</v>
      </c>
      <c r="I16" s="617">
        <f t="shared" si="0"/>
        <v>20093</v>
      </c>
    </row>
  </sheetData>
  <mergeCells count="13">
    <mergeCell ref="G10:G11"/>
    <mergeCell ref="H10:H11"/>
    <mergeCell ref="I10:I11"/>
    <mergeCell ref="A2:I2"/>
    <mergeCell ref="A4:I6"/>
    <mergeCell ref="E8:I8"/>
    <mergeCell ref="A9:A11"/>
    <mergeCell ref="B9:B11"/>
    <mergeCell ref="C9:C11"/>
    <mergeCell ref="D9:D11"/>
    <mergeCell ref="E9:I9"/>
    <mergeCell ref="E10:E11"/>
    <mergeCell ref="F10:F11"/>
  </mergeCells>
  <pageMargins left="0.7" right="0.7" top="0.75" bottom="0.75" header="0.3" footer="0.3"/>
  <pageSetup paperSize="9" scale="5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zoomScale="98" zoomScaleNormal="100" zoomScaleSheetLayoutView="98" workbookViewId="0"/>
  </sheetViews>
  <sheetFormatPr defaultRowHeight="12.75" x14ac:dyDescent="0.2"/>
  <cols>
    <col min="1" max="1" width="67.140625" style="623" customWidth="1"/>
    <col min="2" max="2" width="21.5703125" style="622" customWidth="1"/>
    <col min="3" max="3" width="28.28515625" style="622" customWidth="1"/>
    <col min="4" max="256" width="9.140625" style="623"/>
    <col min="257" max="257" width="67.140625" style="623" customWidth="1"/>
    <col min="258" max="258" width="21.5703125" style="623" customWidth="1"/>
    <col min="259" max="259" width="28.28515625" style="623" customWidth="1"/>
    <col min="260" max="512" width="9.140625" style="623"/>
    <col min="513" max="513" width="67.140625" style="623" customWidth="1"/>
    <col min="514" max="514" width="21.5703125" style="623" customWidth="1"/>
    <col min="515" max="515" width="28.28515625" style="623" customWidth="1"/>
    <col min="516" max="768" width="9.140625" style="623"/>
    <col min="769" max="769" width="67.140625" style="623" customWidth="1"/>
    <col min="770" max="770" width="21.5703125" style="623" customWidth="1"/>
    <col min="771" max="771" width="28.28515625" style="623" customWidth="1"/>
    <col min="772" max="1024" width="9.140625" style="623"/>
    <col min="1025" max="1025" width="67.140625" style="623" customWidth="1"/>
    <col min="1026" max="1026" width="21.5703125" style="623" customWidth="1"/>
    <col min="1027" max="1027" width="28.28515625" style="623" customWidth="1"/>
    <col min="1028" max="1280" width="9.140625" style="623"/>
    <col min="1281" max="1281" width="67.140625" style="623" customWidth="1"/>
    <col min="1282" max="1282" width="21.5703125" style="623" customWidth="1"/>
    <col min="1283" max="1283" width="28.28515625" style="623" customWidth="1"/>
    <col min="1284" max="1536" width="9.140625" style="623"/>
    <col min="1537" max="1537" width="67.140625" style="623" customWidth="1"/>
    <col min="1538" max="1538" width="21.5703125" style="623" customWidth="1"/>
    <col min="1539" max="1539" width="28.28515625" style="623" customWidth="1"/>
    <col min="1540" max="1792" width="9.140625" style="623"/>
    <col min="1793" max="1793" width="67.140625" style="623" customWidth="1"/>
    <col min="1794" max="1794" width="21.5703125" style="623" customWidth="1"/>
    <col min="1795" max="1795" width="28.28515625" style="623" customWidth="1"/>
    <col min="1796" max="2048" width="9.140625" style="623"/>
    <col min="2049" max="2049" width="67.140625" style="623" customWidth="1"/>
    <col min="2050" max="2050" width="21.5703125" style="623" customWidth="1"/>
    <col min="2051" max="2051" width="28.28515625" style="623" customWidth="1"/>
    <col min="2052" max="2304" width="9.140625" style="623"/>
    <col min="2305" max="2305" width="67.140625" style="623" customWidth="1"/>
    <col min="2306" max="2306" width="21.5703125" style="623" customWidth="1"/>
    <col min="2307" max="2307" width="28.28515625" style="623" customWidth="1"/>
    <col min="2308" max="2560" width="9.140625" style="623"/>
    <col min="2561" max="2561" width="67.140625" style="623" customWidth="1"/>
    <col min="2562" max="2562" width="21.5703125" style="623" customWidth="1"/>
    <col min="2563" max="2563" width="28.28515625" style="623" customWidth="1"/>
    <col min="2564" max="2816" width="9.140625" style="623"/>
    <col min="2817" max="2817" width="67.140625" style="623" customWidth="1"/>
    <col min="2818" max="2818" width="21.5703125" style="623" customWidth="1"/>
    <col min="2819" max="2819" width="28.28515625" style="623" customWidth="1"/>
    <col min="2820" max="3072" width="9.140625" style="623"/>
    <col min="3073" max="3073" width="67.140625" style="623" customWidth="1"/>
    <col min="3074" max="3074" width="21.5703125" style="623" customWidth="1"/>
    <col min="3075" max="3075" width="28.28515625" style="623" customWidth="1"/>
    <col min="3076" max="3328" width="9.140625" style="623"/>
    <col min="3329" max="3329" width="67.140625" style="623" customWidth="1"/>
    <col min="3330" max="3330" width="21.5703125" style="623" customWidth="1"/>
    <col min="3331" max="3331" width="28.28515625" style="623" customWidth="1"/>
    <col min="3332" max="3584" width="9.140625" style="623"/>
    <col min="3585" max="3585" width="67.140625" style="623" customWidth="1"/>
    <col min="3586" max="3586" width="21.5703125" style="623" customWidth="1"/>
    <col min="3587" max="3587" width="28.28515625" style="623" customWidth="1"/>
    <col min="3588" max="3840" width="9.140625" style="623"/>
    <col min="3841" max="3841" width="67.140625" style="623" customWidth="1"/>
    <col min="3842" max="3842" width="21.5703125" style="623" customWidth="1"/>
    <col min="3843" max="3843" width="28.28515625" style="623" customWidth="1"/>
    <col min="3844" max="4096" width="9.140625" style="623"/>
    <col min="4097" max="4097" width="67.140625" style="623" customWidth="1"/>
    <col min="4098" max="4098" width="21.5703125" style="623" customWidth="1"/>
    <col min="4099" max="4099" width="28.28515625" style="623" customWidth="1"/>
    <col min="4100" max="4352" width="9.140625" style="623"/>
    <col min="4353" max="4353" width="67.140625" style="623" customWidth="1"/>
    <col min="4354" max="4354" width="21.5703125" style="623" customWidth="1"/>
    <col min="4355" max="4355" width="28.28515625" style="623" customWidth="1"/>
    <col min="4356" max="4608" width="9.140625" style="623"/>
    <col min="4609" max="4609" width="67.140625" style="623" customWidth="1"/>
    <col min="4610" max="4610" width="21.5703125" style="623" customWidth="1"/>
    <col min="4611" max="4611" width="28.28515625" style="623" customWidth="1"/>
    <col min="4612" max="4864" width="9.140625" style="623"/>
    <col min="4865" max="4865" width="67.140625" style="623" customWidth="1"/>
    <col min="4866" max="4866" width="21.5703125" style="623" customWidth="1"/>
    <col min="4867" max="4867" width="28.28515625" style="623" customWidth="1"/>
    <col min="4868" max="5120" width="9.140625" style="623"/>
    <col min="5121" max="5121" width="67.140625" style="623" customWidth="1"/>
    <col min="5122" max="5122" width="21.5703125" style="623" customWidth="1"/>
    <col min="5123" max="5123" width="28.28515625" style="623" customWidth="1"/>
    <col min="5124" max="5376" width="9.140625" style="623"/>
    <col min="5377" max="5377" width="67.140625" style="623" customWidth="1"/>
    <col min="5378" max="5378" width="21.5703125" style="623" customWidth="1"/>
    <col min="5379" max="5379" width="28.28515625" style="623" customWidth="1"/>
    <col min="5380" max="5632" width="9.140625" style="623"/>
    <col min="5633" max="5633" width="67.140625" style="623" customWidth="1"/>
    <col min="5634" max="5634" width="21.5703125" style="623" customWidth="1"/>
    <col min="5635" max="5635" width="28.28515625" style="623" customWidth="1"/>
    <col min="5636" max="5888" width="9.140625" style="623"/>
    <col min="5889" max="5889" width="67.140625" style="623" customWidth="1"/>
    <col min="5890" max="5890" width="21.5703125" style="623" customWidth="1"/>
    <col min="5891" max="5891" width="28.28515625" style="623" customWidth="1"/>
    <col min="5892" max="6144" width="9.140625" style="623"/>
    <col min="6145" max="6145" width="67.140625" style="623" customWidth="1"/>
    <col min="6146" max="6146" width="21.5703125" style="623" customWidth="1"/>
    <col min="6147" max="6147" width="28.28515625" style="623" customWidth="1"/>
    <col min="6148" max="6400" width="9.140625" style="623"/>
    <col min="6401" max="6401" width="67.140625" style="623" customWidth="1"/>
    <col min="6402" max="6402" width="21.5703125" style="623" customWidth="1"/>
    <col min="6403" max="6403" width="28.28515625" style="623" customWidth="1"/>
    <col min="6404" max="6656" width="9.140625" style="623"/>
    <col min="6657" max="6657" width="67.140625" style="623" customWidth="1"/>
    <col min="6658" max="6658" width="21.5703125" style="623" customWidth="1"/>
    <col min="6659" max="6659" width="28.28515625" style="623" customWidth="1"/>
    <col min="6660" max="6912" width="9.140625" style="623"/>
    <col min="6913" max="6913" width="67.140625" style="623" customWidth="1"/>
    <col min="6914" max="6914" width="21.5703125" style="623" customWidth="1"/>
    <col min="6915" max="6915" width="28.28515625" style="623" customWidth="1"/>
    <col min="6916" max="7168" width="9.140625" style="623"/>
    <col min="7169" max="7169" width="67.140625" style="623" customWidth="1"/>
    <col min="7170" max="7170" width="21.5703125" style="623" customWidth="1"/>
    <col min="7171" max="7171" width="28.28515625" style="623" customWidth="1"/>
    <col min="7172" max="7424" width="9.140625" style="623"/>
    <col min="7425" max="7425" width="67.140625" style="623" customWidth="1"/>
    <col min="7426" max="7426" width="21.5703125" style="623" customWidth="1"/>
    <col min="7427" max="7427" width="28.28515625" style="623" customWidth="1"/>
    <col min="7428" max="7680" width="9.140625" style="623"/>
    <col min="7681" max="7681" width="67.140625" style="623" customWidth="1"/>
    <col min="7682" max="7682" width="21.5703125" style="623" customWidth="1"/>
    <col min="7683" max="7683" width="28.28515625" style="623" customWidth="1"/>
    <col min="7684" max="7936" width="9.140625" style="623"/>
    <col min="7937" max="7937" width="67.140625" style="623" customWidth="1"/>
    <col min="7938" max="7938" width="21.5703125" style="623" customWidth="1"/>
    <col min="7939" max="7939" width="28.28515625" style="623" customWidth="1"/>
    <col min="7940" max="8192" width="9.140625" style="623"/>
    <col min="8193" max="8193" width="67.140625" style="623" customWidth="1"/>
    <col min="8194" max="8194" width="21.5703125" style="623" customWidth="1"/>
    <col min="8195" max="8195" width="28.28515625" style="623" customWidth="1"/>
    <col min="8196" max="8448" width="9.140625" style="623"/>
    <col min="8449" max="8449" width="67.140625" style="623" customWidth="1"/>
    <col min="8450" max="8450" width="21.5703125" style="623" customWidth="1"/>
    <col min="8451" max="8451" width="28.28515625" style="623" customWidth="1"/>
    <col min="8452" max="8704" width="9.140625" style="623"/>
    <col min="8705" max="8705" width="67.140625" style="623" customWidth="1"/>
    <col min="8706" max="8706" width="21.5703125" style="623" customWidth="1"/>
    <col min="8707" max="8707" width="28.28515625" style="623" customWidth="1"/>
    <col min="8708" max="8960" width="9.140625" style="623"/>
    <col min="8961" max="8961" width="67.140625" style="623" customWidth="1"/>
    <col min="8962" max="8962" width="21.5703125" style="623" customWidth="1"/>
    <col min="8963" max="8963" width="28.28515625" style="623" customWidth="1"/>
    <col min="8964" max="9216" width="9.140625" style="623"/>
    <col min="9217" max="9217" width="67.140625" style="623" customWidth="1"/>
    <col min="9218" max="9218" width="21.5703125" style="623" customWidth="1"/>
    <col min="9219" max="9219" width="28.28515625" style="623" customWidth="1"/>
    <col min="9220" max="9472" width="9.140625" style="623"/>
    <col min="9473" max="9473" width="67.140625" style="623" customWidth="1"/>
    <col min="9474" max="9474" width="21.5703125" style="623" customWidth="1"/>
    <col min="9475" max="9475" width="28.28515625" style="623" customWidth="1"/>
    <col min="9476" max="9728" width="9.140625" style="623"/>
    <col min="9729" max="9729" width="67.140625" style="623" customWidth="1"/>
    <col min="9730" max="9730" width="21.5703125" style="623" customWidth="1"/>
    <col min="9731" max="9731" width="28.28515625" style="623" customWidth="1"/>
    <col min="9732" max="9984" width="9.140625" style="623"/>
    <col min="9985" max="9985" width="67.140625" style="623" customWidth="1"/>
    <col min="9986" max="9986" width="21.5703125" style="623" customWidth="1"/>
    <col min="9987" max="9987" width="28.28515625" style="623" customWidth="1"/>
    <col min="9988" max="10240" width="9.140625" style="623"/>
    <col min="10241" max="10241" width="67.140625" style="623" customWidth="1"/>
    <col min="10242" max="10242" width="21.5703125" style="623" customWidth="1"/>
    <col min="10243" max="10243" width="28.28515625" style="623" customWidth="1"/>
    <col min="10244" max="10496" width="9.140625" style="623"/>
    <col min="10497" max="10497" width="67.140625" style="623" customWidth="1"/>
    <col min="10498" max="10498" width="21.5703125" style="623" customWidth="1"/>
    <col min="10499" max="10499" width="28.28515625" style="623" customWidth="1"/>
    <col min="10500" max="10752" width="9.140625" style="623"/>
    <col min="10753" max="10753" width="67.140625" style="623" customWidth="1"/>
    <col min="10754" max="10754" width="21.5703125" style="623" customWidth="1"/>
    <col min="10755" max="10755" width="28.28515625" style="623" customWidth="1"/>
    <col min="10756" max="11008" width="9.140625" style="623"/>
    <col min="11009" max="11009" width="67.140625" style="623" customWidth="1"/>
    <col min="11010" max="11010" width="21.5703125" style="623" customWidth="1"/>
    <col min="11011" max="11011" width="28.28515625" style="623" customWidth="1"/>
    <col min="11012" max="11264" width="9.140625" style="623"/>
    <col min="11265" max="11265" width="67.140625" style="623" customWidth="1"/>
    <col min="11266" max="11266" width="21.5703125" style="623" customWidth="1"/>
    <col min="11267" max="11267" width="28.28515625" style="623" customWidth="1"/>
    <col min="11268" max="11520" width="9.140625" style="623"/>
    <col min="11521" max="11521" width="67.140625" style="623" customWidth="1"/>
    <col min="11522" max="11522" width="21.5703125" style="623" customWidth="1"/>
    <col min="11523" max="11523" width="28.28515625" style="623" customWidth="1"/>
    <col min="11524" max="11776" width="9.140625" style="623"/>
    <col min="11777" max="11777" width="67.140625" style="623" customWidth="1"/>
    <col min="11778" max="11778" width="21.5703125" style="623" customWidth="1"/>
    <col min="11779" max="11779" width="28.28515625" style="623" customWidth="1"/>
    <col min="11780" max="12032" width="9.140625" style="623"/>
    <col min="12033" max="12033" width="67.140625" style="623" customWidth="1"/>
    <col min="12034" max="12034" width="21.5703125" style="623" customWidth="1"/>
    <col min="12035" max="12035" width="28.28515625" style="623" customWidth="1"/>
    <col min="12036" max="12288" width="9.140625" style="623"/>
    <col min="12289" max="12289" width="67.140625" style="623" customWidth="1"/>
    <col min="12290" max="12290" width="21.5703125" style="623" customWidth="1"/>
    <col min="12291" max="12291" width="28.28515625" style="623" customWidth="1"/>
    <col min="12292" max="12544" width="9.140625" style="623"/>
    <col min="12545" max="12545" width="67.140625" style="623" customWidth="1"/>
    <col min="12546" max="12546" width="21.5703125" style="623" customWidth="1"/>
    <col min="12547" max="12547" width="28.28515625" style="623" customWidth="1"/>
    <col min="12548" max="12800" width="9.140625" style="623"/>
    <col min="12801" max="12801" width="67.140625" style="623" customWidth="1"/>
    <col min="12802" max="12802" width="21.5703125" style="623" customWidth="1"/>
    <col min="12803" max="12803" width="28.28515625" style="623" customWidth="1"/>
    <col min="12804" max="13056" width="9.140625" style="623"/>
    <col min="13057" max="13057" width="67.140625" style="623" customWidth="1"/>
    <col min="13058" max="13058" width="21.5703125" style="623" customWidth="1"/>
    <col min="13059" max="13059" width="28.28515625" style="623" customWidth="1"/>
    <col min="13060" max="13312" width="9.140625" style="623"/>
    <col min="13313" max="13313" width="67.140625" style="623" customWidth="1"/>
    <col min="13314" max="13314" width="21.5703125" style="623" customWidth="1"/>
    <col min="13315" max="13315" width="28.28515625" style="623" customWidth="1"/>
    <col min="13316" max="13568" width="9.140625" style="623"/>
    <col min="13569" max="13569" width="67.140625" style="623" customWidth="1"/>
    <col min="13570" max="13570" width="21.5703125" style="623" customWidth="1"/>
    <col min="13571" max="13571" width="28.28515625" style="623" customWidth="1"/>
    <col min="13572" max="13824" width="9.140625" style="623"/>
    <col min="13825" max="13825" width="67.140625" style="623" customWidth="1"/>
    <col min="13826" max="13826" width="21.5703125" style="623" customWidth="1"/>
    <col min="13827" max="13827" width="28.28515625" style="623" customWidth="1"/>
    <col min="13828" max="14080" width="9.140625" style="623"/>
    <col min="14081" max="14081" width="67.140625" style="623" customWidth="1"/>
    <col min="14082" max="14082" width="21.5703125" style="623" customWidth="1"/>
    <col min="14083" max="14083" width="28.28515625" style="623" customWidth="1"/>
    <col min="14084" max="14336" width="9.140625" style="623"/>
    <col min="14337" max="14337" width="67.140625" style="623" customWidth="1"/>
    <col min="14338" max="14338" width="21.5703125" style="623" customWidth="1"/>
    <col min="14339" max="14339" width="28.28515625" style="623" customWidth="1"/>
    <col min="14340" max="14592" width="9.140625" style="623"/>
    <col min="14593" max="14593" width="67.140625" style="623" customWidth="1"/>
    <col min="14594" max="14594" width="21.5703125" style="623" customWidth="1"/>
    <col min="14595" max="14595" width="28.28515625" style="623" customWidth="1"/>
    <col min="14596" max="14848" width="9.140625" style="623"/>
    <col min="14849" max="14849" width="67.140625" style="623" customWidth="1"/>
    <col min="14850" max="14850" width="21.5703125" style="623" customWidth="1"/>
    <col min="14851" max="14851" width="28.28515625" style="623" customWidth="1"/>
    <col min="14852" max="15104" width="9.140625" style="623"/>
    <col min="15105" max="15105" width="67.140625" style="623" customWidth="1"/>
    <col min="15106" max="15106" width="21.5703125" style="623" customWidth="1"/>
    <col min="15107" max="15107" width="28.28515625" style="623" customWidth="1"/>
    <col min="15108" max="15360" width="9.140625" style="623"/>
    <col min="15361" max="15361" width="67.140625" style="623" customWidth="1"/>
    <col min="15362" max="15362" width="21.5703125" style="623" customWidth="1"/>
    <col min="15363" max="15363" width="28.28515625" style="623" customWidth="1"/>
    <col min="15364" max="15616" width="9.140625" style="623"/>
    <col min="15617" max="15617" width="67.140625" style="623" customWidth="1"/>
    <col min="15618" max="15618" width="21.5703125" style="623" customWidth="1"/>
    <col min="15619" max="15619" width="28.28515625" style="623" customWidth="1"/>
    <col min="15620" max="15872" width="9.140625" style="623"/>
    <col min="15873" max="15873" width="67.140625" style="623" customWidth="1"/>
    <col min="15874" max="15874" width="21.5703125" style="623" customWidth="1"/>
    <col min="15875" max="15875" width="28.28515625" style="623" customWidth="1"/>
    <col min="15876" max="16128" width="9.140625" style="623"/>
    <col min="16129" max="16129" width="67.140625" style="623" customWidth="1"/>
    <col min="16130" max="16130" width="21.5703125" style="623" customWidth="1"/>
    <col min="16131" max="16131" width="28.28515625" style="623" customWidth="1"/>
    <col min="16132" max="16384" width="9.140625" style="623"/>
  </cols>
  <sheetData>
    <row r="1" spans="1:3" s="619" customFormat="1" x14ac:dyDescent="0.2">
      <c r="A1" s="710" t="s">
        <v>975</v>
      </c>
      <c r="B1" s="620"/>
      <c r="C1" s="620"/>
    </row>
    <row r="2" spans="1:3" s="619" customFormat="1" x14ac:dyDescent="0.2">
      <c r="B2" s="620"/>
      <c r="C2" s="620"/>
    </row>
    <row r="3" spans="1:3" x14ac:dyDescent="0.2">
      <c r="A3" s="621"/>
    </row>
    <row r="4" spans="1:3" ht="15.75" x14ac:dyDescent="0.25">
      <c r="A4" s="970" t="s">
        <v>819</v>
      </c>
      <c r="B4" s="970"/>
      <c r="C4" s="970"/>
    </row>
    <row r="5" spans="1:3" ht="15.75" x14ac:dyDescent="0.25">
      <c r="A5" s="624"/>
      <c r="B5" s="625"/>
      <c r="C5" s="625"/>
    </row>
    <row r="6" spans="1:3" ht="15.75" x14ac:dyDescent="0.25">
      <c r="A6" s="624"/>
      <c r="B6" s="625"/>
      <c r="C6" s="625"/>
    </row>
    <row r="7" spans="1:3" ht="15.75" x14ac:dyDescent="0.25">
      <c r="A7" s="624"/>
      <c r="B7" s="625"/>
      <c r="C7" s="625"/>
    </row>
    <row r="8" spans="1:3" ht="16.5" thickBot="1" x14ac:dyDescent="0.3">
      <c r="A8" s="624"/>
    </row>
    <row r="9" spans="1:3" s="628" customFormat="1" ht="16.5" thickBot="1" x14ac:dyDescent="0.3">
      <c r="A9" s="971" t="s">
        <v>820</v>
      </c>
      <c r="B9" s="626" t="s">
        <v>821</v>
      </c>
      <c r="C9" s="627" t="s">
        <v>822</v>
      </c>
    </row>
    <row r="10" spans="1:3" s="628" customFormat="1" ht="32.25" thickBot="1" x14ac:dyDescent="0.3">
      <c r="A10" s="971"/>
      <c r="B10" s="629" t="s">
        <v>823</v>
      </c>
      <c r="C10" s="630" t="s">
        <v>824</v>
      </c>
    </row>
    <row r="11" spans="1:3" s="628" customFormat="1" ht="16.5" thickBot="1" x14ac:dyDescent="0.3">
      <c r="A11" s="971"/>
      <c r="B11" s="631" t="s">
        <v>825</v>
      </c>
      <c r="C11" s="632" t="s">
        <v>826</v>
      </c>
    </row>
    <row r="12" spans="1:3" ht="33" customHeight="1" thickBot="1" x14ac:dyDescent="0.25">
      <c r="A12" s="972" t="s">
        <v>827</v>
      </c>
      <c r="B12" s="974">
        <v>674</v>
      </c>
      <c r="C12" s="974">
        <v>18522</v>
      </c>
    </row>
    <row r="13" spans="1:3" ht="33" customHeight="1" thickBot="1" x14ac:dyDescent="0.25">
      <c r="A13" s="973"/>
      <c r="B13" s="975"/>
      <c r="C13" s="975"/>
    </row>
    <row r="14" spans="1:3" ht="58.5" customHeight="1" thickBot="1" x14ac:dyDescent="0.25">
      <c r="A14" s="633" t="s">
        <v>828</v>
      </c>
      <c r="B14" s="634" t="s">
        <v>829</v>
      </c>
      <c r="C14" s="635">
        <v>859</v>
      </c>
    </row>
    <row r="15" spans="1:3" ht="39" customHeight="1" thickBot="1" x14ac:dyDescent="0.25">
      <c r="A15" s="633" t="s">
        <v>830</v>
      </c>
      <c r="B15" s="635">
        <v>123</v>
      </c>
      <c r="C15" s="635">
        <v>2369</v>
      </c>
    </row>
    <row r="16" spans="1:3" s="636" customFormat="1" ht="33" customHeight="1" thickBot="1" x14ac:dyDescent="0.3">
      <c r="A16" s="729" t="s">
        <v>831</v>
      </c>
      <c r="B16" s="730">
        <f>SUM(B12:B15)</f>
        <v>797</v>
      </c>
      <c r="C16" s="730">
        <f>SUM(C12:C15)</f>
        <v>21750</v>
      </c>
    </row>
  </sheetData>
  <mergeCells count="5">
    <mergeCell ref="A4:C4"/>
    <mergeCell ref="A9:A11"/>
    <mergeCell ref="A12:A13"/>
    <mergeCell ref="B12:B13"/>
    <mergeCell ref="C12:C13"/>
  </mergeCells>
  <pageMargins left="0.7" right="0.7" top="0.75" bottom="0.75" header="0.3" footer="0.3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73" zoomScaleNormal="100" zoomScaleSheetLayoutView="73" workbookViewId="0"/>
  </sheetViews>
  <sheetFormatPr defaultRowHeight="15" x14ac:dyDescent="0.25"/>
  <cols>
    <col min="1" max="1" width="9.140625" style="379"/>
    <col min="2" max="2" width="65.28515625" style="20" customWidth="1"/>
    <col min="3" max="3" width="15.140625" style="20" customWidth="1"/>
    <col min="4" max="11" width="15.7109375" style="20" hidden="1" customWidth="1"/>
    <col min="12" max="15" width="15.7109375" style="25" hidden="1" customWidth="1"/>
    <col min="16" max="21" width="15.7109375" style="20" customWidth="1"/>
    <col min="22" max="22" width="17.85546875" style="20" customWidth="1"/>
    <col min="23" max="257" width="9.140625" style="20"/>
    <col min="258" max="258" width="65.28515625" style="20" customWidth="1"/>
    <col min="259" max="259" width="15.140625" style="20" customWidth="1"/>
    <col min="260" max="271" width="0" style="20" hidden="1" customWidth="1"/>
    <col min="272" max="277" width="15.7109375" style="20" customWidth="1"/>
    <col min="278" max="278" width="17.85546875" style="20" customWidth="1"/>
    <col min="279" max="513" width="9.140625" style="20"/>
    <col min="514" max="514" width="65.28515625" style="20" customWidth="1"/>
    <col min="515" max="515" width="15.140625" style="20" customWidth="1"/>
    <col min="516" max="527" width="0" style="20" hidden="1" customWidth="1"/>
    <col min="528" max="533" width="15.7109375" style="20" customWidth="1"/>
    <col min="534" max="534" width="17.85546875" style="20" customWidth="1"/>
    <col min="535" max="769" width="9.140625" style="20"/>
    <col min="770" max="770" width="65.28515625" style="20" customWidth="1"/>
    <col min="771" max="771" width="15.140625" style="20" customWidth="1"/>
    <col min="772" max="783" width="0" style="20" hidden="1" customWidth="1"/>
    <col min="784" max="789" width="15.7109375" style="20" customWidth="1"/>
    <col min="790" max="790" width="17.85546875" style="20" customWidth="1"/>
    <col min="791" max="1025" width="9.140625" style="20"/>
    <col min="1026" max="1026" width="65.28515625" style="20" customWidth="1"/>
    <col min="1027" max="1027" width="15.140625" style="20" customWidth="1"/>
    <col min="1028" max="1039" width="0" style="20" hidden="1" customWidth="1"/>
    <col min="1040" max="1045" width="15.7109375" style="20" customWidth="1"/>
    <col min="1046" max="1046" width="17.85546875" style="20" customWidth="1"/>
    <col min="1047" max="1281" width="9.140625" style="20"/>
    <col min="1282" max="1282" width="65.28515625" style="20" customWidth="1"/>
    <col min="1283" max="1283" width="15.140625" style="20" customWidth="1"/>
    <col min="1284" max="1295" width="0" style="20" hidden="1" customWidth="1"/>
    <col min="1296" max="1301" width="15.7109375" style="20" customWidth="1"/>
    <col min="1302" max="1302" width="17.85546875" style="20" customWidth="1"/>
    <col min="1303" max="1537" width="9.140625" style="20"/>
    <col min="1538" max="1538" width="65.28515625" style="20" customWidth="1"/>
    <col min="1539" max="1539" width="15.140625" style="20" customWidth="1"/>
    <col min="1540" max="1551" width="0" style="20" hidden="1" customWidth="1"/>
    <col min="1552" max="1557" width="15.7109375" style="20" customWidth="1"/>
    <col min="1558" max="1558" width="17.85546875" style="20" customWidth="1"/>
    <col min="1559" max="1793" width="9.140625" style="20"/>
    <col min="1794" max="1794" width="65.28515625" style="20" customWidth="1"/>
    <col min="1795" max="1795" width="15.140625" style="20" customWidth="1"/>
    <col min="1796" max="1807" width="0" style="20" hidden="1" customWidth="1"/>
    <col min="1808" max="1813" width="15.7109375" style="20" customWidth="1"/>
    <col min="1814" max="1814" width="17.85546875" style="20" customWidth="1"/>
    <col min="1815" max="2049" width="9.140625" style="20"/>
    <col min="2050" max="2050" width="65.28515625" style="20" customWidth="1"/>
    <col min="2051" max="2051" width="15.140625" style="20" customWidth="1"/>
    <col min="2052" max="2063" width="0" style="20" hidden="1" customWidth="1"/>
    <col min="2064" max="2069" width="15.7109375" style="20" customWidth="1"/>
    <col min="2070" max="2070" width="17.85546875" style="20" customWidth="1"/>
    <col min="2071" max="2305" width="9.140625" style="20"/>
    <col min="2306" max="2306" width="65.28515625" style="20" customWidth="1"/>
    <col min="2307" max="2307" width="15.140625" style="20" customWidth="1"/>
    <col min="2308" max="2319" width="0" style="20" hidden="1" customWidth="1"/>
    <col min="2320" max="2325" width="15.7109375" style="20" customWidth="1"/>
    <col min="2326" max="2326" width="17.85546875" style="20" customWidth="1"/>
    <col min="2327" max="2561" width="9.140625" style="20"/>
    <col min="2562" max="2562" width="65.28515625" style="20" customWidth="1"/>
    <col min="2563" max="2563" width="15.140625" style="20" customWidth="1"/>
    <col min="2564" max="2575" width="0" style="20" hidden="1" customWidth="1"/>
    <col min="2576" max="2581" width="15.7109375" style="20" customWidth="1"/>
    <col min="2582" max="2582" width="17.85546875" style="20" customWidth="1"/>
    <col min="2583" max="2817" width="9.140625" style="20"/>
    <col min="2818" max="2818" width="65.28515625" style="20" customWidth="1"/>
    <col min="2819" max="2819" width="15.140625" style="20" customWidth="1"/>
    <col min="2820" max="2831" width="0" style="20" hidden="1" customWidth="1"/>
    <col min="2832" max="2837" width="15.7109375" style="20" customWidth="1"/>
    <col min="2838" max="2838" width="17.85546875" style="20" customWidth="1"/>
    <col min="2839" max="3073" width="9.140625" style="20"/>
    <col min="3074" max="3074" width="65.28515625" style="20" customWidth="1"/>
    <col min="3075" max="3075" width="15.140625" style="20" customWidth="1"/>
    <col min="3076" max="3087" width="0" style="20" hidden="1" customWidth="1"/>
    <col min="3088" max="3093" width="15.7109375" style="20" customWidth="1"/>
    <col min="3094" max="3094" width="17.85546875" style="20" customWidth="1"/>
    <col min="3095" max="3329" width="9.140625" style="20"/>
    <col min="3330" max="3330" width="65.28515625" style="20" customWidth="1"/>
    <col min="3331" max="3331" width="15.140625" style="20" customWidth="1"/>
    <col min="3332" max="3343" width="0" style="20" hidden="1" customWidth="1"/>
    <col min="3344" max="3349" width="15.7109375" style="20" customWidth="1"/>
    <col min="3350" max="3350" width="17.85546875" style="20" customWidth="1"/>
    <col min="3351" max="3585" width="9.140625" style="20"/>
    <col min="3586" max="3586" width="65.28515625" style="20" customWidth="1"/>
    <col min="3587" max="3587" width="15.140625" style="20" customWidth="1"/>
    <col min="3588" max="3599" width="0" style="20" hidden="1" customWidth="1"/>
    <col min="3600" max="3605" width="15.7109375" style="20" customWidth="1"/>
    <col min="3606" max="3606" width="17.85546875" style="20" customWidth="1"/>
    <col min="3607" max="3841" width="9.140625" style="20"/>
    <col min="3842" max="3842" width="65.28515625" style="20" customWidth="1"/>
    <col min="3843" max="3843" width="15.140625" style="20" customWidth="1"/>
    <col min="3844" max="3855" width="0" style="20" hidden="1" customWidth="1"/>
    <col min="3856" max="3861" width="15.7109375" style="20" customWidth="1"/>
    <col min="3862" max="3862" width="17.85546875" style="20" customWidth="1"/>
    <col min="3863" max="4097" width="9.140625" style="20"/>
    <col min="4098" max="4098" width="65.28515625" style="20" customWidth="1"/>
    <col min="4099" max="4099" width="15.140625" style="20" customWidth="1"/>
    <col min="4100" max="4111" width="0" style="20" hidden="1" customWidth="1"/>
    <col min="4112" max="4117" width="15.7109375" style="20" customWidth="1"/>
    <col min="4118" max="4118" width="17.85546875" style="20" customWidth="1"/>
    <col min="4119" max="4353" width="9.140625" style="20"/>
    <col min="4354" max="4354" width="65.28515625" style="20" customWidth="1"/>
    <col min="4355" max="4355" width="15.140625" style="20" customWidth="1"/>
    <col min="4356" max="4367" width="0" style="20" hidden="1" customWidth="1"/>
    <col min="4368" max="4373" width="15.7109375" style="20" customWidth="1"/>
    <col min="4374" max="4374" width="17.85546875" style="20" customWidth="1"/>
    <col min="4375" max="4609" width="9.140625" style="20"/>
    <col min="4610" max="4610" width="65.28515625" style="20" customWidth="1"/>
    <col min="4611" max="4611" width="15.140625" style="20" customWidth="1"/>
    <col min="4612" max="4623" width="0" style="20" hidden="1" customWidth="1"/>
    <col min="4624" max="4629" width="15.7109375" style="20" customWidth="1"/>
    <col min="4630" max="4630" width="17.85546875" style="20" customWidth="1"/>
    <col min="4631" max="4865" width="9.140625" style="20"/>
    <col min="4866" max="4866" width="65.28515625" style="20" customWidth="1"/>
    <col min="4867" max="4867" width="15.140625" style="20" customWidth="1"/>
    <col min="4868" max="4879" width="0" style="20" hidden="1" customWidth="1"/>
    <col min="4880" max="4885" width="15.7109375" style="20" customWidth="1"/>
    <col min="4886" max="4886" width="17.85546875" style="20" customWidth="1"/>
    <col min="4887" max="5121" width="9.140625" style="20"/>
    <col min="5122" max="5122" width="65.28515625" style="20" customWidth="1"/>
    <col min="5123" max="5123" width="15.140625" style="20" customWidth="1"/>
    <col min="5124" max="5135" width="0" style="20" hidden="1" customWidth="1"/>
    <col min="5136" max="5141" width="15.7109375" style="20" customWidth="1"/>
    <col min="5142" max="5142" width="17.85546875" style="20" customWidth="1"/>
    <col min="5143" max="5377" width="9.140625" style="20"/>
    <col min="5378" max="5378" width="65.28515625" style="20" customWidth="1"/>
    <col min="5379" max="5379" width="15.140625" style="20" customWidth="1"/>
    <col min="5380" max="5391" width="0" style="20" hidden="1" customWidth="1"/>
    <col min="5392" max="5397" width="15.7109375" style="20" customWidth="1"/>
    <col min="5398" max="5398" width="17.85546875" style="20" customWidth="1"/>
    <col min="5399" max="5633" width="9.140625" style="20"/>
    <col min="5634" max="5634" width="65.28515625" style="20" customWidth="1"/>
    <col min="5635" max="5635" width="15.140625" style="20" customWidth="1"/>
    <col min="5636" max="5647" width="0" style="20" hidden="1" customWidth="1"/>
    <col min="5648" max="5653" width="15.7109375" style="20" customWidth="1"/>
    <col min="5654" max="5654" width="17.85546875" style="20" customWidth="1"/>
    <col min="5655" max="5889" width="9.140625" style="20"/>
    <col min="5890" max="5890" width="65.28515625" style="20" customWidth="1"/>
    <col min="5891" max="5891" width="15.140625" style="20" customWidth="1"/>
    <col min="5892" max="5903" width="0" style="20" hidden="1" customWidth="1"/>
    <col min="5904" max="5909" width="15.7109375" style="20" customWidth="1"/>
    <col min="5910" max="5910" width="17.85546875" style="20" customWidth="1"/>
    <col min="5911" max="6145" width="9.140625" style="20"/>
    <col min="6146" max="6146" width="65.28515625" style="20" customWidth="1"/>
    <col min="6147" max="6147" width="15.140625" style="20" customWidth="1"/>
    <col min="6148" max="6159" width="0" style="20" hidden="1" customWidth="1"/>
    <col min="6160" max="6165" width="15.7109375" style="20" customWidth="1"/>
    <col min="6166" max="6166" width="17.85546875" style="20" customWidth="1"/>
    <col min="6167" max="6401" width="9.140625" style="20"/>
    <col min="6402" max="6402" width="65.28515625" style="20" customWidth="1"/>
    <col min="6403" max="6403" width="15.140625" style="20" customWidth="1"/>
    <col min="6404" max="6415" width="0" style="20" hidden="1" customWidth="1"/>
    <col min="6416" max="6421" width="15.7109375" style="20" customWidth="1"/>
    <col min="6422" max="6422" width="17.85546875" style="20" customWidth="1"/>
    <col min="6423" max="6657" width="9.140625" style="20"/>
    <col min="6658" max="6658" width="65.28515625" style="20" customWidth="1"/>
    <col min="6659" max="6659" width="15.140625" style="20" customWidth="1"/>
    <col min="6660" max="6671" width="0" style="20" hidden="1" customWidth="1"/>
    <col min="6672" max="6677" width="15.7109375" style="20" customWidth="1"/>
    <col min="6678" max="6678" width="17.85546875" style="20" customWidth="1"/>
    <col min="6679" max="6913" width="9.140625" style="20"/>
    <col min="6914" max="6914" width="65.28515625" style="20" customWidth="1"/>
    <col min="6915" max="6915" width="15.140625" style="20" customWidth="1"/>
    <col min="6916" max="6927" width="0" style="20" hidden="1" customWidth="1"/>
    <col min="6928" max="6933" width="15.7109375" style="20" customWidth="1"/>
    <col min="6934" max="6934" width="17.85546875" style="20" customWidth="1"/>
    <col min="6935" max="7169" width="9.140625" style="20"/>
    <col min="7170" max="7170" width="65.28515625" style="20" customWidth="1"/>
    <col min="7171" max="7171" width="15.140625" style="20" customWidth="1"/>
    <col min="7172" max="7183" width="0" style="20" hidden="1" customWidth="1"/>
    <col min="7184" max="7189" width="15.7109375" style="20" customWidth="1"/>
    <col min="7190" max="7190" width="17.85546875" style="20" customWidth="1"/>
    <col min="7191" max="7425" width="9.140625" style="20"/>
    <col min="7426" max="7426" width="65.28515625" style="20" customWidth="1"/>
    <col min="7427" max="7427" width="15.140625" style="20" customWidth="1"/>
    <col min="7428" max="7439" width="0" style="20" hidden="1" customWidth="1"/>
    <col min="7440" max="7445" width="15.7109375" style="20" customWidth="1"/>
    <col min="7446" max="7446" width="17.85546875" style="20" customWidth="1"/>
    <col min="7447" max="7681" width="9.140625" style="20"/>
    <col min="7682" max="7682" width="65.28515625" style="20" customWidth="1"/>
    <col min="7683" max="7683" width="15.140625" style="20" customWidth="1"/>
    <col min="7684" max="7695" width="0" style="20" hidden="1" customWidth="1"/>
    <col min="7696" max="7701" width="15.7109375" style="20" customWidth="1"/>
    <col min="7702" max="7702" width="17.85546875" style="20" customWidth="1"/>
    <col min="7703" max="7937" width="9.140625" style="20"/>
    <col min="7938" max="7938" width="65.28515625" style="20" customWidth="1"/>
    <col min="7939" max="7939" width="15.140625" style="20" customWidth="1"/>
    <col min="7940" max="7951" width="0" style="20" hidden="1" customWidth="1"/>
    <col min="7952" max="7957" width="15.7109375" style="20" customWidth="1"/>
    <col min="7958" max="7958" width="17.85546875" style="20" customWidth="1"/>
    <col min="7959" max="8193" width="9.140625" style="20"/>
    <col min="8194" max="8194" width="65.28515625" style="20" customWidth="1"/>
    <col min="8195" max="8195" width="15.140625" style="20" customWidth="1"/>
    <col min="8196" max="8207" width="0" style="20" hidden="1" customWidth="1"/>
    <col min="8208" max="8213" width="15.7109375" style="20" customWidth="1"/>
    <col min="8214" max="8214" width="17.85546875" style="20" customWidth="1"/>
    <col min="8215" max="8449" width="9.140625" style="20"/>
    <col min="8450" max="8450" width="65.28515625" style="20" customWidth="1"/>
    <col min="8451" max="8451" width="15.140625" style="20" customWidth="1"/>
    <col min="8452" max="8463" width="0" style="20" hidden="1" customWidth="1"/>
    <col min="8464" max="8469" width="15.7109375" style="20" customWidth="1"/>
    <col min="8470" max="8470" width="17.85546875" style="20" customWidth="1"/>
    <col min="8471" max="8705" width="9.140625" style="20"/>
    <col min="8706" max="8706" width="65.28515625" style="20" customWidth="1"/>
    <col min="8707" max="8707" width="15.140625" style="20" customWidth="1"/>
    <col min="8708" max="8719" width="0" style="20" hidden="1" customWidth="1"/>
    <col min="8720" max="8725" width="15.7109375" style="20" customWidth="1"/>
    <col min="8726" max="8726" width="17.85546875" style="20" customWidth="1"/>
    <col min="8727" max="8961" width="9.140625" style="20"/>
    <col min="8962" max="8962" width="65.28515625" style="20" customWidth="1"/>
    <col min="8963" max="8963" width="15.140625" style="20" customWidth="1"/>
    <col min="8964" max="8975" width="0" style="20" hidden="1" customWidth="1"/>
    <col min="8976" max="8981" width="15.7109375" style="20" customWidth="1"/>
    <col min="8982" max="8982" width="17.85546875" style="20" customWidth="1"/>
    <col min="8983" max="9217" width="9.140625" style="20"/>
    <col min="9218" max="9218" width="65.28515625" style="20" customWidth="1"/>
    <col min="9219" max="9219" width="15.140625" style="20" customWidth="1"/>
    <col min="9220" max="9231" width="0" style="20" hidden="1" customWidth="1"/>
    <col min="9232" max="9237" width="15.7109375" style="20" customWidth="1"/>
    <col min="9238" max="9238" width="17.85546875" style="20" customWidth="1"/>
    <col min="9239" max="9473" width="9.140625" style="20"/>
    <col min="9474" max="9474" width="65.28515625" style="20" customWidth="1"/>
    <col min="9475" max="9475" width="15.140625" style="20" customWidth="1"/>
    <col min="9476" max="9487" width="0" style="20" hidden="1" customWidth="1"/>
    <col min="9488" max="9493" width="15.7109375" style="20" customWidth="1"/>
    <col min="9494" max="9494" width="17.85546875" style="20" customWidth="1"/>
    <col min="9495" max="9729" width="9.140625" style="20"/>
    <col min="9730" max="9730" width="65.28515625" style="20" customWidth="1"/>
    <col min="9731" max="9731" width="15.140625" style="20" customWidth="1"/>
    <col min="9732" max="9743" width="0" style="20" hidden="1" customWidth="1"/>
    <col min="9744" max="9749" width="15.7109375" style="20" customWidth="1"/>
    <col min="9750" max="9750" width="17.85546875" style="20" customWidth="1"/>
    <col min="9751" max="9985" width="9.140625" style="20"/>
    <col min="9986" max="9986" width="65.28515625" style="20" customWidth="1"/>
    <col min="9987" max="9987" width="15.140625" style="20" customWidth="1"/>
    <col min="9988" max="9999" width="0" style="20" hidden="1" customWidth="1"/>
    <col min="10000" max="10005" width="15.7109375" style="20" customWidth="1"/>
    <col min="10006" max="10006" width="17.85546875" style="20" customWidth="1"/>
    <col min="10007" max="10241" width="9.140625" style="20"/>
    <col min="10242" max="10242" width="65.28515625" style="20" customWidth="1"/>
    <col min="10243" max="10243" width="15.140625" style="20" customWidth="1"/>
    <col min="10244" max="10255" width="0" style="20" hidden="1" customWidth="1"/>
    <col min="10256" max="10261" width="15.7109375" style="20" customWidth="1"/>
    <col min="10262" max="10262" width="17.85546875" style="20" customWidth="1"/>
    <col min="10263" max="10497" width="9.140625" style="20"/>
    <col min="10498" max="10498" width="65.28515625" style="20" customWidth="1"/>
    <col min="10499" max="10499" width="15.140625" style="20" customWidth="1"/>
    <col min="10500" max="10511" width="0" style="20" hidden="1" customWidth="1"/>
    <col min="10512" max="10517" width="15.7109375" style="20" customWidth="1"/>
    <col min="10518" max="10518" width="17.85546875" style="20" customWidth="1"/>
    <col min="10519" max="10753" width="9.140625" style="20"/>
    <col min="10754" max="10754" width="65.28515625" style="20" customWidth="1"/>
    <col min="10755" max="10755" width="15.140625" style="20" customWidth="1"/>
    <col min="10756" max="10767" width="0" style="20" hidden="1" customWidth="1"/>
    <col min="10768" max="10773" width="15.7109375" style="20" customWidth="1"/>
    <col min="10774" max="10774" width="17.85546875" style="20" customWidth="1"/>
    <col min="10775" max="11009" width="9.140625" style="20"/>
    <col min="11010" max="11010" width="65.28515625" style="20" customWidth="1"/>
    <col min="11011" max="11011" width="15.140625" style="20" customWidth="1"/>
    <col min="11012" max="11023" width="0" style="20" hidden="1" customWidth="1"/>
    <col min="11024" max="11029" width="15.7109375" style="20" customWidth="1"/>
    <col min="11030" max="11030" width="17.85546875" style="20" customWidth="1"/>
    <col min="11031" max="11265" width="9.140625" style="20"/>
    <col min="11266" max="11266" width="65.28515625" style="20" customWidth="1"/>
    <col min="11267" max="11267" width="15.140625" style="20" customWidth="1"/>
    <col min="11268" max="11279" width="0" style="20" hidden="1" customWidth="1"/>
    <col min="11280" max="11285" width="15.7109375" style="20" customWidth="1"/>
    <col min="11286" max="11286" width="17.85546875" style="20" customWidth="1"/>
    <col min="11287" max="11521" width="9.140625" style="20"/>
    <col min="11522" max="11522" width="65.28515625" style="20" customWidth="1"/>
    <col min="11523" max="11523" width="15.140625" style="20" customWidth="1"/>
    <col min="11524" max="11535" width="0" style="20" hidden="1" customWidth="1"/>
    <col min="11536" max="11541" width="15.7109375" style="20" customWidth="1"/>
    <col min="11542" max="11542" width="17.85546875" style="20" customWidth="1"/>
    <col min="11543" max="11777" width="9.140625" style="20"/>
    <col min="11778" max="11778" width="65.28515625" style="20" customWidth="1"/>
    <col min="11779" max="11779" width="15.140625" style="20" customWidth="1"/>
    <col min="11780" max="11791" width="0" style="20" hidden="1" customWidth="1"/>
    <col min="11792" max="11797" width="15.7109375" style="20" customWidth="1"/>
    <col min="11798" max="11798" width="17.85546875" style="20" customWidth="1"/>
    <col min="11799" max="12033" width="9.140625" style="20"/>
    <col min="12034" max="12034" width="65.28515625" style="20" customWidth="1"/>
    <col min="12035" max="12035" width="15.140625" style="20" customWidth="1"/>
    <col min="12036" max="12047" width="0" style="20" hidden="1" customWidth="1"/>
    <col min="12048" max="12053" width="15.7109375" style="20" customWidth="1"/>
    <col min="12054" max="12054" width="17.85546875" style="20" customWidth="1"/>
    <col min="12055" max="12289" width="9.140625" style="20"/>
    <col min="12290" max="12290" width="65.28515625" style="20" customWidth="1"/>
    <col min="12291" max="12291" width="15.140625" style="20" customWidth="1"/>
    <col min="12292" max="12303" width="0" style="20" hidden="1" customWidth="1"/>
    <col min="12304" max="12309" width="15.7109375" style="20" customWidth="1"/>
    <col min="12310" max="12310" width="17.85546875" style="20" customWidth="1"/>
    <col min="12311" max="12545" width="9.140625" style="20"/>
    <col min="12546" max="12546" width="65.28515625" style="20" customWidth="1"/>
    <col min="12547" max="12547" width="15.140625" style="20" customWidth="1"/>
    <col min="12548" max="12559" width="0" style="20" hidden="1" customWidth="1"/>
    <col min="12560" max="12565" width="15.7109375" style="20" customWidth="1"/>
    <col min="12566" max="12566" width="17.85546875" style="20" customWidth="1"/>
    <col min="12567" max="12801" width="9.140625" style="20"/>
    <col min="12802" max="12802" width="65.28515625" style="20" customWidth="1"/>
    <col min="12803" max="12803" width="15.140625" style="20" customWidth="1"/>
    <col min="12804" max="12815" width="0" style="20" hidden="1" customWidth="1"/>
    <col min="12816" max="12821" width="15.7109375" style="20" customWidth="1"/>
    <col min="12822" max="12822" width="17.85546875" style="20" customWidth="1"/>
    <col min="12823" max="13057" width="9.140625" style="20"/>
    <col min="13058" max="13058" width="65.28515625" style="20" customWidth="1"/>
    <col min="13059" max="13059" width="15.140625" style="20" customWidth="1"/>
    <col min="13060" max="13071" width="0" style="20" hidden="1" customWidth="1"/>
    <col min="13072" max="13077" width="15.7109375" style="20" customWidth="1"/>
    <col min="13078" max="13078" width="17.85546875" style="20" customWidth="1"/>
    <col min="13079" max="13313" width="9.140625" style="20"/>
    <col min="13314" max="13314" width="65.28515625" style="20" customWidth="1"/>
    <col min="13315" max="13315" width="15.140625" style="20" customWidth="1"/>
    <col min="13316" max="13327" width="0" style="20" hidden="1" customWidth="1"/>
    <col min="13328" max="13333" width="15.7109375" style="20" customWidth="1"/>
    <col min="13334" max="13334" width="17.85546875" style="20" customWidth="1"/>
    <col min="13335" max="13569" width="9.140625" style="20"/>
    <col min="13570" max="13570" width="65.28515625" style="20" customWidth="1"/>
    <col min="13571" max="13571" width="15.140625" style="20" customWidth="1"/>
    <col min="13572" max="13583" width="0" style="20" hidden="1" customWidth="1"/>
    <col min="13584" max="13589" width="15.7109375" style="20" customWidth="1"/>
    <col min="13590" max="13590" width="17.85546875" style="20" customWidth="1"/>
    <col min="13591" max="13825" width="9.140625" style="20"/>
    <col min="13826" max="13826" width="65.28515625" style="20" customWidth="1"/>
    <col min="13827" max="13827" width="15.140625" style="20" customWidth="1"/>
    <col min="13828" max="13839" width="0" style="20" hidden="1" customWidth="1"/>
    <col min="13840" max="13845" width="15.7109375" style="20" customWidth="1"/>
    <col min="13846" max="13846" width="17.85546875" style="20" customWidth="1"/>
    <col min="13847" max="14081" width="9.140625" style="20"/>
    <col min="14082" max="14082" width="65.28515625" style="20" customWidth="1"/>
    <col min="14083" max="14083" width="15.140625" style="20" customWidth="1"/>
    <col min="14084" max="14095" width="0" style="20" hidden="1" customWidth="1"/>
    <col min="14096" max="14101" width="15.7109375" style="20" customWidth="1"/>
    <col min="14102" max="14102" width="17.85546875" style="20" customWidth="1"/>
    <col min="14103" max="14337" width="9.140625" style="20"/>
    <col min="14338" max="14338" width="65.28515625" style="20" customWidth="1"/>
    <col min="14339" max="14339" width="15.140625" style="20" customWidth="1"/>
    <col min="14340" max="14351" width="0" style="20" hidden="1" customWidth="1"/>
    <col min="14352" max="14357" width="15.7109375" style="20" customWidth="1"/>
    <col min="14358" max="14358" width="17.85546875" style="20" customWidth="1"/>
    <col min="14359" max="14593" width="9.140625" style="20"/>
    <col min="14594" max="14594" width="65.28515625" style="20" customWidth="1"/>
    <col min="14595" max="14595" width="15.140625" style="20" customWidth="1"/>
    <col min="14596" max="14607" width="0" style="20" hidden="1" customWidth="1"/>
    <col min="14608" max="14613" width="15.7109375" style="20" customWidth="1"/>
    <col min="14614" max="14614" width="17.85546875" style="20" customWidth="1"/>
    <col min="14615" max="14849" width="9.140625" style="20"/>
    <col min="14850" max="14850" width="65.28515625" style="20" customWidth="1"/>
    <col min="14851" max="14851" width="15.140625" style="20" customWidth="1"/>
    <col min="14852" max="14863" width="0" style="20" hidden="1" customWidth="1"/>
    <col min="14864" max="14869" width="15.7109375" style="20" customWidth="1"/>
    <col min="14870" max="14870" width="17.85546875" style="20" customWidth="1"/>
    <col min="14871" max="15105" width="9.140625" style="20"/>
    <col min="15106" max="15106" width="65.28515625" style="20" customWidth="1"/>
    <col min="15107" max="15107" width="15.140625" style="20" customWidth="1"/>
    <col min="15108" max="15119" width="0" style="20" hidden="1" customWidth="1"/>
    <col min="15120" max="15125" width="15.7109375" style="20" customWidth="1"/>
    <col min="15126" max="15126" width="17.85546875" style="20" customWidth="1"/>
    <col min="15127" max="15361" width="9.140625" style="20"/>
    <col min="15362" max="15362" width="65.28515625" style="20" customWidth="1"/>
    <col min="15363" max="15363" width="15.140625" style="20" customWidth="1"/>
    <col min="15364" max="15375" width="0" style="20" hidden="1" customWidth="1"/>
    <col min="15376" max="15381" width="15.7109375" style="20" customWidth="1"/>
    <col min="15382" max="15382" width="17.85546875" style="20" customWidth="1"/>
    <col min="15383" max="15617" width="9.140625" style="20"/>
    <col min="15618" max="15618" width="65.28515625" style="20" customWidth="1"/>
    <col min="15619" max="15619" width="15.140625" style="20" customWidth="1"/>
    <col min="15620" max="15631" width="0" style="20" hidden="1" customWidth="1"/>
    <col min="15632" max="15637" width="15.7109375" style="20" customWidth="1"/>
    <col min="15638" max="15638" width="17.85546875" style="20" customWidth="1"/>
    <col min="15639" max="15873" width="9.140625" style="20"/>
    <col min="15874" max="15874" width="65.28515625" style="20" customWidth="1"/>
    <col min="15875" max="15875" width="15.140625" style="20" customWidth="1"/>
    <col min="15876" max="15887" width="0" style="20" hidden="1" customWidth="1"/>
    <col min="15888" max="15893" width="15.7109375" style="20" customWidth="1"/>
    <col min="15894" max="15894" width="17.85546875" style="20" customWidth="1"/>
    <col min="15895" max="16129" width="9.140625" style="20"/>
    <col min="16130" max="16130" width="65.28515625" style="20" customWidth="1"/>
    <col min="16131" max="16131" width="15.140625" style="20" customWidth="1"/>
    <col min="16132" max="16143" width="0" style="20" hidden="1" customWidth="1"/>
    <col min="16144" max="16149" width="15.7109375" style="20" customWidth="1"/>
    <col min="16150" max="16150" width="17.85546875" style="20" customWidth="1"/>
    <col min="16151" max="16384" width="9.140625" style="20"/>
  </cols>
  <sheetData>
    <row r="1" spans="1:23" x14ac:dyDescent="0.25">
      <c r="A1" s="377" t="s">
        <v>976</v>
      </c>
      <c r="B1" s="378"/>
      <c r="C1" s="378"/>
    </row>
    <row r="2" spans="1:23" x14ac:dyDescent="0.25">
      <c r="B2" s="378"/>
      <c r="C2" s="378"/>
    </row>
    <row r="3" spans="1:23" ht="15.75" x14ac:dyDescent="0.25">
      <c r="B3" s="976" t="s">
        <v>574</v>
      </c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976"/>
      <c r="R3" s="976"/>
      <c r="S3" s="976"/>
      <c r="T3" s="976"/>
      <c r="U3" s="976"/>
      <c r="V3" s="976"/>
      <c r="W3" s="976"/>
    </row>
    <row r="4" spans="1:23" ht="15.75" x14ac:dyDescent="0.2">
      <c r="A4" s="977" t="s">
        <v>541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  <c r="P4" s="977"/>
      <c r="Q4" s="977"/>
      <c r="R4" s="977"/>
      <c r="S4" s="977"/>
      <c r="T4" s="977"/>
      <c r="U4" s="977"/>
      <c r="V4" s="977"/>
      <c r="W4" s="977"/>
    </row>
    <row r="5" spans="1:23" ht="15.75" x14ac:dyDescent="0.25">
      <c r="B5" s="270"/>
      <c r="C5" s="270"/>
      <c r="D5" s="270"/>
      <c r="E5" s="270"/>
      <c r="F5" s="270"/>
      <c r="G5" s="270"/>
    </row>
    <row r="6" spans="1:23" ht="15.75" x14ac:dyDescent="0.25">
      <c r="B6" s="270"/>
      <c r="C6" s="270"/>
      <c r="D6" s="270"/>
      <c r="E6" s="270"/>
      <c r="F6" s="270"/>
      <c r="G6" s="270"/>
    </row>
    <row r="7" spans="1:23" ht="15.75" thickBot="1" x14ac:dyDescent="0.3">
      <c r="A7" s="978" t="s">
        <v>308</v>
      </c>
      <c r="B7" s="978"/>
      <c r="C7" s="978"/>
      <c r="D7" s="978"/>
      <c r="E7" s="978"/>
      <c r="F7" s="978"/>
      <c r="G7" s="978"/>
      <c r="H7" s="978"/>
      <c r="I7" s="978"/>
      <c r="J7" s="978"/>
      <c r="K7" s="978"/>
      <c r="L7" s="978"/>
      <c r="M7" s="978"/>
      <c r="N7" s="978"/>
      <c r="O7" s="978"/>
      <c r="P7" s="978"/>
      <c r="Q7" s="978"/>
      <c r="R7" s="978"/>
      <c r="S7" s="978"/>
      <c r="T7" s="978"/>
      <c r="U7" s="978"/>
      <c r="V7" s="978"/>
      <c r="W7" s="380"/>
    </row>
    <row r="8" spans="1:23" s="381" customFormat="1" ht="15" customHeight="1" thickBot="1" x14ac:dyDescent="0.25">
      <c r="A8" s="979" t="s">
        <v>542</v>
      </c>
      <c r="B8" s="982" t="s">
        <v>0</v>
      </c>
      <c r="C8" s="983"/>
      <c r="D8" s="988" t="s">
        <v>490</v>
      </c>
      <c r="E8" s="989"/>
      <c r="F8" s="989"/>
      <c r="G8" s="990"/>
      <c r="H8" s="991" t="s">
        <v>491</v>
      </c>
      <c r="I8" s="992"/>
      <c r="J8" s="992"/>
      <c r="K8" s="993"/>
      <c r="L8" s="991" t="s">
        <v>503</v>
      </c>
      <c r="M8" s="992"/>
      <c r="N8" s="992"/>
      <c r="O8" s="993"/>
      <c r="P8" s="991" t="s">
        <v>543</v>
      </c>
      <c r="Q8" s="992"/>
      <c r="R8" s="992"/>
      <c r="S8" s="992"/>
      <c r="T8" s="992"/>
      <c r="U8" s="993"/>
      <c r="V8" s="994" t="s">
        <v>578</v>
      </c>
    </row>
    <row r="9" spans="1:23" s="381" customFormat="1" ht="15" customHeight="1" thickBot="1" x14ac:dyDescent="0.25">
      <c r="A9" s="980"/>
      <c r="B9" s="984"/>
      <c r="C9" s="985"/>
      <c r="D9" s="997" t="s">
        <v>544</v>
      </c>
      <c r="E9" s="999"/>
      <c r="F9" s="1000" t="s">
        <v>545</v>
      </c>
      <c r="G9" s="1002"/>
      <c r="H9" s="997" t="s">
        <v>544</v>
      </c>
      <c r="I9" s="999"/>
      <c r="J9" s="1000" t="s">
        <v>545</v>
      </c>
      <c r="K9" s="1002"/>
      <c r="L9" s="997" t="s">
        <v>544</v>
      </c>
      <c r="M9" s="999"/>
      <c r="N9" s="1000" t="s">
        <v>545</v>
      </c>
      <c r="O9" s="1002"/>
      <c r="P9" s="997" t="s">
        <v>544</v>
      </c>
      <c r="Q9" s="998"/>
      <c r="R9" s="999"/>
      <c r="S9" s="1000" t="s">
        <v>545</v>
      </c>
      <c r="T9" s="1001"/>
      <c r="U9" s="1002"/>
      <c r="V9" s="995"/>
    </row>
    <row r="10" spans="1:23" s="381" customFormat="1" ht="29.25" thickBot="1" x14ac:dyDescent="0.25">
      <c r="A10" s="981"/>
      <c r="B10" s="986"/>
      <c r="C10" s="987"/>
      <c r="D10" s="382" t="s">
        <v>443</v>
      </c>
      <c r="E10" s="382" t="s">
        <v>444</v>
      </c>
      <c r="F10" s="382" t="s">
        <v>443</v>
      </c>
      <c r="G10" s="382" t="s">
        <v>444</v>
      </c>
      <c r="H10" s="382" t="s">
        <v>443</v>
      </c>
      <c r="I10" s="382" t="s">
        <v>444</v>
      </c>
      <c r="J10" s="382" t="s">
        <v>443</v>
      </c>
      <c r="K10" s="382" t="s">
        <v>444</v>
      </c>
      <c r="L10" s="382" t="s">
        <v>443</v>
      </c>
      <c r="M10" s="382" t="s">
        <v>444</v>
      </c>
      <c r="N10" s="382" t="s">
        <v>443</v>
      </c>
      <c r="O10" s="382" t="s">
        <v>444</v>
      </c>
      <c r="P10" s="382" t="s">
        <v>443</v>
      </c>
      <c r="Q10" s="382" t="s">
        <v>444</v>
      </c>
      <c r="R10" s="382" t="s">
        <v>312</v>
      </c>
      <c r="S10" s="382" t="s">
        <v>443</v>
      </c>
      <c r="T10" s="382" t="s">
        <v>444</v>
      </c>
      <c r="U10" s="382" t="s">
        <v>312</v>
      </c>
      <c r="V10" s="996"/>
    </row>
    <row r="11" spans="1:23" x14ac:dyDescent="0.2">
      <c r="A11" s="383"/>
      <c r="B11" s="384" t="s">
        <v>546</v>
      </c>
      <c r="C11" s="385"/>
      <c r="D11" s="386"/>
      <c r="E11" s="386"/>
      <c r="F11" s="386"/>
      <c r="G11" s="386"/>
      <c r="H11" s="386"/>
      <c r="I11" s="386"/>
      <c r="J11" s="386"/>
      <c r="K11" s="386"/>
      <c r="L11" s="387"/>
      <c r="M11" s="387"/>
      <c r="N11" s="387"/>
      <c r="O11" s="387"/>
      <c r="P11" s="388"/>
      <c r="Q11" s="387"/>
      <c r="R11" s="388"/>
      <c r="S11" s="388"/>
      <c r="T11" s="388"/>
      <c r="U11" s="388"/>
      <c r="V11" s="389"/>
    </row>
    <row r="12" spans="1:23" s="19" customFormat="1" x14ac:dyDescent="0.25">
      <c r="A12" s="1003" t="s">
        <v>547</v>
      </c>
      <c r="B12" s="390" t="s">
        <v>430</v>
      </c>
      <c r="C12" s="391"/>
      <c r="D12" s="392">
        <v>1608914</v>
      </c>
      <c r="E12" s="392">
        <v>1504362</v>
      </c>
      <c r="F12" s="392"/>
      <c r="G12" s="392"/>
      <c r="H12" s="392">
        <v>16660</v>
      </c>
      <c r="I12" s="392">
        <v>149266</v>
      </c>
      <c r="J12" s="392"/>
      <c r="K12" s="392"/>
      <c r="L12" s="393"/>
      <c r="M12" s="393"/>
      <c r="N12" s="393"/>
      <c r="O12" s="393"/>
      <c r="P12" s="392">
        <v>1460771</v>
      </c>
      <c r="Q12" s="393">
        <v>2191533</v>
      </c>
      <c r="R12" s="392">
        <f>SUM(C14:C16)</f>
        <v>2185785</v>
      </c>
      <c r="S12" s="392"/>
      <c r="T12" s="392"/>
      <c r="U12" s="392"/>
      <c r="V12" s="394"/>
    </row>
    <row r="13" spans="1:23" s="19" customFormat="1" x14ac:dyDescent="0.25">
      <c r="A13" s="1004"/>
      <c r="B13" s="390" t="s">
        <v>548</v>
      </c>
      <c r="C13" s="391"/>
      <c r="D13" s="392"/>
      <c r="E13" s="392"/>
      <c r="F13" s="392"/>
      <c r="G13" s="392"/>
      <c r="H13" s="392"/>
      <c r="I13" s="392"/>
      <c r="J13" s="392"/>
      <c r="K13" s="392"/>
      <c r="L13" s="393"/>
      <c r="M13" s="393"/>
      <c r="N13" s="393"/>
      <c r="O13" s="393"/>
      <c r="P13" s="392"/>
      <c r="Q13" s="393"/>
      <c r="R13" s="392"/>
      <c r="S13" s="392"/>
      <c r="T13" s="392"/>
      <c r="U13" s="392"/>
      <c r="V13" s="394"/>
    </row>
    <row r="14" spans="1:23" s="19" customFormat="1" x14ac:dyDescent="0.25">
      <c r="A14" s="1004"/>
      <c r="B14" s="395" t="s">
        <v>549</v>
      </c>
      <c r="C14" s="392">
        <v>1623084</v>
      </c>
      <c r="D14" s="392"/>
      <c r="E14" s="392"/>
      <c r="F14" s="392"/>
      <c r="G14" s="392"/>
      <c r="H14" s="392"/>
      <c r="I14" s="392"/>
      <c r="J14" s="392"/>
      <c r="K14" s="392"/>
      <c r="L14" s="393"/>
      <c r="M14" s="393"/>
      <c r="N14" s="393"/>
      <c r="O14" s="393"/>
      <c r="P14" s="392"/>
      <c r="Q14" s="393"/>
      <c r="R14" s="392"/>
      <c r="S14" s="392"/>
      <c r="T14" s="392"/>
      <c r="U14" s="392"/>
      <c r="V14" s="394"/>
    </row>
    <row r="15" spans="1:23" s="19" customFormat="1" x14ac:dyDescent="0.25">
      <c r="A15" s="1004"/>
      <c r="B15" s="390" t="s">
        <v>550</v>
      </c>
      <c r="C15" s="392">
        <v>549959</v>
      </c>
      <c r="D15" s="392"/>
      <c r="E15" s="392"/>
      <c r="F15" s="392"/>
      <c r="G15" s="392"/>
      <c r="H15" s="392"/>
      <c r="I15" s="392"/>
      <c r="J15" s="392"/>
      <c r="K15" s="392"/>
      <c r="L15" s="393"/>
      <c r="M15" s="393"/>
      <c r="N15" s="393"/>
      <c r="O15" s="393"/>
      <c r="P15" s="392"/>
      <c r="Q15" s="393"/>
      <c r="R15" s="392"/>
      <c r="S15" s="392"/>
      <c r="T15" s="392"/>
      <c r="U15" s="392"/>
      <c r="V15" s="394"/>
    </row>
    <row r="16" spans="1:23" s="19" customFormat="1" x14ac:dyDescent="0.25">
      <c r="A16" s="1005"/>
      <c r="B16" s="390" t="s">
        <v>575</v>
      </c>
      <c r="C16" s="392">
        <v>12742</v>
      </c>
      <c r="D16" s="392"/>
      <c r="E16" s="392">
        <v>515463</v>
      </c>
      <c r="F16" s="392"/>
      <c r="G16" s="392"/>
      <c r="H16" s="392"/>
      <c r="I16" s="392"/>
      <c r="J16" s="392"/>
      <c r="K16" s="392"/>
      <c r="L16" s="393"/>
      <c r="M16" s="393"/>
      <c r="N16" s="393"/>
      <c r="O16" s="393"/>
      <c r="P16" s="392"/>
      <c r="Q16" s="393"/>
      <c r="R16" s="392"/>
      <c r="S16" s="392"/>
      <c r="T16" s="392"/>
      <c r="U16" s="392"/>
      <c r="V16" s="394"/>
    </row>
    <row r="17" spans="1:22" x14ac:dyDescent="0.2">
      <c r="A17" s="396" t="s">
        <v>551</v>
      </c>
      <c r="B17" s="397" t="s">
        <v>552</v>
      </c>
      <c r="C17" s="398"/>
      <c r="D17" s="392">
        <v>581900</v>
      </c>
      <c r="E17" s="392">
        <v>384599</v>
      </c>
      <c r="F17" s="392"/>
      <c r="G17" s="392"/>
      <c r="H17" s="392"/>
      <c r="I17" s="392"/>
      <c r="J17" s="392"/>
      <c r="K17" s="392"/>
      <c r="L17" s="393">
        <v>500</v>
      </c>
      <c r="M17" s="393">
        <v>204801</v>
      </c>
      <c r="N17" s="393"/>
      <c r="O17" s="393"/>
      <c r="P17" s="392">
        <v>588300</v>
      </c>
      <c r="Q17" s="393">
        <v>628734</v>
      </c>
      <c r="R17" s="392">
        <v>628675</v>
      </c>
      <c r="S17" s="392"/>
      <c r="T17" s="392"/>
      <c r="U17" s="392"/>
      <c r="V17" s="399"/>
    </row>
    <row r="18" spans="1:22" x14ac:dyDescent="0.2">
      <c r="A18" s="396" t="s">
        <v>553</v>
      </c>
      <c r="B18" s="395" t="s">
        <v>554</v>
      </c>
      <c r="C18" s="400"/>
      <c r="D18" s="392">
        <v>442024</v>
      </c>
      <c r="E18" s="392">
        <v>118250</v>
      </c>
      <c r="F18" s="392"/>
      <c r="G18" s="392"/>
      <c r="H18" s="392">
        <v>11500</v>
      </c>
      <c r="I18" s="392">
        <v>253392</v>
      </c>
      <c r="J18" s="392"/>
      <c r="K18" s="392"/>
      <c r="L18" s="393"/>
      <c r="M18" s="393"/>
      <c r="N18" s="393"/>
      <c r="O18" s="393"/>
      <c r="P18" s="392">
        <v>511606</v>
      </c>
      <c r="Q18" s="393">
        <v>460905</v>
      </c>
      <c r="R18" s="392">
        <v>385284</v>
      </c>
      <c r="S18" s="392"/>
      <c r="T18" s="392"/>
      <c r="U18" s="392"/>
      <c r="V18" s="399"/>
    </row>
    <row r="19" spans="1:22" x14ac:dyDescent="0.2">
      <c r="A19" s="401" t="s">
        <v>576</v>
      </c>
      <c r="B19" s="395" t="s">
        <v>555</v>
      </c>
      <c r="C19" s="400"/>
      <c r="D19" s="392"/>
      <c r="E19" s="392">
        <v>8650</v>
      </c>
      <c r="F19" s="392"/>
      <c r="G19" s="392"/>
      <c r="H19" s="392"/>
      <c r="I19" s="392"/>
      <c r="J19" s="392"/>
      <c r="K19" s="392"/>
      <c r="L19" s="393"/>
      <c r="M19" s="393"/>
      <c r="N19" s="393"/>
      <c r="O19" s="393"/>
      <c r="P19" s="392"/>
      <c r="Q19" s="393">
        <v>3920</v>
      </c>
      <c r="R19" s="392">
        <v>3850</v>
      </c>
      <c r="S19" s="392"/>
      <c r="T19" s="392"/>
      <c r="U19" s="392"/>
      <c r="V19" s="399"/>
    </row>
    <row r="20" spans="1:22" x14ac:dyDescent="0.2">
      <c r="A20" s="1006" t="s">
        <v>428</v>
      </c>
      <c r="B20" s="395" t="s">
        <v>437</v>
      </c>
      <c r="C20" s="400"/>
      <c r="D20" s="392"/>
      <c r="E20" s="392"/>
      <c r="F20" s="392"/>
      <c r="G20" s="392"/>
      <c r="H20" s="392"/>
      <c r="I20" s="392"/>
      <c r="J20" s="392"/>
      <c r="K20" s="392"/>
      <c r="L20" s="393"/>
      <c r="M20" s="393"/>
      <c r="N20" s="393"/>
      <c r="O20" s="393"/>
      <c r="P20" s="392">
        <v>221653</v>
      </c>
      <c r="Q20" s="393">
        <v>329857</v>
      </c>
      <c r="R20" s="392">
        <f>SUM(C22:C23)</f>
        <v>381901</v>
      </c>
      <c r="S20" s="392"/>
      <c r="T20" s="392"/>
      <c r="U20" s="392"/>
      <c r="V20" s="399"/>
    </row>
    <row r="21" spans="1:22" x14ac:dyDescent="0.2">
      <c r="A21" s="1007"/>
      <c r="B21" s="395" t="s">
        <v>548</v>
      </c>
      <c r="C21" s="400"/>
      <c r="D21" s="392"/>
      <c r="E21" s="392"/>
      <c r="F21" s="392"/>
      <c r="G21" s="392"/>
      <c r="H21" s="392"/>
      <c r="I21" s="392"/>
      <c r="J21" s="392"/>
      <c r="K21" s="392"/>
      <c r="L21" s="393"/>
      <c r="M21" s="393"/>
      <c r="N21" s="393"/>
      <c r="O21" s="393"/>
      <c r="P21" s="392"/>
      <c r="Q21" s="393"/>
      <c r="R21" s="392"/>
      <c r="S21" s="392"/>
      <c r="T21" s="392"/>
      <c r="U21" s="392"/>
      <c r="V21" s="399"/>
    </row>
    <row r="22" spans="1:22" x14ac:dyDescent="0.2">
      <c r="A22" s="1008"/>
      <c r="B22" s="395" t="s">
        <v>556</v>
      </c>
      <c r="C22" s="392">
        <v>329857</v>
      </c>
      <c r="D22" s="392">
        <v>40492</v>
      </c>
      <c r="E22" s="392">
        <v>84257</v>
      </c>
      <c r="F22" s="392"/>
      <c r="G22" s="392"/>
      <c r="H22" s="392">
        <v>1602</v>
      </c>
      <c r="I22" s="392"/>
      <c r="J22" s="392"/>
      <c r="K22" s="392"/>
      <c r="L22" s="393"/>
      <c r="M22" s="393"/>
      <c r="N22" s="393"/>
      <c r="O22" s="393"/>
      <c r="P22" s="392"/>
      <c r="Q22" s="393"/>
      <c r="R22" s="392"/>
      <c r="S22" s="392"/>
      <c r="T22" s="392"/>
      <c r="U22" s="392"/>
      <c r="V22" s="399"/>
    </row>
    <row r="23" spans="1:22" x14ac:dyDescent="0.2">
      <c r="A23" s="422"/>
      <c r="B23" s="395" t="s">
        <v>580</v>
      </c>
      <c r="C23" s="392">
        <v>52044</v>
      </c>
      <c r="D23" s="392"/>
      <c r="E23" s="392"/>
      <c r="F23" s="392"/>
      <c r="G23" s="392"/>
      <c r="H23" s="392"/>
      <c r="I23" s="392"/>
      <c r="J23" s="392"/>
      <c r="K23" s="392"/>
      <c r="L23" s="393"/>
      <c r="M23" s="393"/>
      <c r="N23" s="393"/>
      <c r="O23" s="393"/>
      <c r="P23" s="392"/>
      <c r="Q23" s="393"/>
      <c r="R23" s="392"/>
      <c r="S23" s="392"/>
      <c r="T23" s="392"/>
      <c r="U23" s="392"/>
      <c r="V23" s="399"/>
    </row>
    <row r="24" spans="1:22" x14ac:dyDescent="0.2">
      <c r="A24" s="396" t="s">
        <v>557</v>
      </c>
      <c r="B24" s="397" t="s">
        <v>523</v>
      </c>
      <c r="C24" s="398"/>
      <c r="D24" s="392"/>
      <c r="E24" s="392"/>
      <c r="F24" s="392">
        <f>686733-2717-47096</f>
        <v>636920</v>
      </c>
      <c r="G24" s="392">
        <v>1007644</v>
      </c>
      <c r="H24" s="392"/>
      <c r="I24" s="392"/>
      <c r="J24" s="392">
        <f>42737+2717</f>
        <v>45454</v>
      </c>
      <c r="K24" s="392">
        <v>47821</v>
      </c>
      <c r="L24" s="393"/>
      <c r="M24" s="393"/>
      <c r="N24" s="393">
        <v>47096</v>
      </c>
      <c r="O24" s="393">
        <v>47096</v>
      </c>
      <c r="P24" s="392"/>
      <c r="Q24" s="393">
        <f t="shared" ref="Q24:Q28" si="0">SUM(E24,I24,M24)</f>
        <v>0</v>
      </c>
      <c r="R24" s="392"/>
      <c r="S24" s="392">
        <v>751977</v>
      </c>
      <c r="T24" s="392">
        <v>1168623</v>
      </c>
      <c r="U24" s="392">
        <v>1121557</v>
      </c>
      <c r="V24" s="399"/>
    </row>
    <row r="25" spans="1:22" x14ac:dyDescent="0.2">
      <c r="A25" s="396" t="s">
        <v>558</v>
      </c>
      <c r="B25" s="395" t="s">
        <v>524</v>
      </c>
      <c r="C25" s="400"/>
      <c r="D25" s="392"/>
      <c r="E25" s="392"/>
      <c r="F25" s="392">
        <f>181065-734-12716</f>
        <v>167615</v>
      </c>
      <c r="G25" s="392">
        <v>222862</v>
      </c>
      <c r="H25" s="392"/>
      <c r="I25" s="392"/>
      <c r="J25" s="392">
        <f>12220+734</f>
        <v>12954</v>
      </c>
      <c r="K25" s="392">
        <v>14238</v>
      </c>
      <c r="L25" s="393"/>
      <c r="M25" s="393"/>
      <c r="N25" s="393">
        <v>12716</v>
      </c>
      <c r="O25" s="393">
        <v>12716</v>
      </c>
      <c r="P25" s="392"/>
      <c r="Q25" s="393">
        <f t="shared" si="0"/>
        <v>0</v>
      </c>
      <c r="R25" s="392"/>
      <c r="S25" s="392">
        <v>202502</v>
      </c>
      <c r="T25" s="392">
        <v>272995</v>
      </c>
      <c r="U25" s="392">
        <v>266833</v>
      </c>
      <c r="V25" s="399"/>
    </row>
    <row r="26" spans="1:22" x14ac:dyDescent="0.2">
      <c r="A26" s="396" t="s">
        <v>559</v>
      </c>
      <c r="B26" s="395" t="s">
        <v>525</v>
      </c>
      <c r="C26" s="400"/>
      <c r="D26" s="402"/>
      <c r="E26" s="402"/>
      <c r="F26" s="402">
        <f>586352-22709-17667</f>
        <v>545976</v>
      </c>
      <c r="G26" s="402">
        <v>589248</v>
      </c>
      <c r="H26" s="402"/>
      <c r="I26" s="402"/>
      <c r="J26" s="402">
        <f>60987+22709</f>
        <v>83696</v>
      </c>
      <c r="K26" s="402">
        <v>178545</v>
      </c>
      <c r="L26" s="403"/>
      <c r="M26" s="403"/>
      <c r="N26" s="403">
        <v>17667</v>
      </c>
      <c r="O26" s="393">
        <v>17667</v>
      </c>
      <c r="P26" s="392"/>
      <c r="Q26" s="393">
        <f t="shared" si="0"/>
        <v>0</v>
      </c>
      <c r="R26" s="392"/>
      <c r="S26" s="392">
        <v>627033</v>
      </c>
      <c r="T26" s="392">
        <v>800454</v>
      </c>
      <c r="U26" s="392">
        <v>723815</v>
      </c>
      <c r="V26" s="399"/>
    </row>
    <row r="27" spans="1:22" ht="21.75" customHeight="1" x14ac:dyDescent="0.2">
      <c r="A27" s="396" t="s">
        <v>560</v>
      </c>
      <c r="B27" s="397" t="s">
        <v>561</v>
      </c>
      <c r="C27" s="398"/>
      <c r="D27" s="402"/>
      <c r="E27" s="402"/>
      <c r="F27" s="402">
        <f>244297-94027</f>
        <v>150270</v>
      </c>
      <c r="G27" s="402">
        <v>38119</v>
      </c>
      <c r="H27" s="402"/>
      <c r="I27" s="402"/>
      <c r="J27" s="402">
        <v>5730</v>
      </c>
      <c r="K27" s="402">
        <v>5730</v>
      </c>
      <c r="L27" s="403"/>
      <c r="M27" s="403"/>
      <c r="N27" s="403">
        <v>94027</v>
      </c>
      <c r="O27" s="393">
        <v>127322</v>
      </c>
      <c r="P27" s="392"/>
      <c r="Q27" s="393">
        <f t="shared" si="0"/>
        <v>0</v>
      </c>
      <c r="R27" s="392"/>
      <c r="S27" s="392">
        <v>85067</v>
      </c>
      <c r="T27" s="392">
        <v>100124</v>
      </c>
      <c r="U27" s="392">
        <v>76492</v>
      </c>
      <c r="V27" s="399"/>
    </row>
    <row r="28" spans="1:22" x14ac:dyDescent="0.2">
      <c r="A28" s="396" t="s">
        <v>562</v>
      </c>
      <c r="B28" s="397" t="s">
        <v>527</v>
      </c>
      <c r="C28" s="398"/>
      <c r="D28" s="392"/>
      <c r="E28" s="392"/>
      <c r="F28" s="392">
        <v>718143</v>
      </c>
      <c r="G28" s="392">
        <v>857708</v>
      </c>
      <c r="H28" s="392"/>
      <c r="I28" s="392"/>
      <c r="J28" s="392">
        <v>115328</v>
      </c>
      <c r="K28" s="392">
        <v>156324</v>
      </c>
      <c r="L28" s="393"/>
      <c r="M28" s="393"/>
      <c r="N28" s="393"/>
      <c r="O28" s="393"/>
      <c r="P28" s="392"/>
      <c r="Q28" s="393">
        <f t="shared" si="0"/>
        <v>0</v>
      </c>
      <c r="R28" s="392"/>
      <c r="S28" s="392">
        <v>1064900</v>
      </c>
      <c r="T28" s="392">
        <v>1111172</v>
      </c>
      <c r="U28" s="392">
        <v>944317</v>
      </c>
      <c r="V28" s="399"/>
    </row>
    <row r="29" spans="1:22" ht="15.75" thickBot="1" x14ac:dyDescent="0.25">
      <c r="A29" s="396" t="s">
        <v>563</v>
      </c>
      <c r="B29" s="397" t="s">
        <v>531</v>
      </c>
      <c r="C29" s="404"/>
      <c r="D29" s="392"/>
      <c r="E29" s="392"/>
      <c r="F29" s="392"/>
      <c r="G29" s="392">
        <v>0</v>
      </c>
      <c r="H29" s="392"/>
      <c r="I29" s="392"/>
      <c r="J29" s="392"/>
      <c r="K29" s="392">
        <v>0</v>
      </c>
      <c r="L29" s="393"/>
      <c r="M29" s="393"/>
      <c r="N29" s="393"/>
      <c r="O29" s="393"/>
      <c r="P29" s="392"/>
      <c r="Q29" s="393"/>
      <c r="R29" s="392"/>
      <c r="S29" s="392">
        <v>49935</v>
      </c>
      <c r="T29" s="392">
        <v>49935</v>
      </c>
      <c r="U29" s="405">
        <v>49935</v>
      </c>
      <c r="V29" s="406"/>
    </row>
    <row r="30" spans="1:22" ht="15.75" thickBot="1" x14ac:dyDescent="0.25">
      <c r="A30" s="407"/>
      <c r="B30" s="408" t="s">
        <v>564</v>
      </c>
      <c r="C30" s="409"/>
      <c r="D30" s="410">
        <f>SUM(D12+D17+D18+D20)</f>
        <v>2632838</v>
      </c>
      <c r="E30" s="410" t="e">
        <f>SUM(E12,E16,E17,E18,E19,#REF!,E22)</f>
        <v>#REF!</v>
      </c>
      <c r="F30" s="410">
        <f>SUM(F24+F25+F26+F27+F28+F29)</f>
        <v>2218924</v>
      </c>
      <c r="G30" s="410">
        <f>SUM(G24+G25+G26+G27+G28+G29)</f>
        <v>2715581</v>
      </c>
      <c r="H30" s="410">
        <f>SUM(H12+H17+H18+H20)</f>
        <v>28160</v>
      </c>
      <c r="I30" s="410" t="e">
        <f>SUM(I12,I16,I17,I18,I19,#REF!,I22)</f>
        <v>#REF!</v>
      </c>
      <c r="J30" s="410">
        <f>SUM(J24+J25+J26+J27+J28+J29)</f>
        <v>263162</v>
      </c>
      <c r="K30" s="410">
        <f>SUM(K24+K25+K26+K27+K28+K29)</f>
        <v>402658</v>
      </c>
      <c r="L30" s="411">
        <f>SUM(L12+L17+L18+L20)</f>
        <v>500</v>
      </c>
      <c r="M30" s="411">
        <f>SUM(M12+M17+M18+M20)</f>
        <v>204801</v>
      </c>
      <c r="N30" s="411">
        <f>SUM(N24+N25+N26+N27+N28+N29)</f>
        <v>171506</v>
      </c>
      <c r="O30" s="411">
        <f>SUM(O24+O25+O26+O27+O28+O29)</f>
        <v>204801</v>
      </c>
      <c r="P30" s="410">
        <f>P12+P17+P18+P19+P20</f>
        <v>2782330</v>
      </c>
      <c r="Q30" s="411">
        <f>Q12+Q17+Q18+Q19+Q20</f>
        <v>3614949</v>
      </c>
      <c r="R30" s="410">
        <f>R12+R17+R18+R19+R20</f>
        <v>3585495</v>
      </c>
      <c r="S30" s="410">
        <f>SUM(S12:S29)</f>
        <v>2781414</v>
      </c>
      <c r="T30" s="410">
        <f>SUM(T12:T29)</f>
        <v>3503303</v>
      </c>
      <c r="U30" s="410">
        <f>SUM(U12:U29)</f>
        <v>3182949</v>
      </c>
      <c r="V30" s="412">
        <f>R30-U30</f>
        <v>402546</v>
      </c>
    </row>
    <row r="31" spans="1:22" x14ac:dyDescent="0.2">
      <c r="A31" s="413"/>
      <c r="B31" s="414" t="s">
        <v>565</v>
      </c>
      <c r="C31" s="415"/>
      <c r="D31" s="388"/>
      <c r="E31" s="388"/>
      <c r="F31" s="388"/>
      <c r="G31" s="388"/>
      <c r="H31" s="388"/>
      <c r="I31" s="388"/>
      <c r="J31" s="388"/>
      <c r="K31" s="388"/>
      <c r="L31" s="387"/>
      <c r="M31" s="387"/>
      <c r="N31" s="387"/>
      <c r="O31" s="387"/>
      <c r="P31" s="388"/>
      <c r="Q31" s="387"/>
      <c r="R31" s="388"/>
      <c r="S31" s="388"/>
      <c r="T31" s="388"/>
      <c r="U31" s="388"/>
      <c r="V31" s="389"/>
    </row>
    <row r="32" spans="1:22" x14ac:dyDescent="0.2">
      <c r="A32" s="396" t="s">
        <v>566</v>
      </c>
      <c r="B32" s="397" t="s">
        <v>431</v>
      </c>
      <c r="C32" s="398"/>
      <c r="D32" s="392"/>
      <c r="E32" s="392">
        <v>114682</v>
      </c>
      <c r="F32" s="392"/>
      <c r="G32" s="392"/>
      <c r="H32" s="392">
        <v>689612</v>
      </c>
      <c r="I32" s="392">
        <v>728638</v>
      </c>
      <c r="J32" s="392"/>
      <c r="K32" s="392"/>
      <c r="L32" s="393"/>
      <c r="M32" s="393"/>
      <c r="N32" s="393"/>
      <c r="O32" s="393"/>
      <c r="P32" s="392"/>
      <c r="Q32" s="393">
        <v>146204</v>
      </c>
      <c r="R32" s="392">
        <v>144703</v>
      </c>
      <c r="S32" s="392"/>
      <c r="T32" s="392"/>
      <c r="U32" s="392"/>
      <c r="V32" s="399"/>
    </row>
    <row r="33" spans="1:22" x14ac:dyDescent="0.2">
      <c r="A33" s="396" t="s">
        <v>567</v>
      </c>
      <c r="B33" s="397" t="s">
        <v>434</v>
      </c>
      <c r="C33" s="398"/>
      <c r="D33" s="392"/>
      <c r="E33" s="392">
        <v>10300</v>
      </c>
      <c r="F33" s="392"/>
      <c r="G33" s="392"/>
      <c r="H33" s="392">
        <v>46545</v>
      </c>
      <c r="I33" s="392">
        <v>369</v>
      </c>
      <c r="J33" s="392"/>
      <c r="K33" s="392"/>
      <c r="L33" s="393"/>
      <c r="M33" s="393"/>
      <c r="N33" s="393"/>
      <c r="O33" s="393"/>
      <c r="P33" s="392">
        <v>11214</v>
      </c>
      <c r="Q33" s="393">
        <v>11214</v>
      </c>
      <c r="R33" s="392">
        <v>4411</v>
      </c>
      <c r="S33" s="392"/>
      <c r="T33" s="392"/>
      <c r="U33" s="392"/>
      <c r="V33" s="399"/>
    </row>
    <row r="34" spans="1:22" x14ac:dyDescent="0.2">
      <c r="A34" s="401" t="s">
        <v>577</v>
      </c>
      <c r="B34" s="397" t="s">
        <v>568</v>
      </c>
      <c r="C34" s="398"/>
      <c r="D34" s="392"/>
      <c r="E34" s="392">
        <v>2162</v>
      </c>
      <c r="F34" s="392"/>
      <c r="G34" s="392"/>
      <c r="H34" s="392"/>
      <c r="I34" s="392"/>
      <c r="J34" s="392"/>
      <c r="K34" s="392"/>
      <c r="L34" s="393"/>
      <c r="M34" s="393"/>
      <c r="N34" s="393"/>
      <c r="O34" s="393"/>
      <c r="P34" s="392"/>
      <c r="Q34" s="393">
        <v>7042</v>
      </c>
      <c r="R34" s="392">
        <v>7974</v>
      </c>
      <c r="S34" s="392"/>
      <c r="T34" s="392"/>
      <c r="U34" s="392"/>
      <c r="V34" s="399"/>
    </row>
    <row r="35" spans="1:22" x14ac:dyDescent="0.2">
      <c r="A35" s="1003" t="s">
        <v>428</v>
      </c>
      <c r="B35" s="395" t="s">
        <v>437</v>
      </c>
      <c r="C35" s="400"/>
      <c r="D35" s="392">
        <v>141583</v>
      </c>
      <c r="E35" s="392">
        <v>47287</v>
      </c>
      <c r="F35" s="392"/>
      <c r="G35" s="392"/>
      <c r="H35" s="392">
        <f>115949+656</f>
        <v>116605</v>
      </c>
      <c r="I35" s="392">
        <v>184798</v>
      </c>
      <c r="J35" s="392"/>
      <c r="K35" s="392"/>
      <c r="L35" s="393"/>
      <c r="M35" s="393"/>
      <c r="N35" s="393"/>
      <c r="O35" s="393"/>
      <c r="P35" s="392">
        <v>67347</v>
      </c>
      <c r="Q35" s="393">
        <v>82615</v>
      </c>
      <c r="R35" s="392">
        <v>82615</v>
      </c>
      <c r="S35" s="392"/>
      <c r="T35" s="392"/>
      <c r="U35" s="392"/>
      <c r="V35" s="399"/>
    </row>
    <row r="36" spans="1:22" ht="21" customHeight="1" x14ac:dyDescent="0.2">
      <c r="A36" s="1004"/>
      <c r="B36" s="395" t="s">
        <v>548</v>
      </c>
      <c r="C36" s="400"/>
      <c r="D36" s="392"/>
      <c r="E36" s="392"/>
      <c r="F36" s="392"/>
      <c r="G36" s="392"/>
      <c r="H36" s="392"/>
      <c r="I36" s="392"/>
      <c r="J36" s="392"/>
      <c r="K36" s="392"/>
      <c r="L36" s="393"/>
      <c r="M36" s="393"/>
      <c r="N36" s="393"/>
      <c r="O36" s="393"/>
      <c r="P36" s="392"/>
      <c r="Q36" s="392"/>
      <c r="R36" s="392"/>
      <c r="S36" s="392"/>
      <c r="T36" s="392"/>
      <c r="U36" s="392"/>
      <c r="V36" s="399"/>
    </row>
    <row r="37" spans="1:22" ht="20.25" customHeight="1" x14ac:dyDescent="0.2">
      <c r="A37" s="1005"/>
      <c r="B37" s="395" t="s">
        <v>556</v>
      </c>
      <c r="C37" s="392">
        <v>82615</v>
      </c>
      <c r="D37" s="392"/>
      <c r="E37" s="392">
        <v>22574</v>
      </c>
      <c r="F37" s="392"/>
      <c r="G37" s="392"/>
      <c r="H37" s="392"/>
      <c r="I37" s="392"/>
      <c r="J37" s="392"/>
      <c r="K37" s="392"/>
      <c r="L37" s="393"/>
      <c r="M37" s="393"/>
      <c r="N37" s="393"/>
      <c r="O37" s="393"/>
      <c r="P37" s="392"/>
      <c r="Q37" s="392"/>
      <c r="R37" s="392"/>
      <c r="S37" s="392"/>
      <c r="T37" s="392"/>
      <c r="U37" s="392"/>
      <c r="V37" s="399"/>
    </row>
    <row r="38" spans="1:22" ht="29.25" customHeight="1" x14ac:dyDescent="0.2">
      <c r="A38" s="396" t="s">
        <v>569</v>
      </c>
      <c r="B38" s="397" t="s">
        <v>528</v>
      </c>
      <c r="C38" s="398"/>
      <c r="D38" s="392"/>
      <c r="E38" s="392"/>
      <c r="F38" s="392">
        <v>3015</v>
      </c>
      <c r="G38" s="392">
        <v>24463</v>
      </c>
      <c r="H38" s="392"/>
      <c r="I38" s="392"/>
      <c r="J38" s="392">
        <v>53998</v>
      </c>
      <c r="K38" s="392">
        <v>94305</v>
      </c>
      <c r="L38" s="393"/>
      <c r="M38" s="393"/>
      <c r="N38" s="393"/>
      <c r="O38" s="393"/>
      <c r="P38" s="392"/>
      <c r="Q38" s="392">
        <f t="shared" ref="Q38:Q40" si="1">SUM(E38,I38,M38)</f>
        <v>0</v>
      </c>
      <c r="R38" s="392"/>
      <c r="S38" s="392">
        <v>8130</v>
      </c>
      <c r="T38" s="392">
        <v>102693</v>
      </c>
      <c r="U38" s="392">
        <v>59095</v>
      </c>
      <c r="V38" s="399"/>
    </row>
    <row r="39" spans="1:22" x14ac:dyDescent="0.2">
      <c r="A39" s="396" t="s">
        <v>570</v>
      </c>
      <c r="B39" s="397" t="s">
        <v>529</v>
      </c>
      <c r="C39" s="398"/>
      <c r="D39" s="392"/>
      <c r="E39" s="392"/>
      <c r="F39" s="392">
        <v>147268</v>
      </c>
      <c r="G39" s="392">
        <v>170542</v>
      </c>
      <c r="H39" s="392"/>
      <c r="I39" s="392"/>
      <c r="J39" s="392">
        <v>718836</v>
      </c>
      <c r="K39" s="392">
        <v>716032</v>
      </c>
      <c r="L39" s="393"/>
      <c r="M39" s="393"/>
      <c r="N39" s="393"/>
      <c r="O39" s="393"/>
      <c r="P39" s="392"/>
      <c r="Q39" s="392">
        <f t="shared" si="1"/>
        <v>0</v>
      </c>
      <c r="R39" s="392"/>
      <c r="S39" s="392">
        <v>59472</v>
      </c>
      <c r="T39" s="392">
        <v>188296</v>
      </c>
      <c r="U39" s="392">
        <v>132117</v>
      </c>
      <c r="V39" s="399"/>
    </row>
    <row r="40" spans="1:22" ht="15.75" thickBot="1" x14ac:dyDescent="0.25">
      <c r="A40" s="396" t="s">
        <v>571</v>
      </c>
      <c r="B40" s="397" t="s">
        <v>572</v>
      </c>
      <c r="C40" s="404"/>
      <c r="D40" s="392"/>
      <c r="E40" s="392"/>
      <c r="F40" s="392"/>
      <c r="G40" s="392">
        <v>2000</v>
      </c>
      <c r="H40" s="392"/>
      <c r="I40" s="392"/>
      <c r="J40" s="392">
        <v>71228</v>
      </c>
      <c r="K40" s="392">
        <v>103468</v>
      </c>
      <c r="L40" s="393"/>
      <c r="M40" s="393"/>
      <c r="N40" s="393"/>
      <c r="O40" s="393"/>
      <c r="P40" s="392"/>
      <c r="Q40" s="392">
        <f t="shared" si="1"/>
        <v>0</v>
      </c>
      <c r="R40" s="392"/>
      <c r="S40" s="392">
        <v>11875</v>
      </c>
      <c r="T40" s="392">
        <v>67732</v>
      </c>
      <c r="U40" s="405">
        <v>28098</v>
      </c>
      <c r="V40" s="406"/>
    </row>
    <row r="41" spans="1:22" ht="15.75" thickBot="1" x14ac:dyDescent="0.25">
      <c r="A41" s="407"/>
      <c r="B41" s="408" t="s">
        <v>573</v>
      </c>
      <c r="C41" s="409"/>
      <c r="D41" s="410">
        <f>SUM(D32:D33)</f>
        <v>0</v>
      </c>
      <c r="E41" s="410">
        <f>SUM(E32:E40)</f>
        <v>197005</v>
      </c>
      <c r="F41" s="410">
        <f>SUM(F38:F40)</f>
        <v>150283</v>
      </c>
      <c r="G41" s="410">
        <f>SUM(G38:G40)</f>
        <v>197005</v>
      </c>
      <c r="H41" s="410">
        <f>SUM(H32:H33)</f>
        <v>736157</v>
      </c>
      <c r="I41" s="410">
        <f>SUM(I32:I37)</f>
        <v>913805</v>
      </c>
      <c r="J41" s="410">
        <f>SUM(J38:J40)</f>
        <v>844062</v>
      </c>
      <c r="K41" s="410">
        <f>SUM(K38:K40)</f>
        <v>913805</v>
      </c>
      <c r="L41" s="411">
        <f>SUM(L32:L33)</f>
        <v>0</v>
      </c>
      <c r="M41" s="411">
        <f>SUM(M32:M33)</f>
        <v>0</v>
      </c>
      <c r="N41" s="411">
        <f>SUM(N38:N40)</f>
        <v>0</v>
      </c>
      <c r="O41" s="411">
        <f>SUM(O38:O40)</f>
        <v>0</v>
      </c>
      <c r="P41" s="410">
        <f>P32+P33+P34+P35</f>
        <v>78561</v>
      </c>
      <c r="Q41" s="410">
        <f>Q32+Q33+Q34+Q35</f>
        <v>247075</v>
      </c>
      <c r="R41" s="410">
        <f>R32+R33+R34+R35</f>
        <v>239703</v>
      </c>
      <c r="S41" s="416">
        <f>SUM(S38:S40)</f>
        <v>79477</v>
      </c>
      <c r="T41" s="416">
        <f>SUM(T38:T40)</f>
        <v>358721</v>
      </c>
      <c r="U41" s="416">
        <f>SUM(U38:U40)</f>
        <v>219310</v>
      </c>
      <c r="V41" s="412">
        <f>R41-U41</f>
        <v>20393</v>
      </c>
    </row>
    <row r="42" spans="1:22" ht="15.75" thickBot="1" x14ac:dyDescent="0.25">
      <c r="A42" s="407"/>
      <c r="B42" s="417" t="s">
        <v>473</v>
      </c>
      <c r="C42" s="409"/>
      <c r="D42" s="418">
        <f t="shared" ref="D42:U42" si="2">D30+D41</f>
        <v>2632838</v>
      </c>
      <c r="E42" s="418" t="e">
        <f t="shared" si="2"/>
        <v>#REF!</v>
      </c>
      <c r="F42" s="418">
        <f t="shared" si="2"/>
        <v>2369207</v>
      </c>
      <c r="G42" s="418">
        <f t="shared" si="2"/>
        <v>2912586</v>
      </c>
      <c r="H42" s="418">
        <f t="shared" si="2"/>
        <v>764317</v>
      </c>
      <c r="I42" s="418" t="e">
        <f t="shared" si="2"/>
        <v>#REF!</v>
      </c>
      <c r="J42" s="418">
        <f t="shared" si="2"/>
        <v>1107224</v>
      </c>
      <c r="K42" s="418">
        <f t="shared" si="2"/>
        <v>1316463</v>
      </c>
      <c r="L42" s="419">
        <f t="shared" si="2"/>
        <v>500</v>
      </c>
      <c r="M42" s="418">
        <f t="shared" si="2"/>
        <v>204801</v>
      </c>
      <c r="N42" s="419">
        <f t="shared" si="2"/>
        <v>171506</v>
      </c>
      <c r="O42" s="418">
        <f t="shared" si="2"/>
        <v>204801</v>
      </c>
      <c r="P42" s="418">
        <f t="shared" si="2"/>
        <v>2860891</v>
      </c>
      <c r="Q42" s="418">
        <f t="shared" si="2"/>
        <v>3862024</v>
      </c>
      <c r="R42" s="418">
        <f t="shared" si="2"/>
        <v>3825198</v>
      </c>
      <c r="S42" s="418">
        <f t="shared" si="2"/>
        <v>2860891</v>
      </c>
      <c r="T42" s="418">
        <f t="shared" si="2"/>
        <v>3862024</v>
      </c>
      <c r="U42" s="418">
        <f t="shared" si="2"/>
        <v>3402259</v>
      </c>
      <c r="V42" s="420">
        <f>V30+V41</f>
        <v>422939</v>
      </c>
    </row>
  </sheetData>
  <mergeCells count="21">
    <mergeCell ref="A12:A16"/>
    <mergeCell ref="A20:A22"/>
    <mergeCell ref="A35:A37"/>
    <mergeCell ref="D9:E9"/>
    <mergeCell ref="F9:G9"/>
    <mergeCell ref="B3:W3"/>
    <mergeCell ref="A4:W4"/>
    <mergeCell ref="A7:V7"/>
    <mergeCell ref="A8:A10"/>
    <mergeCell ref="B8:C10"/>
    <mergeCell ref="D8:G8"/>
    <mergeCell ref="H8:K8"/>
    <mergeCell ref="L8:O8"/>
    <mergeCell ref="P8:U8"/>
    <mergeCell ref="V8:V10"/>
    <mergeCell ref="P9:R9"/>
    <mergeCell ref="S9:U9"/>
    <mergeCell ref="H9:I9"/>
    <mergeCell ref="J9:K9"/>
    <mergeCell ref="L9:M9"/>
    <mergeCell ref="N9:O9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view="pageBreakPreview" zoomScale="112" zoomScaleNormal="100" zoomScaleSheetLayoutView="112" workbookViewId="0"/>
  </sheetViews>
  <sheetFormatPr defaultRowHeight="12.75" x14ac:dyDescent="0.2"/>
  <cols>
    <col min="1" max="1" width="77.42578125" style="20" customWidth="1"/>
    <col min="2" max="4" width="17.140625" style="20" customWidth="1"/>
    <col min="5" max="37" width="9.140625" style="25"/>
    <col min="38" max="256" width="9.140625" style="20"/>
    <col min="257" max="257" width="72" style="20" customWidth="1"/>
    <col min="258" max="260" width="17.140625" style="20" customWidth="1"/>
    <col min="261" max="512" width="9.140625" style="20"/>
    <col min="513" max="513" width="72" style="20" customWidth="1"/>
    <col min="514" max="516" width="17.140625" style="20" customWidth="1"/>
    <col min="517" max="768" width="9.140625" style="20"/>
    <col min="769" max="769" width="72" style="20" customWidth="1"/>
    <col min="770" max="772" width="17.140625" style="20" customWidth="1"/>
    <col min="773" max="1024" width="9.140625" style="20"/>
    <col min="1025" max="1025" width="72" style="20" customWidth="1"/>
    <col min="1026" max="1028" width="17.140625" style="20" customWidth="1"/>
    <col min="1029" max="1280" width="9.140625" style="20"/>
    <col min="1281" max="1281" width="72" style="20" customWidth="1"/>
    <col min="1282" max="1284" width="17.140625" style="20" customWidth="1"/>
    <col min="1285" max="1536" width="9.140625" style="20"/>
    <col min="1537" max="1537" width="72" style="20" customWidth="1"/>
    <col min="1538" max="1540" width="17.140625" style="20" customWidth="1"/>
    <col min="1541" max="1792" width="9.140625" style="20"/>
    <col min="1793" max="1793" width="72" style="20" customWidth="1"/>
    <col min="1794" max="1796" width="17.140625" style="20" customWidth="1"/>
    <col min="1797" max="2048" width="9.140625" style="20"/>
    <col min="2049" max="2049" width="72" style="20" customWidth="1"/>
    <col min="2050" max="2052" width="17.140625" style="20" customWidth="1"/>
    <col min="2053" max="2304" width="9.140625" style="20"/>
    <col min="2305" max="2305" width="72" style="20" customWidth="1"/>
    <col min="2306" max="2308" width="17.140625" style="20" customWidth="1"/>
    <col min="2309" max="2560" width="9.140625" style="20"/>
    <col min="2561" max="2561" width="72" style="20" customWidth="1"/>
    <col min="2562" max="2564" width="17.140625" style="20" customWidth="1"/>
    <col min="2565" max="2816" width="9.140625" style="20"/>
    <col min="2817" max="2817" width="72" style="20" customWidth="1"/>
    <col min="2818" max="2820" width="17.140625" style="20" customWidth="1"/>
    <col min="2821" max="3072" width="9.140625" style="20"/>
    <col min="3073" max="3073" width="72" style="20" customWidth="1"/>
    <col min="3074" max="3076" width="17.140625" style="20" customWidth="1"/>
    <col min="3077" max="3328" width="9.140625" style="20"/>
    <col min="3329" max="3329" width="72" style="20" customWidth="1"/>
    <col min="3330" max="3332" width="17.140625" style="20" customWidth="1"/>
    <col min="3333" max="3584" width="9.140625" style="20"/>
    <col min="3585" max="3585" width="72" style="20" customWidth="1"/>
    <col min="3586" max="3588" width="17.140625" style="20" customWidth="1"/>
    <col min="3589" max="3840" width="9.140625" style="20"/>
    <col min="3841" max="3841" width="72" style="20" customWidth="1"/>
    <col min="3842" max="3844" width="17.140625" style="20" customWidth="1"/>
    <col min="3845" max="4096" width="9.140625" style="20"/>
    <col min="4097" max="4097" width="72" style="20" customWidth="1"/>
    <col min="4098" max="4100" width="17.140625" style="20" customWidth="1"/>
    <col min="4101" max="4352" width="9.140625" style="20"/>
    <col min="4353" max="4353" width="72" style="20" customWidth="1"/>
    <col min="4354" max="4356" width="17.140625" style="20" customWidth="1"/>
    <col min="4357" max="4608" width="9.140625" style="20"/>
    <col min="4609" max="4609" width="72" style="20" customWidth="1"/>
    <col min="4610" max="4612" width="17.140625" style="20" customWidth="1"/>
    <col min="4613" max="4864" width="9.140625" style="20"/>
    <col min="4865" max="4865" width="72" style="20" customWidth="1"/>
    <col min="4866" max="4868" width="17.140625" style="20" customWidth="1"/>
    <col min="4869" max="5120" width="9.140625" style="20"/>
    <col min="5121" max="5121" width="72" style="20" customWidth="1"/>
    <col min="5122" max="5124" width="17.140625" style="20" customWidth="1"/>
    <col min="5125" max="5376" width="9.140625" style="20"/>
    <col min="5377" max="5377" width="72" style="20" customWidth="1"/>
    <col min="5378" max="5380" width="17.140625" style="20" customWidth="1"/>
    <col min="5381" max="5632" width="9.140625" style="20"/>
    <col min="5633" max="5633" width="72" style="20" customWidth="1"/>
    <col min="5634" max="5636" width="17.140625" style="20" customWidth="1"/>
    <col min="5637" max="5888" width="9.140625" style="20"/>
    <col min="5889" max="5889" width="72" style="20" customWidth="1"/>
    <col min="5890" max="5892" width="17.140625" style="20" customWidth="1"/>
    <col min="5893" max="6144" width="9.140625" style="20"/>
    <col min="6145" max="6145" width="72" style="20" customWidth="1"/>
    <col min="6146" max="6148" width="17.140625" style="20" customWidth="1"/>
    <col min="6149" max="6400" width="9.140625" style="20"/>
    <col min="6401" max="6401" width="72" style="20" customWidth="1"/>
    <col min="6402" max="6404" width="17.140625" style="20" customWidth="1"/>
    <col min="6405" max="6656" width="9.140625" style="20"/>
    <col min="6657" max="6657" width="72" style="20" customWidth="1"/>
    <col min="6658" max="6660" width="17.140625" style="20" customWidth="1"/>
    <col min="6661" max="6912" width="9.140625" style="20"/>
    <col min="6913" max="6913" width="72" style="20" customWidth="1"/>
    <col min="6914" max="6916" width="17.140625" style="20" customWidth="1"/>
    <col min="6917" max="7168" width="9.140625" style="20"/>
    <col min="7169" max="7169" width="72" style="20" customWidth="1"/>
    <col min="7170" max="7172" width="17.140625" style="20" customWidth="1"/>
    <col min="7173" max="7424" width="9.140625" style="20"/>
    <col min="7425" max="7425" width="72" style="20" customWidth="1"/>
    <col min="7426" max="7428" width="17.140625" style="20" customWidth="1"/>
    <col min="7429" max="7680" width="9.140625" style="20"/>
    <col min="7681" max="7681" width="72" style="20" customWidth="1"/>
    <col min="7682" max="7684" width="17.140625" style="20" customWidth="1"/>
    <col min="7685" max="7936" width="9.140625" style="20"/>
    <col min="7937" max="7937" width="72" style="20" customWidth="1"/>
    <col min="7938" max="7940" width="17.140625" style="20" customWidth="1"/>
    <col min="7941" max="8192" width="9.140625" style="20"/>
    <col min="8193" max="8193" width="72" style="20" customWidth="1"/>
    <col min="8194" max="8196" width="17.140625" style="20" customWidth="1"/>
    <col min="8197" max="8448" width="9.140625" style="20"/>
    <col min="8449" max="8449" width="72" style="20" customWidth="1"/>
    <col min="8450" max="8452" width="17.140625" style="20" customWidth="1"/>
    <col min="8453" max="8704" width="9.140625" style="20"/>
    <col min="8705" max="8705" width="72" style="20" customWidth="1"/>
    <col min="8706" max="8708" width="17.140625" style="20" customWidth="1"/>
    <col min="8709" max="8960" width="9.140625" style="20"/>
    <col min="8961" max="8961" width="72" style="20" customWidth="1"/>
    <col min="8962" max="8964" width="17.140625" style="20" customWidth="1"/>
    <col min="8965" max="9216" width="9.140625" style="20"/>
    <col min="9217" max="9217" width="72" style="20" customWidth="1"/>
    <col min="9218" max="9220" width="17.140625" style="20" customWidth="1"/>
    <col min="9221" max="9472" width="9.140625" style="20"/>
    <col min="9473" max="9473" width="72" style="20" customWidth="1"/>
    <col min="9474" max="9476" width="17.140625" style="20" customWidth="1"/>
    <col min="9477" max="9728" width="9.140625" style="20"/>
    <col min="9729" max="9729" width="72" style="20" customWidth="1"/>
    <col min="9730" max="9732" width="17.140625" style="20" customWidth="1"/>
    <col min="9733" max="9984" width="9.140625" style="20"/>
    <col min="9985" max="9985" width="72" style="20" customWidth="1"/>
    <col min="9986" max="9988" width="17.140625" style="20" customWidth="1"/>
    <col min="9989" max="10240" width="9.140625" style="20"/>
    <col min="10241" max="10241" width="72" style="20" customWidth="1"/>
    <col min="10242" max="10244" width="17.140625" style="20" customWidth="1"/>
    <col min="10245" max="10496" width="9.140625" style="20"/>
    <col min="10497" max="10497" width="72" style="20" customWidth="1"/>
    <col min="10498" max="10500" width="17.140625" style="20" customWidth="1"/>
    <col min="10501" max="10752" width="9.140625" style="20"/>
    <col min="10753" max="10753" width="72" style="20" customWidth="1"/>
    <col min="10754" max="10756" width="17.140625" style="20" customWidth="1"/>
    <col min="10757" max="11008" width="9.140625" style="20"/>
    <col min="11009" max="11009" width="72" style="20" customWidth="1"/>
    <col min="11010" max="11012" width="17.140625" style="20" customWidth="1"/>
    <col min="11013" max="11264" width="9.140625" style="20"/>
    <col min="11265" max="11265" width="72" style="20" customWidth="1"/>
    <col min="11266" max="11268" width="17.140625" style="20" customWidth="1"/>
    <col min="11269" max="11520" width="9.140625" style="20"/>
    <col min="11521" max="11521" width="72" style="20" customWidth="1"/>
    <col min="11522" max="11524" width="17.140625" style="20" customWidth="1"/>
    <col min="11525" max="11776" width="9.140625" style="20"/>
    <col min="11777" max="11777" width="72" style="20" customWidth="1"/>
    <col min="11778" max="11780" width="17.140625" style="20" customWidth="1"/>
    <col min="11781" max="12032" width="9.140625" style="20"/>
    <col min="12033" max="12033" width="72" style="20" customWidth="1"/>
    <col min="12034" max="12036" width="17.140625" style="20" customWidth="1"/>
    <col min="12037" max="12288" width="9.140625" style="20"/>
    <col min="12289" max="12289" width="72" style="20" customWidth="1"/>
    <col min="12290" max="12292" width="17.140625" style="20" customWidth="1"/>
    <col min="12293" max="12544" width="9.140625" style="20"/>
    <col min="12545" max="12545" width="72" style="20" customWidth="1"/>
    <col min="12546" max="12548" width="17.140625" style="20" customWidth="1"/>
    <col min="12549" max="12800" width="9.140625" style="20"/>
    <col min="12801" max="12801" width="72" style="20" customWidth="1"/>
    <col min="12802" max="12804" width="17.140625" style="20" customWidth="1"/>
    <col min="12805" max="13056" width="9.140625" style="20"/>
    <col min="13057" max="13057" width="72" style="20" customWidth="1"/>
    <col min="13058" max="13060" width="17.140625" style="20" customWidth="1"/>
    <col min="13061" max="13312" width="9.140625" style="20"/>
    <col min="13313" max="13313" width="72" style="20" customWidth="1"/>
    <col min="13314" max="13316" width="17.140625" style="20" customWidth="1"/>
    <col min="13317" max="13568" width="9.140625" style="20"/>
    <col min="13569" max="13569" width="72" style="20" customWidth="1"/>
    <col min="13570" max="13572" width="17.140625" style="20" customWidth="1"/>
    <col min="13573" max="13824" width="9.140625" style="20"/>
    <col min="13825" max="13825" width="72" style="20" customWidth="1"/>
    <col min="13826" max="13828" width="17.140625" style="20" customWidth="1"/>
    <col min="13829" max="14080" width="9.140625" style="20"/>
    <col min="14081" max="14081" width="72" style="20" customWidth="1"/>
    <col min="14082" max="14084" width="17.140625" style="20" customWidth="1"/>
    <col min="14085" max="14336" width="9.140625" style="20"/>
    <col min="14337" max="14337" width="72" style="20" customWidth="1"/>
    <col min="14338" max="14340" width="17.140625" style="20" customWidth="1"/>
    <col min="14341" max="14592" width="9.140625" style="20"/>
    <col min="14593" max="14593" width="72" style="20" customWidth="1"/>
    <col min="14594" max="14596" width="17.140625" style="20" customWidth="1"/>
    <col min="14597" max="14848" width="9.140625" style="20"/>
    <col min="14849" max="14849" width="72" style="20" customWidth="1"/>
    <col min="14850" max="14852" width="17.140625" style="20" customWidth="1"/>
    <col min="14853" max="15104" width="9.140625" style="20"/>
    <col min="15105" max="15105" width="72" style="20" customWidth="1"/>
    <col min="15106" max="15108" width="17.140625" style="20" customWidth="1"/>
    <col min="15109" max="15360" width="9.140625" style="20"/>
    <col min="15361" max="15361" width="72" style="20" customWidth="1"/>
    <col min="15362" max="15364" width="17.140625" style="20" customWidth="1"/>
    <col min="15365" max="15616" width="9.140625" style="20"/>
    <col min="15617" max="15617" width="72" style="20" customWidth="1"/>
    <col min="15618" max="15620" width="17.140625" style="20" customWidth="1"/>
    <col min="15621" max="15872" width="9.140625" style="20"/>
    <col min="15873" max="15873" width="72" style="20" customWidth="1"/>
    <col min="15874" max="15876" width="17.140625" style="20" customWidth="1"/>
    <col min="15877" max="16128" width="9.140625" style="20"/>
    <col min="16129" max="16129" width="72" style="20" customWidth="1"/>
    <col min="16130" max="16132" width="17.140625" style="20" customWidth="1"/>
    <col min="16133" max="16384" width="9.140625" style="20"/>
  </cols>
  <sheetData>
    <row r="1" spans="1:37" s="1" customFormat="1" ht="15.75" x14ac:dyDescent="0.25">
      <c r="A1" s="1" t="s">
        <v>960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1" customFormat="1" ht="15.75" x14ac:dyDescent="0.25"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s="1" customFormat="1" ht="15.75" x14ac:dyDescent="0.25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s="2" customFormat="1" ht="16.5" x14ac:dyDescent="0.25">
      <c r="A4" s="786" t="s">
        <v>79</v>
      </c>
      <c r="B4" s="786"/>
      <c r="C4" s="786"/>
      <c r="D4" s="78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ht="15.75" x14ac:dyDescent="0.25">
      <c r="A5" s="3"/>
      <c r="B5" s="3"/>
      <c r="C5" s="3"/>
      <c r="D5" s="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1" customFormat="1" ht="15.75" x14ac:dyDescent="0.25">
      <c r="D6" s="4" t="s">
        <v>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18" customFormat="1" ht="31.5" x14ac:dyDescent="0.2">
      <c r="A7" s="15" t="s">
        <v>0</v>
      </c>
      <c r="B7" s="15" t="s">
        <v>1</v>
      </c>
      <c r="C7" s="15" t="s">
        <v>2</v>
      </c>
      <c r="D7" s="15" t="s">
        <v>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s="19" customFormat="1" ht="21.75" customHeight="1" x14ac:dyDescent="0.25">
      <c r="A8" s="10" t="s">
        <v>69</v>
      </c>
      <c r="B8" s="11">
        <v>629216296</v>
      </c>
      <c r="C8" s="11">
        <v>0</v>
      </c>
      <c r="D8" s="11">
        <v>629216296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19" customFormat="1" ht="21.75" customHeight="1" x14ac:dyDescent="0.25">
      <c r="A9" s="10" t="s">
        <v>70</v>
      </c>
      <c r="B9" s="11">
        <v>112899842</v>
      </c>
      <c r="C9" s="11">
        <v>0</v>
      </c>
      <c r="D9" s="11">
        <v>112899842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19" customFormat="1" ht="21.75" customHeight="1" x14ac:dyDescent="0.25">
      <c r="A10" s="10" t="s">
        <v>71</v>
      </c>
      <c r="B10" s="11">
        <v>140714044</v>
      </c>
      <c r="C10" s="11">
        <v>0</v>
      </c>
      <c r="D10" s="11">
        <v>140714044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19" customFormat="1" ht="21.75" customHeight="1" x14ac:dyDescent="0.25">
      <c r="A11" s="13" t="s">
        <v>72</v>
      </c>
      <c r="B11" s="14">
        <v>882830182</v>
      </c>
      <c r="C11" s="14">
        <v>0</v>
      </c>
      <c r="D11" s="14">
        <v>882830182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19" customFormat="1" ht="21.75" customHeight="1" x14ac:dyDescent="0.25">
      <c r="A12" s="10" t="s">
        <v>80</v>
      </c>
      <c r="B12" s="11">
        <v>9864089</v>
      </c>
      <c r="C12" s="11">
        <v>0</v>
      </c>
      <c r="D12" s="11">
        <v>9864089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19" customFormat="1" ht="21.75" customHeight="1" x14ac:dyDescent="0.25">
      <c r="A13" s="10" t="s">
        <v>81</v>
      </c>
      <c r="B13" s="11">
        <v>14923751</v>
      </c>
      <c r="C13" s="11">
        <v>0</v>
      </c>
      <c r="D13" s="11">
        <v>14923751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19" customFormat="1" ht="21.75" customHeight="1" x14ac:dyDescent="0.25">
      <c r="A14" s="13" t="s">
        <v>95</v>
      </c>
      <c r="B14" s="14">
        <v>24787840</v>
      </c>
      <c r="C14" s="14">
        <v>0</v>
      </c>
      <c r="D14" s="14">
        <v>24787840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19" customFormat="1" ht="21.75" customHeight="1" x14ac:dyDescent="0.25">
      <c r="A15" s="10" t="s">
        <v>73</v>
      </c>
      <c r="B15" s="11">
        <v>2779932504</v>
      </c>
      <c r="C15" s="11">
        <v>-1225600000</v>
      </c>
      <c r="D15" s="11">
        <v>1554332504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19" customFormat="1" ht="21.75" customHeight="1" x14ac:dyDescent="0.25">
      <c r="A16" s="10" t="s">
        <v>74</v>
      </c>
      <c r="B16" s="11">
        <v>533939399</v>
      </c>
      <c r="C16" s="11">
        <v>0</v>
      </c>
      <c r="D16" s="11">
        <v>533939399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19" customFormat="1" ht="21.75" customHeight="1" x14ac:dyDescent="0.25">
      <c r="A17" s="10" t="s">
        <v>82</v>
      </c>
      <c r="B17" s="11">
        <v>155339863</v>
      </c>
      <c r="C17" s="11">
        <v>0</v>
      </c>
      <c r="D17" s="11">
        <v>155339863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19" customFormat="1" ht="21.75" customHeight="1" x14ac:dyDescent="0.25">
      <c r="A18" s="10" t="s">
        <v>83</v>
      </c>
      <c r="B18" s="11">
        <v>173559953</v>
      </c>
      <c r="C18" s="11">
        <v>0</v>
      </c>
      <c r="D18" s="11">
        <v>173559953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19" customFormat="1" ht="21.75" customHeight="1" x14ac:dyDescent="0.25">
      <c r="A19" s="13" t="s">
        <v>75</v>
      </c>
      <c r="B19" s="14">
        <v>3642771719</v>
      </c>
      <c r="C19" s="14">
        <v>-1225600000</v>
      </c>
      <c r="D19" s="14">
        <v>2417171719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19" customFormat="1" ht="21.75" customHeight="1" x14ac:dyDescent="0.25">
      <c r="A20" s="10" t="s">
        <v>84</v>
      </c>
      <c r="B20" s="11">
        <v>104945185</v>
      </c>
      <c r="C20" s="11">
        <v>0</v>
      </c>
      <c r="D20" s="11">
        <v>104945185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19" customFormat="1" ht="21.75" customHeight="1" x14ac:dyDescent="0.25">
      <c r="A21" s="10" t="s">
        <v>85</v>
      </c>
      <c r="B21" s="11">
        <v>433670996</v>
      </c>
      <c r="C21" s="11">
        <v>0</v>
      </c>
      <c r="D21" s="11">
        <v>433670996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19" customFormat="1" ht="21.75" customHeight="1" x14ac:dyDescent="0.25">
      <c r="A22" s="10" t="s">
        <v>86</v>
      </c>
      <c r="B22" s="11">
        <v>222500</v>
      </c>
      <c r="C22" s="11">
        <v>0</v>
      </c>
      <c r="D22" s="11">
        <v>222500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19" customFormat="1" ht="21.75" customHeight="1" x14ac:dyDescent="0.25">
      <c r="A23" s="10" t="s">
        <v>87</v>
      </c>
      <c r="B23" s="11">
        <v>6057883</v>
      </c>
      <c r="C23" s="11">
        <v>0</v>
      </c>
      <c r="D23" s="11">
        <v>6057883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19" customFormat="1" ht="21.75" customHeight="1" x14ac:dyDescent="0.25">
      <c r="A24" s="13" t="s">
        <v>76</v>
      </c>
      <c r="B24" s="14">
        <v>544896564</v>
      </c>
      <c r="C24" s="14">
        <v>0</v>
      </c>
      <c r="D24" s="14">
        <v>544896564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19" customFormat="1" ht="21.75" customHeight="1" x14ac:dyDescent="0.25">
      <c r="A25" s="10" t="s">
        <v>88</v>
      </c>
      <c r="B25" s="11">
        <v>1018523905</v>
      </c>
      <c r="C25" s="11">
        <v>0</v>
      </c>
      <c r="D25" s="11">
        <v>1018523905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19" customFormat="1" ht="21.75" customHeight="1" x14ac:dyDescent="0.25">
      <c r="A26" s="10" t="s">
        <v>89</v>
      </c>
      <c r="B26" s="11">
        <v>111884559</v>
      </c>
      <c r="C26" s="11">
        <v>0</v>
      </c>
      <c r="D26" s="11">
        <v>111884559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19" customFormat="1" ht="21.75" customHeight="1" x14ac:dyDescent="0.25">
      <c r="A27" s="10" t="s">
        <v>90</v>
      </c>
      <c r="B27" s="11">
        <v>263639355</v>
      </c>
      <c r="C27" s="11">
        <v>0</v>
      </c>
      <c r="D27" s="11">
        <v>263639355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19" customFormat="1" ht="21.75" customHeight="1" x14ac:dyDescent="0.25">
      <c r="A28" s="13" t="s">
        <v>96</v>
      </c>
      <c r="B28" s="14">
        <v>1394047819</v>
      </c>
      <c r="C28" s="14">
        <v>0</v>
      </c>
      <c r="D28" s="14">
        <v>1394047819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19" customFormat="1" ht="21.75" customHeight="1" x14ac:dyDescent="0.25">
      <c r="A29" s="13" t="s">
        <v>91</v>
      </c>
      <c r="B29" s="14">
        <v>530414193</v>
      </c>
      <c r="C29" s="14">
        <v>0</v>
      </c>
      <c r="D29" s="14">
        <v>530414193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19" customFormat="1" ht="21.75" customHeight="1" x14ac:dyDescent="0.25">
      <c r="A30" s="13" t="s">
        <v>77</v>
      </c>
      <c r="B30" s="14">
        <v>2566601269</v>
      </c>
      <c r="C30" s="14">
        <v>-1225600000</v>
      </c>
      <c r="D30" s="14">
        <v>1341001269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19" customFormat="1" ht="21.75" customHeight="1" x14ac:dyDescent="0.25">
      <c r="A31" s="16" t="s">
        <v>97</v>
      </c>
      <c r="B31" s="17">
        <v>-485570104</v>
      </c>
      <c r="C31" s="17">
        <v>0</v>
      </c>
      <c r="D31" s="17">
        <v>-485570104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19" customFormat="1" ht="21.75" customHeight="1" x14ac:dyDescent="0.25">
      <c r="A32" s="10" t="s">
        <v>92</v>
      </c>
      <c r="B32" s="11">
        <v>173424</v>
      </c>
      <c r="C32" s="11">
        <v>0</v>
      </c>
      <c r="D32" s="11">
        <v>173424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19" customFormat="1" ht="21.75" customHeight="1" x14ac:dyDescent="0.25">
      <c r="A33" s="10" t="s">
        <v>93</v>
      </c>
      <c r="B33" s="11">
        <v>10925866</v>
      </c>
      <c r="C33" s="11">
        <v>0</v>
      </c>
      <c r="D33" s="11">
        <v>10925866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19" customFormat="1" ht="21.75" customHeight="1" x14ac:dyDescent="0.25">
      <c r="A34" s="13" t="s">
        <v>94</v>
      </c>
      <c r="B34" s="14">
        <v>11099290</v>
      </c>
      <c r="C34" s="14">
        <v>0</v>
      </c>
      <c r="D34" s="14">
        <v>11099290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19" customFormat="1" ht="21.75" customHeight="1" x14ac:dyDescent="0.25">
      <c r="A35" s="10" t="s">
        <v>98</v>
      </c>
      <c r="B35" s="11">
        <v>38070729</v>
      </c>
      <c r="C35" s="11">
        <v>0</v>
      </c>
      <c r="D35" s="11">
        <v>38070729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19" customFormat="1" ht="34.5" customHeight="1" x14ac:dyDescent="0.25">
      <c r="A36" s="10" t="s">
        <v>78</v>
      </c>
      <c r="B36" s="11">
        <v>70729</v>
      </c>
      <c r="C36" s="11">
        <v>0</v>
      </c>
      <c r="D36" s="11">
        <v>70729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19" customFormat="1" ht="21.75" customHeight="1" x14ac:dyDescent="0.25">
      <c r="A37" s="13" t="s">
        <v>99</v>
      </c>
      <c r="B37" s="14">
        <v>38070729</v>
      </c>
      <c r="C37" s="14">
        <v>0</v>
      </c>
      <c r="D37" s="14">
        <v>38070729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19" customFormat="1" ht="21.75" customHeight="1" x14ac:dyDescent="0.25">
      <c r="A38" s="16" t="s">
        <v>100</v>
      </c>
      <c r="B38" s="17">
        <v>-26971439</v>
      </c>
      <c r="C38" s="17">
        <v>0</v>
      </c>
      <c r="D38" s="17">
        <v>-26971439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19" customFormat="1" ht="21.75" customHeight="1" x14ac:dyDescent="0.25">
      <c r="A39" s="16" t="s">
        <v>101</v>
      </c>
      <c r="B39" s="17">
        <v>-512541543</v>
      </c>
      <c r="C39" s="17">
        <v>0</v>
      </c>
      <c r="D39" s="17">
        <v>-512541543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</sheetData>
  <mergeCells count="1">
    <mergeCell ref="A4:D4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6"/>
  <sheetViews>
    <sheetView view="pageBreakPreview" zoomScale="93" zoomScaleNormal="100" zoomScaleSheetLayoutView="93" workbookViewId="0"/>
  </sheetViews>
  <sheetFormatPr defaultRowHeight="15.75" x14ac:dyDescent="0.25"/>
  <cols>
    <col min="1" max="1" width="13.140625" style="8" customWidth="1"/>
    <col min="2" max="2" width="85.140625" style="1" customWidth="1"/>
    <col min="3" max="3" width="17.5703125" style="1" customWidth="1"/>
    <col min="4" max="4" width="15.5703125" style="1" customWidth="1"/>
    <col min="5" max="5" width="17.5703125" style="1" customWidth="1"/>
    <col min="6" max="37" width="9.140625" style="21"/>
    <col min="38" max="257" width="9.140625" style="1"/>
    <col min="258" max="258" width="82" style="1" customWidth="1"/>
    <col min="259" max="259" width="17.5703125" style="1" customWidth="1"/>
    <col min="260" max="260" width="13.7109375" style="1" customWidth="1"/>
    <col min="261" max="261" width="17.5703125" style="1" customWidth="1"/>
    <col min="262" max="513" width="9.140625" style="1"/>
    <col min="514" max="514" width="82" style="1" customWidth="1"/>
    <col min="515" max="515" width="17.5703125" style="1" customWidth="1"/>
    <col min="516" max="516" width="13.7109375" style="1" customWidth="1"/>
    <col min="517" max="517" width="17.5703125" style="1" customWidth="1"/>
    <col min="518" max="769" width="9.140625" style="1"/>
    <col min="770" max="770" width="82" style="1" customWidth="1"/>
    <col min="771" max="771" width="17.5703125" style="1" customWidth="1"/>
    <col min="772" max="772" width="13.7109375" style="1" customWidth="1"/>
    <col min="773" max="773" width="17.5703125" style="1" customWidth="1"/>
    <col min="774" max="1025" width="9.140625" style="1"/>
    <col min="1026" max="1026" width="82" style="1" customWidth="1"/>
    <col min="1027" max="1027" width="17.5703125" style="1" customWidth="1"/>
    <col min="1028" max="1028" width="13.7109375" style="1" customWidth="1"/>
    <col min="1029" max="1029" width="17.5703125" style="1" customWidth="1"/>
    <col min="1030" max="1281" width="9.140625" style="1"/>
    <col min="1282" max="1282" width="82" style="1" customWidth="1"/>
    <col min="1283" max="1283" width="17.5703125" style="1" customWidth="1"/>
    <col min="1284" max="1284" width="13.7109375" style="1" customWidth="1"/>
    <col min="1285" max="1285" width="17.5703125" style="1" customWidth="1"/>
    <col min="1286" max="1537" width="9.140625" style="1"/>
    <col min="1538" max="1538" width="82" style="1" customWidth="1"/>
    <col min="1539" max="1539" width="17.5703125" style="1" customWidth="1"/>
    <col min="1540" max="1540" width="13.7109375" style="1" customWidth="1"/>
    <col min="1541" max="1541" width="17.5703125" style="1" customWidth="1"/>
    <col min="1542" max="1793" width="9.140625" style="1"/>
    <col min="1794" max="1794" width="82" style="1" customWidth="1"/>
    <col min="1795" max="1795" width="17.5703125" style="1" customWidth="1"/>
    <col min="1796" max="1796" width="13.7109375" style="1" customWidth="1"/>
    <col min="1797" max="1797" width="17.5703125" style="1" customWidth="1"/>
    <col min="1798" max="2049" width="9.140625" style="1"/>
    <col min="2050" max="2050" width="82" style="1" customWidth="1"/>
    <col min="2051" max="2051" width="17.5703125" style="1" customWidth="1"/>
    <col min="2052" max="2052" width="13.7109375" style="1" customWidth="1"/>
    <col min="2053" max="2053" width="17.5703125" style="1" customWidth="1"/>
    <col min="2054" max="2305" width="9.140625" style="1"/>
    <col min="2306" max="2306" width="82" style="1" customWidth="1"/>
    <col min="2307" max="2307" width="17.5703125" style="1" customWidth="1"/>
    <col min="2308" max="2308" width="13.7109375" style="1" customWidth="1"/>
    <col min="2309" max="2309" width="17.5703125" style="1" customWidth="1"/>
    <col min="2310" max="2561" width="9.140625" style="1"/>
    <col min="2562" max="2562" width="82" style="1" customWidth="1"/>
    <col min="2563" max="2563" width="17.5703125" style="1" customWidth="1"/>
    <col min="2564" max="2564" width="13.7109375" style="1" customWidth="1"/>
    <col min="2565" max="2565" width="17.5703125" style="1" customWidth="1"/>
    <col min="2566" max="2817" width="9.140625" style="1"/>
    <col min="2818" max="2818" width="82" style="1" customWidth="1"/>
    <col min="2819" max="2819" width="17.5703125" style="1" customWidth="1"/>
    <col min="2820" max="2820" width="13.7109375" style="1" customWidth="1"/>
    <col min="2821" max="2821" width="17.5703125" style="1" customWidth="1"/>
    <col min="2822" max="3073" width="9.140625" style="1"/>
    <col min="3074" max="3074" width="82" style="1" customWidth="1"/>
    <col min="3075" max="3075" width="17.5703125" style="1" customWidth="1"/>
    <col min="3076" max="3076" width="13.7109375" style="1" customWidth="1"/>
    <col min="3077" max="3077" width="17.5703125" style="1" customWidth="1"/>
    <col min="3078" max="3329" width="9.140625" style="1"/>
    <col min="3330" max="3330" width="82" style="1" customWidth="1"/>
    <col min="3331" max="3331" width="17.5703125" style="1" customWidth="1"/>
    <col min="3332" max="3332" width="13.7109375" style="1" customWidth="1"/>
    <col min="3333" max="3333" width="17.5703125" style="1" customWidth="1"/>
    <col min="3334" max="3585" width="9.140625" style="1"/>
    <col min="3586" max="3586" width="82" style="1" customWidth="1"/>
    <col min="3587" max="3587" width="17.5703125" style="1" customWidth="1"/>
    <col min="3588" max="3588" width="13.7109375" style="1" customWidth="1"/>
    <col min="3589" max="3589" width="17.5703125" style="1" customWidth="1"/>
    <col min="3590" max="3841" width="9.140625" style="1"/>
    <col min="3842" max="3842" width="82" style="1" customWidth="1"/>
    <col min="3843" max="3843" width="17.5703125" style="1" customWidth="1"/>
    <col min="3844" max="3844" width="13.7109375" style="1" customWidth="1"/>
    <col min="3845" max="3845" width="17.5703125" style="1" customWidth="1"/>
    <col min="3846" max="4097" width="9.140625" style="1"/>
    <col min="4098" max="4098" width="82" style="1" customWidth="1"/>
    <col min="4099" max="4099" width="17.5703125" style="1" customWidth="1"/>
    <col min="4100" max="4100" width="13.7109375" style="1" customWidth="1"/>
    <col min="4101" max="4101" width="17.5703125" style="1" customWidth="1"/>
    <col min="4102" max="4353" width="9.140625" style="1"/>
    <col min="4354" max="4354" width="82" style="1" customWidth="1"/>
    <col min="4355" max="4355" width="17.5703125" style="1" customWidth="1"/>
    <col min="4356" max="4356" width="13.7109375" style="1" customWidth="1"/>
    <col min="4357" max="4357" width="17.5703125" style="1" customWidth="1"/>
    <col min="4358" max="4609" width="9.140625" style="1"/>
    <col min="4610" max="4610" width="82" style="1" customWidth="1"/>
    <col min="4611" max="4611" width="17.5703125" style="1" customWidth="1"/>
    <col min="4612" max="4612" width="13.7109375" style="1" customWidth="1"/>
    <col min="4613" max="4613" width="17.5703125" style="1" customWidth="1"/>
    <col min="4614" max="4865" width="9.140625" style="1"/>
    <col min="4866" max="4866" width="82" style="1" customWidth="1"/>
    <col min="4867" max="4867" width="17.5703125" style="1" customWidth="1"/>
    <col min="4868" max="4868" width="13.7109375" style="1" customWidth="1"/>
    <col min="4869" max="4869" width="17.5703125" style="1" customWidth="1"/>
    <col min="4870" max="5121" width="9.140625" style="1"/>
    <col min="5122" max="5122" width="82" style="1" customWidth="1"/>
    <col min="5123" max="5123" width="17.5703125" style="1" customWidth="1"/>
    <col min="5124" max="5124" width="13.7109375" style="1" customWidth="1"/>
    <col min="5125" max="5125" width="17.5703125" style="1" customWidth="1"/>
    <col min="5126" max="5377" width="9.140625" style="1"/>
    <col min="5378" max="5378" width="82" style="1" customWidth="1"/>
    <col min="5379" max="5379" width="17.5703125" style="1" customWidth="1"/>
    <col min="5380" max="5380" width="13.7109375" style="1" customWidth="1"/>
    <col min="5381" max="5381" width="17.5703125" style="1" customWidth="1"/>
    <col min="5382" max="5633" width="9.140625" style="1"/>
    <col min="5634" max="5634" width="82" style="1" customWidth="1"/>
    <col min="5635" max="5635" width="17.5703125" style="1" customWidth="1"/>
    <col min="5636" max="5636" width="13.7109375" style="1" customWidth="1"/>
    <col min="5637" max="5637" width="17.5703125" style="1" customWidth="1"/>
    <col min="5638" max="5889" width="9.140625" style="1"/>
    <col min="5890" max="5890" width="82" style="1" customWidth="1"/>
    <col min="5891" max="5891" width="17.5703125" style="1" customWidth="1"/>
    <col min="5892" max="5892" width="13.7109375" style="1" customWidth="1"/>
    <col min="5893" max="5893" width="17.5703125" style="1" customWidth="1"/>
    <col min="5894" max="6145" width="9.140625" style="1"/>
    <col min="6146" max="6146" width="82" style="1" customWidth="1"/>
    <col min="6147" max="6147" width="17.5703125" style="1" customWidth="1"/>
    <col min="6148" max="6148" width="13.7109375" style="1" customWidth="1"/>
    <col min="6149" max="6149" width="17.5703125" style="1" customWidth="1"/>
    <col min="6150" max="6401" width="9.140625" style="1"/>
    <col min="6402" max="6402" width="82" style="1" customWidth="1"/>
    <col min="6403" max="6403" width="17.5703125" style="1" customWidth="1"/>
    <col min="6404" max="6404" width="13.7109375" style="1" customWidth="1"/>
    <col min="6405" max="6405" width="17.5703125" style="1" customWidth="1"/>
    <col min="6406" max="6657" width="9.140625" style="1"/>
    <col min="6658" max="6658" width="82" style="1" customWidth="1"/>
    <col min="6659" max="6659" width="17.5703125" style="1" customWidth="1"/>
    <col min="6660" max="6660" width="13.7109375" style="1" customWidth="1"/>
    <col min="6661" max="6661" width="17.5703125" style="1" customWidth="1"/>
    <col min="6662" max="6913" width="9.140625" style="1"/>
    <col min="6914" max="6914" width="82" style="1" customWidth="1"/>
    <col min="6915" max="6915" width="17.5703125" style="1" customWidth="1"/>
    <col min="6916" max="6916" width="13.7109375" style="1" customWidth="1"/>
    <col min="6917" max="6917" width="17.5703125" style="1" customWidth="1"/>
    <col min="6918" max="7169" width="9.140625" style="1"/>
    <col min="7170" max="7170" width="82" style="1" customWidth="1"/>
    <col min="7171" max="7171" width="17.5703125" style="1" customWidth="1"/>
    <col min="7172" max="7172" width="13.7109375" style="1" customWidth="1"/>
    <col min="7173" max="7173" width="17.5703125" style="1" customWidth="1"/>
    <col min="7174" max="7425" width="9.140625" style="1"/>
    <col min="7426" max="7426" width="82" style="1" customWidth="1"/>
    <col min="7427" max="7427" width="17.5703125" style="1" customWidth="1"/>
    <col min="7428" max="7428" width="13.7109375" style="1" customWidth="1"/>
    <col min="7429" max="7429" width="17.5703125" style="1" customWidth="1"/>
    <col min="7430" max="7681" width="9.140625" style="1"/>
    <col min="7682" max="7682" width="82" style="1" customWidth="1"/>
    <col min="7683" max="7683" width="17.5703125" style="1" customWidth="1"/>
    <col min="7684" max="7684" width="13.7109375" style="1" customWidth="1"/>
    <col min="7685" max="7685" width="17.5703125" style="1" customWidth="1"/>
    <col min="7686" max="7937" width="9.140625" style="1"/>
    <col min="7938" max="7938" width="82" style="1" customWidth="1"/>
    <col min="7939" max="7939" width="17.5703125" style="1" customWidth="1"/>
    <col min="7940" max="7940" width="13.7109375" style="1" customWidth="1"/>
    <col min="7941" max="7941" width="17.5703125" style="1" customWidth="1"/>
    <col min="7942" max="8193" width="9.140625" style="1"/>
    <col min="8194" max="8194" width="82" style="1" customWidth="1"/>
    <col min="8195" max="8195" width="17.5703125" style="1" customWidth="1"/>
    <col min="8196" max="8196" width="13.7109375" style="1" customWidth="1"/>
    <col min="8197" max="8197" width="17.5703125" style="1" customWidth="1"/>
    <col min="8198" max="8449" width="9.140625" style="1"/>
    <col min="8450" max="8450" width="82" style="1" customWidth="1"/>
    <col min="8451" max="8451" width="17.5703125" style="1" customWidth="1"/>
    <col min="8452" max="8452" width="13.7109375" style="1" customWidth="1"/>
    <col min="8453" max="8453" width="17.5703125" style="1" customWidth="1"/>
    <col min="8454" max="8705" width="9.140625" style="1"/>
    <col min="8706" max="8706" width="82" style="1" customWidth="1"/>
    <col min="8707" max="8707" width="17.5703125" style="1" customWidth="1"/>
    <col min="8708" max="8708" width="13.7109375" style="1" customWidth="1"/>
    <col min="8709" max="8709" width="17.5703125" style="1" customWidth="1"/>
    <col min="8710" max="8961" width="9.140625" style="1"/>
    <col min="8962" max="8962" width="82" style="1" customWidth="1"/>
    <col min="8963" max="8963" width="17.5703125" style="1" customWidth="1"/>
    <col min="8964" max="8964" width="13.7109375" style="1" customWidth="1"/>
    <col min="8965" max="8965" width="17.5703125" style="1" customWidth="1"/>
    <col min="8966" max="9217" width="9.140625" style="1"/>
    <col min="9218" max="9218" width="82" style="1" customWidth="1"/>
    <col min="9219" max="9219" width="17.5703125" style="1" customWidth="1"/>
    <col min="9220" max="9220" width="13.7109375" style="1" customWidth="1"/>
    <col min="9221" max="9221" width="17.5703125" style="1" customWidth="1"/>
    <col min="9222" max="9473" width="9.140625" style="1"/>
    <col min="9474" max="9474" width="82" style="1" customWidth="1"/>
    <col min="9475" max="9475" width="17.5703125" style="1" customWidth="1"/>
    <col min="9476" max="9476" width="13.7109375" style="1" customWidth="1"/>
    <col min="9477" max="9477" width="17.5703125" style="1" customWidth="1"/>
    <col min="9478" max="9729" width="9.140625" style="1"/>
    <col min="9730" max="9730" width="82" style="1" customWidth="1"/>
    <col min="9731" max="9731" width="17.5703125" style="1" customWidth="1"/>
    <col min="9732" max="9732" width="13.7109375" style="1" customWidth="1"/>
    <col min="9733" max="9733" width="17.5703125" style="1" customWidth="1"/>
    <col min="9734" max="9985" width="9.140625" style="1"/>
    <col min="9986" max="9986" width="82" style="1" customWidth="1"/>
    <col min="9987" max="9987" width="17.5703125" style="1" customWidth="1"/>
    <col min="9988" max="9988" width="13.7109375" style="1" customWidth="1"/>
    <col min="9989" max="9989" width="17.5703125" style="1" customWidth="1"/>
    <col min="9990" max="10241" width="9.140625" style="1"/>
    <col min="10242" max="10242" width="82" style="1" customWidth="1"/>
    <col min="10243" max="10243" width="17.5703125" style="1" customWidth="1"/>
    <col min="10244" max="10244" width="13.7109375" style="1" customWidth="1"/>
    <col min="10245" max="10245" width="17.5703125" style="1" customWidth="1"/>
    <col min="10246" max="10497" width="9.140625" style="1"/>
    <col min="10498" max="10498" width="82" style="1" customWidth="1"/>
    <col min="10499" max="10499" width="17.5703125" style="1" customWidth="1"/>
    <col min="10500" max="10500" width="13.7109375" style="1" customWidth="1"/>
    <col min="10501" max="10501" width="17.5703125" style="1" customWidth="1"/>
    <col min="10502" max="10753" width="9.140625" style="1"/>
    <col min="10754" max="10754" width="82" style="1" customWidth="1"/>
    <col min="10755" max="10755" width="17.5703125" style="1" customWidth="1"/>
    <col min="10756" max="10756" width="13.7109375" style="1" customWidth="1"/>
    <col min="10757" max="10757" width="17.5703125" style="1" customWidth="1"/>
    <col min="10758" max="11009" width="9.140625" style="1"/>
    <col min="11010" max="11010" width="82" style="1" customWidth="1"/>
    <col min="11011" max="11011" width="17.5703125" style="1" customWidth="1"/>
    <col min="11012" max="11012" width="13.7109375" style="1" customWidth="1"/>
    <col min="11013" max="11013" width="17.5703125" style="1" customWidth="1"/>
    <col min="11014" max="11265" width="9.140625" style="1"/>
    <col min="11266" max="11266" width="82" style="1" customWidth="1"/>
    <col min="11267" max="11267" width="17.5703125" style="1" customWidth="1"/>
    <col min="11268" max="11268" width="13.7109375" style="1" customWidth="1"/>
    <col min="11269" max="11269" width="17.5703125" style="1" customWidth="1"/>
    <col min="11270" max="11521" width="9.140625" style="1"/>
    <col min="11522" max="11522" width="82" style="1" customWidth="1"/>
    <col min="11523" max="11523" width="17.5703125" style="1" customWidth="1"/>
    <col min="11524" max="11524" width="13.7109375" style="1" customWidth="1"/>
    <col min="11525" max="11525" width="17.5703125" style="1" customWidth="1"/>
    <col min="11526" max="11777" width="9.140625" style="1"/>
    <col min="11778" max="11778" width="82" style="1" customWidth="1"/>
    <col min="11779" max="11779" width="17.5703125" style="1" customWidth="1"/>
    <col min="11780" max="11780" width="13.7109375" style="1" customWidth="1"/>
    <col min="11781" max="11781" width="17.5703125" style="1" customWidth="1"/>
    <col min="11782" max="12033" width="9.140625" style="1"/>
    <col min="12034" max="12034" width="82" style="1" customWidth="1"/>
    <col min="12035" max="12035" width="17.5703125" style="1" customWidth="1"/>
    <col min="12036" max="12036" width="13.7109375" style="1" customWidth="1"/>
    <col min="12037" max="12037" width="17.5703125" style="1" customWidth="1"/>
    <col min="12038" max="12289" width="9.140625" style="1"/>
    <col min="12290" max="12290" width="82" style="1" customWidth="1"/>
    <col min="12291" max="12291" width="17.5703125" style="1" customWidth="1"/>
    <col min="12292" max="12292" width="13.7109375" style="1" customWidth="1"/>
    <col min="12293" max="12293" width="17.5703125" style="1" customWidth="1"/>
    <col min="12294" max="12545" width="9.140625" style="1"/>
    <col min="12546" max="12546" width="82" style="1" customWidth="1"/>
    <col min="12547" max="12547" width="17.5703125" style="1" customWidth="1"/>
    <col min="12548" max="12548" width="13.7109375" style="1" customWidth="1"/>
    <col min="12549" max="12549" width="17.5703125" style="1" customWidth="1"/>
    <col min="12550" max="12801" width="9.140625" style="1"/>
    <col min="12802" max="12802" width="82" style="1" customWidth="1"/>
    <col min="12803" max="12803" width="17.5703125" style="1" customWidth="1"/>
    <col min="12804" max="12804" width="13.7109375" style="1" customWidth="1"/>
    <col min="12805" max="12805" width="17.5703125" style="1" customWidth="1"/>
    <col min="12806" max="13057" width="9.140625" style="1"/>
    <col min="13058" max="13058" width="82" style="1" customWidth="1"/>
    <col min="13059" max="13059" width="17.5703125" style="1" customWidth="1"/>
    <col min="13060" max="13060" width="13.7109375" style="1" customWidth="1"/>
    <col min="13061" max="13061" width="17.5703125" style="1" customWidth="1"/>
    <col min="13062" max="13313" width="9.140625" style="1"/>
    <col min="13314" max="13314" width="82" style="1" customWidth="1"/>
    <col min="13315" max="13315" width="17.5703125" style="1" customWidth="1"/>
    <col min="13316" max="13316" width="13.7109375" style="1" customWidth="1"/>
    <col min="13317" max="13317" width="17.5703125" style="1" customWidth="1"/>
    <col min="13318" max="13569" width="9.140625" style="1"/>
    <col min="13570" max="13570" width="82" style="1" customWidth="1"/>
    <col min="13571" max="13571" width="17.5703125" style="1" customWidth="1"/>
    <col min="13572" max="13572" width="13.7109375" style="1" customWidth="1"/>
    <col min="13573" max="13573" width="17.5703125" style="1" customWidth="1"/>
    <col min="13574" max="13825" width="9.140625" style="1"/>
    <col min="13826" max="13826" width="82" style="1" customWidth="1"/>
    <col min="13827" max="13827" width="17.5703125" style="1" customWidth="1"/>
    <col min="13828" max="13828" width="13.7109375" style="1" customWidth="1"/>
    <col min="13829" max="13829" width="17.5703125" style="1" customWidth="1"/>
    <col min="13830" max="14081" width="9.140625" style="1"/>
    <col min="14082" max="14082" width="82" style="1" customWidth="1"/>
    <col min="14083" max="14083" width="17.5703125" style="1" customWidth="1"/>
    <col min="14084" max="14084" width="13.7109375" style="1" customWidth="1"/>
    <col min="14085" max="14085" width="17.5703125" style="1" customWidth="1"/>
    <col min="14086" max="14337" width="9.140625" style="1"/>
    <col min="14338" max="14338" width="82" style="1" customWidth="1"/>
    <col min="14339" max="14339" width="17.5703125" style="1" customWidth="1"/>
    <col min="14340" max="14340" width="13.7109375" style="1" customWidth="1"/>
    <col min="14341" max="14341" width="17.5703125" style="1" customWidth="1"/>
    <col min="14342" max="14593" width="9.140625" style="1"/>
    <col min="14594" max="14594" width="82" style="1" customWidth="1"/>
    <col min="14595" max="14595" width="17.5703125" style="1" customWidth="1"/>
    <col min="14596" max="14596" width="13.7109375" style="1" customWidth="1"/>
    <col min="14597" max="14597" width="17.5703125" style="1" customWidth="1"/>
    <col min="14598" max="14849" width="9.140625" style="1"/>
    <col min="14850" max="14850" width="82" style="1" customWidth="1"/>
    <col min="14851" max="14851" width="17.5703125" style="1" customWidth="1"/>
    <col min="14852" max="14852" width="13.7109375" style="1" customWidth="1"/>
    <col min="14853" max="14853" width="17.5703125" style="1" customWidth="1"/>
    <col min="14854" max="15105" width="9.140625" style="1"/>
    <col min="15106" max="15106" width="82" style="1" customWidth="1"/>
    <col min="15107" max="15107" width="17.5703125" style="1" customWidth="1"/>
    <col min="15108" max="15108" width="13.7109375" style="1" customWidth="1"/>
    <col min="15109" max="15109" width="17.5703125" style="1" customWidth="1"/>
    <col min="15110" max="15361" width="9.140625" style="1"/>
    <col min="15362" max="15362" width="82" style="1" customWidth="1"/>
    <col min="15363" max="15363" width="17.5703125" style="1" customWidth="1"/>
    <col min="15364" max="15364" width="13.7109375" style="1" customWidth="1"/>
    <col min="15365" max="15365" width="17.5703125" style="1" customWidth="1"/>
    <col min="15366" max="15617" width="9.140625" style="1"/>
    <col min="15618" max="15618" width="82" style="1" customWidth="1"/>
    <col min="15619" max="15619" width="17.5703125" style="1" customWidth="1"/>
    <col min="15620" max="15620" width="13.7109375" style="1" customWidth="1"/>
    <col min="15621" max="15621" width="17.5703125" style="1" customWidth="1"/>
    <col min="15622" max="15873" width="9.140625" style="1"/>
    <col min="15874" max="15874" width="82" style="1" customWidth="1"/>
    <col min="15875" max="15875" width="17.5703125" style="1" customWidth="1"/>
    <col min="15876" max="15876" width="13.7109375" style="1" customWidth="1"/>
    <col min="15877" max="15877" width="17.5703125" style="1" customWidth="1"/>
    <col min="15878" max="16129" width="9.140625" style="1"/>
    <col min="16130" max="16130" width="82" style="1" customWidth="1"/>
    <col min="16131" max="16131" width="17.5703125" style="1" customWidth="1"/>
    <col min="16132" max="16132" width="13.7109375" style="1" customWidth="1"/>
    <col min="16133" max="16133" width="17.5703125" style="1" customWidth="1"/>
    <col min="16134" max="16384" width="9.140625" style="1"/>
  </cols>
  <sheetData>
    <row r="1" spans="1:37" x14ac:dyDescent="0.25">
      <c r="A1" s="1" t="s">
        <v>961</v>
      </c>
    </row>
    <row r="4" spans="1:37" s="2" customFormat="1" ht="16.5" x14ac:dyDescent="0.25">
      <c r="A4" s="786" t="s">
        <v>104</v>
      </c>
      <c r="B4" s="786"/>
      <c r="C4" s="786"/>
      <c r="D4" s="786"/>
      <c r="E4" s="78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x14ac:dyDescent="0.25">
      <c r="A5" s="3"/>
      <c r="B5" s="3"/>
      <c r="C5" s="3"/>
      <c r="D5" s="3"/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x14ac:dyDescent="0.25">
      <c r="E6" s="4" t="s">
        <v>8</v>
      </c>
    </row>
    <row r="7" spans="1:37" s="26" customFormat="1" ht="30.75" customHeight="1" x14ac:dyDescent="0.25">
      <c r="A7" s="30" t="s">
        <v>9</v>
      </c>
      <c r="B7" s="5" t="s">
        <v>0</v>
      </c>
      <c r="C7" s="5" t="s">
        <v>103</v>
      </c>
      <c r="D7" s="5" t="s">
        <v>102</v>
      </c>
      <c r="E7" s="5" t="s">
        <v>105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7" customFormat="1" ht="24.75" customHeight="1" x14ac:dyDescent="0.25">
      <c r="A8" s="9" t="s">
        <v>106</v>
      </c>
      <c r="B8" s="10" t="s">
        <v>199</v>
      </c>
      <c r="C8" s="11">
        <v>1343350</v>
      </c>
      <c r="D8" s="11">
        <v>0</v>
      </c>
      <c r="E8" s="11">
        <v>575501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7" customFormat="1" ht="24.75" customHeight="1" x14ac:dyDescent="0.25">
      <c r="A9" s="9" t="s">
        <v>107</v>
      </c>
      <c r="B9" s="10" t="s">
        <v>200</v>
      </c>
      <c r="C9" s="11">
        <v>5991902</v>
      </c>
      <c r="D9" s="11">
        <v>0</v>
      </c>
      <c r="E9" s="11">
        <v>3708744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7" customFormat="1" ht="24.75" customHeight="1" x14ac:dyDescent="0.25">
      <c r="A10" s="12" t="s">
        <v>108</v>
      </c>
      <c r="B10" s="13" t="s">
        <v>201</v>
      </c>
      <c r="C10" s="14">
        <v>7335252</v>
      </c>
      <c r="D10" s="14">
        <v>0</v>
      </c>
      <c r="E10" s="14">
        <v>4284245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7" customFormat="1" ht="24.75" customHeight="1" x14ac:dyDescent="0.25">
      <c r="A11" s="9" t="s">
        <v>109</v>
      </c>
      <c r="B11" s="10" t="s">
        <v>202</v>
      </c>
      <c r="C11" s="11">
        <v>13072666086</v>
      </c>
      <c r="D11" s="11">
        <v>0</v>
      </c>
      <c r="E11" s="11">
        <v>14632988563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7" customFormat="1" ht="24.75" customHeight="1" x14ac:dyDescent="0.25">
      <c r="A12" s="9" t="s">
        <v>110</v>
      </c>
      <c r="B12" s="10" t="s">
        <v>203</v>
      </c>
      <c r="C12" s="11">
        <v>171704202</v>
      </c>
      <c r="D12" s="11">
        <v>0</v>
      </c>
      <c r="E12" s="11">
        <v>462361288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7" customFormat="1" ht="24.75" customHeight="1" x14ac:dyDescent="0.25">
      <c r="A13" s="9" t="s">
        <v>111</v>
      </c>
      <c r="B13" s="10" t="s">
        <v>204</v>
      </c>
      <c r="C13" s="11">
        <v>255305</v>
      </c>
      <c r="D13" s="11">
        <v>0</v>
      </c>
      <c r="E13" s="11">
        <v>138795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7" customFormat="1" ht="24.75" customHeight="1" x14ac:dyDescent="0.25">
      <c r="A14" s="9" t="s">
        <v>112</v>
      </c>
      <c r="B14" s="10" t="s">
        <v>205</v>
      </c>
      <c r="C14" s="11">
        <v>62370027</v>
      </c>
      <c r="D14" s="11">
        <v>0</v>
      </c>
      <c r="E14" s="11">
        <v>77451681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7" customFormat="1" ht="24.75" customHeight="1" x14ac:dyDescent="0.25">
      <c r="A15" s="12" t="s">
        <v>113</v>
      </c>
      <c r="B15" s="13" t="s">
        <v>45</v>
      </c>
      <c r="C15" s="14">
        <v>13306995620</v>
      </c>
      <c r="D15" s="14">
        <v>0</v>
      </c>
      <c r="E15" s="14">
        <v>15172940327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7" customFormat="1" ht="24.75" customHeight="1" x14ac:dyDescent="0.25">
      <c r="A16" s="9" t="s">
        <v>114</v>
      </c>
      <c r="B16" s="10" t="s">
        <v>207</v>
      </c>
      <c r="C16" s="11">
        <v>129626200</v>
      </c>
      <c r="D16" s="11">
        <v>0</v>
      </c>
      <c r="E16" s="11">
        <v>129626200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7" customFormat="1" ht="24.75" customHeight="1" x14ac:dyDescent="0.25">
      <c r="A17" s="9" t="s">
        <v>115</v>
      </c>
      <c r="B17" s="10" t="s">
        <v>206</v>
      </c>
      <c r="C17" s="11">
        <v>129626200</v>
      </c>
      <c r="D17" s="11">
        <v>0</v>
      </c>
      <c r="E17" s="11">
        <v>129626200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7" customFormat="1" ht="24.75" customHeight="1" x14ac:dyDescent="0.25">
      <c r="A18" s="12" t="s">
        <v>116</v>
      </c>
      <c r="B18" s="13" t="s">
        <v>210</v>
      </c>
      <c r="C18" s="14">
        <v>129626200</v>
      </c>
      <c r="D18" s="14">
        <v>0</v>
      </c>
      <c r="E18" s="14">
        <v>129626200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7" customFormat="1" ht="24.75" customHeight="1" x14ac:dyDescent="0.25">
      <c r="A19" s="9" t="s">
        <v>117</v>
      </c>
      <c r="B19" s="10" t="s">
        <v>209</v>
      </c>
      <c r="C19" s="11">
        <v>0</v>
      </c>
      <c r="D19" s="11">
        <v>0</v>
      </c>
      <c r="E19" s="11">
        <v>90894925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7" customFormat="1" ht="24.75" customHeight="1" x14ac:dyDescent="0.25">
      <c r="A20" s="9" t="s">
        <v>118</v>
      </c>
      <c r="B20" s="10" t="s">
        <v>208</v>
      </c>
      <c r="C20" s="11">
        <v>0</v>
      </c>
      <c r="D20" s="11">
        <v>0</v>
      </c>
      <c r="E20" s="11">
        <v>90894925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7" customFormat="1" ht="24.75" customHeight="1" x14ac:dyDescent="0.25">
      <c r="A21" s="12" t="s">
        <v>119</v>
      </c>
      <c r="B21" s="13" t="s">
        <v>209</v>
      </c>
      <c r="C21" s="14">
        <v>0</v>
      </c>
      <c r="D21" s="14">
        <v>0</v>
      </c>
      <c r="E21" s="14">
        <v>90894925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s="7" customFormat="1" ht="24.75" customHeight="1" x14ac:dyDescent="0.25">
      <c r="A22" s="12" t="s">
        <v>10</v>
      </c>
      <c r="B22" s="13" t="s">
        <v>211</v>
      </c>
      <c r="C22" s="14">
        <v>13443957072</v>
      </c>
      <c r="D22" s="14">
        <v>0</v>
      </c>
      <c r="E22" s="14">
        <v>15397745697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7" customFormat="1" ht="24.75" customHeight="1" x14ac:dyDescent="0.25">
      <c r="A23" s="9" t="s">
        <v>120</v>
      </c>
      <c r="B23" s="10" t="s">
        <v>212</v>
      </c>
      <c r="C23" s="11">
        <v>7425522</v>
      </c>
      <c r="D23" s="11">
        <v>0</v>
      </c>
      <c r="E23" s="11">
        <v>6350811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s="7" customFormat="1" ht="24.75" customHeight="1" x14ac:dyDescent="0.25">
      <c r="A24" s="9" t="s">
        <v>121</v>
      </c>
      <c r="B24" s="10" t="s">
        <v>213</v>
      </c>
      <c r="C24" s="11">
        <v>94760</v>
      </c>
      <c r="D24" s="11">
        <v>0</v>
      </c>
      <c r="E24" s="11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s="7" customFormat="1" ht="24.75" customHeight="1" x14ac:dyDescent="0.25">
      <c r="A25" s="9" t="s">
        <v>122</v>
      </c>
      <c r="B25" s="10" t="s">
        <v>214</v>
      </c>
      <c r="C25" s="11">
        <v>6680843</v>
      </c>
      <c r="D25" s="11">
        <v>0</v>
      </c>
      <c r="E25" s="11">
        <v>16639802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s="7" customFormat="1" ht="24.75" customHeight="1" x14ac:dyDescent="0.25">
      <c r="A26" s="9" t="s">
        <v>123</v>
      </c>
      <c r="B26" s="10" t="s">
        <v>215</v>
      </c>
      <c r="C26" s="11">
        <v>0</v>
      </c>
      <c r="D26" s="11">
        <v>0</v>
      </c>
      <c r="E26" s="11">
        <v>297500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s="7" customFormat="1" ht="24.75" customHeight="1" x14ac:dyDescent="0.25">
      <c r="A27" s="12" t="s">
        <v>11</v>
      </c>
      <c r="B27" s="13" t="s">
        <v>49</v>
      </c>
      <c r="C27" s="14">
        <v>14201125</v>
      </c>
      <c r="D27" s="14">
        <v>0</v>
      </c>
      <c r="E27" s="14">
        <v>23288113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s="7" customFormat="1" ht="24.75" customHeight="1" x14ac:dyDescent="0.25">
      <c r="A28" s="12" t="s">
        <v>12</v>
      </c>
      <c r="B28" s="13" t="s">
        <v>216</v>
      </c>
      <c r="C28" s="14">
        <v>14201125</v>
      </c>
      <c r="D28" s="14">
        <v>0</v>
      </c>
      <c r="E28" s="14">
        <v>23288113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s="7" customFormat="1" ht="24.75" customHeight="1" x14ac:dyDescent="0.25">
      <c r="A29" s="9" t="s">
        <v>124</v>
      </c>
      <c r="B29" s="10" t="s">
        <v>217</v>
      </c>
      <c r="C29" s="11">
        <v>734115</v>
      </c>
      <c r="D29" s="11">
        <v>0</v>
      </c>
      <c r="E29" s="11">
        <v>716760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s="7" customFormat="1" ht="24.75" customHeight="1" x14ac:dyDescent="0.25">
      <c r="A30" s="9" t="s">
        <v>125</v>
      </c>
      <c r="B30" s="10" t="s">
        <v>218</v>
      </c>
      <c r="C30" s="11">
        <v>189009</v>
      </c>
      <c r="D30" s="11">
        <v>0</v>
      </c>
      <c r="E30" s="11">
        <v>186702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s="7" customFormat="1" ht="24.75" customHeight="1" x14ac:dyDescent="0.25">
      <c r="A31" s="12" t="s">
        <v>13</v>
      </c>
      <c r="B31" s="13" t="s">
        <v>219</v>
      </c>
      <c r="C31" s="14">
        <v>923124</v>
      </c>
      <c r="D31" s="14">
        <v>0</v>
      </c>
      <c r="E31" s="14">
        <v>903462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s="7" customFormat="1" ht="24.75" customHeight="1" x14ac:dyDescent="0.25">
      <c r="A32" s="9" t="s">
        <v>126</v>
      </c>
      <c r="B32" s="10" t="s">
        <v>220</v>
      </c>
      <c r="C32" s="11">
        <v>366456636</v>
      </c>
      <c r="D32" s="11">
        <v>0</v>
      </c>
      <c r="E32" s="11">
        <v>368842125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s="7" customFormat="1" ht="24.75" customHeight="1" x14ac:dyDescent="0.25">
      <c r="A33" s="12" t="s">
        <v>128</v>
      </c>
      <c r="B33" s="13" t="s">
        <v>221</v>
      </c>
      <c r="C33" s="14">
        <v>366456636</v>
      </c>
      <c r="D33" s="14">
        <v>0</v>
      </c>
      <c r="E33" s="14">
        <v>368842125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s="7" customFormat="1" ht="24.75" customHeight="1" x14ac:dyDescent="0.25">
      <c r="A34" s="9" t="s">
        <v>127</v>
      </c>
      <c r="B34" s="10" t="s">
        <v>222</v>
      </c>
      <c r="C34" s="11">
        <v>9920919</v>
      </c>
      <c r="D34" s="11">
        <v>0</v>
      </c>
      <c r="E34" s="11">
        <v>9854383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s="7" customFormat="1" ht="24.75" customHeight="1" x14ac:dyDescent="0.25">
      <c r="A35" s="12" t="s">
        <v>129</v>
      </c>
      <c r="B35" s="13" t="s">
        <v>223</v>
      </c>
      <c r="C35" s="14">
        <v>9920919</v>
      </c>
      <c r="D35" s="14">
        <v>0</v>
      </c>
      <c r="E35" s="14">
        <v>9854383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s="7" customFormat="1" ht="24.75" customHeight="1" x14ac:dyDescent="0.25">
      <c r="A36" s="12" t="s">
        <v>130</v>
      </c>
      <c r="B36" s="13" t="s">
        <v>53</v>
      </c>
      <c r="C36" s="14">
        <v>377300679</v>
      </c>
      <c r="D36" s="14">
        <v>0</v>
      </c>
      <c r="E36" s="14">
        <v>379599970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s="7" customFormat="1" ht="24.75" customHeight="1" x14ac:dyDescent="0.25">
      <c r="A37" s="9" t="s">
        <v>131</v>
      </c>
      <c r="B37" s="10" t="s">
        <v>224</v>
      </c>
      <c r="C37" s="11">
        <v>39062438</v>
      </c>
      <c r="D37" s="11">
        <v>0</v>
      </c>
      <c r="E37" s="11">
        <v>52067887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s="7" customFormat="1" ht="24.75" customHeight="1" x14ac:dyDescent="0.25">
      <c r="A38" s="9" t="s">
        <v>132</v>
      </c>
      <c r="B38" s="10" t="s">
        <v>225</v>
      </c>
      <c r="C38" s="11">
        <v>82</v>
      </c>
      <c r="D38" s="11">
        <v>0</v>
      </c>
      <c r="E38" s="11">
        <v>51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s="7" customFormat="1" ht="24.75" customHeight="1" x14ac:dyDescent="0.25">
      <c r="A39" s="9" t="s">
        <v>133</v>
      </c>
      <c r="B39" s="10" t="s">
        <v>226</v>
      </c>
      <c r="C39" s="11">
        <v>182872</v>
      </c>
      <c r="D39" s="11">
        <v>0</v>
      </c>
      <c r="E39" s="11">
        <v>0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s="7" customFormat="1" ht="24.75" customHeight="1" x14ac:dyDescent="0.25">
      <c r="A40" s="9" t="s">
        <v>134</v>
      </c>
      <c r="B40" s="10" t="s">
        <v>227</v>
      </c>
      <c r="C40" s="11">
        <v>23249144</v>
      </c>
      <c r="D40" s="11">
        <v>0</v>
      </c>
      <c r="E40" s="11">
        <v>34796734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s="7" customFormat="1" ht="24.75" customHeight="1" x14ac:dyDescent="0.25">
      <c r="A41" s="9" t="s">
        <v>135</v>
      </c>
      <c r="B41" s="10" t="s">
        <v>228</v>
      </c>
      <c r="C41" s="11">
        <v>15630340</v>
      </c>
      <c r="D41" s="11">
        <v>0</v>
      </c>
      <c r="E41" s="11">
        <v>17271102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s="7" customFormat="1" ht="24.75" customHeight="1" x14ac:dyDescent="0.25">
      <c r="A42" s="9" t="s">
        <v>136</v>
      </c>
      <c r="B42" s="10" t="s">
        <v>229</v>
      </c>
      <c r="C42" s="11">
        <v>267606891</v>
      </c>
      <c r="D42" s="11">
        <v>0</v>
      </c>
      <c r="E42" s="11">
        <v>216758378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s="7" customFormat="1" ht="16.5" customHeight="1" x14ac:dyDescent="0.25">
      <c r="A43" s="31" t="s">
        <v>137</v>
      </c>
      <c r="B43" s="32" t="s">
        <v>232</v>
      </c>
      <c r="C43" s="787">
        <v>63682662</v>
      </c>
      <c r="D43" s="787">
        <v>0</v>
      </c>
      <c r="E43" s="787">
        <v>7711971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s="7" customFormat="1" ht="17.25" customHeight="1" x14ac:dyDescent="0.25">
      <c r="A44" s="33"/>
      <c r="B44" s="34" t="s">
        <v>231</v>
      </c>
      <c r="C44" s="788"/>
      <c r="D44" s="788"/>
      <c r="E44" s="788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s="7" customFormat="1" ht="24.75" customHeight="1" x14ac:dyDescent="0.25">
      <c r="A45" s="9" t="s">
        <v>138</v>
      </c>
      <c r="B45" s="10" t="s">
        <v>230</v>
      </c>
      <c r="C45" s="11">
        <v>84850145</v>
      </c>
      <c r="D45" s="11">
        <v>0</v>
      </c>
      <c r="E45" s="11">
        <v>82349082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s="7" customFormat="1" ht="24.75" customHeight="1" x14ac:dyDescent="0.25">
      <c r="A46" s="9" t="s">
        <v>139</v>
      </c>
      <c r="B46" s="10" t="s">
        <v>233</v>
      </c>
      <c r="C46" s="11">
        <v>2225107</v>
      </c>
      <c r="D46" s="11">
        <v>0</v>
      </c>
      <c r="E46" s="11">
        <v>2922590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s="7" customFormat="1" ht="24.75" customHeight="1" x14ac:dyDescent="0.25">
      <c r="A47" s="9" t="s">
        <v>140</v>
      </c>
      <c r="B47" s="10" t="s">
        <v>234</v>
      </c>
      <c r="C47" s="11">
        <v>13379693</v>
      </c>
      <c r="D47" s="11">
        <v>0</v>
      </c>
      <c r="E47" s="11">
        <v>1826622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s="7" customFormat="1" ht="24.75" customHeight="1" x14ac:dyDescent="0.25">
      <c r="A48" s="9" t="s">
        <v>142</v>
      </c>
      <c r="B48" s="10" t="s">
        <v>236</v>
      </c>
      <c r="C48" s="11">
        <v>58230232</v>
      </c>
      <c r="D48" s="11">
        <v>0</v>
      </c>
      <c r="E48" s="11">
        <v>68343132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7" customFormat="1" ht="24.75" customHeight="1" x14ac:dyDescent="0.25">
      <c r="A49" s="9" t="s">
        <v>141</v>
      </c>
      <c r="B49" s="10" t="s">
        <v>235</v>
      </c>
      <c r="C49" s="11">
        <v>45239052</v>
      </c>
      <c r="D49" s="11">
        <v>0</v>
      </c>
      <c r="E49" s="11">
        <v>53604981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7" customFormat="1" ht="24.75" customHeight="1" x14ac:dyDescent="0.25">
      <c r="A50" s="9" t="s">
        <v>143</v>
      </c>
      <c r="B50" s="10" t="s">
        <v>237</v>
      </c>
      <c r="C50" s="11">
        <v>281415</v>
      </c>
      <c r="D50" s="11">
        <v>0</v>
      </c>
      <c r="E50" s="11">
        <v>49893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s="7" customFormat="1" ht="24.75" customHeight="1" x14ac:dyDescent="0.25">
      <c r="A51" s="9" t="s">
        <v>144</v>
      </c>
      <c r="B51" s="10" t="s">
        <v>238</v>
      </c>
      <c r="C51" s="11">
        <v>81415</v>
      </c>
      <c r="D51" s="11">
        <v>0</v>
      </c>
      <c r="E51" s="11">
        <v>49893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s="7" customFormat="1" ht="24.75" customHeight="1" x14ac:dyDescent="0.25">
      <c r="A52" s="9" t="s">
        <v>145</v>
      </c>
      <c r="B52" s="10" t="s">
        <v>239</v>
      </c>
      <c r="C52" s="11">
        <v>200000</v>
      </c>
      <c r="D52" s="11">
        <v>0</v>
      </c>
      <c r="E52" s="11">
        <v>0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s="7" customFormat="1" ht="24.75" customHeight="1" x14ac:dyDescent="0.25">
      <c r="A53" s="9" t="s">
        <v>146</v>
      </c>
      <c r="B53" s="10" t="s">
        <v>240</v>
      </c>
      <c r="C53" s="11">
        <v>28737311</v>
      </c>
      <c r="D53" s="11">
        <v>0</v>
      </c>
      <c r="E53" s="11">
        <v>14664338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s="26" customFormat="1" ht="30.75" customHeight="1" x14ac:dyDescent="0.25">
      <c r="A54" s="30" t="s">
        <v>9</v>
      </c>
      <c r="B54" s="5" t="s">
        <v>0</v>
      </c>
      <c r="C54" s="5" t="s">
        <v>103</v>
      </c>
      <c r="D54" s="5" t="s">
        <v>102</v>
      </c>
      <c r="E54" s="5" t="s">
        <v>105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7" s="7" customFormat="1" ht="18" customHeight="1" x14ac:dyDescent="0.25">
      <c r="A55" s="31" t="s">
        <v>147</v>
      </c>
      <c r="B55" s="32" t="s">
        <v>241</v>
      </c>
      <c r="C55" s="787">
        <v>28737311</v>
      </c>
      <c r="D55" s="787">
        <v>0</v>
      </c>
      <c r="E55" s="787">
        <v>14664338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s="7" customFormat="1" ht="18" customHeight="1" x14ac:dyDescent="0.25">
      <c r="A56" s="33"/>
      <c r="B56" s="34" t="s">
        <v>242</v>
      </c>
      <c r="C56" s="788"/>
      <c r="D56" s="788"/>
      <c r="E56" s="788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s="7" customFormat="1" ht="24.75" customHeight="1" x14ac:dyDescent="0.25">
      <c r="A57" s="12" t="s">
        <v>15</v>
      </c>
      <c r="B57" s="13" t="s">
        <v>54</v>
      </c>
      <c r="C57" s="14">
        <v>335688055</v>
      </c>
      <c r="D57" s="14">
        <v>0</v>
      </c>
      <c r="E57" s="14">
        <v>283540496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s="7" customFormat="1" ht="24.75" customHeight="1" x14ac:dyDescent="0.25">
      <c r="A58" s="9" t="s">
        <v>148</v>
      </c>
      <c r="B58" s="10" t="s">
        <v>243</v>
      </c>
      <c r="C58" s="11">
        <v>16877283</v>
      </c>
      <c r="D58" s="11">
        <v>0</v>
      </c>
      <c r="E58" s="11">
        <v>0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s="7" customFormat="1" ht="24.75" customHeight="1" x14ac:dyDescent="0.25">
      <c r="A59" s="9" t="s">
        <v>149</v>
      </c>
      <c r="B59" s="10" t="s">
        <v>244</v>
      </c>
      <c r="C59" s="11">
        <v>774000</v>
      </c>
      <c r="D59" s="11">
        <v>0</v>
      </c>
      <c r="E59" s="11">
        <v>0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s="7" customFormat="1" ht="24.75" customHeight="1" x14ac:dyDescent="0.25">
      <c r="A60" s="9" t="s">
        <v>150</v>
      </c>
      <c r="B60" s="10" t="s">
        <v>245</v>
      </c>
      <c r="C60" s="11">
        <v>774000</v>
      </c>
      <c r="D60" s="11">
        <v>0</v>
      </c>
      <c r="E60" s="11">
        <v>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s="7" customFormat="1" ht="24.75" customHeight="1" x14ac:dyDescent="0.25">
      <c r="A61" s="9" t="s">
        <v>151</v>
      </c>
      <c r="B61" s="10" t="s">
        <v>246</v>
      </c>
      <c r="C61" s="11">
        <v>4803161</v>
      </c>
      <c r="D61" s="11">
        <v>0</v>
      </c>
      <c r="E61" s="11">
        <v>4335361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s="7" customFormat="1" ht="24.75" customHeight="1" x14ac:dyDescent="0.25">
      <c r="A62" s="9" t="s">
        <v>152</v>
      </c>
      <c r="B62" s="10" t="s">
        <v>247</v>
      </c>
      <c r="C62" s="11">
        <v>4803161</v>
      </c>
      <c r="D62" s="11">
        <v>0</v>
      </c>
      <c r="E62" s="11">
        <v>4335361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s="7" customFormat="1" ht="24.75" customHeight="1" x14ac:dyDescent="0.25">
      <c r="A63" s="9" t="s">
        <v>153</v>
      </c>
      <c r="B63" s="10" t="s">
        <v>248</v>
      </c>
      <c r="C63" s="11">
        <v>22847000</v>
      </c>
      <c r="D63" s="11">
        <v>0</v>
      </c>
      <c r="E63" s="11">
        <v>22847000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s="7" customFormat="1" ht="18" customHeight="1" x14ac:dyDescent="0.25">
      <c r="A64" s="31" t="s">
        <v>154</v>
      </c>
      <c r="B64" s="32" t="s">
        <v>289</v>
      </c>
      <c r="C64" s="787">
        <v>22847000</v>
      </c>
      <c r="D64" s="787">
        <v>0</v>
      </c>
      <c r="E64" s="787">
        <v>22847000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37" s="7" customFormat="1" ht="18" customHeight="1" x14ac:dyDescent="0.25">
      <c r="A65" s="33"/>
      <c r="B65" s="34" t="s">
        <v>288</v>
      </c>
      <c r="C65" s="788"/>
      <c r="D65" s="788"/>
      <c r="E65" s="78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s="7" customFormat="1" ht="24.75" customHeight="1" x14ac:dyDescent="0.25">
      <c r="A66" s="9" t="s">
        <v>155</v>
      </c>
      <c r="B66" s="10" t="s">
        <v>249</v>
      </c>
      <c r="C66" s="11">
        <v>221541766</v>
      </c>
      <c r="D66" s="11">
        <v>0</v>
      </c>
      <c r="E66" s="11">
        <v>197093000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s="26" customFormat="1" ht="18.75" customHeight="1" x14ac:dyDescent="0.25">
      <c r="A67" s="31" t="s">
        <v>156</v>
      </c>
      <c r="B67" s="32" t="s">
        <v>290</v>
      </c>
      <c r="C67" s="787">
        <v>221541766</v>
      </c>
      <c r="D67" s="787">
        <v>0</v>
      </c>
      <c r="E67" s="787">
        <v>197093000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</row>
    <row r="68" spans="1:37" s="7" customFormat="1" ht="18" customHeight="1" x14ac:dyDescent="0.25">
      <c r="A68" s="33"/>
      <c r="B68" s="34" t="s">
        <v>288</v>
      </c>
      <c r="C68" s="788"/>
      <c r="D68" s="788"/>
      <c r="E68" s="788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 s="7" customFormat="1" ht="24.75" customHeight="1" x14ac:dyDescent="0.25">
      <c r="A69" s="12" t="s">
        <v>157</v>
      </c>
      <c r="B69" s="13" t="s">
        <v>250</v>
      </c>
      <c r="C69" s="14">
        <v>266843210</v>
      </c>
      <c r="D69" s="14">
        <v>0</v>
      </c>
      <c r="E69" s="14">
        <v>224275361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s="7" customFormat="1" ht="24.75" customHeight="1" x14ac:dyDescent="0.25">
      <c r="A70" s="9" t="s">
        <v>158</v>
      </c>
      <c r="B70" s="10" t="s">
        <v>251</v>
      </c>
      <c r="C70" s="11">
        <v>6434641</v>
      </c>
      <c r="D70" s="11">
        <v>0</v>
      </c>
      <c r="E70" s="11">
        <v>11425333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s="7" customFormat="1" ht="24.75" customHeight="1" x14ac:dyDescent="0.25">
      <c r="A71" s="9" t="s">
        <v>159</v>
      </c>
      <c r="B71" s="10" t="s">
        <v>252</v>
      </c>
      <c r="C71" s="11">
        <v>3060000</v>
      </c>
      <c r="D71" s="11">
        <v>0</v>
      </c>
      <c r="E71" s="11">
        <v>10767599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s="7" customFormat="1" ht="24.75" customHeight="1" x14ac:dyDescent="0.25">
      <c r="A72" s="9" t="s">
        <v>160</v>
      </c>
      <c r="B72" s="10" t="s">
        <v>253</v>
      </c>
      <c r="C72" s="11">
        <v>190666</v>
      </c>
      <c r="D72" s="11">
        <v>0</v>
      </c>
      <c r="E72" s="11">
        <v>406665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37" s="7" customFormat="1" ht="24.75" customHeight="1" x14ac:dyDescent="0.25">
      <c r="A73" s="9" t="s">
        <v>161</v>
      </c>
      <c r="B73" s="10" t="s">
        <v>254</v>
      </c>
      <c r="C73" s="11">
        <v>3183975</v>
      </c>
      <c r="D73" s="11">
        <v>0</v>
      </c>
      <c r="E73" s="11">
        <v>251069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1:37" s="7" customFormat="1" ht="24.75" customHeight="1" x14ac:dyDescent="0.25">
      <c r="A74" s="9" t="s">
        <v>162</v>
      </c>
      <c r="B74" s="10" t="s">
        <v>255</v>
      </c>
      <c r="C74" s="11">
        <v>0</v>
      </c>
      <c r="D74" s="11">
        <v>0</v>
      </c>
      <c r="E74" s="11">
        <v>3102000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s="7" customFormat="1" ht="24.75" customHeight="1" x14ac:dyDescent="0.25">
      <c r="A75" s="9" t="s">
        <v>163</v>
      </c>
      <c r="B75" s="10" t="s">
        <v>256</v>
      </c>
      <c r="C75" s="11">
        <v>0</v>
      </c>
      <c r="D75" s="11">
        <v>0</v>
      </c>
      <c r="E75" s="11">
        <v>328616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s="7" customFormat="1" ht="24.75" customHeight="1" x14ac:dyDescent="0.25">
      <c r="A76" s="12" t="s">
        <v>164</v>
      </c>
      <c r="B76" s="13" t="s">
        <v>257</v>
      </c>
      <c r="C76" s="14">
        <v>6434641</v>
      </c>
      <c r="D76" s="14">
        <v>0</v>
      </c>
      <c r="E76" s="14">
        <v>14855949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s="7" customFormat="1" ht="24.75" customHeight="1" x14ac:dyDescent="0.25">
      <c r="A77" s="12" t="s">
        <v>165</v>
      </c>
      <c r="B77" s="13" t="s">
        <v>258</v>
      </c>
      <c r="C77" s="14">
        <v>608965906</v>
      </c>
      <c r="D77" s="14">
        <v>0</v>
      </c>
      <c r="E77" s="14">
        <v>522671806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</row>
    <row r="78" spans="1:37" s="7" customFormat="1" ht="24.75" customHeight="1" x14ac:dyDescent="0.25">
      <c r="A78" s="9" t="s">
        <v>166</v>
      </c>
      <c r="B78" s="10" t="s">
        <v>259</v>
      </c>
      <c r="C78" s="11">
        <v>0</v>
      </c>
      <c r="D78" s="11">
        <v>0</v>
      </c>
      <c r="E78" s="11">
        <v>2355000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s="7" customFormat="1" ht="24.75" customHeight="1" x14ac:dyDescent="0.25">
      <c r="A79" s="12" t="s">
        <v>167</v>
      </c>
      <c r="B79" s="13" t="s">
        <v>260</v>
      </c>
      <c r="C79" s="14">
        <v>0</v>
      </c>
      <c r="D79" s="14">
        <v>0</v>
      </c>
      <c r="E79" s="14">
        <v>2355000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s="7" customFormat="1" ht="24.75" customHeight="1" x14ac:dyDescent="0.25">
      <c r="A80" s="9" t="s">
        <v>168</v>
      </c>
      <c r="B80" s="10" t="s">
        <v>261</v>
      </c>
      <c r="C80" s="11">
        <v>0</v>
      </c>
      <c r="D80" s="11">
        <v>0</v>
      </c>
      <c r="E80" s="11">
        <v>-3585650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s="27" customFormat="1" ht="24.75" customHeight="1" x14ac:dyDescent="0.25">
      <c r="A81" s="12" t="s">
        <v>169</v>
      </c>
      <c r="B81" s="13" t="s">
        <v>262</v>
      </c>
      <c r="C81" s="14">
        <v>0</v>
      </c>
      <c r="D81" s="14">
        <v>0</v>
      </c>
      <c r="E81" s="14">
        <v>-3585650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s="7" customFormat="1" ht="24.75" customHeight="1" x14ac:dyDescent="0.25">
      <c r="A82" s="9" t="s">
        <v>170</v>
      </c>
      <c r="B82" s="10" t="s">
        <v>263</v>
      </c>
      <c r="C82" s="11">
        <v>1275688</v>
      </c>
      <c r="D82" s="11">
        <v>0</v>
      </c>
      <c r="E82" s="11">
        <v>766127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s="7" customFormat="1" ht="24.75" customHeight="1" x14ac:dyDescent="0.25">
      <c r="A83" s="9" t="s">
        <v>171</v>
      </c>
      <c r="B83" s="10" t="s">
        <v>291</v>
      </c>
      <c r="C83" s="11">
        <v>0</v>
      </c>
      <c r="D83" s="11">
        <v>0</v>
      </c>
      <c r="E83" s="11">
        <v>10000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s="7" customFormat="1" ht="24.75" customHeight="1" x14ac:dyDescent="0.25">
      <c r="A84" s="12" t="s">
        <v>172</v>
      </c>
      <c r="B84" s="13" t="s">
        <v>264</v>
      </c>
      <c r="C84" s="14">
        <v>1275688</v>
      </c>
      <c r="D84" s="14">
        <v>0</v>
      </c>
      <c r="E84" s="14">
        <v>776127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s="7" customFormat="1" ht="24.75" customHeight="1" x14ac:dyDescent="0.25">
      <c r="A85" s="12" t="s">
        <v>173</v>
      </c>
      <c r="B85" s="13" t="s">
        <v>265</v>
      </c>
      <c r="C85" s="14">
        <v>1275688</v>
      </c>
      <c r="D85" s="14">
        <v>0</v>
      </c>
      <c r="E85" s="14">
        <v>-454523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s="7" customFormat="1" ht="24.75" customHeight="1" x14ac:dyDescent="0.25">
      <c r="A86" s="9" t="s">
        <v>174</v>
      </c>
      <c r="B86" s="10" t="s">
        <v>266</v>
      </c>
      <c r="C86" s="11">
        <v>3749772</v>
      </c>
      <c r="D86" s="11">
        <v>0</v>
      </c>
      <c r="E86" s="11">
        <v>0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s="7" customFormat="1" ht="24.75" customHeight="1" x14ac:dyDescent="0.25">
      <c r="A87" s="9" t="s">
        <v>175</v>
      </c>
      <c r="B87" s="10" t="s">
        <v>267</v>
      </c>
      <c r="C87" s="11">
        <v>0</v>
      </c>
      <c r="D87" s="11">
        <v>0</v>
      </c>
      <c r="E87" s="11">
        <v>1522850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s="7" customFormat="1" ht="24.75" customHeight="1" x14ac:dyDescent="0.25">
      <c r="A88" s="12" t="s">
        <v>176</v>
      </c>
      <c r="B88" s="13" t="s">
        <v>268</v>
      </c>
      <c r="C88" s="14">
        <v>3749772</v>
      </c>
      <c r="D88" s="14">
        <v>0</v>
      </c>
      <c r="E88" s="14">
        <v>1522850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7" s="7" customFormat="1" ht="24.75" customHeight="1" x14ac:dyDescent="0.25">
      <c r="A89" s="15" t="s">
        <v>177</v>
      </c>
      <c r="B89" s="16" t="s">
        <v>4</v>
      </c>
      <c r="C89" s="17">
        <v>14449450242</v>
      </c>
      <c r="D89" s="17">
        <v>0</v>
      </c>
      <c r="E89" s="17">
        <v>16324373913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1:37" s="7" customFormat="1" ht="24.75" customHeight="1" x14ac:dyDescent="0.25">
      <c r="A90" s="9" t="s">
        <v>178</v>
      </c>
      <c r="B90" s="10" t="s">
        <v>269</v>
      </c>
      <c r="C90" s="11">
        <v>16561591404</v>
      </c>
      <c r="D90" s="11">
        <v>0</v>
      </c>
      <c r="E90" s="11">
        <v>16561591404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</row>
    <row r="91" spans="1:37" s="7" customFormat="1" ht="24.75" customHeight="1" x14ac:dyDescent="0.25">
      <c r="A91" s="9" t="s">
        <v>179</v>
      </c>
      <c r="B91" s="10" t="s">
        <v>270</v>
      </c>
      <c r="C91" s="11">
        <v>515114858</v>
      </c>
      <c r="D91" s="11">
        <v>0</v>
      </c>
      <c r="E91" s="11">
        <v>2581828356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s="7" customFormat="1" ht="24.75" customHeight="1" x14ac:dyDescent="0.25">
      <c r="A92" s="9" t="s">
        <v>180</v>
      </c>
      <c r="B92" s="10" t="s">
        <v>271</v>
      </c>
      <c r="C92" s="11">
        <v>407955406</v>
      </c>
      <c r="D92" s="11">
        <v>0</v>
      </c>
      <c r="E92" s="11">
        <v>407955406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</row>
    <row r="93" spans="1:37" s="7" customFormat="1" ht="24.75" customHeight="1" x14ac:dyDescent="0.25">
      <c r="A93" s="12" t="s">
        <v>181</v>
      </c>
      <c r="B93" s="13" t="s">
        <v>272</v>
      </c>
      <c r="C93" s="14">
        <v>407955406</v>
      </c>
      <c r="D93" s="14">
        <v>0</v>
      </c>
      <c r="E93" s="14">
        <v>407955406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1:37" s="7" customFormat="1" ht="24.75" customHeight="1" x14ac:dyDescent="0.25">
      <c r="A94" s="9" t="s">
        <v>16</v>
      </c>
      <c r="B94" s="10" t="s">
        <v>61</v>
      </c>
      <c r="C94" s="11">
        <v>-3609788998</v>
      </c>
      <c r="D94" s="11">
        <v>0</v>
      </c>
      <c r="E94" s="11">
        <v>-3877918047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</row>
    <row r="95" spans="1:37" s="7" customFormat="1" ht="24.75" customHeight="1" x14ac:dyDescent="0.25">
      <c r="A95" s="9" t="s">
        <v>182</v>
      </c>
      <c r="B95" s="10" t="s">
        <v>62</v>
      </c>
      <c r="C95" s="11">
        <v>-463361774</v>
      </c>
      <c r="D95" s="11">
        <v>0</v>
      </c>
      <c r="E95" s="11">
        <v>-512541543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</row>
    <row r="96" spans="1:37" s="7" customFormat="1" ht="24.75" customHeight="1" x14ac:dyDescent="0.25">
      <c r="A96" s="12" t="s">
        <v>38</v>
      </c>
      <c r="B96" s="13" t="s">
        <v>273</v>
      </c>
      <c r="C96" s="14">
        <v>13411510896</v>
      </c>
      <c r="D96" s="14">
        <v>0</v>
      </c>
      <c r="E96" s="14">
        <v>15160915576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1:37" s="7" customFormat="1" ht="24.75" customHeight="1" x14ac:dyDescent="0.25">
      <c r="A97" s="9" t="s">
        <v>183</v>
      </c>
      <c r="B97" s="10" t="s">
        <v>274</v>
      </c>
      <c r="C97" s="11">
        <v>11565397</v>
      </c>
      <c r="D97" s="11">
        <v>0</v>
      </c>
      <c r="E97" s="11">
        <v>3702669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</row>
    <row r="98" spans="1:37" s="7" customFormat="1" ht="24.75" customHeight="1" x14ac:dyDescent="0.25">
      <c r="A98" s="9" t="s">
        <v>184</v>
      </c>
      <c r="B98" s="10" t="s">
        <v>275</v>
      </c>
      <c r="C98" s="11">
        <v>3718000</v>
      </c>
      <c r="D98" s="11">
        <v>0</v>
      </c>
      <c r="E98" s="11">
        <v>0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1:37" s="7" customFormat="1" ht="24.75" customHeight="1" x14ac:dyDescent="0.25">
      <c r="A99" s="9" t="s">
        <v>185</v>
      </c>
      <c r="B99" s="10" t="s">
        <v>276</v>
      </c>
      <c r="C99" s="11">
        <v>254000</v>
      </c>
      <c r="D99" s="11">
        <v>0</v>
      </c>
      <c r="E99" s="11">
        <v>0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</row>
    <row r="100" spans="1:37" s="7" customFormat="1" ht="24.75" customHeight="1" x14ac:dyDescent="0.25">
      <c r="A100" s="12" t="s">
        <v>186</v>
      </c>
      <c r="B100" s="13" t="s">
        <v>277</v>
      </c>
      <c r="C100" s="14">
        <v>15537397</v>
      </c>
      <c r="D100" s="14">
        <v>0</v>
      </c>
      <c r="E100" s="14">
        <v>3702669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</row>
    <row r="101" spans="1:37" s="7" customFormat="1" ht="24.75" customHeight="1" x14ac:dyDescent="0.25">
      <c r="A101" s="9" t="s">
        <v>187</v>
      </c>
      <c r="B101" s="10" t="s">
        <v>292</v>
      </c>
      <c r="C101" s="11">
        <v>705000</v>
      </c>
      <c r="D101" s="11">
        <v>0</v>
      </c>
      <c r="E101" s="11">
        <v>0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1:37" s="7" customFormat="1" ht="24.75" customHeight="1" x14ac:dyDescent="0.25">
      <c r="A102" s="9" t="s">
        <v>188</v>
      </c>
      <c r="B102" s="10" t="s">
        <v>278</v>
      </c>
      <c r="C102" s="11">
        <v>7071103</v>
      </c>
      <c r="D102" s="11">
        <v>0</v>
      </c>
      <c r="E102" s="11">
        <v>9206175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s="7" customFormat="1" ht="24.75" customHeight="1" x14ac:dyDescent="0.25">
      <c r="A103" s="9" t="s">
        <v>189</v>
      </c>
      <c r="B103" s="10" t="s">
        <v>279</v>
      </c>
      <c r="C103" s="11">
        <v>49935306</v>
      </c>
      <c r="D103" s="11">
        <v>0</v>
      </c>
      <c r="E103" s="11">
        <v>52044365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</row>
    <row r="104" spans="1:37" s="7" customFormat="1" ht="24.75" customHeight="1" x14ac:dyDescent="0.25">
      <c r="A104" s="9" t="s">
        <v>190</v>
      </c>
      <c r="B104" s="10" t="s">
        <v>293</v>
      </c>
      <c r="C104" s="11">
        <v>49935306</v>
      </c>
      <c r="D104" s="11">
        <v>0</v>
      </c>
      <c r="E104" s="11">
        <v>52044365</v>
      </c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</row>
    <row r="105" spans="1:37" s="7" customFormat="1" ht="24.75" customHeight="1" x14ac:dyDescent="0.25">
      <c r="A105" s="12" t="s">
        <v>17</v>
      </c>
      <c r="B105" s="13" t="s">
        <v>7</v>
      </c>
      <c r="C105" s="14">
        <v>57711409</v>
      </c>
      <c r="D105" s="14">
        <v>0</v>
      </c>
      <c r="E105" s="14">
        <v>61250540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s="7" customFormat="1" ht="24.75" customHeight="1" x14ac:dyDescent="0.25">
      <c r="A106" s="9" t="s">
        <v>191</v>
      </c>
      <c r="B106" s="10" t="s">
        <v>280</v>
      </c>
      <c r="C106" s="11">
        <v>19789934</v>
      </c>
      <c r="D106" s="11">
        <v>0</v>
      </c>
      <c r="E106" s="11">
        <v>19114753</v>
      </c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</row>
    <row r="107" spans="1:37" s="7" customFormat="1" ht="24.75" customHeight="1" x14ac:dyDescent="0.25">
      <c r="A107" s="9" t="s">
        <v>192</v>
      </c>
      <c r="B107" s="10" t="s">
        <v>281</v>
      </c>
      <c r="C107" s="11">
        <v>1007218</v>
      </c>
      <c r="D107" s="11">
        <v>0</v>
      </c>
      <c r="E107" s="11">
        <v>1052234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1:37" s="26" customFormat="1" ht="30.75" customHeight="1" x14ac:dyDescent="0.25">
      <c r="A108" s="30" t="s">
        <v>9</v>
      </c>
      <c r="B108" s="5" t="s">
        <v>0</v>
      </c>
      <c r="C108" s="5" t="s">
        <v>103</v>
      </c>
      <c r="D108" s="5" t="s">
        <v>102</v>
      </c>
      <c r="E108" s="5" t="s">
        <v>105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1:37" s="27" customFormat="1" ht="24.75" customHeight="1" x14ac:dyDescent="0.25">
      <c r="A109" s="9" t="s">
        <v>193</v>
      </c>
      <c r="B109" s="10" t="s">
        <v>282</v>
      </c>
      <c r="C109" s="11">
        <v>1032003</v>
      </c>
      <c r="D109" s="11">
        <v>0</v>
      </c>
      <c r="E109" s="11">
        <v>1486524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</row>
    <row r="110" spans="1:37" s="7" customFormat="1" ht="24.75" customHeight="1" x14ac:dyDescent="0.25">
      <c r="A110" s="12" t="s">
        <v>18</v>
      </c>
      <c r="B110" s="13" t="s">
        <v>283</v>
      </c>
      <c r="C110" s="14">
        <v>21829155</v>
      </c>
      <c r="D110" s="14">
        <v>0</v>
      </c>
      <c r="E110" s="14">
        <v>21653511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</row>
    <row r="111" spans="1:37" ht="24.75" customHeight="1" x14ac:dyDescent="0.25">
      <c r="A111" s="12" t="s">
        <v>194</v>
      </c>
      <c r="B111" s="13" t="s">
        <v>284</v>
      </c>
      <c r="C111" s="14">
        <v>95077961</v>
      </c>
      <c r="D111" s="14">
        <v>0</v>
      </c>
      <c r="E111" s="14">
        <v>86606720</v>
      </c>
    </row>
    <row r="112" spans="1:37" ht="24.75" customHeight="1" x14ac:dyDescent="0.25">
      <c r="A112" s="9" t="s">
        <v>195</v>
      </c>
      <c r="B112" s="10" t="s">
        <v>285</v>
      </c>
      <c r="C112" s="11">
        <v>829478440</v>
      </c>
      <c r="D112" s="11">
        <v>0</v>
      </c>
      <c r="E112" s="11">
        <v>955078387</v>
      </c>
    </row>
    <row r="113" spans="1:5" ht="24.75" customHeight="1" x14ac:dyDescent="0.25">
      <c r="A113" s="9" t="s">
        <v>196</v>
      </c>
      <c r="B113" s="10" t="s">
        <v>286</v>
      </c>
      <c r="C113" s="11">
        <v>108436215</v>
      </c>
      <c r="D113" s="11">
        <v>0</v>
      </c>
      <c r="E113" s="11">
        <v>116321487</v>
      </c>
    </row>
    <row r="114" spans="1:5" ht="24.75" customHeight="1" x14ac:dyDescent="0.25">
      <c r="A114" s="9" t="s">
        <v>197</v>
      </c>
      <c r="B114" s="10" t="s">
        <v>287</v>
      </c>
      <c r="C114" s="11">
        <v>4946730</v>
      </c>
      <c r="D114" s="11">
        <v>0</v>
      </c>
      <c r="E114" s="11">
        <v>5451743</v>
      </c>
    </row>
    <row r="115" spans="1:5" ht="24.75" customHeight="1" x14ac:dyDescent="0.25">
      <c r="A115" s="12" t="s">
        <v>198</v>
      </c>
      <c r="B115" s="13" t="s">
        <v>68</v>
      </c>
      <c r="C115" s="14">
        <v>942861385</v>
      </c>
      <c r="D115" s="14">
        <v>0</v>
      </c>
      <c r="E115" s="14">
        <v>1076851617</v>
      </c>
    </row>
    <row r="116" spans="1:5" ht="24.75" customHeight="1" x14ac:dyDescent="0.25">
      <c r="A116" s="15" t="s">
        <v>43</v>
      </c>
      <c r="B116" s="16" t="s">
        <v>5</v>
      </c>
      <c r="C116" s="17">
        <v>14449450242</v>
      </c>
      <c r="D116" s="17">
        <v>0</v>
      </c>
      <c r="E116" s="17">
        <v>16324373913</v>
      </c>
    </row>
  </sheetData>
  <mergeCells count="13">
    <mergeCell ref="A4:E4"/>
    <mergeCell ref="C43:C44"/>
    <mergeCell ref="D43:D44"/>
    <mergeCell ref="E43:E44"/>
    <mergeCell ref="C67:C68"/>
    <mergeCell ref="D67:D68"/>
    <mergeCell ref="E67:E68"/>
    <mergeCell ref="C55:C56"/>
    <mergeCell ref="D55:D56"/>
    <mergeCell ref="E55:E56"/>
    <mergeCell ref="C64:C65"/>
    <mergeCell ref="D64:D65"/>
    <mergeCell ref="E64:E65"/>
  </mergeCells>
  <pageMargins left="0.7" right="0.7" top="0.75" bottom="0.75" header="0.3" footer="0.3"/>
  <pageSetup paperSize="9" scale="55" orientation="portrait" r:id="rId1"/>
  <rowBreaks count="2" manualBreakCount="2">
    <brk id="53" max="16383" man="1"/>
    <brk id="1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4"/>
  <sheetViews>
    <sheetView view="pageBreakPreview" zoomScale="98" zoomScaleNormal="98" zoomScaleSheetLayoutView="98" workbookViewId="0"/>
  </sheetViews>
  <sheetFormatPr defaultRowHeight="15.75" x14ac:dyDescent="0.25"/>
  <cols>
    <col min="1" max="1" width="13.140625" style="8" customWidth="1"/>
    <col min="2" max="2" width="85.140625" style="1" customWidth="1"/>
    <col min="3" max="3" width="17.5703125" style="1" customWidth="1"/>
    <col min="4" max="4" width="16.85546875" style="1" customWidth="1"/>
    <col min="5" max="5" width="17.5703125" style="1" customWidth="1"/>
    <col min="6" max="6" width="15.7109375" style="21" bestFit="1" customWidth="1"/>
    <col min="7" max="37" width="9.140625" style="21"/>
    <col min="38" max="257" width="9.140625" style="1"/>
    <col min="258" max="258" width="82" style="1" customWidth="1"/>
    <col min="259" max="259" width="17.5703125" style="1" customWidth="1"/>
    <col min="260" max="260" width="13.7109375" style="1" customWidth="1"/>
    <col min="261" max="261" width="17.5703125" style="1" customWidth="1"/>
    <col min="262" max="513" width="9.140625" style="1"/>
    <col min="514" max="514" width="82" style="1" customWidth="1"/>
    <col min="515" max="515" width="17.5703125" style="1" customWidth="1"/>
    <col min="516" max="516" width="13.7109375" style="1" customWidth="1"/>
    <col min="517" max="517" width="17.5703125" style="1" customWidth="1"/>
    <col min="518" max="769" width="9.140625" style="1"/>
    <col min="770" max="770" width="82" style="1" customWidth="1"/>
    <col min="771" max="771" width="17.5703125" style="1" customWidth="1"/>
    <col min="772" max="772" width="13.7109375" style="1" customWidth="1"/>
    <col min="773" max="773" width="17.5703125" style="1" customWidth="1"/>
    <col min="774" max="1025" width="9.140625" style="1"/>
    <col min="1026" max="1026" width="82" style="1" customWidth="1"/>
    <col min="1027" max="1027" width="17.5703125" style="1" customWidth="1"/>
    <col min="1028" max="1028" width="13.7109375" style="1" customWidth="1"/>
    <col min="1029" max="1029" width="17.5703125" style="1" customWidth="1"/>
    <col min="1030" max="1281" width="9.140625" style="1"/>
    <col min="1282" max="1282" width="82" style="1" customWidth="1"/>
    <col min="1283" max="1283" width="17.5703125" style="1" customWidth="1"/>
    <col min="1284" max="1284" width="13.7109375" style="1" customWidth="1"/>
    <col min="1285" max="1285" width="17.5703125" style="1" customWidth="1"/>
    <col min="1286" max="1537" width="9.140625" style="1"/>
    <col min="1538" max="1538" width="82" style="1" customWidth="1"/>
    <col min="1539" max="1539" width="17.5703125" style="1" customWidth="1"/>
    <col min="1540" max="1540" width="13.7109375" style="1" customWidth="1"/>
    <col min="1541" max="1541" width="17.5703125" style="1" customWidth="1"/>
    <col min="1542" max="1793" width="9.140625" style="1"/>
    <col min="1794" max="1794" width="82" style="1" customWidth="1"/>
    <col min="1795" max="1795" width="17.5703125" style="1" customWidth="1"/>
    <col min="1796" max="1796" width="13.7109375" style="1" customWidth="1"/>
    <col min="1797" max="1797" width="17.5703125" style="1" customWidth="1"/>
    <col min="1798" max="2049" width="9.140625" style="1"/>
    <col min="2050" max="2050" width="82" style="1" customWidth="1"/>
    <col min="2051" max="2051" width="17.5703125" style="1" customWidth="1"/>
    <col min="2052" max="2052" width="13.7109375" style="1" customWidth="1"/>
    <col min="2053" max="2053" width="17.5703125" style="1" customWidth="1"/>
    <col min="2054" max="2305" width="9.140625" style="1"/>
    <col min="2306" max="2306" width="82" style="1" customWidth="1"/>
    <col min="2307" max="2307" width="17.5703125" style="1" customWidth="1"/>
    <col min="2308" max="2308" width="13.7109375" style="1" customWidth="1"/>
    <col min="2309" max="2309" width="17.5703125" style="1" customWidth="1"/>
    <col min="2310" max="2561" width="9.140625" style="1"/>
    <col min="2562" max="2562" width="82" style="1" customWidth="1"/>
    <col min="2563" max="2563" width="17.5703125" style="1" customWidth="1"/>
    <col min="2564" max="2564" width="13.7109375" style="1" customWidth="1"/>
    <col min="2565" max="2565" width="17.5703125" style="1" customWidth="1"/>
    <col min="2566" max="2817" width="9.140625" style="1"/>
    <col min="2818" max="2818" width="82" style="1" customWidth="1"/>
    <col min="2819" max="2819" width="17.5703125" style="1" customWidth="1"/>
    <col min="2820" max="2820" width="13.7109375" style="1" customWidth="1"/>
    <col min="2821" max="2821" width="17.5703125" style="1" customWidth="1"/>
    <col min="2822" max="3073" width="9.140625" style="1"/>
    <col min="3074" max="3074" width="82" style="1" customWidth="1"/>
    <col min="3075" max="3075" width="17.5703125" style="1" customWidth="1"/>
    <col min="3076" max="3076" width="13.7109375" style="1" customWidth="1"/>
    <col min="3077" max="3077" width="17.5703125" style="1" customWidth="1"/>
    <col min="3078" max="3329" width="9.140625" style="1"/>
    <col min="3330" max="3330" width="82" style="1" customWidth="1"/>
    <col min="3331" max="3331" width="17.5703125" style="1" customWidth="1"/>
    <col min="3332" max="3332" width="13.7109375" style="1" customWidth="1"/>
    <col min="3333" max="3333" width="17.5703125" style="1" customWidth="1"/>
    <col min="3334" max="3585" width="9.140625" style="1"/>
    <col min="3586" max="3586" width="82" style="1" customWidth="1"/>
    <col min="3587" max="3587" width="17.5703125" style="1" customWidth="1"/>
    <col min="3588" max="3588" width="13.7109375" style="1" customWidth="1"/>
    <col min="3589" max="3589" width="17.5703125" style="1" customWidth="1"/>
    <col min="3590" max="3841" width="9.140625" style="1"/>
    <col min="3842" max="3842" width="82" style="1" customWidth="1"/>
    <col min="3843" max="3843" width="17.5703125" style="1" customWidth="1"/>
    <col min="3844" max="3844" width="13.7109375" style="1" customWidth="1"/>
    <col min="3845" max="3845" width="17.5703125" style="1" customWidth="1"/>
    <col min="3846" max="4097" width="9.140625" style="1"/>
    <col min="4098" max="4098" width="82" style="1" customWidth="1"/>
    <col min="4099" max="4099" width="17.5703125" style="1" customWidth="1"/>
    <col min="4100" max="4100" width="13.7109375" style="1" customWidth="1"/>
    <col min="4101" max="4101" width="17.5703125" style="1" customWidth="1"/>
    <col min="4102" max="4353" width="9.140625" style="1"/>
    <col min="4354" max="4354" width="82" style="1" customWidth="1"/>
    <col min="4355" max="4355" width="17.5703125" style="1" customWidth="1"/>
    <col min="4356" max="4356" width="13.7109375" style="1" customWidth="1"/>
    <col min="4357" max="4357" width="17.5703125" style="1" customWidth="1"/>
    <col min="4358" max="4609" width="9.140625" style="1"/>
    <col min="4610" max="4610" width="82" style="1" customWidth="1"/>
    <col min="4611" max="4611" width="17.5703125" style="1" customWidth="1"/>
    <col min="4612" max="4612" width="13.7109375" style="1" customWidth="1"/>
    <col min="4613" max="4613" width="17.5703125" style="1" customWidth="1"/>
    <col min="4614" max="4865" width="9.140625" style="1"/>
    <col min="4866" max="4866" width="82" style="1" customWidth="1"/>
    <col min="4867" max="4867" width="17.5703125" style="1" customWidth="1"/>
    <col min="4868" max="4868" width="13.7109375" style="1" customWidth="1"/>
    <col min="4869" max="4869" width="17.5703125" style="1" customWidth="1"/>
    <col min="4870" max="5121" width="9.140625" style="1"/>
    <col min="5122" max="5122" width="82" style="1" customWidth="1"/>
    <col min="5123" max="5123" width="17.5703125" style="1" customWidth="1"/>
    <col min="5124" max="5124" width="13.7109375" style="1" customWidth="1"/>
    <col min="5125" max="5125" width="17.5703125" style="1" customWidth="1"/>
    <col min="5126" max="5377" width="9.140625" style="1"/>
    <col min="5378" max="5378" width="82" style="1" customWidth="1"/>
    <col min="5379" max="5379" width="17.5703125" style="1" customWidth="1"/>
    <col min="5380" max="5380" width="13.7109375" style="1" customWidth="1"/>
    <col min="5381" max="5381" width="17.5703125" style="1" customWidth="1"/>
    <col min="5382" max="5633" width="9.140625" style="1"/>
    <col min="5634" max="5634" width="82" style="1" customWidth="1"/>
    <col min="5635" max="5635" width="17.5703125" style="1" customWidth="1"/>
    <col min="5636" max="5636" width="13.7109375" style="1" customWidth="1"/>
    <col min="5637" max="5637" width="17.5703125" style="1" customWidth="1"/>
    <col min="5638" max="5889" width="9.140625" style="1"/>
    <col min="5890" max="5890" width="82" style="1" customWidth="1"/>
    <col min="5891" max="5891" width="17.5703125" style="1" customWidth="1"/>
    <col min="5892" max="5892" width="13.7109375" style="1" customWidth="1"/>
    <col min="5893" max="5893" width="17.5703125" style="1" customWidth="1"/>
    <col min="5894" max="6145" width="9.140625" style="1"/>
    <col min="6146" max="6146" width="82" style="1" customWidth="1"/>
    <col min="6147" max="6147" width="17.5703125" style="1" customWidth="1"/>
    <col min="6148" max="6148" width="13.7109375" style="1" customWidth="1"/>
    <col min="6149" max="6149" width="17.5703125" style="1" customWidth="1"/>
    <col min="6150" max="6401" width="9.140625" style="1"/>
    <col min="6402" max="6402" width="82" style="1" customWidth="1"/>
    <col min="6403" max="6403" width="17.5703125" style="1" customWidth="1"/>
    <col min="6404" max="6404" width="13.7109375" style="1" customWidth="1"/>
    <col min="6405" max="6405" width="17.5703125" style="1" customWidth="1"/>
    <col min="6406" max="6657" width="9.140625" style="1"/>
    <col min="6658" max="6658" width="82" style="1" customWidth="1"/>
    <col min="6659" max="6659" width="17.5703125" style="1" customWidth="1"/>
    <col min="6660" max="6660" width="13.7109375" style="1" customWidth="1"/>
    <col min="6661" max="6661" width="17.5703125" style="1" customWidth="1"/>
    <col min="6662" max="6913" width="9.140625" style="1"/>
    <col min="6914" max="6914" width="82" style="1" customWidth="1"/>
    <col min="6915" max="6915" width="17.5703125" style="1" customWidth="1"/>
    <col min="6916" max="6916" width="13.7109375" style="1" customWidth="1"/>
    <col min="6917" max="6917" width="17.5703125" style="1" customWidth="1"/>
    <col min="6918" max="7169" width="9.140625" style="1"/>
    <col min="7170" max="7170" width="82" style="1" customWidth="1"/>
    <col min="7171" max="7171" width="17.5703125" style="1" customWidth="1"/>
    <col min="7172" max="7172" width="13.7109375" style="1" customWidth="1"/>
    <col min="7173" max="7173" width="17.5703125" style="1" customWidth="1"/>
    <col min="7174" max="7425" width="9.140625" style="1"/>
    <col min="7426" max="7426" width="82" style="1" customWidth="1"/>
    <col min="7427" max="7427" width="17.5703125" style="1" customWidth="1"/>
    <col min="7428" max="7428" width="13.7109375" style="1" customWidth="1"/>
    <col min="7429" max="7429" width="17.5703125" style="1" customWidth="1"/>
    <col min="7430" max="7681" width="9.140625" style="1"/>
    <col min="7682" max="7682" width="82" style="1" customWidth="1"/>
    <col min="7683" max="7683" width="17.5703125" style="1" customWidth="1"/>
    <col min="7684" max="7684" width="13.7109375" style="1" customWidth="1"/>
    <col min="7685" max="7685" width="17.5703125" style="1" customWidth="1"/>
    <col min="7686" max="7937" width="9.140625" style="1"/>
    <col min="7938" max="7938" width="82" style="1" customWidth="1"/>
    <col min="7939" max="7939" width="17.5703125" style="1" customWidth="1"/>
    <col min="7940" max="7940" width="13.7109375" style="1" customWidth="1"/>
    <col min="7941" max="7941" width="17.5703125" style="1" customWidth="1"/>
    <col min="7942" max="8193" width="9.140625" style="1"/>
    <col min="8194" max="8194" width="82" style="1" customWidth="1"/>
    <col min="8195" max="8195" width="17.5703125" style="1" customWidth="1"/>
    <col min="8196" max="8196" width="13.7109375" style="1" customWidth="1"/>
    <col min="8197" max="8197" width="17.5703125" style="1" customWidth="1"/>
    <col min="8198" max="8449" width="9.140625" style="1"/>
    <col min="8450" max="8450" width="82" style="1" customWidth="1"/>
    <col min="8451" max="8451" width="17.5703125" style="1" customWidth="1"/>
    <col min="8452" max="8452" width="13.7109375" style="1" customWidth="1"/>
    <col min="8453" max="8453" width="17.5703125" style="1" customWidth="1"/>
    <col min="8454" max="8705" width="9.140625" style="1"/>
    <col min="8706" max="8706" width="82" style="1" customWidth="1"/>
    <col min="8707" max="8707" width="17.5703125" style="1" customWidth="1"/>
    <col min="8708" max="8708" width="13.7109375" style="1" customWidth="1"/>
    <col min="8709" max="8709" width="17.5703125" style="1" customWidth="1"/>
    <col min="8710" max="8961" width="9.140625" style="1"/>
    <col min="8962" max="8962" width="82" style="1" customWidth="1"/>
    <col min="8963" max="8963" width="17.5703125" style="1" customWidth="1"/>
    <col min="8964" max="8964" width="13.7109375" style="1" customWidth="1"/>
    <col min="8965" max="8965" width="17.5703125" style="1" customWidth="1"/>
    <col min="8966" max="9217" width="9.140625" style="1"/>
    <col min="9218" max="9218" width="82" style="1" customWidth="1"/>
    <col min="9219" max="9219" width="17.5703125" style="1" customWidth="1"/>
    <col min="9220" max="9220" width="13.7109375" style="1" customWidth="1"/>
    <col min="9221" max="9221" width="17.5703125" style="1" customWidth="1"/>
    <col min="9222" max="9473" width="9.140625" style="1"/>
    <col min="9474" max="9474" width="82" style="1" customWidth="1"/>
    <col min="9475" max="9475" width="17.5703125" style="1" customWidth="1"/>
    <col min="9476" max="9476" width="13.7109375" style="1" customWidth="1"/>
    <col min="9477" max="9477" width="17.5703125" style="1" customWidth="1"/>
    <col min="9478" max="9729" width="9.140625" style="1"/>
    <col min="9730" max="9730" width="82" style="1" customWidth="1"/>
    <col min="9731" max="9731" width="17.5703125" style="1" customWidth="1"/>
    <col min="9732" max="9732" width="13.7109375" style="1" customWidth="1"/>
    <col min="9733" max="9733" width="17.5703125" style="1" customWidth="1"/>
    <col min="9734" max="9985" width="9.140625" style="1"/>
    <col min="9986" max="9986" width="82" style="1" customWidth="1"/>
    <col min="9987" max="9987" width="17.5703125" style="1" customWidth="1"/>
    <col min="9988" max="9988" width="13.7109375" style="1" customWidth="1"/>
    <col min="9989" max="9989" width="17.5703125" style="1" customWidth="1"/>
    <col min="9990" max="10241" width="9.140625" style="1"/>
    <col min="10242" max="10242" width="82" style="1" customWidth="1"/>
    <col min="10243" max="10243" width="17.5703125" style="1" customWidth="1"/>
    <col min="10244" max="10244" width="13.7109375" style="1" customWidth="1"/>
    <col min="10245" max="10245" width="17.5703125" style="1" customWidth="1"/>
    <col min="10246" max="10497" width="9.140625" style="1"/>
    <col min="10498" max="10498" width="82" style="1" customWidth="1"/>
    <col min="10499" max="10499" width="17.5703125" style="1" customWidth="1"/>
    <col min="10500" max="10500" width="13.7109375" style="1" customWidth="1"/>
    <col min="10501" max="10501" width="17.5703125" style="1" customWidth="1"/>
    <col min="10502" max="10753" width="9.140625" style="1"/>
    <col min="10754" max="10754" width="82" style="1" customWidth="1"/>
    <col min="10755" max="10755" width="17.5703125" style="1" customWidth="1"/>
    <col min="10756" max="10756" width="13.7109375" style="1" customWidth="1"/>
    <col min="10757" max="10757" width="17.5703125" style="1" customWidth="1"/>
    <col min="10758" max="11009" width="9.140625" style="1"/>
    <col min="11010" max="11010" width="82" style="1" customWidth="1"/>
    <col min="11011" max="11011" width="17.5703125" style="1" customWidth="1"/>
    <col min="11012" max="11012" width="13.7109375" style="1" customWidth="1"/>
    <col min="11013" max="11013" width="17.5703125" style="1" customWidth="1"/>
    <col min="11014" max="11265" width="9.140625" style="1"/>
    <col min="11266" max="11266" width="82" style="1" customWidth="1"/>
    <col min="11267" max="11267" width="17.5703125" style="1" customWidth="1"/>
    <col min="11268" max="11268" width="13.7109375" style="1" customWidth="1"/>
    <col min="11269" max="11269" width="17.5703125" style="1" customWidth="1"/>
    <col min="11270" max="11521" width="9.140625" style="1"/>
    <col min="11522" max="11522" width="82" style="1" customWidth="1"/>
    <col min="11523" max="11523" width="17.5703125" style="1" customWidth="1"/>
    <col min="11524" max="11524" width="13.7109375" style="1" customWidth="1"/>
    <col min="11525" max="11525" width="17.5703125" style="1" customWidth="1"/>
    <col min="11526" max="11777" width="9.140625" style="1"/>
    <col min="11778" max="11778" width="82" style="1" customWidth="1"/>
    <col min="11779" max="11779" width="17.5703125" style="1" customWidth="1"/>
    <col min="11780" max="11780" width="13.7109375" style="1" customWidth="1"/>
    <col min="11781" max="11781" width="17.5703125" style="1" customWidth="1"/>
    <col min="11782" max="12033" width="9.140625" style="1"/>
    <col min="12034" max="12034" width="82" style="1" customWidth="1"/>
    <col min="12035" max="12035" width="17.5703125" style="1" customWidth="1"/>
    <col min="12036" max="12036" width="13.7109375" style="1" customWidth="1"/>
    <col min="12037" max="12037" width="17.5703125" style="1" customWidth="1"/>
    <col min="12038" max="12289" width="9.140625" style="1"/>
    <col min="12290" max="12290" width="82" style="1" customWidth="1"/>
    <col min="12291" max="12291" width="17.5703125" style="1" customWidth="1"/>
    <col min="12292" max="12292" width="13.7109375" style="1" customWidth="1"/>
    <col min="12293" max="12293" width="17.5703125" style="1" customWidth="1"/>
    <col min="12294" max="12545" width="9.140625" style="1"/>
    <col min="12546" max="12546" width="82" style="1" customWidth="1"/>
    <col min="12547" max="12547" width="17.5703125" style="1" customWidth="1"/>
    <col min="12548" max="12548" width="13.7109375" style="1" customWidth="1"/>
    <col min="12549" max="12549" width="17.5703125" style="1" customWidth="1"/>
    <col min="12550" max="12801" width="9.140625" style="1"/>
    <col min="12802" max="12802" width="82" style="1" customWidth="1"/>
    <col min="12803" max="12803" width="17.5703125" style="1" customWidth="1"/>
    <col min="12804" max="12804" width="13.7109375" style="1" customWidth="1"/>
    <col min="12805" max="12805" width="17.5703125" style="1" customWidth="1"/>
    <col min="12806" max="13057" width="9.140625" style="1"/>
    <col min="13058" max="13058" width="82" style="1" customWidth="1"/>
    <col min="13059" max="13059" width="17.5703125" style="1" customWidth="1"/>
    <col min="13060" max="13060" width="13.7109375" style="1" customWidth="1"/>
    <col min="13061" max="13061" width="17.5703125" style="1" customWidth="1"/>
    <col min="13062" max="13313" width="9.140625" style="1"/>
    <col min="13314" max="13314" width="82" style="1" customWidth="1"/>
    <col min="13315" max="13315" width="17.5703125" style="1" customWidth="1"/>
    <col min="13316" max="13316" width="13.7109375" style="1" customWidth="1"/>
    <col min="13317" max="13317" width="17.5703125" style="1" customWidth="1"/>
    <col min="13318" max="13569" width="9.140625" style="1"/>
    <col min="13570" max="13570" width="82" style="1" customWidth="1"/>
    <col min="13571" max="13571" width="17.5703125" style="1" customWidth="1"/>
    <col min="13572" max="13572" width="13.7109375" style="1" customWidth="1"/>
    <col min="13573" max="13573" width="17.5703125" style="1" customWidth="1"/>
    <col min="13574" max="13825" width="9.140625" style="1"/>
    <col min="13826" max="13826" width="82" style="1" customWidth="1"/>
    <col min="13827" max="13827" width="17.5703125" style="1" customWidth="1"/>
    <col min="13828" max="13828" width="13.7109375" style="1" customWidth="1"/>
    <col min="13829" max="13829" width="17.5703125" style="1" customWidth="1"/>
    <col min="13830" max="14081" width="9.140625" style="1"/>
    <col min="14082" max="14082" width="82" style="1" customWidth="1"/>
    <col min="14083" max="14083" width="17.5703125" style="1" customWidth="1"/>
    <col min="14084" max="14084" width="13.7109375" style="1" customWidth="1"/>
    <col min="14085" max="14085" width="17.5703125" style="1" customWidth="1"/>
    <col min="14086" max="14337" width="9.140625" style="1"/>
    <col min="14338" max="14338" width="82" style="1" customWidth="1"/>
    <col min="14339" max="14339" width="17.5703125" style="1" customWidth="1"/>
    <col min="14340" max="14340" width="13.7109375" style="1" customWidth="1"/>
    <col min="14341" max="14341" width="17.5703125" style="1" customWidth="1"/>
    <col min="14342" max="14593" width="9.140625" style="1"/>
    <col min="14594" max="14594" width="82" style="1" customWidth="1"/>
    <col min="14595" max="14595" width="17.5703125" style="1" customWidth="1"/>
    <col min="14596" max="14596" width="13.7109375" style="1" customWidth="1"/>
    <col min="14597" max="14597" width="17.5703125" style="1" customWidth="1"/>
    <col min="14598" max="14849" width="9.140625" style="1"/>
    <col min="14850" max="14850" width="82" style="1" customWidth="1"/>
    <col min="14851" max="14851" width="17.5703125" style="1" customWidth="1"/>
    <col min="14852" max="14852" width="13.7109375" style="1" customWidth="1"/>
    <col min="14853" max="14853" width="17.5703125" style="1" customWidth="1"/>
    <col min="14854" max="15105" width="9.140625" style="1"/>
    <col min="15106" max="15106" width="82" style="1" customWidth="1"/>
    <col min="15107" max="15107" width="17.5703125" style="1" customWidth="1"/>
    <col min="15108" max="15108" width="13.7109375" style="1" customWidth="1"/>
    <col min="15109" max="15109" width="17.5703125" style="1" customWidth="1"/>
    <col min="15110" max="15361" width="9.140625" style="1"/>
    <col min="15362" max="15362" width="82" style="1" customWidth="1"/>
    <col min="15363" max="15363" width="17.5703125" style="1" customWidth="1"/>
    <col min="15364" max="15364" width="13.7109375" style="1" customWidth="1"/>
    <col min="15365" max="15365" width="17.5703125" style="1" customWidth="1"/>
    <col min="15366" max="15617" width="9.140625" style="1"/>
    <col min="15618" max="15618" width="82" style="1" customWidth="1"/>
    <col min="15619" max="15619" width="17.5703125" style="1" customWidth="1"/>
    <col min="15620" max="15620" width="13.7109375" style="1" customWidth="1"/>
    <col min="15621" max="15621" width="17.5703125" style="1" customWidth="1"/>
    <col min="15622" max="15873" width="9.140625" style="1"/>
    <col min="15874" max="15874" width="82" style="1" customWidth="1"/>
    <col min="15875" max="15875" width="17.5703125" style="1" customWidth="1"/>
    <col min="15876" max="15876" width="13.7109375" style="1" customWidth="1"/>
    <col min="15877" max="15877" width="17.5703125" style="1" customWidth="1"/>
    <col min="15878" max="16129" width="9.140625" style="1"/>
    <col min="16130" max="16130" width="82" style="1" customWidth="1"/>
    <col min="16131" max="16131" width="17.5703125" style="1" customWidth="1"/>
    <col min="16132" max="16132" width="13.7109375" style="1" customWidth="1"/>
    <col min="16133" max="16133" width="17.5703125" style="1" customWidth="1"/>
    <col min="16134" max="16384" width="9.140625" style="1"/>
  </cols>
  <sheetData>
    <row r="1" spans="1:37" x14ac:dyDescent="0.25">
      <c r="A1" s="1" t="s">
        <v>962</v>
      </c>
    </row>
    <row r="4" spans="1:37" s="2" customFormat="1" ht="16.5" x14ac:dyDescent="0.25">
      <c r="A4" s="786" t="s">
        <v>294</v>
      </c>
      <c r="B4" s="786"/>
      <c r="C4" s="786"/>
      <c r="D4" s="786"/>
      <c r="E4" s="78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x14ac:dyDescent="0.25">
      <c r="A5" s="3"/>
      <c r="B5" s="3"/>
      <c r="C5" s="3"/>
      <c r="D5" s="3"/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x14ac:dyDescent="0.25">
      <c r="E6" s="4" t="s">
        <v>8</v>
      </c>
    </row>
    <row r="7" spans="1:37" s="26" customFormat="1" ht="30.75" customHeight="1" x14ac:dyDescent="0.25">
      <c r="A7" s="30" t="s">
        <v>9</v>
      </c>
      <c r="B7" s="5" t="s">
        <v>0</v>
      </c>
      <c r="C7" s="5"/>
      <c r="D7" s="5"/>
      <c r="E7" s="5" t="s">
        <v>105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7" customFormat="1" ht="24.75" customHeight="1" x14ac:dyDescent="0.25">
      <c r="A8" s="776" t="s">
        <v>106</v>
      </c>
      <c r="B8" s="777" t="s">
        <v>199</v>
      </c>
      <c r="C8" s="778"/>
      <c r="D8" s="778"/>
      <c r="E8" s="778">
        <v>575501</v>
      </c>
      <c r="F8" s="734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2"/>
    </row>
    <row r="9" spans="1:37" s="7" customFormat="1" ht="24.75" customHeight="1" x14ac:dyDescent="0.25">
      <c r="A9" s="776"/>
      <c r="B9" s="777" t="s">
        <v>844</v>
      </c>
      <c r="C9" s="778"/>
      <c r="D9" s="778">
        <v>155913</v>
      </c>
      <c r="E9" s="778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782"/>
      <c r="AB9" s="782"/>
      <c r="AC9" s="782"/>
      <c r="AD9" s="782"/>
      <c r="AE9" s="782"/>
      <c r="AF9" s="782"/>
      <c r="AG9" s="782"/>
      <c r="AH9" s="782"/>
      <c r="AI9" s="782"/>
      <c r="AJ9" s="782"/>
      <c r="AK9" s="782"/>
    </row>
    <row r="10" spans="1:37" s="7" customFormat="1" ht="24.75" customHeight="1" x14ac:dyDescent="0.25">
      <c r="A10" s="776"/>
      <c r="B10" s="777" t="s">
        <v>845</v>
      </c>
      <c r="C10" s="778"/>
      <c r="D10" s="778">
        <v>211933</v>
      </c>
      <c r="E10" s="778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</row>
    <row r="11" spans="1:37" s="7" customFormat="1" ht="24.75" customHeight="1" x14ac:dyDescent="0.25">
      <c r="A11" s="776"/>
      <c r="B11" s="777" t="s">
        <v>489</v>
      </c>
      <c r="C11" s="778"/>
      <c r="D11" s="778">
        <v>46912</v>
      </c>
      <c r="E11" s="778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2"/>
      <c r="U11" s="782"/>
      <c r="V11" s="782"/>
      <c r="W11" s="782"/>
      <c r="X11" s="782"/>
      <c r="Y11" s="782"/>
      <c r="Z11" s="782"/>
      <c r="AA11" s="782"/>
      <c r="AB11" s="782"/>
      <c r="AC11" s="782"/>
      <c r="AD11" s="782"/>
      <c r="AE11" s="782"/>
      <c r="AF11" s="782"/>
      <c r="AG11" s="782"/>
      <c r="AH11" s="782"/>
      <c r="AI11" s="782"/>
      <c r="AJ11" s="782"/>
      <c r="AK11" s="782"/>
    </row>
    <row r="12" spans="1:37" s="7" customFormat="1" ht="24.75" customHeight="1" x14ac:dyDescent="0.25">
      <c r="A12" s="776"/>
      <c r="B12" s="777" t="s">
        <v>796</v>
      </c>
      <c r="C12" s="778"/>
      <c r="D12" s="778">
        <v>145408</v>
      </c>
      <c r="E12" s="778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2"/>
      <c r="U12" s="782"/>
      <c r="V12" s="782"/>
      <c r="W12" s="782"/>
      <c r="X12" s="782"/>
      <c r="Y12" s="782"/>
      <c r="Z12" s="782"/>
      <c r="AA12" s="782"/>
      <c r="AB12" s="782"/>
      <c r="AC12" s="782"/>
      <c r="AD12" s="782"/>
      <c r="AE12" s="782"/>
      <c r="AF12" s="782"/>
      <c r="AG12" s="782"/>
      <c r="AH12" s="782"/>
      <c r="AI12" s="782"/>
      <c r="AJ12" s="782"/>
      <c r="AK12" s="782"/>
    </row>
    <row r="13" spans="1:37" s="7" customFormat="1" ht="24.75" customHeight="1" x14ac:dyDescent="0.25">
      <c r="A13" s="776"/>
      <c r="B13" s="777" t="s">
        <v>495</v>
      </c>
      <c r="C13" s="778"/>
      <c r="D13" s="778">
        <v>15335</v>
      </c>
      <c r="E13" s="778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2"/>
      <c r="R13" s="782"/>
      <c r="S13" s="782"/>
      <c r="T13" s="782"/>
      <c r="U13" s="782"/>
      <c r="V13" s="782"/>
      <c r="W13" s="782"/>
      <c r="X13" s="782"/>
      <c r="Y13" s="782"/>
      <c r="Z13" s="782"/>
      <c r="AA13" s="782"/>
      <c r="AB13" s="782"/>
      <c r="AC13" s="782"/>
      <c r="AD13" s="782"/>
      <c r="AE13" s="782"/>
      <c r="AF13" s="782"/>
      <c r="AG13" s="782"/>
      <c r="AH13" s="782"/>
      <c r="AI13" s="782"/>
      <c r="AJ13" s="782"/>
      <c r="AK13" s="782"/>
    </row>
    <row r="14" spans="1:37" s="7" customFormat="1" ht="24.75" customHeight="1" x14ac:dyDescent="0.25">
      <c r="A14" s="776" t="s">
        <v>107</v>
      </c>
      <c r="B14" s="777" t="s">
        <v>200</v>
      </c>
      <c r="C14" s="778"/>
      <c r="D14" s="778"/>
      <c r="E14" s="778">
        <v>3708744</v>
      </c>
      <c r="F14" s="782"/>
      <c r="G14" s="782"/>
      <c r="H14" s="782"/>
      <c r="I14" s="782"/>
      <c r="J14" s="782"/>
      <c r="K14" s="782"/>
      <c r="L14" s="782"/>
      <c r="M14" s="782"/>
      <c r="N14" s="782"/>
      <c r="O14" s="782"/>
      <c r="P14" s="782"/>
      <c r="Q14" s="782"/>
      <c r="R14" s="782"/>
      <c r="S14" s="782"/>
      <c r="T14" s="782"/>
      <c r="U14" s="782"/>
      <c r="V14" s="782"/>
      <c r="W14" s="782"/>
      <c r="X14" s="782"/>
      <c r="Y14" s="782"/>
      <c r="Z14" s="782"/>
      <c r="AA14" s="782"/>
      <c r="AB14" s="782"/>
      <c r="AC14" s="782"/>
      <c r="AD14" s="782"/>
      <c r="AE14" s="782"/>
      <c r="AF14" s="782"/>
      <c r="AG14" s="782"/>
      <c r="AH14" s="782"/>
      <c r="AI14" s="782"/>
      <c r="AJ14" s="782"/>
      <c r="AK14" s="782"/>
    </row>
    <row r="15" spans="1:37" s="7" customFormat="1" ht="24.75" customHeight="1" x14ac:dyDescent="0.25">
      <c r="A15" s="776"/>
      <c r="B15" s="777" t="s">
        <v>844</v>
      </c>
      <c r="C15" s="778"/>
      <c r="D15" s="778">
        <v>3708744</v>
      </c>
      <c r="E15" s="778"/>
      <c r="F15" s="782"/>
      <c r="G15" s="782"/>
      <c r="H15" s="782"/>
      <c r="I15" s="782"/>
      <c r="J15" s="782"/>
      <c r="K15" s="782"/>
      <c r="L15" s="782"/>
      <c r="M15" s="782"/>
      <c r="N15" s="782"/>
      <c r="O15" s="782"/>
      <c r="P15" s="782"/>
      <c r="Q15" s="782"/>
      <c r="R15" s="782"/>
      <c r="S15" s="782"/>
      <c r="T15" s="782"/>
      <c r="U15" s="782"/>
      <c r="V15" s="782"/>
      <c r="W15" s="782"/>
      <c r="X15" s="782"/>
      <c r="Y15" s="782"/>
      <c r="Z15" s="782"/>
      <c r="AA15" s="782"/>
      <c r="AB15" s="782"/>
      <c r="AC15" s="782"/>
      <c r="AD15" s="782"/>
      <c r="AE15" s="782"/>
      <c r="AF15" s="782"/>
      <c r="AG15" s="782"/>
      <c r="AH15" s="782"/>
      <c r="AI15" s="782"/>
      <c r="AJ15" s="782"/>
      <c r="AK15" s="782"/>
    </row>
    <row r="16" spans="1:37" s="7" customFormat="1" ht="24.75" customHeight="1" x14ac:dyDescent="0.25">
      <c r="A16" s="779" t="s">
        <v>108</v>
      </c>
      <c r="B16" s="780" t="s">
        <v>201</v>
      </c>
      <c r="C16" s="781"/>
      <c r="D16" s="781"/>
      <c r="E16" s="781">
        <v>4284245</v>
      </c>
      <c r="F16" s="782"/>
      <c r="G16" s="782"/>
      <c r="H16" s="782"/>
      <c r="I16" s="782"/>
      <c r="J16" s="782"/>
      <c r="K16" s="782"/>
      <c r="L16" s="782"/>
      <c r="M16" s="782"/>
      <c r="N16" s="782"/>
      <c r="O16" s="782"/>
      <c r="P16" s="782"/>
      <c r="Q16" s="782"/>
      <c r="R16" s="782"/>
      <c r="S16" s="782"/>
      <c r="T16" s="782"/>
      <c r="U16" s="782"/>
      <c r="V16" s="782"/>
      <c r="W16" s="782"/>
      <c r="X16" s="782"/>
      <c r="Y16" s="782"/>
      <c r="Z16" s="782"/>
      <c r="AA16" s="782"/>
      <c r="AB16" s="782"/>
      <c r="AC16" s="782"/>
      <c r="AD16" s="782"/>
      <c r="AE16" s="782"/>
      <c r="AF16" s="782"/>
      <c r="AG16" s="782"/>
      <c r="AH16" s="782"/>
      <c r="AI16" s="782"/>
      <c r="AJ16" s="782"/>
      <c r="AK16" s="782"/>
    </row>
    <row r="17" spans="1:37" s="7" customFormat="1" ht="24.75" customHeight="1" x14ac:dyDescent="0.25">
      <c r="A17" s="776" t="s">
        <v>109</v>
      </c>
      <c r="B17" s="777" t="s">
        <v>202</v>
      </c>
      <c r="C17" s="778"/>
      <c r="D17" s="778"/>
      <c r="E17" s="778">
        <v>14632988563</v>
      </c>
      <c r="F17" s="782"/>
      <c r="G17" s="782"/>
      <c r="H17" s="782"/>
      <c r="I17" s="782"/>
      <c r="J17" s="782"/>
      <c r="K17" s="782"/>
      <c r="L17" s="782"/>
      <c r="M17" s="782"/>
      <c r="N17" s="782"/>
      <c r="O17" s="782"/>
      <c r="P17" s="782"/>
      <c r="Q17" s="782"/>
      <c r="R17" s="782"/>
      <c r="S17" s="782"/>
      <c r="T17" s="782"/>
      <c r="U17" s="782"/>
      <c r="V17" s="782"/>
      <c r="W17" s="782"/>
      <c r="X17" s="782"/>
      <c r="Y17" s="782"/>
      <c r="Z17" s="782"/>
      <c r="AA17" s="782"/>
      <c r="AB17" s="782"/>
      <c r="AC17" s="782"/>
      <c r="AD17" s="782"/>
      <c r="AE17" s="782"/>
      <c r="AF17" s="782"/>
      <c r="AG17" s="782"/>
      <c r="AH17" s="782"/>
      <c r="AI17" s="782"/>
      <c r="AJ17" s="782"/>
      <c r="AK17" s="782"/>
    </row>
    <row r="18" spans="1:37" s="7" customFormat="1" ht="24.75" customHeight="1" x14ac:dyDescent="0.25">
      <c r="A18" s="776"/>
      <c r="B18" s="777" t="s">
        <v>844</v>
      </c>
      <c r="C18" s="778"/>
      <c r="D18" s="778">
        <v>14632988563</v>
      </c>
      <c r="E18" s="778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  <c r="U18" s="782"/>
      <c r="V18" s="782"/>
      <c r="W18" s="782"/>
      <c r="X18" s="782"/>
      <c r="Y18" s="782"/>
      <c r="Z18" s="782"/>
      <c r="AA18" s="782"/>
      <c r="AB18" s="782"/>
      <c r="AC18" s="782"/>
      <c r="AD18" s="782"/>
      <c r="AE18" s="782"/>
      <c r="AF18" s="782"/>
      <c r="AG18" s="782"/>
      <c r="AH18" s="782"/>
      <c r="AI18" s="782"/>
      <c r="AJ18" s="782"/>
      <c r="AK18" s="782"/>
    </row>
    <row r="19" spans="1:37" s="7" customFormat="1" ht="24.75" customHeight="1" x14ac:dyDescent="0.25">
      <c r="A19" s="776" t="s">
        <v>110</v>
      </c>
      <c r="B19" s="777" t="s">
        <v>203</v>
      </c>
      <c r="C19" s="778"/>
      <c r="D19" s="778"/>
      <c r="E19" s="778">
        <v>462361288</v>
      </c>
      <c r="F19" s="734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782"/>
      <c r="R19" s="782"/>
      <c r="S19" s="782"/>
      <c r="T19" s="782"/>
      <c r="U19" s="782"/>
      <c r="V19" s="782"/>
      <c r="W19" s="782"/>
      <c r="X19" s="782"/>
      <c r="Y19" s="782"/>
      <c r="Z19" s="782"/>
      <c r="AA19" s="782"/>
      <c r="AB19" s="782"/>
      <c r="AC19" s="782"/>
      <c r="AD19" s="782"/>
      <c r="AE19" s="782"/>
      <c r="AF19" s="782"/>
      <c r="AG19" s="782"/>
      <c r="AH19" s="782"/>
      <c r="AI19" s="782"/>
      <c r="AJ19" s="782"/>
      <c r="AK19" s="782"/>
    </row>
    <row r="20" spans="1:37" s="7" customFormat="1" ht="24.75" customHeight="1" x14ac:dyDescent="0.25">
      <c r="A20" s="776"/>
      <c r="B20" s="777" t="s">
        <v>844</v>
      </c>
      <c r="C20" s="778"/>
      <c r="D20" s="778">
        <v>385734354</v>
      </c>
      <c r="E20" s="778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2"/>
      <c r="Q20" s="782"/>
      <c r="R20" s="782"/>
      <c r="S20" s="782"/>
      <c r="T20" s="782"/>
      <c r="U20" s="782"/>
      <c r="V20" s="782"/>
      <c r="W20" s="782"/>
      <c r="X20" s="782"/>
      <c r="Y20" s="782"/>
      <c r="Z20" s="782"/>
      <c r="AA20" s="782"/>
      <c r="AB20" s="782"/>
      <c r="AC20" s="782"/>
      <c r="AD20" s="782"/>
      <c r="AE20" s="782"/>
      <c r="AF20" s="782"/>
      <c r="AG20" s="782"/>
      <c r="AH20" s="782"/>
      <c r="AI20" s="782"/>
      <c r="AJ20" s="782"/>
      <c r="AK20" s="782"/>
    </row>
    <row r="21" spans="1:37" s="7" customFormat="1" ht="24.75" customHeight="1" x14ac:dyDescent="0.25">
      <c r="A21" s="776"/>
      <c r="B21" s="777" t="s">
        <v>845</v>
      </c>
      <c r="C21" s="778"/>
      <c r="D21" s="778">
        <v>1939182</v>
      </c>
      <c r="E21" s="778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2"/>
      <c r="U21" s="782"/>
      <c r="V21" s="782"/>
      <c r="W21" s="782"/>
      <c r="X21" s="782"/>
      <c r="Y21" s="782"/>
      <c r="Z21" s="782"/>
      <c r="AA21" s="782"/>
      <c r="AB21" s="782"/>
      <c r="AC21" s="782"/>
      <c r="AD21" s="782"/>
      <c r="AE21" s="782"/>
      <c r="AF21" s="782"/>
      <c r="AG21" s="782"/>
      <c r="AH21" s="782"/>
      <c r="AI21" s="782"/>
      <c r="AJ21" s="782"/>
      <c r="AK21" s="782"/>
    </row>
    <row r="22" spans="1:37" s="7" customFormat="1" ht="24.75" customHeight="1" x14ac:dyDescent="0.25">
      <c r="A22" s="776"/>
      <c r="B22" s="777" t="s">
        <v>489</v>
      </c>
      <c r="C22" s="778"/>
      <c r="D22" s="778">
        <v>1508797</v>
      </c>
      <c r="E22" s="778"/>
      <c r="F22" s="782"/>
      <c r="G22" s="782"/>
      <c r="H22" s="782"/>
      <c r="I22" s="782"/>
      <c r="J22" s="782"/>
      <c r="K22" s="782"/>
      <c r="L22" s="782"/>
      <c r="M22" s="782"/>
      <c r="N22" s="782"/>
      <c r="O22" s="782"/>
      <c r="P22" s="782"/>
      <c r="Q22" s="782"/>
      <c r="R22" s="782"/>
      <c r="S22" s="782"/>
      <c r="T22" s="782"/>
      <c r="U22" s="782"/>
      <c r="V22" s="782"/>
      <c r="W22" s="782"/>
      <c r="X22" s="782"/>
      <c r="Y22" s="782"/>
      <c r="Z22" s="782"/>
      <c r="AA22" s="782"/>
      <c r="AB22" s="782"/>
      <c r="AC22" s="782"/>
      <c r="AD22" s="782"/>
      <c r="AE22" s="782"/>
      <c r="AF22" s="782"/>
      <c r="AG22" s="782"/>
      <c r="AH22" s="782"/>
      <c r="AI22" s="782"/>
      <c r="AJ22" s="782"/>
      <c r="AK22" s="782"/>
    </row>
    <row r="23" spans="1:37" s="7" customFormat="1" ht="24.75" customHeight="1" x14ac:dyDescent="0.25">
      <c r="A23" s="776"/>
      <c r="B23" s="777" t="s">
        <v>796</v>
      </c>
      <c r="C23" s="778"/>
      <c r="D23" s="778">
        <v>8841961</v>
      </c>
      <c r="E23" s="778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  <c r="U23" s="782"/>
      <c r="V23" s="782"/>
      <c r="W23" s="782"/>
      <c r="X23" s="782"/>
      <c r="Y23" s="782"/>
      <c r="Z23" s="782"/>
      <c r="AA23" s="782"/>
      <c r="AB23" s="782"/>
      <c r="AC23" s="782"/>
      <c r="AD23" s="782"/>
      <c r="AE23" s="782"/>
      <c r="AF23" s="782"/>
      <c r="AG23" s="782"/>
      <c r="AH23" s="782"/>
      <c r="AI23" s="782"/>
      <c r="AJ23" s="782"/>
      <c r="AK23" s="782"/>
    </row>
    <row r="24" spans="1:37" s="7" customFormat="1" ht="24.75" customHeight="1" x14ac:dyDescent="0.25">
      <c r="A24" s="776"/>
      <c r="B24" s="777" t="s">
        <v>797</v>
      </c>
      <c r="C24" s="778"/>
      <c r="D24" s="778">
        <v>28074263</v>
      </c>
      <c r="E24" s="778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2"/>
      <c r="T24" s="782"/>
      <c r="U24" s="782"/>
      <c r="V24" s="782"/>
      <c r="W24" s="782"/>
      <c r="X24" s="782"/>
      <c r="Y24" s="782"/>
      <c r="Z24" s="782"/>
      <c r="AA24" s="782"/>
      <c r="AB24" s="782"/>
      <c r="AC24" s="782"/>
      <c r="AD24" s="782"/>
      <c r="AE24" s="782"/>
      <c r="AF24" s="782"/>
      <c r="AG24" s="782"/>
      <c r="AH24" s="782"/>
      <c r="AI24" s="782"/>
      <c r="AJ24" s="782"/>
      <c r="AK24" s="782"/>
    </row>
    <row r="25" spans="1:37" s="7" customFormat="1" ht="24.75" customHeight="1" x14ac:dyDescent="0.25">
      <c r="A25" s="776"/>
      <c r="B25" s="777" t="s">
        <v>495</v>
      </c>
      <c r="C25" s="778"/>
      <c r="D25" s="778">
        <v>36262731</v>
      </c>
      <c r="E25" s="778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2"/>
      <c r="V25" s="782"/>
      <c r="W25" s="782"/>
      <c r="X25" s="782"/>
      <c r="Y25" s="782"/>
      <c r="Z25" s="782"/>
      <c r="AA25" s="782"/>
      <c r="AB25" s="782"/>
      <c r="AC25" s="782"/>
      <c r="AD25" s="782"/>
      <c r="AE25" s="782"/>
      <c r="AF25" s="782"/>
      <c r="AG25" s="782"/>
      <c r="AH25" s="782"/>
      <c r="AI25" s="782"/>
      <c r="AJ25" s="782"/>
      <c r="AK25" s="782"/>
    </row>
    <row r="26" spans="1:37" s="7" customFormat="1" ht="24.75" customHeight="1" x14ac:dyDescent="0.25">
      <c r="A26" s="776" t="s">
        <v>111</v>
      </c>
      <c r="B26" s="777" t="s">
        <v>204</v>
      </c>
      <c r="C26" s="778"/>
      <c r="D26" s="778"/>
      <c r="E26" s="778">
        <v>138795</v>
      </c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  <c r="U26" s="782"/>
      <c r="V26" s="782"/>
      <c r="W26" s="782"/>
      <c r="X26" s="782"/>
      <c r="Y26" s="782"/>
      <c r="Z26" s="782"/>
      <c r="AA26" s="782"/>
      <c r="AB26" s="782"/>
      <c r="AC26" s="782"/>
      <c r="AD26" s="782"/>
      <c r="AE26" s="782"/>
      <c r="AF26" s="782"/>
      <c r="AG26" s="782"/>
      <c r="AH26" s="782"/>
      <c r="AI26" s="782"/>
      <c r="AJ26" s="782"/>
      <c r="AK26" s="782"/>
    </row>
    <row r="27" spans="1:37" s="7" customFormat="1" ht="24.75" customHeight="1" x14ac:dyDescent="0.25">
      <c r="A27" s="776"/>
      <c r="B27" s="777" t="s">
        <v>495</v>
      </c>
      <c r="C27" s="778"/>
      <c r="D27" s="778">
        <v>138795</v>
      </c>
      <c r="E27" s="778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  <c r="U27" s="782"/>
      <c r="V27" s="782"/>
      <c r="W27" s="782"/>
      <c r="X27" s="782"/>
      <c r="Y27" s="782"/>
      <c r="Z27" s="782"/>
      <c r="AA27" s="782"/>
      <c r="AB27" s="782"/>
      <c r="AC27" s="782"/>
      <c r="AD27" s="782"/>
      <c r="AE27" s="782"/>
      <c r="AF27" s="782"/>
      <c r="AG27" s="782"/>
      <c r="AH27" s="782"/>
      <c r="AI27" s="782"/>
      <c r="AJ27" s="782"/>
      <c r="AK27" s="782"/>
    </row>
    <row r="28" spans="1:37" s="7" customFormat="1" ht="24.75" customHeight="1" x14ac:dyDescent="0.25">
      <c r="A28" s="776" t="s">
        <v>112</v>
      </c>
      <c r="B28" s="777" t="s">
        <v>205</v>
      </c>
      <c r="C28" s="778"/>
      <c r="D28" s="778"/>
      <c r="E28" s="778">
        <v>77451681</v>
      </c>
      <c r="F28" s="734"/>
      <c r="G28" s="782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2"/>
      <c r="U28" s="782"/>
      <c r="V28" s="782"/>
      <c r="W28" s="782"/>
      <c r="X28" s="782"/>
      <c r="Y28" s="782"/>
      <c r="Z28" s="782"/>
      <c r="AA28" s="782"/>
      <c r="AB28" s="782"/>
      <c r="AC28" s="782"/>
      <c r="AD28" s="782"/>
      <c r="AE28" s="782"/>
      <c r="AF28" s="782"/>
      <c r="AG28" s="782"/>
      <c r="AH28" s="782"/>
      <c r="AI28" s="782"/>
      <c r="AJ28" s="782"/>
      <c r="AK28" s="782"/>
    </row>
    <row r="29" spans="1:37" s="7" customFormat="1" ht="24.75" customHeight="1" x14ac:dyDescent="0.25">
      <c r="A29" s="776"/>
      <c r="B29" s="777" t="s">
        <v>844</v>
      </c>
      <c r="C29" s="778"/>
      <c r="D29" s="778">
        <v>74050513</v>
      </c>
      <c r="E29" s="778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  <c r="AF29" s="782"/>
      <c r="AG29" s="782"/>
      <c r="AH29" s="782"/>
      <c r="AI29" s="782"/>
      <c r="AJ29" s="782"/>
      <c r="AK29" s="782"/>
    </row>
    <row r="30" spans="1:37" s="7" customFormat="1" ht="24.75" customHeight="1" x14ac:dyDescent="0.25">
      <c r="A30" s="776"/>
      <c r="B30" s="777" t="s">
        <v>869</v>
      </c>
      <c r="C30" s="778">
        <v>8810000</v>
      </c>
      <c r="D30" s="778"/>
      <c r="E30" s="778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2"/>
      <c r="U30" s="782"/>
      <c r="V30" s="782"/>
      <c r="W30" s="782"/>
      <c r="X30" s="782"/>
      <c r="Y30" s="782"/>
      <c r="Z30" s="782"/>
      <c r="AA30" s="782"/>
      <c r="AB30" s="782"/>
      <c r="AC30" s="782"/>
      <c r="AD30" s="782"/>
      <c r="AE30" s="782"/>
      <c r="AF30" s="782"/>
      <c r="AG30" s="782"/>
      <c r="AH30" s="782"/>
      <c r="AI30" s="782"/>
      <c r="AJ30" s="782"/>
      <c r="AK30" s="782"/>
    </row>
    <row r="31" spans="1:37" s="7" customFormat="1" ht="24.75" customHeight="1" x14ac:dyDescent="0.25">
      <c r="A31" s="776"/>
      <c r="B31" s="777" t="s">
        <v>870</v>
      </c>
      <c r="C31" s="778">
        <v>200000</v>
      </c>
      <c r="D31" s="778"/>
      <c r="E31" s="778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782"/>
      <c r="AF31" s="782"/>
      <c r="AG31" s="782"/>
      <c r="AH31" s="782"/>
      <c r="AI31" s="782"/>
      <c r="AJ31" s="782"/>
      <c r="AK31" s="782"/>
    </row>
    <row r="32" spans="1:37" s="7" customFormat="1" ht="24.75" customHeight="1" x14ac:dyDescent="0.25">
      <c r="A32" s="776"/>
      <c r="B32" s="777" t="s">
        <v>871</v>
      </c>
      <c r="C32" s="778">
        <v>160000</v>
      </c>
      <c r="D32" s="778"/>
      <c r="E32" s="778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2"/>
      <c r="AD32" s="782"/>
      <c r="AE32" s="782"/>
      <c r="AF32" s="782"/>
      <c r="AG32" s="782"/>
      <c r="AH32" s="782"/>
      <c r="AI32" s="782"/>
      <c r="AJ32" s="782"/>
      <c r="AK32" s="782"/>
    </row>
    <row r="33" spans="1:37" s="7" customFormat="1" ht="24.75" customHeight="1" x14ac:dyDescent="0.25">
      <c r="A33" s="776"/>
      <c r="B33" s="777" t="s">
        <v>872</v>
      </c>
      <c r="C33" s="778">
        <v>372000</v>
      </c>
      <c r="D33" s="778"/>
      <c r="E33" s="778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2"/>
      <c r="AE33" s="782"/>
      <c r="AF33" s="782"/>
      <c r="AG33" s="782"/>
      <c r="AH33" s="782"/>
      <c r="AI33" s="782"/>
      <c r="AJ33" s="782"/>
      <c r="AK33" s="782"/>
    </row>
    <row r="34" spans="1:37" s="7" customFormat="1" ht="24.75" customHeight="1" x14ac:dyDescent="0.25">
      <c r="A34" s="776"/>
      <c r="B34" s="777" t="s">
        <v>873</v>
      </c>
      <c r="C34" s="778">
        <v>8623000</v>
      </c>
      <c r="D34" s="778"/>
      <c r="E34" s="778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Q34" s="782"/>
      <c r="R34" s="782"/>
      <c r="S34" s="782"/>
      <c r="T34" s="782"/>
      <c r="U34" s="782"/>
      <c r="V34" s="782"/>
      <c r="W34" s="782"/>
      <c r="X34" s="782"/>
      <c r="Y34" s="782"/>
      <c r="Z34" s="782"/>
      <c r="AA34" s="782"/>
      <c r="AB34" s="782"/>
      <c r="AC34" s="782"/>
      <c r="AD34" s="782"/>
      <c r="AE34" s="782"/>
      <c r="AF34" s="782"/>
      <c r="AG34" s="782"/>
      <c r="AH34" s="782"/>
      <c r="AI34" s="782"/>
      <c r="AJ34" s="782"/>
      <c r="AK34" s="782"/>
    </row>
    <row r="35" spans="1:37" s="7" customFormat="1" ht="24.75" customHeight="1" x14ac:dyDescent="0.25">
      <c r="A35" s="776"/>
      <c r="B35" s="777" t="s">
        <v>874</v>
      </c>
      <c r="C35" s="778">
        <v>222250</v>
      </c>
      <c r="D35" s="778"/>
      <c r="E35" s="778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Q35" s="782"/>
      <c r="R35" s="782"/>
      <c r="S35" s="782"/>
      <c r="T35" s="782"/>
      <c r="U35" s="782"/>
      <c r="V35" s="782"/>
      <c r="W35" s="782"/>
      <c r="X35" s="782"/>
      <c r="Y35" s="782"/>
      <c r="Z35" s="782"/>
      <c r="AA35" s="782"/>
      <c r="AB35" s="782"/>
      <c r="AC35" s="782"/>
      <c r="AD35" s="782"/>
      <c r="AE35" s="782"/>
      <c r="AF35" s="782"/>
      <c r="AG35" s="782"/>
      <c r="AH35" s="782"/>
      <c r="AI35" s="782"/>
      <c r="AJ35" s="782"/>
      <c r="AK35" s="782"/>
    </row>
    <row r="36" spans="1:37" s="7" customFormat="1" ht="24.75" customHeight="1" x14ac:dyDescent="0.25">
      <c r="A36" s="776"/>
      <c r="B36" s="777" t="s">
        <v>875</v>
      </c>
      <c r="C36" s="778">
        <v>7200000</v>
      </c>
      <c r="D36" s="778"/>
      <c r="E36" s="778"/>
      <c r="F36" s="782"/>
      <c r="G36" s="782"/>
      <c r="H36" s="782"/>
      <c r="I36" s="782"/>
      <c r="J36" s="782"/>
      <c r="K36" s="782"/>
      <c r="L36" s="782"/>
      <c r="M36" s="782"/>
      <c r="N36" s="782"/>
      <c r="O36" s="782"/>
      <c r="P36" s="782"/>
      <c r="Q36" s="782"/>
      <c r="R36" s="782"/>
      <c r="S36" s="782"/>
      <c r="T36" s="782"/>
      <c r="U36" s="782"/>
      <c r="V36" s="782"/>
      <c r="W36" s="782"/>
      <c r="X36" s="782"/>
      <c r="Y36" s="782"/>
      <c r="Z36" s="782"/>
      <c r="AA36" s="782"/>
      <c r="AB36" s="782"/>
      <c r="AC36" s="782"/>
      <c r="AD36" s="782"/>
      <c r="AE36" s="782"/>
      <c r="AF36" s="782"/>
      <c r="AG36" s="782"/>
      <c r="AH36" s="782"/>
      <c r="AI36" s="782"/>
      <c r="AJ36" s="782"/>
      <c r="AK36" s="782"/>
    </row>
    <row r="37" spans="1:37" s="7" customFormat="1" ht="24.75" customHeight="1" x14ac:dyDescent="0.25">
      <c r="A37" s="776"/>
      <c r="B37" s="777" t="s">
        <v>876</v>
      </c>
      <c r="C37" s="778">
        <v>16800000</v>
      </c>
      <c r="D37" s="778"/>
      <c r="E37" s="778"/>
      <c r="F37" s="782"/>
      <c r="G37" s="782"/>
      <c r="H37" s="782"/>
      <c r="I37" s="782"/>
      <c r="J37" s="782"/>
      <c r="K37" s="782"/>
      <c r="L37" s="782"/>
      <c r="M37" s="782"/>
      <c r="N37" s="782"/>
      <c r="O37" s="782"/>
      <c r="P37" s="782"/>
      <c r="Q37" s="782"/>
      <c r="R37" s="782"/>
      <c r="S37" s="782"/>
      <c r="T37" s="782"/>
      <c r="U37" s="782"/>
      <c r="V37" s="782"/>
      <c r="W37" s="782"/>
      <c r="X37" s="782"/>
      <c r="Y37" s="782"/>
      <c r="Z37" s="782"/>
      <c r="AA37" s="782"/>
      <c r="AB37" s="782"/>
      <c r="AC37" s="782"/>
      <c r="AD37" s="782"/>
      <c r="AE37" s="782"/>
      <c r="AF37" s="782"/>
      <c r="AG37" s="782"/>
      <c r="AH37" s="782"/>
      <c r="AI37" s="782"/>
      <c r="AJ37" s="782"/>
      <c r="AK37" s="782"/>
    </row>
    <row r="38" spans="1:37" s="7" customFormat="1" ht="24.75" customHeight="1" x14ac:dyDescent="0.25">
      <c r="A38" s="776"/>
      <c r="B38" s="777" t="s">
        <v>877</v>
      </c>
      <c r="C38" s="778">
        <v>8588500</v>
      </c>
      <c r="D38" s="778"/>
      <c r="E38" s="778"/>
      <c r="F38" s="782"/>
      <c r="G38" s="782"/>
      <c r="H38" s="782"/>
      <c r="I38" s="782"/>
      <c r="J38" s="782"/>
      <c r="K38" s="782"/>
      <c r="L38" s="782"/>
      <c r="M38" s="782"/>
      <c r="N38" s="782"/>
      <c r="O38" s="782"/>
      <c r="P38" s="782"/>
      <c r="Q38" s="782"/>
      <c r="R38" s="782"/>
      <c r="S38" s="782"/>
      <c r="T38" s="782"/>
      <c r="U38" s="782"/>
      <c r="V38" s="782"/>
      <c r="W38" s="782"/>
      <c r="X38" s="782"/>
      <c r="Y38" s="782"/>
      <c r="Z38" s="782"/>
      <c r="AA38" s="782"/>
      <c r="AB38" s="782"/>
      <c r="AC38" s="782"/>
      <c r="AD38" s="782"/>
      <c r="AE38" s="782"/>
      <c r="AF38" s="782"/>
      <c r="AG38" s="782"/>
      <c r="AH38" s="782"/>
      <c r="AI38" s="782"/>
      <c r="AJ38" s="782"/>
      <c r="AK38" s="782"/>
    </row>
    <row r="39" spans="1:37" s="7" customFormat="1" ht="24.75" customHeight="1" x14ac:dyDescent="0.25">
      <c r="A39" s="776"/>
      <c r="B39" s="777" t="s">
        <v>878</v>
      </c>
      <c r="C39" s="778">
        <v>480000</v>
      </c>
      <c r="D39" s="778"/>
      <c r="E39" s="778"/>
      <c r="F39" s="782"/>
      <c r="G39" s="782"/>
      <c r="H39" s="782"/>
      <c r="I39" s="782"/>
      <c r="J39" s="782"/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782"/>
      <c r="V39" s="782"/>
      <c r="W39" s="782"/>
      <c r="X39" s="782"/>
      <c r="Y39" s="782"/>
      <c r="Z39" s="782"/>
      <c r="AA39" s="782"/>
      <c r="AB39" s="782"/>
      <c r="AC39" s="782"/>
      <c r="AD39" s="782"/>
      <c r="AE39" s="782"/>
      <c r="AF39" s="782"/>
      <c r="AG39" s="782"/>
      <c r="AH39" s="782"/>
      <c r="AI39" s="782"/>
      <c r="AJ39" s="782"/>
      <c r="AK39" s="782"/>
    </row>
    <row r="40" spans="1:37" s="7" customFormat="1" ht="24.75" customHeight="1" x14ac:dyDescent="0.25">
      <c r="A40" s="776"/>
      <c r="B40" s="777" t="s">
        <v>879</v>
      </c>
      <c r="C40" s="778">
        <v>1142402</v>
      </c>
      <c r="D40" s="778"/>
      <c r="E40" s="778"/>
      <c r="F40" s="782"/>
      <c r="G40" s="782"/>
      <c r="H40" s="782"/>
      <c r="I40" s="782"/>
      <c r="J40" s="782"/>
      <c r="K40" s="782"/>
      <c r="L40" s="782"/>
      <c r="M40" s="782"/>
      <c r="N40" s="782"/>
      <c r="O40" s="782"/>
      <c r="P40" s="782"/>
      <c r="Q40" s="782"/>
      <c r="R40" s="782"/>
      <c r="S40" s="782"/>
      <c r="T40" s="782"/>
      <c r="U40" s="782"/>
      <c r="V40" s="782"/>
      <c r="W40" s="782"/>
      <c r="X40" s="782"/>
      <c r="Y40" s="782"/>
      <c r="Z40" s="782"/>
      <c r="AA40" s="782"/>
      <c r="AB40" s="782"/>
      <c r="AC40" s="782"/>
      <c r="AD40" s="782"/>
      <c r="AE40" s="782"/>
      <c r="AF40" s="782"/>
      <c r="AG40" s="782"/>
      <c r="AH40" s="782"/>
      <c r="AI40" s="782"/>
      <c r="AJ40" s="782"/>
      <c r="AK40" s="782"/>
    </row>
    <row r="41" spans="1:37" s="7" customFormat="1" ht="24.75" customHeight="1" x14ac:dyDescent="0.25">
      <c r="A41" s="776"/>
      <c r="B41" s="777" t="s">
        <v>880</v>
      </c>
      <c r="C41" s="778">
        <v>3068125</v>
      </c>
      <c r="D41" s="778"/>
      <c r="E41" s="778"/>
      <c r="F41" s="782"/>
      <c r="G41" s="782"/>
      <c r="H41" s="782"/>
      <c r="I41" s="782"/>
      <c r="J41" s="782"/>
      <c r="K41" s="782"/>
      <c r="L41" s="782"/>
      <c r="M41" s="782"/>
      <c r="N41" s="782"/>
      <c r="O41" s="782"/>
      <c r="P41" s="782"/>
      <c r="Q41" s="782"/>
      <c r="R41" s="782"/>
      <c r="S41" s="782"/>
      <c r="T41" s="782"/>
      <c r="U41" s="782"/>
      <c r="V41" s="782"/>
      <c r="W41" s="782"/>
      <c r="X41" s="782"/>
      <c r="Y41" s="782"/>
      <c r="Z41" s="782"/>
      <c r="AA41" s="782"/>
      <c r="AB41" s="782"/>
      <c r="AC41" s="782"/>
      <c r="AD41" s="782"/>
      <c r="AE41" s="782"/>
      <c r="AF41" s="782"/>
      <c r="AG41" s="782"/>
      <c r="AH41" s="782"/>
      <c r="AI41" s="782"/>
      <c r="AJ41" s="782"/>
      <c r="AK41" s="782"/>
    </row>
    <row r="42" spans="1:37" s="7" customFormat="1" ht="24.75" customHeight="1" x14ac:dyDescent="0.25">
      <c r="A42" s="776"/>
      <c r="B42" s="777" t="s">
        <v>881</v>
      </c>
      <c r="C42" s="778">
        <v>2667000</v>
      </c>
      <c r="D42" s="778"/>
      <c r="E42" s="778"/>
      <c r="F42" s="782"/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782"/>
      <c r="S42" s="782"/>
      <c r="T42" s="782"/>
      <c r="U42" s="782"/>
      <c r="V42" s="782"/>
      <c r="W42" s="782"/>
      <c r="X42" s="782"/>
      <c r="Y42" s="782"/>
      <c r="Z42" s="782"/>
      <c r="AA42" s="782"/>
      <c r="AB42" s="782"/>
      <c r="AC42" s="782"/>
      <c r="AD42" s="782"/>
      <c r="AE42" s="782"/>
      <c r="AF42" s="782"/>
      <c r="AG42" s="782"/>
      <c r="AH42" s="782"/>
      <c r="AI42" s="782"/>
      <c r="AJ42" s="782"/>
      <c r="AK42" s="782"/>
    </row>
    <row r="43" spans="1:37" s="7" customFormat="1" ht="24.75" customHeight="1" x14ac:dyDescent="0.25">
      <c r="A43" s="776"/>
      <c r="B43" s="777" t="s">
        <v>882</v>
      </c>
      <c r="C43" s="778">
        <v>3742875</v>
      </c>
      <c r="D43" s="778"/>
      <c r="E43" s="778"/>
      <c r="F43" s="782"/>
      <c r="G43" s="782"/>
      <c r="H43" s="782"/>
      <c r="I43" s="782"/>
      <c r="J43" s="782"/>
      <c r="K43" s="782"/>
      <c r="L43" s="782"/>
      <c r="M43" s="782"/>
      <c r="N43" s="782"/>
      <c r="O43" s="782"/>
      <c r="P43" s="782"/>
      <c r="Q43" s="782"/>
      <c r="R43" s="782"/>
      <c r="S43" s="782"/>
      <c r="T43" s="782"/>
      <c r="U43" s="782"/>
      <c r="V43" s="782"/>
      <c r="W43" s="782"/>
      <c r="X43" s="782"/>
      <c r="Y43" s="782"/>
      <c r="Z43" s="782"/>
      <c r="AA43" s="782"/>
      <c r="AB43" s="782"/>
      <c r="AC43" s="782"/>
      <c r="AD43" s="782"/>
      <c r="AE43" s="782"/>
      <c r="AF43" s="782"/>
      <c r="AG43" s="782"/>
      <c r="AH43" s="782"/>
      <c r="AI43" s="782"/>
      <c r="AJ43" s="782"/>
      <c r="AK43" s="782"/>
    </row>
    <row r="44" spans="1:37" s="7" customFormat="1" ht="24.75" customHeight="1" x14ac:dyDescent="0.25">
      <c r="A44" s="776"/>
      <c r="B44" s="777" t="s">
        <v>883</v>
      </c>
      <c r="C44" s="778">
        <v>511417</v>
      </c>
      <c r="D44" s="778"/>
      <c r="E44" s="778"/>
      <c r="F44" s="782"/>
      <c r="G44" s="782"/>
      <c r="H44" s="782"/>
      <c r="I44" s="782"/>
      <c r="J44" s="782"/>
      <c r="K44" s="782"/>
      <c r="L44" s="782"/>
      <c r="M44" s="782"/>
      <c r="N44" s="782"/>
      <c r="O44" s="782"/>
      <c r="P44" s="782"/>
      <c r="Q44" s="782"/>
      <c r="R44" s="782"/>
      <c r="S44" s="782"/>
      <c r="T44" s="782"/>
      <c r="U44" s="782"/>
      <c r="V44" s="782"/>
      <c r="W44" s="782"/>
      <c r="X44" s="782"/>
      <c r="Y44" s="782"/>
      <c r="Z44" s="782"/>
      <c r="AA44" s="782"/>
      <c r="AB44" s="782"/>
      <c r="AC44" s="782"/>
      <c r="AD44" s="782"/>
      <c r="AE44" s="782"/>
      <c r="AF44" s="782"/>
      <c r="AG44" s="782"/>
      <c r="AH44" s="782"/>
      <c r="AI44" s="782"/>
      <c r="AJ44" s="782"/>
      <c r="AK44" s="782"/>
    </row>
    <row r="45" spans="1:37" s="7" customFormat="1" ht="24.75" customHeight="1" x14ac:dyDescent="0.25">
      <c r="A45" s="776"/>
      <c r="B45" s="777" t="s">
        <v>884</v>
      </c>
      <c r="C45" s="778">
        <v>600000</v>
      </c>
      <c r="D45" s="778"/>
      <c r="E45" s="778"/>
      <c r="F45" s="782"/>
      <c r="G45" s="782"/>
      <c r="H45" s="782"/>
      <c r="I45" s="782"/>
      <c r="J45" s="782"/>
      <c r="K45" s="782"/>
      <c r="L45" s="782"/>
      <c r="M45" s="782"/>
      <c r="N45" s="782"/>
      <c r="O45" s="782"/>
      <c r="P45" s="782"/>
      <c r="Q45" s="782"/>
      <c r="R45" s="782"/>
      <c r="S45" s="782"/>
      <c r="T45" s="782"/>
      <c r="U45" s="782"/>
      <c r="V45" s="782"/>
      <c r="W45" s="782"/>
      <c r="X45" s="782"/>
      <c r="Y45" s="782"/>
      <c r="Z45" s="782"/>
      <c r="AA45" s="782"/>
      <c r="AB45" s="782"/>
      <c r="AC45" s="782"/>
      <c r="AD45" s="782"/>
      <c r="AE45" s="782"/>
      <c r="AF45" s="782"/>
      <c r="AG45" s="782"/>
      <c r="AH45" s="782"/>
      <c r="AI45" s="782"/>
      <c r="AJ45" s="782"/>
      <c r="AK45" s="782"/>
    </row>
    <row r="46" spans="1:37" s="7" customFormat="1" ht="24.75" customHeight="1" x14ac:dyDescent="0.25">
      <c r="A46" s="776"/>
      <c r="B46" s="777" t="s">
        <v>885</v>
      </c>
      <c r="C46" s="778">
        <v>2141944</v>
      </c>
      <c r="D46" s="778"/>
      <c r="E46" s="778"/>
      <c r="F46" s="782"/>
      <c r="G46" s="782"/>
      <c r="H46" s="782"/>
      <c r="I46" s="782"/>
      <c r="J46" s="782"/>
      <c r="K46" s="782"/>
      <c r="L46" s="782"/>
      <c r="M46" s="782"/>
      <c r="N46" s="782"/>
      <c r="O46" s="782"/>
      <c r="P46" s="782"/>
      <c r="Q46" s="782"/>
      <c r="R46" s="782"/>
      <c r="S46" s="782"/>
      <c r="T46" s="782"/>
      <c r="U46" s="782"/>
      <c r="V46" s="782"/>
      <c r="W46" s="782"/>
      <c r="X46" s="782"/>
      <c r="Y46" s="782"/>
      <c r="Z46" s="782"/>
      <c r="AA46" s="782"/>
      <c r="AB46" s="782"/>
      <c r="AC46" s="782"/>
      <c r="AD46" s="782"/>
      <c r="AE46" s="782"/>
      <c r="AF46" s="782"/>
      <c r="AG46" s="782"/>
      <c r="AH46" s="782"/>
      <c r="AI46" s="782"/>
      <c r="AJ46" s="782"/>
      <c r="AK46" s="782"/>
    </row>
    <row r="47" spans="1:37" s="7" customFormat="1" ht="24.75" customHeight="1" x14ac:dyDescent="0.25">
      <c r="A47" s="776"/>
      <c r="B47" s="777" t="s">
        <v>886</v>
      </c>
      <c r="C47" s="778">
        <v>1000000</v>
      </c>
      <c r="D47" s="778"/>
      <c r="E47" s="778"/>
      <c r="F47" s="782"/>
      <c r="G47" s="782"/>
      <c r="H47" s="782"/>
      <c r="I47" s="782"/>
      <c r="J47" s="782"/>
      <c r="K47" s="782"/>
      <c r="L47" s="782"/>
      <c r="M47" s="782"/>
      <c r="N47" s="782"/>
      <c r="O47" s="782"/>
      <c r="P47" s="782"/>
      <c r="Q47" s="782"/>
      <c r="R47" s="782"/>
      <c r="S47" s="782"/>
      <c r="T47" s="782"/>
      <c r="U47" s="782"/>
      <c r="V47" s="782"/>
      <c r="W47" s="782"/>
      <c r="X47" s="782"/>
      <c r="Y47" s="782"/>
      <c r="Z47" s="782"/>
      <c r="AA47" s="782"/>
      <c r="AB47" s="782"/>
      <c r="AC47" s="782"/>
      <c r="AD47" s="782"/>
      <c r="AE47" s="782"/>
      <c r="AF47" s="782"/>
      <c r="AG47" s="782"/>
      <c r="AH47" s="782"/>
      <c r="AI47" s="782"/>
      <c r="AJ47" s="782"/>
      <c r="AK47" s="782"/>
    </row>
    <row r="48" spans="1:37" s="7" customFormat="1" ht="24.75" customHeight="1" x14ac:dyDescent="0.25">
      <c r="A48" s="776"/>
      <c r="B48" s="777" t="s">
        <v>887</v>
      </c>
      <c r="C48" s="778">
        <v>7221000</v>
      </c>
      <c r="D48" s="778"/>
      <c r="E48" s="778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2"/>
      <c r="Q48" s="782"/>
      <c r="R48" s="782"/>
      <c r="S48" s="782"/>
      <c r="T48" s="782"/>
      <c r="U48" s="782"/>
      <c r="V48" s="782"/>
      <c r="W48" s="782"/>
      <c r="X48" s="782"/>
      <c r="Y48" s="782"/>
      <c r="Z48" s="782"/>
      <c r="AA48" s="782"/>
      <c r="AB48" s="782"/>
      <c r="AC48" s="782"/>
      <c r="AD48" s="782"/>
      <c r="AE48" s="782"/>
      <c r="AF48" s="782"/>
      <c r="AG48" s="782"/>
      <c r="AH48" s="782"/>
      <c r="AI48" s="782"/>
      <c r="AJ48" s="782"/>
      <c r="AK48" s="782"/>
    </row>
    <row r="49" spans="1:37" s="7" customFormat="1" ht="24.75" customHeight="1" x14ac:dyDescent="0.25">
      <c r="A49" s="776"/>
      <c r="B49" s="777" t="s">
        <v>888</v>
      </c>
      <c r="C49" s="778">
        <v>500000</v>
      </c>
      <c r="D49" s="778"/>
      <c r="E49" s="778"/>
      <c r="F49" s="782"/>
      <c r="G49" s="782"/>
      <c r="H49" s="782"/>
      <c r="I49" s="782"/>
      <c r="J49" s="782"/>
      <c r="K49" s="782"/>
      <c r="L49" s="782"/>
      <c r="M49" s="782"/>
      <c r="N49" s="782"/>
      <c r="O49" s="782"/>
      <c r="P49" s="782"/>
      <c r="Q49" s="782"/>
      <c r="R49" s="782"/>
      <c r="S49" s="782"/>
      <c r="T49" s="782"/>
      <c r="U49" s="782"/>
      <c r="V49" s="782"/>
      <c r="W49" s="782"/>
      <c r="X49" s="782"/>
      <c r="Y49" s="782"/>
      <c r="Z49" s="782"/>
      <c r="AA49" s="782"/>
      <c r="AB49" s="782"/>
      <c r="AC49" s="782"/>
      <c r="AD49" s="782"/>
      <c r="AE49" s="782"/>
      <c r="AF49" s="782"/>
      <c r="AG49" s="782"/>
      <c r="AH49" s="782"/>
      <c r="AI49" s="782"/>
      <c r="AJ49" s="782"/>
      <c r="AK49" s="782"/>
    </row>
    <row r="50" spans="1:37" s="21" customFormat="1" ht="24.75" customHeight="1" x14ac:dyDescent="0.25">
      <c r="A50" s="783"/>
      <c r="B50" s="784" t="s">
        <v>489</v>
      </c>
      <c r="C50" s="785"/>
      <c r="D50" s="785">
        <v>520294</v>
      </c>
      <c r="E50" s="785"/>
    </row>
    <row r="51" spans="1:37" s="21" customFormat="1" ht="24.75" customHeight="1" x14ac:dyDescent="0.25">
      <c r="A51" s="783"/>
      <c r="B51" s="784" t="s">
        <v>865</v>
      </c>
      <c r="C51" s="785">
        <v>370000</v>
      </c>
      <c r="D51" s="785"/>
      <c r="E51" s="785"/>
    </row>
    <row r="52" spans="1:37" s="21" customFormat="1" ht="24.75" customHeight="1" x14ac:dyDescent="0.25">
      <c r="A52" s="783"/>
      <c r="B52" s="784" t="s">
        <v>866</v>
      </c>
      <c r="C52" s="785">
        <v>150294</v>
      </c>
      <c r="D52" s="785"/>
      <c r="E52" s="785"/>
    </row>
    <row r="53" spans="1:37" s="21" customFormat="1" ht="24.75" customHeight="1" x14ac:dyDescent="0.25">
      <c r="A53" s="783"/>
      <c r="B53" s="784" t="s">
        <v>495</v>
      </c>
      <c r="C53" s="785"/>
      <c r="D53" s="785">
        <v>2880874</v>
      </c>
      <c r="E53" s="785"/>
    </row>
    <row r="54" spans="1:37" s="21" customFormat="1" ht="24.75" customHeight="1" x14ac:dyDescent="0.25">
      <c r="A54" s="783"/>
      <c r="B54" s="738" t="s">
        <v>868</v>
      </c>
      <c r="C54" s="785">
        <v>1100874</v>
      </c>
      <c r="D54" s="785"/>
      <c r="E54" s="785"/>
    </row>
    <row r="55" spans="1:37" s="21" customFormat="1" ht="24.75" customHeight="1" x14ac:dyDescent="0.25">
      <c r="A55" s="783"/>
      <c r="B55" s="738" t="s">
        <v>867</v>
      </c>
      <c r="C55" s="785">
        <v>1780000</v>
      </c>
      <c r="D55" s="785"/>
      <c r="E55" s="785"/>
    </row>
    <row r="56" spans="1:37" s="7" customFormat="1" ht="24.75" customHeight="1" x14ac:dyDescent="0.25">
      <c r="A56" s="779" t="s">
        <v>113</v>
      </c>
      <c r="B56" s="780" t="s">
        <v>45</v>
      </c>
      <c r="C56" s="781"/>
      <c r="D56" s="781"/>
      <c r="E56" s="781">
        <v>15172940327</v>
      </c>
      <c r="F56" s="782"/>
      <c r="G56" s="782"/>
      <c r="H56" s="782"/>
      <c r="I56" s="782"/>
      <c r="J56" s="782"/>
      <c r="K56" s="782"/>
      <c r="L56" s="782"/>
      <c r="M56" s="782"/>
      <c r="N56" s="782"/>
      <c r="O56" s="782"/>
      <c r="P56" s="782"/>
      <c r="Q56" s="782"/>
      <c r="R56" s="782"/>
      <c r="S56" s="782"/>
      <c r="T56" s="782"/>
      <c r="U56" s="782"/>
      <c r="V56" s="782"/>
      <c r="W56" s="782"/>
      <c r="X56" s="782"/>
      <c r="Y56" s="782"/>
      <c r="Z56" s="782"/>
      <c r="AA56" s="782"/>
      <c r="AB56" s="782"/>
      <c r="AC56" s="782"/>
      <c r="AD56" s="782"/>
      <c r="AE56" s="782"/>
      <c r="AF56" s="782"/>
      <c r="AG56" s="782"/>
      <c r="AH56" s="782"/>
      <c r="AI56" s="782"/>
      <c r="AJ56" s="782"/>
      <c r="AK56" s="782"/>
    </row>
    <row r="57" spans="1:37" s="7" customFormat="1" ht="24.75" customHeight="1" x14ac:dyDescent="0.25">
      <c r="A57" s="776" t="s">
        <v>114</v>
      </c>
      <c r="B57" s="777" t="s">
        <v>207</v>
      </c>
      <c r="C57" s="778"/>
      <c r="D57" s="778"/>
      <c r="E57" s="778">
        <v>129626200</v>
      </c>
      <c r="F57" s="782"/>
      <c r="G57" s="782"/>
      <c r="H57" s="782"/>
      <c r="I57" s="782"/>
      <c r="J57" s="782"/>
      <c r="K57" s="782"/>
      <c r="L57" s="782"/>
      <c r="M57" s="782"/>
      <c r="N57" s="782"/>
      <c r="O57" s="782"/>
      <c r="P57" s="782"/>
      <c r="Q57" s="782"/>
      <c r="R57" s="782"/>
      <c r="S57" s="782"/>
      <c r="T57" s="782"/>
      <c r="U57" s="782"/>
      <c r="V57" s="782"/>
      <c r="W57" s="782"/>
      <c r="X57" s="782"/>
      <c r="Y57" s="782"/>
      <c r="Z57" s="782"/>
      <c r="AA57" s="782"/>
      <c r="AB57" s="782"/>
      <c r="AC57" s="782"/>
      <c r="AD57" s="782"/>
      <c r="AE57" s="782"/>
      <c r="AF57" s="782"/>
      <c r="AG57" s="782"/>
      <c r="AH57" s="782"/>
      <c r="AI57" s="782"/>
      <c r="AJ57" s="782"/>
      <c r="AK57" s="782"/>
    </row>
    <row r="58" spans="1:37" s="7" customFormat="1" ht="24.75" customHeight="1" x14ac:dyDescent="0.25">
      <c r="A58" s="776" t="s">
        <v>115</v>
      </c>
      <c r="B58" s="777" t="s">
        <v>206</v>
      </c>
      <c r="C58" s="778"/>
      <c r="D58" s="778"/>
      <c r="E58" s="778">
        <v>129626200</v>
      </c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2"/>
      <c r="V58" s="782"/>
      <c r="W58" s="782"/>
      <c r="X58" s="782"/>
      <c r="Y58" s="782"/>
      <c r="Z58" s="782"/>
      <c r="AA58" s="782"/>
      <c r="AB58" s="782"/>
      <c r="AC58" s="782"/>
      <c r="AD58" s="782"/>
      <c r="AE58" s="782"/>
      <c r="AF58" s="782"/>
      <c r="AG58" s="782"/>
      <c r="AH58" s="782"/>
      <c r="AI58" s="782"/>
      <c r="AJ58" s="782"/>
      <c r="AK58" s="782"/>
    </row>
    <row r="59" spans="1:37" s="26" customFormat="1" ht="30.75" customHeight="1" x14ac:dyDescent="0.25">
      <c r="A59" s="30" t="s">
        <v>9</v>
      </c>
      <c r="B59" s="5" t="s">
        <v>0</v>
      </c>
      <c r="C59" s="5"/>
      <c r="D59" s="5"/>
      <c r="E59" s="5" t="s">
        <v>105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</row>
    <row r="60" spans="1:37" s="782" customFormat="1" ht="24.75" customHeight="1" x14ac:dyDescent="0.25">
      <c r="A60" s="783"/>
      <c r="B60" s="784" t="s">
        <v>844</v>
      </c>
      <c r="C60" s="785"/>
      <c r="D60" s="785">
        <v>129626200</v>
      </c>
      <c r="E60" s="785"/>
    </row>
    <row r="61" spans="1:37" s="782" customFormat="1" ht="24.75" customHeight="1" x14ac:dyDescent="0.25">
      <c r="A61" s="783"/>
      <c r="B61" s="738" t="s">
        <v>846</v>
      </c>
      <c r="C61" s="739"/>
      <c r="D61" s="785"/>
      <c r="E61" s="785"/>
    </row>
    <row r="62" spans="1:37" s="782" customFormat="1" ht="24.75" customHeight="1" x14ac:dyDescent="0.25">
      <c r="A62" s="783"/>
      <c r="B62" s="738" t="s">
        <v>847</v>
      </c>
      <c r="C62" s="739">
        <v>3000</v>
      </c>
      <c r="D62" s="785"/>
      <c r="E62" s="785"/>
    </row>
    <row r="63" spans="1:37" s="782" customFormat="1" ht="24.75" customHeight="1" x14ac:dyDescent="0.25">
      <c r="A63" s="783"/>
      <c r="B63" s="738" t="s">
        <v>848</v>
      </c>
      <c r="C63" s="739">
        <v>3000</v>
      </c>
      <c r="D63" s="785"/>
      <c r="E63" s="785"/>
    </row>
    <row r="64" spans="1:37" s="782" customFormat="1" ht="24.75" customHeight="1" x14ac:dyDescent="0.25">
      <c r="A64" s="783"/>
      <c r="B64" s="738" t="s">
        <v>849</v>
      </c>
      <c r="C64" s="739">
        <v>6000</v>
      </c>
      <c r="D64" s="785"/>
      <c r="E64" s="785"/>
    </row>
    <row r="65" spans="1:5" s="782" customFormat="1" ht="24.75" customHeight="1" x14ac:dyDescent="0.25">
      <c r="A65" s="783"/>
      <c r="B65" s="738" t="s">
        <v>850</v>
      </c>
      <c r="C65" s="739">
        <v>4400</v>
      </c>
      <c r="D65" s="785"/>
      <c r="E65" s="785"/>
    </row>
    <row r="66" spans="1:5" s="782" customFormat="1" ht="24.75" customHeight="1" x14ac:dyDescent="0.25">
      <c r="A66" s="783"/>
      <c r="B66" s="738" t="s">
        <v>851</v>
      </c>
      <c r="C66" s="739"/>
      <c r="D66" s="785"/>
      <c r="E66" s="785"/>
    </row>
    <row r="67" spans="1:5" s="782" customFormat="1" ht="24.75" customHeight="1" x14ac:dyDescent="0.25">
      <c r="A67" s="783"/>
      <c r="B67" s="738" t="s">
        <v>852</v>
      </c>
      <c r="C67" s="739">
        <v>2800</v>
      </c>
      <c r="D67" s="785"/>
      <c r="E67" s="785"/>
    </row>
    <row r="68" spans="1:5" s="782" customFormat="1" ht="24.75" customHeight="1" x14ac:dyDescent="0.25">
      <c r="A68" s="783"/>
      <c r="B68" s="738" t="s">
        <v>853</v>
      </c>
      <c r="C68" s="739"/>
      <c r="D68" s="785"/>
      <c r="E68" s="785"/>
    </row>
    <row r="69" spans="1:5" s="782" customFormat="1" ht="24.75" customHeight="1" x14ac:dyDescent="0.25">
      <c r="A69" s="783"/>
      <c r="B69" s="738" t="s">
        <v>854</v>
      </c>
      <c r="C69" s="739">
        <v>53000</v>
      </c>
      <c r="D69" s="785"/>
      <c r="E69" s="785"/>
    </row>
    <row r="70" spans="1:5" s="782" customFormat="1" ht="24.75" customHeight="1" x14ac:dyDescent="0.25">
      <c r="A70" s="783"/>
      <c r="B70" s="738" t="s">
        <v>855</v>
      </c>
      <c r="C70" s="739"/>
      <c r="D70" s="785"/>
      <c r="E70" s="785"/>
    </row>
    <row r="71" spans="1:5" s="782" customFormat="1" ht="24.75" customHeight="1" x14ac:dyDescent="0.25">
      <c r="A71" s="783"/>
      <c r="B71" s="738" t="s">
        <v>856</v>
      </c>
      <c r="C71" s="739">
        <v>3300</v>
      </c>
      <c r="D71" s="785"/>
      <c r="E71" s="785"/>
    </row>
    <row r="72" spans="1:5" s="782" customFormat="1" ht="24.75" customHeight="1" x14ac:dyDescent="0.25">
      <c r="A72" s="783"/>
      <c r="B72" s="738" t="s">
        <v>857</v>
      </c>
      <c r="C72" s="739"/>
      <c r="D72" s="785"/>
      <c r="E72" s="785"/>
    </row>
    <row r="73" spans="1:5" s="782" customFormat="1" ht="24.75" customHeight="1" x14ac:dyDescent="0.25">
      <c r="A73" s="783"/>
      <c r="B73" s="738" t="s">
        <v>862</v>
      </c>
      <c r="C73" s="739">
        <v>100</v>
      </c>
      <c r="D73" s="785"/>
      <c r="E73" s="785"/>
    </row>
    <row r="74" spans="1:5" s="782" customFormat="1" ht="24.75" customHeight="1" x14ac:dyDescent="0.25">
      <c r="A74" s="783"/>
      <c r="B74" s="738" t="s">
        <v>858</v>
      </c>
      <c r="C74" s="739">
        <v>53988</v>
      </c>
      <c r="D74" s="785"/>
      <c r="E74" s="785"/>
    </row>
    <row r="75" spans="1:5" s="782" customFormat="1" ht="24.75" customHeight="1" x14ac:dyDescent="0.25">
      <c r="A75" s="783"/>
      <c r="B75" s="738" t="s">
        <v>860</v>
      </c>
      <c r="C75" s="739"/>
      <c r="D75" s="785"/>
      <c r="E75" s="785"/>
    </row>
    <row r="76" spans="1:5" s="782" customFormat="1" ht="24.75" customHeight="1" x14ac:dyDescent="0.25">
      <c r="A76" s="783"/>
      <c r="B76" s="738" t="s">
        <v>859</v>
      </c>
      <c r="C76" s="739">
        <v>38</v>
      </c>
      <c r="D76" s="785"/>
      <c r="E76" s="785"/>
    </row>
    <row r="77" spans="1:5" s="782" customFormat="1" ht="24.75" customHeight="1" x14ac:dyDescent="0.25">
      <c r="A77" s="783"/>
      <c r="B77" s="738" t="s">
        <v>861</v>
      </c>
      <c r="C77" s="739"/>
      <c r="D77" s="785"/>
      <c r="E77" s="785"/>
    </row>
    <row r="78" spans="1:5" s="782" customFormat="1" ht="24.75" customHeight="1" x14ac:dyDescent="0.25">
      <c r="A78" s="736" t="s">
        <v>116</v>
      </c>
      <c r="B78" s="737" t="s">
        <v>210</v>
      </c>
      <c r="C78" s="563"/>
      <c r="D78" s="563"/>
      <c r="E78" s="563">
        <v>129626200</v>
      </c>
    </row>
    <row r="79" spans="1:5" s="782" customFormat="1" ht="24.75" customHeight="1" x14ac:dyDescent="0.25">
      <c r="A79" s="783" t="s">
        <v>117</v>
      </c>
      <c r="B79" s="784" t="s">
        <v>209</v>
      </c>
      <c r="C79" s="785"/>
      <c r="D79" s="785"/>
      <c r="E79" s="785">
        <v>90894925</v>
      </c>
    </row>
    <row r="80" spans="1:5" s="782" customFormat="1" ht="24.75" customHeight="1" x14ac:dyDescent="0.25">
      <c r="A80" s="783" t="s">
        <v>118</v>
      </c>
      <c r="B80" s="784" t="s">
        <v>208</v>
      </c>
      <c r="C80" s="785"/>
      <c r="D80" s="785"/>
      <c r="E80" s="785">
        <v>90894925</v>
      </c>
    </row>
    <row r="81" spans="1:37" s="782" customFormat="1" ht="38.25" customHeight="1" x14ac:dyDescent="0.25">
      <c r="A81" s="783"/>
      <c r="B81" s="784" t="s">
        <v>889</v>
      </c>
      <c r="C81" s="785"/>
      <c r="D81" s="785">
        <v>90894925</v>
      </c>
      <c r="E81" s="785"/>
    </row>
    <row r="82" spans="1:37" s="782" customFormat="1" ht="24.75" customHeight="1" x14ac:dyDescent="0.25">
      <c r="A82" s="736" t="s">
        <v>119</v>
      </c>
      <c r="B82" s="737" t="s">
        <v>209</v>
      </c>
      <c r="C82" s="563"/>
      <c r="D82" s="563"/>
      <c r="E82" s="563">
        <v>90894925</v>
      </c>
    </row>
    <row r="83" spans="1:37" s="782" customFormat="1" ht="24.75" customHeight="1" x14ac:dyDescent="0.25">
      <c r="A83" s="736" t="s">
        <v>10</v>
      </c>
      <c r="B83" s="737" t="s">
        <v>211</v>
      </c>
      <c r="C83" s="563"/>
      <c r="D83" s="563"/>
      <c r="E83" s="563">
        <v>15397745697</v>
      </c>
    </row>
    <row r="84" spans="1:37" s="7" customFormat="1" ht="24.75" customHeight="1" x14ac:dyDescent="0.25">
      <c r="A84" s="776" t="s">
        <v>120</v>
      </c>
      <c r="B84" s="777" t="s">
        <v>212</v>
      </c>
      <c r="C84" s="778"/>
      <c r="D84" s="778"/>
      <c r="E84" s="778">
        <v>6350811</v>
      </c>
      <c r="F84" s="734"/>
      <c r="G84" s="782"/>
      <c r="H84" s="782"/>
      <c r="I84" s="782"/>
      <c r="J84" s="782"/>
      <c r="K84" s="782"/>
      <c r="L84" s="782"/>
      <c r="M84" s="782"/>
      <c r="N84" s="782"/>
      <c r="O84" s="782"/>
      <c r="P84" s="782"/>
      <c r="Q84" s="782"/>
      <c r="R84" s="782"/>
      <c r="S84" s="782"/>
      <c r="T84" s="782"/>
      <c r="U84" s="782"/>
      <c r="V84" s="782"/>
      <c r="W84" s="782"/>
      <c r="X84" s="782"/>
      <c r="Y84" s="782"/>
      <c r="Z84" s="782"/>
      <c r="AA84" s="782"/>
      <c r="AB84" s="782"/>
      <c r="AC84" s="782"/>
      <c r="AD84" s="782"/>
      <c r="AE84" s="782"/>
      <c r="AF84" s="782"/>
      <c r="AG84" s="782"/>
      <c r="AH84" s="782"/>
      <c r="AI84" s="782"/>
      <c r="AJ84" s="782"/>
      <c r="AK84" s="782"/>
    </row>
    <row r="85" spans="1:37" s="7" customFormat="1" ht="24.75" customHeight="1" x14ac:dyDescent="0.25">
      <c r="A85" s="776"/>
      <c r="B85" s="777" t="s">
        <v>796</v>
      </c>
      <c r="C85" s="778"/>
      <c r="D85" s="778">
        <v>2770730</v>
      </c>
      <c r="E85" s="778"/>
      <c r="F85" s="782"/>
      <c r="G85" s="782"/>
      <c r="H85" s="782"/>
      <c r="I85" s="782"/>
      <c r="J85" s="782"/>
      <c r="K85" s="782"/>
      <c r="L85" s="782"/>
      <c r="M85" s="782"/>
      <c r="N85" s="782"/>
      <c r="O85" s="782"/>
      <c r="P85" s="782"/>
      <c r="Q85" s="782"/>
      <c r="R85" s="782"/>
      <c r="S85" s="782"/>
      <c r="T85" s="782"/>
      <c r="U85" s="782"/>
      <c r="V85" s="782"/>
      <c r="W85" s="782"/>
      <c r="X85" s="782"/>
      <c r="Y85" s="782"/>
      <c r="Z85" s="782"/>
      <c r="AA85" s="782"/>
      <c r="AB85" s="782"/>
      <c r="AC85" s="782"/>
      <c r="AD85" s="782"/>
      <c r="AE85" s="782"/>
      <c r="AF85" s="782"/>
      <c r="AG85" s="782"/>
      <c r="AH85" s="782"/>
      <c r="AI85" s="782"/>
      <c r="AJ85" s="782"/>
      <c r="AK85" s="782"/>
    </row>
    <row r="86" spans="1:37" s="7" customFormat="1" ht="24.75" customHeight="1" x14ac:dyDescent="0.25">
      <c r="A86" s="776"/>
      <c r="B86" s="777" t="s">
        <v>797</v>
      </c>
      <c r="C86" s="778"/>
      <c r="D86" s="778">
        <v>2849400</v>
      </c>
      <c r="E86" s="778"/>
      <c r="F86" s="782"/>
      <c r="G86" s="782"/>
      <c r="H86" s="782"/>
      <c r="I86" s="782"/>
      <c r="J86" s="782"/>
      <c r="K86" s="782"/>
      <c r="L86" s="782"/>
      <c r="M86" s="782"/>
      <c r="N86" s="782"/>
      <c r="O86" s="782"/>
      <c r="P86" s="782"/>
      <c r="Q86" s="782"/>
      <c r="R86" s="782"/>
      <c r="S86" s="782"/>
      <c r="T86" s="782"/>
      <c r="U86" s="782"/>
      <c r="V86" s="782"/>
      <c r="W86" s="782"/>
      <c r="X86" s="782"/>
      <c r="Y86" s="782"/>
      <c r="Z86" s="782"/>
      <c r="AA86" s="782"/>
      <c r="AB86" s="782"/>
      <c r="AC86" s="782"/>
      <c r="AD86" s="782"/>
      <c r="AE86" s="782"/>
      <c r="AF86" s="782"/>
      <c r="AG86" s="782"/>
      <c r="AH86" s="782"/>
      <c r="AI86" s="782"/>
      <c r="AJ86" s="782"/>
      <c r="AK86" s="782"/>
    </row>
    <row r="87" spans="1:37" s="7" customFormat="1" ht="24.75" customHeight="1" x14ac:dyDescent="0.25">
      <c r="A87" s="776"/>
      <c r="B87" s="777" t="s">
        <v>495</v>
      </c>
      <c r="C87" s="778"/>
      <c r="D87" s="778">
        <v>730681</v>
      </c>
      <c r="E87" s="778"/>
      <c r="F87" s="782"/>
      <c r="G87" s="782"/>
      <c r="H87" s="782"/>
      <c r="I87" s="782"/>
      <c r="J87" s="782"/>
      <c r="K87" s="782"/>
      <c r="L87" s="782"/>
      <c r="M87" s="782"/>
      <c r="N87" s="782"/>
      <c r="O87" s="782"/>
      <c r="P87" s="782"/>
      <c r="Q87" s="782"/>
      <c r="R87" s="782"/>
      <c r="S87" s="782"/>
      <c r="T87" s="782"/>
      <c r="U87" s="782"/>
      <c r="V87" s="782"/>
      <c r="W87" s="782"/>
      <c r="X87" s="782"/>
      <c r="Y87" s="782"/>
      <c r="Z87" s="782"/>
      <c r="AA87" s="782"/>
      <c r="AB87" s="782"/>
      <c r="AC87" s="782"/>
      <c r="AD87" s="782"/>
      <c r="AE87" s="782"/>
      <c r="AF87" s="782"/>
      <c r="AG87" s="782"/>
      <c r="AH87" s="782"/>
      <c r="AI87" s="782"/>
      <c r="AJ87" s="782"/>
      <c r="AK87" s="782"/>
    </row>
    <row r="88" spans="1:37" s="7" customFormat="1" ht="24.75" customHeight="1" x14ac:dyDescent="0.25">
      <c r="A88" s="776" t="s">
        <v>122</v>
      </c>
      <c r="B88" s="777" t="s">
        <v>214</v>
      </c>
      <c r="C88" s="778"/>
      <c r="D88" s="778"/>
      <c r="E88" s="778">
        <v>16639802</v>
      </c>
      <c r="F88" s="782"/>
      <c r="G88" s="782"/>
      <c r="H88" s="782"/>
      <c r="I88" s="782"/>
      <c r="J88" s="782"/>
      <c r="K88" s="782"/>
      <c r="L88" s="782"/>
      <c r="M88" s="782"/>
      <c r="N88" s="782"/>
      <c r="O88" s="782"/>
      <c r="P88" s="782"/>
      <c r="Q88" s="782"/>
      <c r="R88" s="782"/>
      <c r="S88" s="782"/>
      <c r="T88" s="782"/>
      <c r="U88" s="782"/>
      <c r="V88" s="782"/>
      <c r="W88" s="782"/>
      <c r="X88" s="782"/>
      <c r="Y88" s="782"/>
      <c r="Z88" s="782"/>
      <c r="AA88" s="782"/>
      <c r="AB88" s="782"/>
      <c r="AC88" s="782"/>
      <c r="AD88" s="782"/>
      <c r="AE88" s="782"/>
      <c r="AF88" s="782"/>
      <c r="AG88" s="782"/>
      <c r="AH88" s="782"/>
      <c r="AI88" s="782"/>
      <c r="AJ88" s="782"/>
      <c r="AK88" s="782"/>
    </row>
    <row r="89" spans="1:37" s="7" customFormat="1" ht="24.75" customHeight="1" x14ac:dyDescent="0.25">
      <c r="A89" s="776"/>
      <c r="B89" s="777" t="s">
        <v>495</v>
      </c>
      <c r="C89" s="778"/>
      <c r="D89" s="778">
        <v>16639802</v>
      </c>
      <c r="E89" s="778"/>
      <c r="F89" s="782"/>
      <c r="G89" s="782"/>
      <c r="H89" s="782"/>
      <c r="I89" s="782"/>
      <c r="J89" s="782"/>
      <c r="K89" s="782"/>
      <c r="L89" s="782"/>
      <c r="M89" s="782"/>
      <c r="N89" s="782"/>
      <c r="O89" s="782"/>
      <c r="P89" s="782"/>
      <c r="Q89" s="782"/>
      <c r="R89" s="782"/>
      <c r="S89" s="782"/>
      <c r="T89" s="782"/>
      <c r="U89" s="782"/>
      <c r="V89" s="782"/>
      <c r="W89" s="782"/>
      <c r="X89" s="782"/>
      <c r="Y89" s="782"/>
      <c r="Z89" s="782"/>
      <c r="AA89" s="782"/>
      <c r="AB89" s="782"/>
      <c r="AC89" s="782"/>
      <c r="AD89" s="782"/>
      <c r="AE89" s="782"/>
      <c r="AF89" s="782"/>
      <c r="AG89" s="782"/>
      <c r="AH89" s="782"/>
      <c r="AI89" s="782"/>
      <c r="AJ89" s="782"/>
      <c r="AK89" s="782"/>
    </row>
    <row r="90" spans="1:37" s="7" customFormat="1" ht="24.75" customHeight="1" x14ac:dyDescent="0.25">
      <c r="A90" s="776"/>
      <c r="B90" s="777" t="s">
        <v>890</v>
      </c>
      <c r="C90" s="778"/>
      <c r="D90" s="778"/>
      <c r="E90" s="778"/>
      <c r="F90" s="782"/>
      <c r="G90" s="782"/>
      <c r="H90" s="782"/>
      <c r="I90" s="782"/>
      <c r="J90" s="782"/>
      <c r="K90" s="782"/>
      <c r="L90" s="782"/>
      <c r="M90" s="782"/>
      <c r="N90" s="782"/>
      <c r="O90" s="782"/>
      <c r="P90" s="782"/>
      <c r="Q90" s="782"/>
      <c r="R90" s="782"/>
      <c r="S90" s="782"/>
      <c r="T90" s="782"/>
      <c r="U90" s="782"/>
      <c r="V90" s="782"/>
      <c r="W90" s="782"/>
      <c r="X90" s="782"/>
      <c r="Y90" s="782"/>
      <c r="Z90" s="782"/>
      <c r="AA90" s="782"/>
      <c r="AB90" s="782"/>
      <c r="AC90" s="782"/>
      <c r="AD90" s="782"/>
      <c r="AE90" s="782"/>
      <c r="AF90" s="782"/>
      <c r="AG90" s="782"/>
      <c r="AH90" s="782"/>
      <c r="AI90" s="782"/>
      <c r="AJ90" s="782"/>
      <c r="AK90" s="782"/>
    </row>
    <row r="91" spans="1:37" s="7" customFormat="1" ht="24.75" customHeight="1" x14ac:dyDescent="0.25">
      <c r="A91" s="776" t="s">
        <v>123</v>
      </c>
      <c r="B91" s="777" t="s">
        <v>215</v>
      </c>
      <c r="C91" s="778"/>
      <c r="D91" s="778"/>
      <c r="E91" s="778">
        <v>297500</v>
      </c>
      <c r="F91" s="782"/>
      <c r="G91" s="782"/>
      <c r="H91" s="782"/>
      <c r="I91" s="782"/>
      <c r="J91" s="782"/>
      <c r="K91" s="782"/>
      <c r="L91" s="782"/>
      <c r="M91" s="782"/>
      <c r="N91" s="782"/>
      <c r="O91" s="782"/>
      <c r="P91" s="782"/>
      <c r="Q91" s="782"/>
      <c r="R91" s="782"/>
      <c r="S91" s="782"/>
      <c r="T91" s="782"/>
      <c r="U91" s="782"/>
      <c r="V91" s="782"/>
      <c r="W91" s="782"/>
      <c r="X91" s="782"/>
      <c r="Y91" s="782"/>
      <c r="Z91" s="782"/>
      <c r="AA91" s="782"/>
      <c r="AB91" s="782"/>
      <c r="AC91" s="782"/>
      <c r="AD91" s="782"/>
      <c r="AE91" s="782"/>
      <c r="AF91" s="782"/>
      <c r="AG91" s="782"/>
      <c r="AH91" s="782"/>
      <c r="AI91" s="782"/>
      <c r="AJ91" s="782"/>
      <c r="AK91" s="782"/>
    </row>
    <row r="92" spans="1:37" s="7" customFormat="1" ht="24.75" customHeight="1" x14ac:dyDescent="0.25">
      <c r="A92" s="776"/>
      <c r="B92" s="777" t="s">
        <v>495</v>
      </c>
      <c r="C92" s="778"/>
      <c r="D92" s="778">
        <v>297500</v>
      </c>
      <c r="E92" s="778"/>
      <c r="F92" s="782"/>
      <c r="G92" s="782"/>
      <c r="H92" s="782"/>
      <c r="I92" s="782"/>
      <c r="J92" s="782"/>
      <c r="K92" s="782"/>
      <c r="L92" s="782"/>
      <c r="M92" s="782"/>
      <c r="N92" s="782"/>
      <c r="O92" s="782"/>
      <c r="P92" s="782"/>
      <c r="Q92" s="782"/>
      <c r="R92" s="782"/>
      <c r="S92" s="782"/>
      <c r="T92" s="782"/>
      <c r="U92" s="782"/>
      <c r="V92" s="782"/>
      <c r="W92" s="782"/>
      <c r="X92" s="782"/>
      <c r="Y92" s="782"/>
      <c r="Z92" s="782"/>
      <c r="AA92" s="782"/>
      <c r="AB92" s="782"/>
      <c r="AC92" s="782"/>
      <c r="AD92" s="782"/>
      <c r="AE92" s="782"/>
      <c r="AF92" s="782"/>
      <c r="AG92" s="782"/>
      <c r="AH92" s="782"/>
      <c r="AI92" s="782"/>
      <c r="AJ92" s="782"/>
      <c r="AK92" s="782"/>
    </row>
    <row r="93" spans="1:37" s="7" customFormat="1" ht="24.75" customHeight="1" x14ac:dyDescent="0.25">
      <c r="A93" s="779" t="s">
        <v>11</v>
      </c>
      <c r="B93" s="780" t="s">
        <v>49</v>
      </c>
      <c r="C93" s="781"/>
      <c r="D93" s="781"/>
      <c r="E93" s="781">
        <v>23288113</v>
      </c>
      <c r="F93" s="782"/>
      <c r="G93" s="782"/>
      <c r="H93" s="782"/>
      <c r="I93" s="782"/>
      <c r="J93" s="782"/>
      <c r="K93" s="782"/>
      <c r="L93" s="782"/>
      <c r="M93" s="782"/>
      <c r="N93" s="782"/>
      <c r="O93" s="782"/>
      <c r="P93" s="782"/>
      <c r="Q93" s="782"/>
      <c r="R93" s="782"/>
      <c r="S93" s="782"/>
      <c r="T93" s="782"/>
      <c r="U93" s="782"/>
      <c r="V93" s="782"/>
      <c r="W93" s="782"/>
      <c r="X93" s="782"/>
      <c r="Y93" s="782"/>
      <c r="Z93" s="782"/>
      <c r="AA93" s="782"/>
      <c r="AB93" s="782"/>
      <c r="AC93" s="782"/>
      <c r="AD93" s="782"/>
      <c r="AE93" s="782"/>
      <c r="AF93" s="782"/>
      <c r="AG93" s="782"/>
      <c r="AH93" s="782"/>
      <c r="AI93" s="782"/>
      <c r="AJ93" s="782"/>
      <c r="AK93" s="782"/>
    </row>
    <row r="94" spans="1:37" s="7" customFormat="1" ht="24.75" customHeight="1" x14ac:dyDescent="0.25">
      <c r="A94" s="779" t="s">
        <v>12</v>
      </c>
      <c r="B94" s="780" t="s">
        <v>216</v>
      </c>
      <c r="C94" s="781"/>
      <c r="D94" s="781"/>
      <c r="E94" s="781">
        <v>23288113</v>
      </c>
      <c r="F94" s="782"/>
      <c r="G94" s="782"/>
      <c r="H94" s="782"/>
      <c r="I94" s="782"/>
      <c r="J94" s="782"/>
      <c r="K94" s="782"/>
      <c r="L94" s="782"/>
      <c r="M94" s="782"/>
      <c r="N94" s="782"/>
      <c r="O94" s="782"/>
      <c r="P94" s="782"/>
      <c r="Q94" s="782"/>
      <c r="R94" s="782"/>
      <c r="S94" s="782"/>
      <c r="T94" s="782"/>
      <c r="U94" s="782"/>
      <c r="V94" s="782"/>
      <c r="W94" s="782"/>
      <c r="X94" s="782"/>
      <c r="Y94" s="782"/>
      <c r="Z94" s="782"/>
      <c r="AA94" s="782"/>
      <c r="AB94" s="782"/>
      <c r="AC94" s="782"/>
      <c r="AD94" s="782"/>
      <c r="AE94" s="782"/>
      <c r="AF94" s="782"/>
      <c r="AG94" s="782"/>
      <c r="AH94" s="782"/>
      <c r="AI94" s="782"/>
      <c r="AJ94" s="782"/>
      <c r="AK94" s="782"/>
    </row>
    <row r="95" spans="1:37" s="7" customFormat="1" ht="24.75" customHeight="1" x14ac:dyDescent="0.25">
      <c r="A95" s="776" t="s">
        <v>124</v>
      </c>
      <c r="B95" s="777" t="s">
        <v>217</v>
      </c>
      <c r="C95" s="778"/>
      <c r="D95" s="778"/>
      <c r="E95" s="778">
        <v>716760</v>
      </c>
      <c r="F95" s="734"/>
      <c r="G95" s="782"/>
      <c r="H95" s="782"/>
      <c r="I95" s="782"/>
      <c r="J95" s="782"/>
      <c r="K95" s="782"/>
      <c r="L95" s="782"/>
      <c r="M95" s="782"/>
      <c r="N95" s="782"/>
      <c r="O95" s="782"/>
      <c r="P95" s="782"/>
      <c r="Q95" s="782"/>
      <c r="R95" s="782"/>
      <c r="S95" s="782"/>
      <c r="T95" s="782"/>
      <c r="U95" s="782"/>
      <c r="V95" s="782"/>
      <c r="W95" s="782"/>
      <c r="X95" s="782"/>
      <c r="Y95" s="782"/>
      <c r="Z95" s="782"/>
      <c r="AA95" s="782"/>
      <c r="AB95" s="782"/>
      <c r="AC95" s="782"/>
      <c r="AD95" s="782"/>
      <c r="AE95" s="782"/>
      <c r="AF95" s="782"/>
      <c r="AG95" s="782"/>
      <c r="AH95" s="782"/>
      <c r="AI95" s="782"/>
      <c r="AJ95" s="782"/>
      <c r="AK95" s="782"/>
    </row>
    <row r="96" spans="1:37" s="7" customFormat="1" ht="24.75" customHeight="1" x14ac:dyDescent="0.25">
      <c r="A96" s="776"/>
      <c r="B96" s="777" t="s">
        <v>844</v>
      </c>
      <c r="C96" s="778"/>
      <c r="D96" s="778">
        <v>347790</v>
      </c>
      <c r="E96" s="778"/>
      <c r="F96" s="782"/>
      <c r="G96" s="782"/>
      <c r="H96" s="782"/>
      <c r="I96" s="782"/>
      <c r="J96" s="782"/>
      <c r="K96" s="782"/>
      <c r="L96" s="782"/>
      <c r="M96" s="782"/>
      <c r="N96" s="782"/>
      <c r="O96" s="782"/>
      <c r="P96" s="782"/>
      <c r="Q96" s="782"/>
      <c r="R96" s="782"/>
      <c r="S96" s="782"/>
      <c r="T96" s="782"/>
      <c r="U96" s="782"/>
      <c r="V96" s="782"/>
      <c r="W96" s="782"/>
      <c r="X96" s="782"/>
      <c r="Y96" s="782"/>
      <c r="Z96" s="782"/>
      <c r="AA96" s="782"/>
      <c r="AB96" s="782"/>
      <c r="AC96" s="782"/>
      <c r="AD96" s="782"/>
      <c r="AE96" s="782"/>
      <c r="AF96" s="782"/>
      <c r="AG96" s="782"/>
      <c r="AH96" s="782"/>
      <c r="AI96" s="782"/>
      <c r="AJ96" s="782"/>
      <c r="AK96" s="782"/>
    </row>
    <row r="97" spans="1:37" s="7" customFormat="1" ht="24.75" customHeight="1" x14ac:dyDescent="0.25">
      <c r="A97" s="776"/>
      <c r="B97" s="777" t="s">
        <v>845</v>
      </c>
      <c r="C97" s="778"/>
      <c r="D97" s="778">
        <v>98140</v>
      </c>
      <c r="E97" s="778"/>
      <c r="F97" s="782"/>
      <c r="G97" s="782"/>
      <c r="H97" s="782"/>
      <c r="I97" s="782"/>
      <c r="J97" s="782"/>
      <c r="K97" s="782"/>
      <c r="L97" s="782"/>
      <c r="M97" s="782"/>
      <c r="N97" s="782"/>
      <c r="O97" s="782"/>
      <c r="P97" s="782"/>
      <c r="Q97" s="782"/>
      <c r="R97" s="782"/>
      <c r="S97" s="782"/>
      <c r="T97" s="782"/>
      <c r="U97" s="782"/>
      <c r="V97" s="782"/>
      <c r="W97" s="782"/>
      <c r="X97" s="782"/>
      <c r="Y97" s="782"/>
      <c r="Z97" s="782"/>
      <c r="AA97" s="782"/>
      <c r="AB97" s="782"/>
      <c r="AC97" s="782"/>
      <c r="AD97" s="782"/>
      <c r="AE97" s="782"/>
      <c r="AF97" s="782"/>
      <c r="AG97" s="782"/>
      <c r="AH97" s="782"/>
      <c r="AI97" s="782"/>
      <c r="AJ97" s="782"/>
      <c r="AK97" s="782"/>
    </row>
    <row r="98" spans="1:37" s="7" customFormat="1" ht="24.75" customHeight="1" x14ac:dyDescent="0.25">
      <c r="A98" s="776"/>
      <c r="B98" s="777" t="s">
        <v>489</v>
      </c>
      <c r="C98" s="778"/>
      <c r="D98" s="778">
        <v>61690</v>
      </c>
      <c r="E98" s="778"/>
      <c r="F98" s="782"/>
      <c r="G98" s="782"/>
      <c r="H98" s="782"/>
      <c r="I98" s="782"/>
      <c r="J98" s="782"/>
      <c r="K98" s="782"/>
      <c r="L98" s="782"/>
      <c r="M98" s="782"/>
      <c r="N98" s="782"/>
      <c r="O98" s="782"/>
      <c r="P98" s="782"/>
      <c r="Q98" s="782"/>
      <c r="R98" s="782"/>
      <c r="S98" s="782"/>
      <c r="T98" s="782"/>
      <c r="U98" s="782"/>
      <c r="V98" s="782"/>
      <c r="W98" s="782"/>
      <c r="X98" s="782"/>
      <c r="Y98" s="782"/>
      <c r="Z98" s="782"/>
      <c r="AA98" s="782"/>
      <c r="AB98" s="782"/>
      <c r="AC98" s="782"/>
      <c r="AD98" s="782"/>
      <c r="AE98" s="782"/>
      <c r="AF98" s="782"/>
      <c r="AG98" s="782"/>
      <c r="AH98" s="782"/>
      <c r="AI98" s="782"/>
      <c r="AJ98" s="782"/>
      <c r="AK98" s="782"/>
    </row>
    <row r="99" spans="1:37" s="7" customFormat="1" ht="24.75" customHeight="1" x14ac:dyDescent="0.25">
      <c r="A99" s="776"/>
      <c r="B99" s="777" t="s">
        <v>796</v>
      </c>
      <c r="C99" s="778"/>
      <c r="D99" s="778">
        <v>57340</v>
      </c>
      <c r="E99" s="778"/>
      <c r="F99" s="782"/>
      <c r="G99" s="782"/>
      <c r="H99" s="782"/>
      <c r="I99" s="782"/>
      <c r="J99" s="782"/>
      <c r="K99" s="782"/>
      <c r="L99" s="782"/>
      <c r="M99" s="782"/>
      <c r="N99" s="782"/>
      <c r="O99" s="782"/>
      <c r="P99" s="782"/>
      <c r="Q99" s="782"/>
      <c r="R99" s="782"/>
      <c r="S99" s="782"/>
      <c r="T99" s="782"/>
      <c r="U99" s="782"/>
      <c r="V99" s="782"/>
      <c r="W99" s="782"/>
      <c r="X99" s="782"/>
      <c r="Y99" s="782"/>
      <c r="Z99" s="782"/>
      <c r="AA99" s="782"/>
      <c r="AB99" s="782"/>
      <c r="AC99" s="782"/>
      <c r="AD99" s="782"/>
      <c r="AE99" s="782"/>
      <c r="AF99" s="782"/>
      <c r="AG99" s="782"/>
      <c r="AH99" s="782"/>
      <c r="AI99" s="782"/>
      <c r="AJ99" s="782"/>
      <c r="AK99" s="782"/>
    </row>
    <row r="100" spans="1:37" s="7" customFormat="1" ht="24.75" customHeight="1" x14ac:dyDescent="0.25">
      <c r="A100" s="776"/>
      <c r="B100" s="777" t="s">
        <v>797</v>
      </c>
      <c r="C100" s="778"/>
      <c r="D100" s="778">
        <v>43065</v>
      </c>
      <c r="E100" s="778"/>
      <c r="F100" s="782"/>
      <c r="G100" s="782"/>
      <c r="H100" s="782"/>
      <c r="I100" s="782"/>
      <c r="J100" s="782"/>
      <c r="K100" s="782"/>
      <c r="L100" s="782"/>
      <c r="M100" s="782"/>
      <c r="N100" s="782"/>
      <c r="O100" s="782"/>
      <c r="P100" s="782"/>
      <c r="Q100" s="782"/>
      <c r="R100" s="782"/>
      <c r="S100" s="782"/>
      <c r="T100" s="782"/>
      <c r="U100" s="782"/>
      <c r="V100" s="782"/>
      <c r="W100" s="782"/>
      <c r="X100" s="782"/>
      <c r="Y100" s="782"/>
      <c r="Z100" s="782"/>
      <c r="AA100" s="782"/>
      <c r="AB100" s="782"/>
      <c r="AC100" s="782"/>
      <c r="AD100" s="782"/>
      <c r="AE100" s="782"/>
      <c r="AF100" s="782"/>
      <c r="AG100" s="782"/>
      <c r="AH100" s="782"/>
      <c r="AI100" s="782"/>
      <c r="AJ100" s="782"/>
      <c r="AK100" s="782"/>
    </row>
    <row r="101" spans="1:37" s="7" customFormat="1" ht="24.75" customHeight="1" x14ac:dyDescent="0.25">
      <c r="A101" s="776"/>
      <c r="B101" s="777" t="s">
        <v>495</v>
      </c>
      <c r="C101" s="778"/>
      <c r="D101" s="778">
        <v>108735</v>
      </c>
      <c r="E101" s="778"/>
      <c r="F101" s="782"/>
      <c r="G101" s="782"/>
      <c r="H101" s="782"/>
      <c r="I101" s="782"/>
      <c r="J101" s="782"/>
      <c r="K101" s="782"/>
      <c r="L101" s="782"/>
      <c r="M101" s="782"/>
      <c r="N101" s="782"/>
      <c r="O101" s="782"/>
      <c r="P101" s="782"/>
      <c r="Q101" s="782"/>
      <c r="R101" s="782"/>
      <c r="S101" s="782"/>
      <c r="T101" s="782"/>
      <c r="U101" s="782"/>
      <c r="V101" s="782"/>
      <c r="W101" s="782"/>
      <c r="X101" s="782"/>
      <c r="Y101" s="782"/>
      <c r="Z101" s="782"/>
      <c r="AA101" s="782"/>
      <c r="AB101" s="782"/>
      <c r="AC101" s="782"/>
      <c r="AD101" s="782"/>
      <c r="AE101" s="782"/>
      <c r="AF101" s="782"/>
      <c r="AG101" s="782"/>
      <c r="AH101" s="782"/>
      <c r="AI101" s="782"/>
      <c r="AJ101" s="782"/>
      <c r="AK101" s="782"/>
    </row>
    <row r="102" spans="1:37" s="7" customFormat="1" ht="24.75" customHeight="1" x14ac:dyDescent="0.25">
      <c r="A102" s="776" t="s">
        <v>125</v>
      </c>
      <c r="B102" s="777" t="s">
        <v>218</v>
      </c>
      <c r="C102" s="778"/>
      <c r="D102" s="778"/>
      <c r="E102" s="778">
        <v>186702</v>
      </c>
      <c r="F102" s="734"/>
      <c r="G102" s="782"/>
      <c r="H102" s="782"/>
      <c r="I102" s="782"/>
      <c r="J102" s="782"/>
      <c r="K102" s="782"/>
      <c r="L102" s="782"/>
      <c r="M102" s="782"/>
      <c r="N102" s="782"/>
      <c r="O102" s="782"/>
      <c r="P102" s="782"/>
      <c r="Q102" s="782"/>
      <c r="R102" s="782"/>
      <c r="S102" s="782"/>
      <c r="T102" s="782"/>
      <c r="U102" s="782"/>
      <c r="V102" s="782"/>
      <c r="W102" s="782"/>
      <c r="X102" s="782"/>
      <c r="Y102" s="782"/>
      <c r="Z102" s="782"/>
      <c r="AA102" s="782"/>
      <c r="AB102" s="782"/>
      <c r="AC102" s="782"/>
      <c r="AD102" s="782"/>
      <c r="AE102" s="782"/>
      <c r="AF102" s="782"/>
      <c r="AG102" s="782"/>
      <c r="AH102" s="782"/>
      <c r="AI102" s="782"/>
      <c r="AJ102" s="782"/>
      <c r="AK102" s="782"/>
    </row>
    <row r="103" spans="1:37" s="7" customFormat="1" ht="24.75" customHeight="1" x14ac:dyDescent="0.25">
      <c r="A103" s="776"/>
      <c r="B103" s="777" t="s">
        <v>844</v>
      </c>
      <c r="C103" s="778"/>
      <c r="D103" s="778">
        <v>118110</v>
      </c>
      <c r="E103" s="778"/>
      <c r="F103" s="782"/>
      <c r="G103" s="782"/>
      <c r="H103" s="782"/>
      <c r="I103" s="782"/>
      <c r="J103" s="782"/>
      <c r="K103" s="782"/>
      <c r="L103" s="782"/>
      <c r="M103" s="782"/>
      <c r="N103" s="782"/>
      <c r="O103" s="782"/>
      <c r="P103" s="782"/>
      <c r="Q103" s="782"/>
      <c r="R103" s="782"/>
      <c r="S103" s="782"/>
      <c r="T103" s="782"/>
      <c r="U103" s="782"/>
      <c r="V103" s="782"/>
      <c r="W103" s="782"/>
      <c r="X103" s="782"/>
      <c r="Y103" s="782"/>
      <c r="Z103" s="782"/>
      <c r="AA103" s="782"/>
      <c r="AB103" s="782"/>
      <c r="AC103" s="782"/>
      <c r="AD103" s="782"/>
      <c r="AE103" s="782"/>
      <c r="AF103" s="782"/>
      <c r="AG103" s="782"/>
      <c r="AH103" s="782"/>
      <c r="AI103" s="782"/>
      <c r="AJ103" s="782"/>
      <c r="AK103" s="782"/>
    </row>
    <row r="104" spans="1:37" s="7" customFormat="1" ht="24.75" customHeight="1" x14ac:dyDescent="0.25">
      <c r="A104" s="776"/>
      <c r="B104" s="777" t="s">
        <v>845</v>
      </c>
      <c r="C104" s="778"/>
      <c r="D104" s="778">
        <v>68592</v>
      </c>
      <c r="E104" s="778"/>
      <c r="F104" s="782"/>
      <c r="G104" s="782"/>
      <c r="H104" s="782"/>
      <c r="I104" s="782"/>
      <c r="J104" s="782"/>
      <c r="K104" s="782"/>
      <c r="L104" s="782"/>
      <c r="M104" s="782"/>
      <c r="N104" s="782"/>
      <c r="O104" s="782"/>
      <c r="P104" s="782"/>
      <c r="Q104" s="782"/>
      <c r="R104" s="782"/>
      <c r="S104" s="782"/>
      <c r="T104" s="782"/>
      <c r="U104" s="782"/>
      <c r="V104" s="782"/>
      <c r="W104" s="782"/>
      <c r="X104" s="782"/>
      <c r="Y104" s="782"/>
      <c r="Z104" s="782"/>
      <c r="AA104" s="782"/>
      <c r="AB104" s="782"/>
      <c r="AC104" s="782"/>
      <c r="AD104" s="782"/>
      <c r="AE104" s="782"/>
      <c r="AF104" s="782"/>
      <c r="AG104" s="782"/>
      <c r="AH104" s="782"/>
      <c r="AI104" s="782"/>
      <c r="AJ104" s="782"/>
      <c r="AK104" s="782"/>
    </row>
    <row r="105" spans="1:37" s="7" customFormat="1" ht="24.75" customHeight="1" x14ac:dyDescent="0.25">
      <c r="A105" s="779" t="s">
        <v>13</v>
      </c>
      <c r="B105" s="780" t="s">
        <v>219</v>
      </c>
      <c r="C105" s="781"/>
      <c r="D105" s="781"/>
      <c r="E105" s="781">
        <v>903462</v>
      </c>
      <c r="F105" s="782"/>
      <c r="G105" s="782"/>
      <c r="H105" s="782"/>
      <c r="I105" s="782"/>
      <c r="J105" s="782"/>
      <c r="K105" s="782"/>
      <c r="L105" s="782"/>
      <c r="M105" s="782"/>
      <c r="N105" s="782"/>
      <c r="O105" s="782"/>
      <c r="P105" s="782"/>
      <c r="Q105" s="782"/>
      <c r="R105" s="782"/>
      <c r="S105" s="782"/>
      <c r="T105" s="782"/>
      <c r="U105" s="782"/>
      <c r="V105" s="782"/>
      <c r="W105" s="782"/>
      <c r="X105" s="782"/>
      <c r="Y105" s="782"/>
      <c r="Z105" s="782"/>
      <c r="AA105" s="782"/>
      <c r="AB105" s="782"/>
      <c r="AC105" s="782"/>
      <c r="AD105" s="782"/>
      <c r="AE105" s="782"/>
      <c r="AF105" s="782"/>
      <c r="AG105" s="782"/>
      <c r="AH105" s="782"/>
      <c r="AI105" s="782"/>
      <c r="AJ105" s="782"/>
      <c r="AK105" s="782"/>
    </row>
    <row r="106" spans="1:37" s="7" customFormat="1" ht="24.75" customHeight="1" x14ac:dyDescent="0.25">
      <c r="A106" s="776" t="s">
        <v>126</v>
      </c>
      <c r="B106" s="777" t="s">
        <v>220</v>
      </c>
      <c r="C106" s="778"/>
      <c r="D106" s="778"/>
      <c r="E106" s="778">
        <v>368842125</v>
      </c>
      <c r="F106" s="734"/>
      <c r="G106" s="782"/>
      <c r="H106" s="782"/>
      <c r="I106" s="782"/>
      <c r="J106" s="782"/>
      <c r="K106" s="782"/>
      <c r="L106" s="782"/>
      <c r="M106" s="782"/>
      <c r="N106" s="782"/>
      <c r="O106" s="782"/>
      <c r="P106" s="782"/>
      <c r="Q106" s="782"/>
      <c r="R106" s="782"/>
      <c r="S106" s="782"/>
      <c r="T106" s="782"/>
      <c r="U106" s="782"/>
      <c r="V106" s="782"/>
      <c r="W106" s="782"/>
      <c r="X106" s="782"/>
      <c r="Y106" s="782"/>
      <c r="Z106" s="782"/>
      <c r="AA106" s="782"/>
      <c r="AB106" s="782"/>
      <c r="AC106" s="782"/>
      <c r="AD106" s="782"/>
      <c r="AE106" s="782"/>
      <c r="AF106" s="782"/>
      <c r="AG106" s="782"/>
      <c r="AH106" s="782"/>
      <c r="AI106" s="782"/>
      <c r="AJ106" s="782"/>
      <c r="AK106" s="782"/>
    </row>
    <row r="107" spans="1:37" s="7" customFormat="1" ht="24.75" customHeight="1" x14ac:dyDescent="0.25">
      <c r="A107" s="776"/>
      <c r="B107" s="777" t="s">
        <v>844</v>
      </c>
      <c r="C107" s="778"/>
      <c r="D107" s="778">
        <v>296549578</v>
      </c>
      <c r="E107" s="778"/>
      <c r="F107" s="782"/>
      <c r="G107" s="782"/>
      <c r="H107" s="782"/>
      <c r="I107" s="782"/>
      <c r="J107" s="782"/>
      <c r="K107" s="782"/>
      <c r="L107" s="782"/>
      <c r="M107" s="782"/>
      <c r="N107" s="782"/>
      <c r="O107" s="782"/>
      <c r="P107" s="782"/>
      <c r="Q107" s="782"/>
      <c r="R107" s="782"/>
      <c r="S107" s="782"/>
      <c r="T107" s="782"/>
      <c r="U107" s="782"/>
      <c r="V107" s="782"/>
      <c r="W107" s="782"/>
      <c r="X107" s="782"/>
      <c r="Y107" s="782"/>
      <c r="Z107" s="782"/>
      <c r="AA107" s="782"/>
      <c r="AB107" s="782"/>
      <c r="AC107" s="782"/>
      <c r="AD107" s="782"/>
      <c r="AE107" s="782"/>
      <c r="AF107" s="782"/>
      <c r="AG107" s="782"/>
      <c r="AH107" s="782"/>
      <c r="AI107" s="782"/>
      <c r="AJ107" s="782"/>
      <c r="AK107" s="782"/>
    </row>
    <row r="108" spans="1:37" s="7" customFormat="1" ht="24.75" customHeight="1" x14ac:dyDescent="0.25">
      <c r="A108" s="776"/>
      <c r="B108" s="777" t="s">
        <v>845</v>
      </c>
      <c r="C108" s="778"/>
      <c r="D108" s="778">
        <v>4872681</v>
      </c>
      <c r="E108" s="778"/>
      <c r="F108" s="782"/>
      <c r="G108" s="782"/>
      <c r="H108" s="782"/>
      <c r="I108" s="782"/>
      <c r="J108" s="782"/>
      <c r="K108" s="782"/>
      <c r="L108" s="782"/>
      <c r="M108" s="782"/>
      <c r="N108" s="782"/>
      <c r="O108" s="782"/>
      <c r="P108" s="782"/>
      <c r="Q108" s="782"/>
      <c r="R108" s="782"/>
      <c r="S108" s="782"/>
      <c r="T108" s="782"/>
      <c r="U108" s="782"/>
      <c r="V108" s="782"/>
      <c r="W108" s="782"/>
      <c r="X108" s="782"/>
      <c r="Y108" s="782"/>
      <c r="Z108" s="782"/>
      <c r="AA108" s="782"/>
      <c r="AB108" s="782"/>
      <c r="AC108" s="782"/>
      <c r="AD108" s="782"/>
      <c r="AE108" s="782"/>
      <c r="AF108" s="782"/>
      <c r="AG108" s="782"/>
      <c r="AH108" s="782"/>
      <c r="AI108" s="782"/>
      <c r="AJ108" s="782"/>
      <c r="AK108" s="782"/>
    </row>
    <row r="109" spans="1:37" s="7" customFormat="1" ht="24.75" customHeight="1" x14ac:dyDescent="0.25">
      <c r="A109" s="776"/>
      <c r="B109" s="777" t="s">
        <v>489</v>
      </c>
      <c r="C109" s="778"/>
      <c r="D109" s="778">
        <v>5663557</v>
      </c>
      <c r="E109" s="778"/>
      <c r="F109" s="782"/>
      <c r="G109" s="782"/>
      <c r="H109" s="782"/>
      <c r="I109" s="782"/>
      <c r="J109" s="782"/>
      <c r="K109" s="782"/>
      <c r="L109" s="782"/>
      <c r="M109" s="782"/>
      <c r="N109" s="782"/>
      <c r="O109" s="782"/>
      <c r="P109" s="782"/>
      <c r="Q109" s="782"/>
      <c r="R109" s="782"/>
      <c r="S109" s="782"/>
      <c r="T109" s="782"/>
      <c r="U109" s="782"/>
      <c r="V109" s="782"/>
      <c r="W109" s="782"/>
      <c r="X109" s="782"/>
      <c r="Y109" s="782"/>
      <c r="Z109" s="782"/>
      <c r="AA109" s="782"/>
      <c r="AB109" s="782"/>
      <c r="AC109" s="782"/>
      <c r="AD109" s="782"/>
      <c r="AE109" s="782"/>
      <c r="AF109" s="782"/>
      <c r="AG109" s="782"/>
      <c r="AH109" s="782"/>
      <c r="AI109" s="782"/>
      <c r="AJ109" s="782"/>
      <c r="AK109" s="782"/>
    </row>
    <row r="110" spans="1:37" s="7" customFormat="1" ht="24.75" customHeight="1" x14ac:dyDescent="0.25">
      <c r="A110" s="776"/>
      <c r="B110" s="777" t="s">
        <v>796</v>
      </c>
      <c r="C110" s="778"/>
      <c r="D110" s="778">
        <v>4218269</v>
      </c>
      <c r="E110" s="778"/>
      <c r="F110" s="782"/>
      <c r="G110" s="782"/>
      <c r="H110" s="782"/>
      <c r="I110" s="782"/>
      <c r="J110" s="782"/>
      <c r="K110" s="782"/>
      <c r="L110" s="782"/>
      <c r="M110" s="782"/>
      <c r="N110" s="782"/>
      <c r="O110" s="782"/>
      <c r="P110" s="782"/>
      <c r="Q110" s="782"/>
      <c r="R110" s="782"/>
      <c r="S110" s="782"/>
      <c r="T110" s="782"/>
      <c r="U110" s="782"/>
      <c r="V110" s="782"/>
      <c r="W110" s="782"/>
      <c r="X110" s="782"/>
      <c r="Y110" s="782"/>
      <c r="Z110" s="782"/>
      <c r="AA110" s="782"/>
      <c r="AB110" s="782"/>
      <c r="AC110" s="782"/>
      <c r="AD110" s="782"/>
      <c r="AE110" s="782"/>
      <c r="AF110" s="782"/>
      <c r="AG110" s="782"/>
      <c r="AH110" s="782"/>
      <c r="AI110" s="782"/>
      <c r="AJ110" s="782"/>
      <c r="AK110" s="782"/>
    </row>
    <row r="111" spans="1:37" s="7" customFormat="1" ht="24.75" customHeight="1" x14ac:dyDescent="0.25">
      <c r="A111" s="776"/>
      <c r="B111" s="777" t="s">
        <v>797</v>
      </c>
      <c r="C111" s="778"/>
      <c r="D111" s="778">
        <v>5444516</v>
      </c>
      <c r="E111" s="778"/>
      <c r="F111" s="782"/>
      <c r="G111" s="782"/>
      <c r="H111" s="782"/>
      <c r="I111" s="782"/>
      <c r="J111" s="782"/>
      <c r="K111" s="782"/>
      <c r="L111" s="782"/>
      <c r="M111" s="782"/>
      <c r="N111" s="782"/>
      <c r="O111" s="782"/>
      <c r="P111" s="782"/>
      <c r="Q111" s="782"/>
      <c r="R111" s="782"/>
      <c r="S111" s="782"/>
      <c r="T111" s="782"/>
      <c r="U111" s="782"/>
      <c r="V111" s="782"/>
      <c r="W111" s="782"/>
      <c r="X111" s="782"/>
      <c r="Y111" s="782"/>
      <c r="Z111" s="782"/>
      <c r="AA111" s="782"/>
      <c r="AB111" s="782"/>
      <c r="AC111" s="782"/>
      <c r="AD111" s="782"/>
      <c r="AE111" s="782"/>
      <c r="AF111" s="782"/>
      <c r="AG111" s="782"/>
      <c r="AH111" s="782"/>
      <c r="AI111" s="782"/>
      <c r="AJ111" s="782"/>
      <c r="AK111" s="782"/>
    </row>
    <row r="112" spans="1:37" s="7" customFormat="1" ht="24.75" customHeight="1" x14ac:dyDescent="0.25">
      <c r="A112" s="776"/>
      <c r="B112" s="777" t="s">
        <v>495</v>
      </c>
      <c r="C112" s="778"/>
      <c r="D112" s="778">
        <v>52093524</v>
      </c>
      <c r="E112" s="778"/>
      <c r="F112" s="782"/>
      <c r="G112" s="782"/>
      <c r="H112" s="782"/>
      <c r="I112" s="782"/>
      <c r="J112" s="782"/>
      <c r="K112" s="782"/>
      <c r="L112" s="782"/>
      <c r="M112" s="782"/>
      <c r="N112" s="782"/>
      <c r="O112" s="782"/>
      <c r="P112" s="782"/>
      <c r="Q112" s="782"/>
      <c r="R112" s="782"/>
      <c r="S112" s="782"/>
      <c r="T112" s="782"/>
      <c r="U112" s="782"/>
      <c r="V112" s="782"/>
      <c r="W112" s="782"/>
      <c r="X112" s="782"/>
      <c r="Y112" s="782"/>
      <c r="Z112" s="782"/>
      <c r="AA112" s="782"/>
      <c r="AB112" s="782"/>
      <c r="AC112" s="782"/>
      <c r="AD112" s="782"/>
      <c r="AE112" s="782"/>
      <c r="AF112" s="782"/>
      <c r="AG112" s="782"/>
      <c r="AH112" s="782"/>
      <c r="AI112" s="782"/>
      <c r="AJ112" s="782"/>
      <c r="AK112" s="782"/>
    </row>
    <row r="113" spans="1:37" s="7" customFormat="1" ht="24.75" customHeight="1" x14ac:dyDescent="0.25">
      <c r="A113" s="779" t="s">
        <v>128</v>
      </c>
      <c r="B113" s="780" t="s">
        <v>221</v>
      </c>
      <c r="C113" s="781"/>
      <c r="D113" s="781"/>
      <c r="E113" s="781">
        <v>368842125</v>
      </c>
      <c r="F113" s="782"/>
      <c r="G113" s="782"/>
      <c r="H113" s="782"/>
      <c r="I113" s="782"/>
      <c r="J113" s="782"/>
      <c r="K113" s="782"/>
      <c r="L113" s="782"/>
      <c r="M113" s="782"/>
      <c r="N113" s="782"/>
      <c r="O113" s="782"/>
      <c r="P113" s="782"/>
      <c r="Q113" s="782"/>
      <c r="R113" s="782"/>
      <c r="S113" s="782"/>
      <c r="T113" s="782"/>
      <c r="U113" s="782"/>
      <c r="V113" s="782"/>
      <c r="W113" s="782"/>
      <c r="X113" s="782"/>
      <c r="Y113" s="782"/>
      <c r="Z113" s="782"/>
      <c r="AA113" s="782"/>
      <c r="AB113" s="782"/>
      <c r="AC113" s="782"/>
      <c r="AD113" s="782"/>
      <c r="AE113" s="782"/>
      <c r="AF113" s="782"/>
      <c r="AG113" s="782"/>
      <c r="AH113" s="782"/>
      <c r="AI113" s="782"/>
      <c r="AJ113" s="782"/>
      <c r="AK113" s="782"/>
    </row>
    <row r="114" spans="1:37" s="7" customFormat="1" ht="24.75" customHeight="1" x14ac:dyDescent="0.25">
      <c r="A114" s="776" t="s">
        <v>127</v>
      </c>
      <c r="B114" s="777" t="s">
        <v>222</v>
      </c>
      <c r="C114" s="778"/>
      <c r="D114" s="778"/>
      <c r="E114" s="778">
        <v>9854383</v>
      </c>
      <c r="F114" s="782"/>
      <c r="G114" s="782"/>
      <c r="H114" s="782"/>
      <c r="I114" s="782"/>
      <c r="J114" s="782"/>
      <c r="K114" s="782"/>
      <c r="L114" s="782"/>
      <c r="M114" s="782"/>
      <c r="N114" s="782"/>
      <c r="O114" s="782"/>
      <c r="P114" s="782"/>
      <c r="Q114" s="782"/>
      <c r="R114" s="782"/>
      <c r="S114" s="782"/>
      <c r="T114" s="782"/>
      <c r="U114" s="782"/>
      <c r="V114" s="782"/>
      <c r="W114" s="782"/>
      <c r="X114" s="782"/>
      <c r="Y114" s="782"/>
      <c r="Z114" s="782"/>
      <c r="AA114" s="782"/>
      <c r="AB114" s="782"/>
      <c r="AC114" s="782"/>
      <c r="AD114" s="782"/>
      <c r="AE114" s="782"/>
      <c r="AF114" s="782"/>
      <c r="AG114" s="782"/>
      <c r="AH114" s="782"/>
      <c r="AI114" s="782"/>
      <c r="AJ114" s="782"/>
      <c r="AK114" s="782"/>
    </row>
    <row r="115" spans="1:37" s="7" customFormat="1" ht="24.75" customHeight="1" x14ac:dyDescent="0.25">
      <c r="A115" s="776"/>
      <c r="B115" s="777" t="s">
        <v>844</v>
      </c>
      <c r="C115" s="778"/>
      <c r="D115" s="778">
        <v>9854383</v>
      </c>
      <c r="E115" s="778"/>
      <c r="F115" s="782"/>
      <c r="G115" s="782"/>
      <c r="H115" s="782"/>
      <c r="I115" s="782"/>
      <c r="J115" s="782"/>
      <c r="K115" s="782"/>
      <c r="L115" s="782"/>
      <c r="M115" s="782"/>
      <c r="N115" s="782"/>
      <c r="O115" s="782"/>
      <c r="P115" s="782"/>
      <c r="Q115" s="782"/>
      <c r="R115" s="782"/>
      <c r="S115" s="782"/>
      <c r="T115" s="782"/>
      <c r="U115" s="782"/>
      <c r="V115" s="782"/>
      <c r="W115" s="782"/>
      <c r="X115" s="782"/>
      <c r="Y115" s="782"/>
      <c r="Z115" s="782"/>
      <c r="AA115" s="782"/>
      <c r="AB115" s="782"/>
      <c r="AC115" s="782"/>
      <c r="AD115" s="782"/>
      <c r="AE115" s="782"/>
      <c r="AF115" s="782"/>
      <c r="AG115" s="782"/>
      <c r="AH115" s="782"/>
      <c r="AI115" s="782"/>
      <c r="AJ115" s="782"/>
      <c r="AK115" s="782"/>
    </row>
    <row r="116" spans="1:37" s="26" customFormat="1" ht="30.75" customHeight="1" x14ac:dyDescent="0.25">
      <c r="A116" s="30" t="s">
        <v>9</v>
      </c>
      <c r="B116" s="5" t="s">
        <v>0</v>
      </c>
      <c r="C116" s="5"/>
      <c r="D116" s="5"/>
      <c r="E116" s="5" t="s">
        <v>105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</row>
    <row r="117" spans="1:37" s="7" customFormat="1" ht="24.75" customHeight="1" x14ac:dyDescent="0.25">
      <c r="A117" s="779" t="s">
        <v>129</v>
      </c>
      <c r="B117" s="780" t="s">
        <v>223</v>
      </c>
      <c r="C117" s="781"/>
      <c r="D117" s="781"/>
      <c r="E117" s="781">
        <v>9854383</v>
      </c>
      <c r="F117" s="782"/>
      <c r="G117" s="782"/>
      <c r="H117" s="782"/>
      <c r="I117" s="782"/>
      <c r="J117" s="782"/>
      <c r="K117" s="782"/>
      <c r="L117" s="782"/>
      <c r="M117" s="782"/>
      <c r="N117" s="782"/>
      <c r="O117" s="782"/>
      <c r="P117" s="782"/>
      <c r="Q117" s="782"/>
      <c r="R117" s="782"/>
      <c r="S117" s="782"/>
      <c r="T117" s="782"/>
      <c r="U117" s="782"/>
      <c r="V117" s="782"/>
      <c r="W117" s="782"/>
      <c r="X117" s="782"/>
      <c r="Y117" s="782"/>
      <c r="Z117" s="782"/>
      <c r="AA117" s="782"/>
      <c r="AB117" s="782"/>
      <c r="AC117" s="782"/>
      <c r="AD117" s="782"/>
      <c r="AE117" s="782"/>
      <c r="AF117" s="782"/>
      <c r="AG117" s="782"/>
      <c r="AH117" s="782"/>
      <c r="AI117" s="782"/>
      <c r="AJ117" s="782"/>
      <c r="AK117" s="782"/>
    </row>
    <row r="118" spans="1:37" s="7" customFormat="1" ht="24.75" customHeight="1" x14ac:dyDescent="0.25">
      <c r="A118" s="779" t="s">
        <v>130</v>
      </c>
      <c r="B118" s="780" t="s">
        <v>53</v>
      </c>
      <c r="C118" s="781"/>
      <c r="D118" s="781"/>
      <c r="E118" s="781">
        <v>379599970</v>
      </c>
      <c r="F118" s="782"/>
      <c r="G118" s="782"/>
      <c r="H118" s="782"/>
      <c r="I118" s="782"/>
      <c r="J118" s="782"/>
      <c r="K118" s="782"/>
      <c r="L118" s="782"/>
      <c r="M118" s="782"/>
      <c r="N118" s="782"/>
      <c r="O118" s="782"/>
      <c r="P118" s="782"/>
      <c r="Q118" s="782"/>
      <c r="R118" s="782"/>
      <c r="S118" s="782"/>
      <c r="T118" s="782"/>
      <c r="U118" s="782"/>
      <c r="V118" s="782"/>
      <c r="W118" s="782"/>
      <c r="X118" s="782"/>
      <c r="Y118" s="782"/>
      <c r="Z118" s="782"/>
      <c r="AA118" s="782"/>
      <c r="AB118" s="782"/>
      <c r="AC118" s="782"/>
      <c r="AD118" s="782"/>
      <c r="AE118" s="782"/>
      <c r="AF118" s="782"/>
      <c r="AG118" s="782"/>
      <c r="AH118" s="782"/>
      <c r="AI118" s="782"/>
      <c r="AJ118" s="782"/>
      <c r="AK118" s="782"/>
    </row>
    <row r="119" spans="1:37" s="7" customFormat="1" ht="24.75" customHeight="1" x14ac:dyDescent="0.25">
      <c r="A119" s="776" t="s">
        <v>131</v>
      </c>
      <c r="B119" s="777" t="s">
        <v>224</v>
      </c>
      <c r="C119" s="778"/>
      <c r="D119" s="778"/>
      <c r="E119" s="778">
        <v>52067887</v>
      </c>
      <c r="F119" s="782"/>
      <c r="G119" s="782"/>
      <c r="H119" s="782"/>
      <c r="I119" s="782"/>
      <c r="J119" s="782"/>
      <c r="K119" s="782"/>
      <c r="L119" s="782"/>
      <c r="M119" s="782"/>
      <c r="N119" s="782"/>
      <c r="O119" s="782"/>
      <c r="P119" s="782"/>
      <c r="Q119" s="782"/>
      <c r="R119" s="782"/>
      <c r="S119" s="782"/>
      <c r="T119" s="782"/>
      <c r="U119" s="782"/>
      <c r="V119" s="782"/>
      <c r="W119" s="782"/>
      <c r="X119" s="782"/>
      <c r="Y119" s="782"/>
      <c r="Z119" s="782"/>
      <c r="AA119" s="782"/>
      <c r="AB119" s="782"/>
      <c r="AC119" s="782"/>
      <c r="AD119" s="782"/>
      <c r="AE119" s="782"/>
      <c r="AF119" s="782"/>
      <c r="AG119" s="782"/>
      <c r="AH119" s="782"/>
      <c r="AI119" s="782"/>
      <c r="AJ119" s="782"/>
      <c r="AK119" s="782"/>
    </row>
    <row r="120" spans="1:37" s="7" customFormat="1" ht="24.75" customHeight="1" x14ac:dyDescent="0.25">
      <c r="A120" s="776" t="s">
        <v>132</v>
      </c>
      <c r="B120" s="777" t="s">
        <v>225</v>
      </c>
      <c r="C120" s="778"/>
      <c r="D120" s="778"/>
      <c r="E120" s="778">
        <v>51</v>
      </c>
      <c r="F120" s="782"/>
      <c r="G120" s="782"/>
      <c r="H120" s="782"/>
      <c r="I120" s="782"/>
      <c r="J120" s="782"/>
      <c r="K120" s="782"/>
      <c r="L120" s="782"/>
      <c r="M120" s="782"/>
      <c r="N120" s="782"/>
      <c r="O120" s="782"/>
      <c r="P120" s="782"/>
      <c r="Q120" s="782"/>
      <c r="R120" s="782"/>
      <c r="S120" s="782"/>
      <c r="T120" s="782"/>
      <c r="U120" s="782"/>
      <c r="V120" s="782"/>
      <c r="W120" s="782"/>
      <c r="X120" s="782"/>
      <c r="Y120" s="782"/>
      <c r="Z120" s="782"/>
      <c r="AA120" s="782"/>
      <c r="AB120" s="782"/>
      <c r="AC120" s="782"/>
      <c r="AD120" s="782"/>
      <c r="AE120" s="782"/>
      <c r="AF120" s="782"/>
      <c r="AG120" s="782"/>
      <c r="AH120" s="782"/>
      <c r="AI120" s="782"/>
      <c r="AJ120" s="782"/>
      <c r="AK120" s="782"/>
    </row>
    <row r="121" spans="1:37" s="7" customFormat="1" ht="24.75" customHeight="1" x14ac:dyDescent="0.25">
      <c r="A121" s="776"/>
      <c r="B121" s="777" t="s">
        <v>844</v>
      </c>
      <c r="C121" s="778"/>
      <c r="D121" s="778">
        <v>51</v>
      </c>
      <c r="E121" s="778"/>
      <c r="F121" s="782"/>
      <c r="G121" s="782"/>
      <c r="H121" s="782"/>
      <c r="I121" s="782"/>
      <c r="J121" s="782"/>
      <c r="K121" s="782"/>
      <c r="L121" s="782"/>
      <c r="M121" s="782"/>
      <c r="N121" s="782"/>
      <c r="O121" s="782"/>
      <c r="P121" s="782"/>
      <c r="Q121" s="782"/>
      <c r="R121" s="782"/>
      <c r="S121" s="782"/>
      <c r="T121" s="782"/>
      <c r="U121" s="782"/>
      <c r="V121" s="782"/>
      <c r="W121" s="782"/>
      <c r="X121" s="782"/>
      <c r="Y121" s="782"/>
      <c r="Z121" s="782"/>
      <c r="AA121" s="782"/>
      <c r="AB121" s="782"/>
      <c r="AC121" s="782"/>
      <c r="AD121" s="782"/>
      <c r="AE121" s="782"/>
      <c r="AF121" s="782"/>
      <c r="AG121" s="782"/>
      <c r="AH121" s="782"/>
      <c r="AI121" s="782"/>
      <c r="AJ121" s="782"/>
      <c r="AK121" s="782"/>
    </row>
    <row r="122" spans="1:37" s="7" customFormat="1" ht="24.75" customHeight="1" x14ac:dyDescent="0.25">
      <c r="A122" s="776"/>
      <c r="B122" s="777" t="s">
        <v>891</v>
      </c>
      <c r="C122" s="778"/>
      <c r="D122" s="778"/>
      <c r="E122" s="778"/>
      <c r="F122" s="782"/>
      <c r="G122" s="782"/>
      <c r="H122" s="782"/>
      <c r="I122" s="782"/>
      <c r="J122" s="782"/>
      <c r="K122" s="782"/>
      <c r="L122" s="782"/>
      <c r="M122" s="782"/>
      <c r="N122" s="782"/>
      <c r="O122" s="782"/>
      <c r="P122" s="782"/>
      <c r="Q122" s="782"/>
      <c r="R122" s="782"/>
      <c r="S122" s="782"/>
      <c r="T122" s="782"/>
      <c r="U122" s="782"/>
      <c r="V122" s="782"/>
      <c r="W122" s="782"/>
      <c r="X122" s="782"/>
      <c r="Y122" s="782"/>
      <c r="Z122" s="782"/>
      <c r="AA122" s="782"/>
      <c r="AB122" s="782"/>
      <c r="AC122" s="782"/>
      <c r="AD122" s="782"/>
      <c r="AE122" s="782"/>
      <c r="AF122" s="782"/>
      <c r="AG122" s="782"/>
      <c r="AH122" s="782"/>
      <c r="AI122" s="782"/>
      <c r="AJ122" s="782"/>
      <c r="AK122" s="782"/>
    </row>
    <row r="123" spans="1:37" s="7" customFormat="1" ht="24.75" customHeight="1" x14ac:dyDescent="0.25">
      <c r="A123" s="776" t="s">
        <v>134</v>
      </c>
      <c r="B123" s="777" t="s">
        <v>227</v>
      </c>
      <c r="C123" s="778"/>
      <c r="D123" s="778"/>
      <c r="E123" s="778">
        <v>34796734</v>
      </c>
      <c r="F123" s="782"/>
      <c r="G123" s="782"/>
      <c r="H123" s="782"/>
      <c r="I123" s="782"/>
      <c r="J123" s="782"/>
      <c r="K123" s="782"/>
      <c r="L123" s="782"/>
      <c r="M123" s="782"/>
      <c r="N123" s="782"/>
      <c r="O123" s="782"/>
      <c r="P123" s="782"/>
      <c r="Q123" s="782"/>
      <c r="R123" s="782"/>
      <c r="S123" s="782"/>
      <c r="T123" s="782"/>
      <c r="U123" s="782"/>
      <c r="V123" s="782"/>
      <c r="W123" s="782"/>
      <c r="X123" s="782"/>
      <c r="Y123" s="782"/>
      <c r="Z123" s="782"/>
      <c r="AA123" s="782"/>
      <c r="AB123" s="782"/>
      <c r="AC123" s="782"/>
      <c r="AD123" s="782"/>
      <c r="AE123" s="782"/>
      <c r="AF123" s="782"/>
      <c r="AG123" s="782"/>
      <c r="AH123" s="782"/>
      <c r="AI123" s="782"/>
      <c r="AJ123" s="782"/>
      <c r="AK123" s="782"/>
    </row>
    <row r="124" spans="1:37" s="7" customFormat="1" ht="24.75" customHeight="1" x14ac:dyDescent="0.25">
      <c r="A124" s="776"/>
      <c r="B124" s="777" t="s">
        <v>844</v>
      </c>
      <c r="C124" s="778"/>
      <c r="D124" s="778">
        <v>34796734</v>
      </c>
      <c r="E124" s="778"/>
      <c r="F124" s="782"/>
      <c r="G124" s="782"/>
      <c r="H124" s="782"/>
      <c r="I124" s="782"/>
      <c r="J124" s="782"/>
      <c r="K124" s="782"/>
      <c r="L124" s="782"/>
      <c r="M124" s="782"/>
      <c r="N124" s="782"/>
      <c r="O124" s="782"/>
      <c r="P124" s="782"/>
      <c r="Q124" s="782"/>
      <c r="R124" s="782"/>
      <c r="S124" s="782"/>
      <c r="T124" s="782"/>
      <c r="U124" s="782"/>
      <c r="V124" s="782"/>
      <c r="W124" s="782"/>
      <c r="X124" s="782"/>
      <c r="Y124" s="782"/>
      <c r="Z124" s="782"/>
      <c r="AA124" s="782"/>
      <c r="AB124" s="782"/>
      <c r="AC124" s="782"/>
      <c r="AD124" s="782"/>
      <c r="AE124" s="782"/>
      <c r="AF124" s="782"/>
      <c r="AG124" s="782"/>
      <c r="AH124" s="782"/>
      <c r="AI124" s="782"/>
      <c r="AJ124" s="782"/>
      <c r="AK124" s="782"/>
    </row>
    <row r="125" spans="1:37" s="7" customFormat="1" ht="24.75" customHeight="1" x14ac:dyDescent="0.25">
      <c r="A125" s="776"/>
      <c r="B125" s="777" t="s">
        <v>892</v>
      </c>
      <c r="C125" s="778">
        <v>32543144</v>
      </c>
      <c r="D125" s="778"/>
      <c r="E125" s="778"/>
      <c r="F125" s="782"/>
      <c r="G125" s="782"/>
      <c r="H125" s="782"/>
      <c r="I125" s="782"/>
      <c r="J125" s="782"/>
      <c r="K125" s="782"/>
      <c r="L125" s="782"/>
      <c r="M125" s="782"/>
      <c r="N125" s="782"/>
      <c r="O125" s="782"/>
      <c r="P125" s="782"/>
      <c r="Q125" s="782"/>
      <c r="R125" s="782"/>
      <c r="S125" s="782"/>
      <c r="T125" s="782"/>
      <c r="U125" s="782"/>
      <c r="V125" s="782"/>
      <c r="W125" s="782"/>
      <c r="X125" s="782"/>
      <c r="Y125" s="782"/>
      <c r="Z125" s="782"/>
      <c r="AA125" s="782"/>
      <c r="AB125" s="782"/>
      <c r="AC125" s="782"/>
      <c r="AD125" s="782"/>
      <c r="AE125" s="782"/>
      <c r="AF125" s="782"/>
      <c r="AG125" s="782"/>
      <c r="AH125" s="782"/>
      <c r="AI125" s="782"/>
      <c r="AJ125" s="782"/>
      <c r="AK125" s="782"/>
    </row>
    <row r="126" spans="1:37" s="7" customFormat="1" ht="24.75" customHeight="1" x14ac:dyDescent="0.25">
      <c r="A126" s="776"/>
      <c r="B126" s="777" t="s">
        <v>893</v>
      </c>
      <c r="C126" s="778">
        <v>2253590</v>
      </c>
      <c r="D126" s="778"/>
      <c r="E126" s="778"/>
      <c r="F126" s="782"/>
      <c r="G126" s="782"/>
      <c r="H126" s="782"/>
      <c r="I126" s="782"/>
      <c r="J126" s="782"/>
      <c r="K126" s="782"/>
      <c r="L126" s="782"/>
      <c r="M126" s="782"/>
      <c r="N126" s="782"/>
      <c r="O126" s="782"/>
      <c r="P126" s="782"/>
      <c r="Q126" s="782"/>
      <c r="R126" s="782"/>
      <c r="S126" s="782"/>
      <c r="T126" s="782"/>
      <c r="U126" s="782"/>
      <c r="V126" s="782"/>
      <c r="W126" s="782"/>
      <c r="X126" s="782"/>
      <c r="Y126" s="782"/>
      <c r="Z126" s="782"/>
      <c r="AA126" s="782"/>
      <c r="AB126" s="782"/>
      <c r="AC126" s="782"/>
      <c r="AD126" s="782"/>
      <c r="AE126" s="782"/>
      <c r="AF126" s="782"/>
      <c r="AG126" s="782"/>
      <c r="AH126" s="782"/>
      <c r="AI126" s="782"/>
      <c r="AJ126" s="782"/>
      <c r="AK126" s="782"/>
    </row>
    <row r="127" spans="1:37" s="7" customFormat="1" ht="24.75" customHeight="1" x14ac:dyDescent="0.25">
      <c r="A127" s="776" t="s">
        <v>135</v>
      </c>
      <c r="B127" s="777" t="s">
        <v>228</v>
      </c>
      <c r="C127" s="778"/>
      <c r="D127" s="778"/>
      <c r="E127" s="778">
        <v>17271102</v>
      </c>
      <c r="F127" s="782"/>
      <c r="G127" s="782"/>
      <c r="H127" s="782"/>
      <c r="I127" s="782"/>
      <c r="J127" s="782"/>
      <c r="K127" s="782"/>
      <c r="L127" s="782"/>
      <c r="M127" s="782"/>
      <c r="N127" s="782"/>
      <c r="O127" s="782"/>
      <c r="P127" s="782"/>
      <c r="Q127" s="782"/>
      <c r="R127" s="782"/>
      <c r="S127" s="782"/>
      <c r="T127" s="782"/>
      <c r="U127" s="782"/>
      <c r="V127" s="782"/>
      <c r="W127" s="782"/>
      <c r="X127" s="782"/>
      <c r="Y127" s="782"/>
      <c r="Z127" s="782"/>
      <c r="AA127" s="782"/>
      <c r="AB127" s="782"/>
      <c r="AC127" s="782"/>
      <c r="AD127" s="782"/>
      <c r="AE127" s="782"/>
      <c r="AF127" s="782"/>
      <c r="AG127" s="782"/>
      <c r="AH127" s="782"/>
      <c r="AI127" s="782"/>
      <c r="AJ127" s="782"/>
      <c r="AK127" s="782"/>
    </row>
    <row r="128" spans="1:37" s="7" customFormat="1" ht="24.75" customHeight="1" x14ac:dyDescent="0.25">
      <c r="A128" s="776"/>
      <c r="B128" s="777" t="s">
        <v>844</v>
      </c>
      <c r="C128" s="778"/>
      <c r="D128" s="778">
        <v>17271102</v>
      </c>
      <c r="E128" s="778"/>
      <c r="F128" s="782"/>
      <c r="G128" s="782"/>
      <c r="H128" s="782"/>
      <c r="I128" s="782"/>
      <c r="J128" s="782"/>
      <c r="K128" s="782"/>
      <c r="L128" s="782"/>
      <c r="M128" s="782"/>
      <c r="N128" s="782"/>
      <c r="O128" s="782"/>
      <c r="P128" s="782"/>
      <c r="Q128" s="782"/>
      <c r="R128" s="782"/>
      <c r="S128" s="782"/>
      <c r="T128" s="782"/>
      <c r="U128" s="782"/>
      <c r="V128" s="782"/>
      <c r="W128" s="782"/>
      <c r="X128" s="782"/>
      <c r="Y128" s="782"/>
      <c r="Z128" s="782"/>
      <c r="AA128" s="782"/>
      <c r="AB128" s="782"/>
      <c r="AC128" s="782"/>
      <c r="AD128" s="782"/>
      <c r="AE128" s="782"/>
      <c r="AF128" s="782"/>
      <c r="AG128" s="782"/>
      <c r="AH128" s="782"/>
      <c r="AI128" s="782"/>
      <c r="AJ128" s="782"/>
      <c r="AK128" s="782"/>
    </row>
    <row r="129" spans="1:37" s="7" customFormat="1" ht="24.75" customHeight="1" x14ac:dyDescent="0.25">
      <c r="A129" s="776"/>
      <c r="B129" s="777" t="s">
        <v>894</v>
      </c>
      <c r="C129" s="778">
        <v>2989678</v>
      </c>
      <c r="D129" s="778"/>
      <c r="E129" s="778"/>
      <c r="F129" s="782"/>
      <c r="G129" s="782"/>
      <c r="H129" s="782"/>
      <c r="I129" s="782"/>
      <c r="J129" s="782"/>
      <c r="K129" s="782"/>
      <c r="L129" s="782"/>
      <c r="M129" s="782"/>
      <c r="N129" s="782"/>
      <c r="O129" s="782"/>
      <c r="P129" s="782"/>
      <c r="Q129" s="782"/>
      <c r="R129" s="782"/>
      <c r="S129" s="782"/>
      <c r="T129" s="782"/>
      <c r="U129" s="782"/>
      <c r="V129" s="782"/>
      <c r="W129" s="782"/>
      <c r="X129" s="782"/>
      <c r="Y129" s="782"/>
      <c r="Z129" s="782"/>
      <c r="AA129" s="782"/>
      <c r="AB129" s="782"/>
      <c r="AC129" s="782"/>
      <c r="AD129" s="782"/>
      <c r="AE129" s="782"/>
      <c r="AF129" s="782"/>
      <c r="AG129" s="782"/>
      <c r="AH129" s="782"/>
      <c r="AI129" s="782"/>
      <c r="AJ129" s="782"/>
      <c r="AK129" s="782"/>
    </row>
    <row r="130" spans="1:37" s="7" customFormat="1" ht="24.75" customHeight="1" x14ac:dyDescent="0.25">
      <c r="A130" s="776"/>
      <c r="B130" s="777" t="s">
        <v>895</v>
      </c>
      <c r="C130" s="778">
        <v>1264114</v>
      </c>
      <c r="D130" s="778"/>
      <c r="E130" s="778"/>
      <c r="F130" s="782"/>
      <c r="G130" s="782"/>
      <c r="H130" s="782"/>
      <c r="I130" s="782"/>
      <c r="J130" s="782"/>
      <c r="K130" s="782"/>
      <c r="L130" s="782"/>
      <c r="M130" s="782"/>
      <c r="N130" s="782"/>
      <c r="O130" s="782"/>
      <c r="P130" s="782"/>
      <c r="Q130" s="782"/>
      <c r="R130" s="782"/>
      <c r="S130" s="782"/>
      <c r="T130" s="782"/>
      <c r="U130" s="782"/>
      <c r="V130" s="782"/>
      <c r="W130" s="782"/>
      <c r="X130" s="782"/>
      <c r="Y130" s="782"/>
      <c r="Z130" s="782"/>
      <c r="AA130" s="782"/>
      <c r="AB130" s="782"/>
      <c r="AC130" s="782"/>
      <c r="AD130" s="782"/>
      <c r="AE130" s="782"/>
      <c r="AF130" s="782"/>
      <c r="AG130" s="782"/>
      <c r="AH130" s="782"/>
      <c r="AI130" s="782"/>
      <c r="AJ130" s="782"/>
      <c r="AK130" s="782"/>
    </row>
    <row r="131" spans="1:37" s="7" customFormat="1" ht="24.75" customHeight="1" x14ac:dyDescent="0.25">
      <c r="A131" s="776"/>
      <c r="B131" s="777" t="s">
        <v>896</v>
      </c>
      <c r="C131" s="778">
        <v>13017310</v>
      </c>
      <c r="D131" s="778"/>
      <c r="E131" s="778"/>
      <c r="F131" s="782"/>
      <c r="G131" s="782"/>
      <c r="H131" s="782"/>
      <c r="I131" s="782"/>
      <c r="J131" s="782"/>
      <c r="K131" s="782"/>
      <c r="L131" s="782"/>
      <c r="M131" s="782"/>
      <c r="N131" s="782"/>
      <c r="O131" s="782"/>
      <c r="P131" s="782"/>
      <c r="Q131" s="782"/>
      <c r="R131" s="782"/>
      <c r="S131" s="782"/>
      <c r="T131" s="782"/>
      <c r="U131" s="782"/>
      <c r="V131" s="782"/>
      <c r="W131" s="782"/>
      <c r="X131" s="782"/>
      <c r="Y131" s="782"/>
      <c r="Z131" s="782"/>
      <c r="AA131" s="782"/>
      <c r="AB131" s="782"/>
      <c r="AC131" s="782"/>
      <c r="AD131" s="782"/>
      <c r="AE131" s="782"/>
      <c r="AF131" s="782"/>
      <c r="AG131" s="782"/>
      <c r="AH131" s="782"/>
      <c r="AI131" s="782"/>
      <c r="AJ131" s="782"/>
      <c r="AK131" s="782"/>
    </row>
    <row r="132" spans="1:37" s="7" customFormat="1" ht="24.75" customHeight="1" x14ac:dyDescent="0.25">
      <c r="A132" s="776" t="s">
        <v>136</v>
      </c>
      <c r="B132" s="777" t="s">
        <v>229</v>
      </c>
      <c r="C132" s="778"/>
      <c r="D132" s="778"/>
      <c r="E132" s="778">
        <v>216758378</v>
      </c>
      <c r="F132" s="782"/>
      <c r="G132" s="782"/>
      <c r="H132" s="782"/>
      <c r="I132" s="782"/>
      <c r="J132" s="782"/>
      <c r="K132" s="782"/>
      <c r="L132" s="782"/>
      <c r="M132" s="782"/>
      <c r="N132" s="782"/>
      <c r="O132" s="782"/>
      <c r="P132" s="782"/>
      <c r="Q132" s="782"/>
      <c r="R132" s="782"/>
      <c r="S132" s="782"/>
      <c r="T132" s="782"/>
      <c r="U132" s="782"/>
      <c r="V132" s="782"/>
      <c r="W132" s="782"/>
      <c r="X132" s="782"/>
      <c r="Y132" s="782"/>
      <c r="Z132" s="782"/>
      <c r="AA132" s="782"/>
      <c r="AB132" s="782"/>
      <c r="AC132" s="782"/>
      <c r="AD132" s="782"/>
      <c r="AE132" s="782"/>
      <c r="AF132" s="782"/>
      <c r="AG132" s="782"/>
      <c r="AH132" s="782"/>
      <c r="AI132" s="782"/>
      <c r="AJ132" s="782"/>
      <c r="AK132" s="782"/>
    </row>
    <row r="133" spans="1:37" s="7" customFormat="1" ht="16.5" customHeight="1" x14ac:dyDescent="0.25">
      <c r="A133" s="31" t="s">
        <v>137</v>
      </c>
      <c r="B133" s="32" t="s">
        <v>232</v>
      </c>
      <c r="C133" s="787"/>
      <c r="D133" s="787"/>
      <c r="E133" s="787">
        <v>7711971</v>
      </c>
      <c r="F133" s="782"/>
      <c r="G133" s="782"/>
      <c r="H133" s="782"/>
      <c r="I133" s="782"/>
      <c r="J133" s="782"/>
      <c r="K133" s="782"/>
      <c r="L133" s="782"/>
      <c r="M133" s="782"/>
      <c r="N133" s="782"/>
      <c r="O133" s="782"/>
      <c r="P133" s="782"/>
      <c r="Q133" s="782"/>
      <c r="R133" s="782"/>
      <c r="S133" s="782"/>
      <c r="T133" s="782"/>
      <c r="U133" s="782"/>
      <c r="V133" s="782"/>
      <c r="W133" s="782"/>
      <c r="X133" s="782"/>
      <c r="Y133" s="782"/>
      <c r="Z133" s="782"/>
      <c r="AA133" s="782"/>
      <c r="AB133" s="782"/>
      <c r="AC133" s="782"/>
      <c r="AD133" s="782"/>
      <c r="AE133" s="782"/>
      <c r="AF133" s="782"/>
      <c r="AG133" s="782"/>
      <c r="AH133" s="782"/>
      <c r="AI133" s="782"/>
      <c r="AJ133" s="782"/>
      <c r="AK133" s="782"/>
    </row>
    <row r="134" spans="1:37" s="7" customFormat="1" ht="17.25" customHeight="1" x14ac:dyDescent="0.25">
      <c r="A134" s="33"/>
      <c r="B134" s="34" t="s">
        <v>231</v>
      </c>
      <c r="C134" s="788"/>
      <c r="D134" s="788"/>
      <c r="E134" s="788"/>
      <c r="F134" s="734"/>
      <c r="G134" s="782"/>
      <c r="H134" s="782"/>
      <c r="I134" s="782"/>
      <c r="J134" s="782"/>
      <c r="K134" s="782"/>
      <c r="L134" s="782"/>
      <c r="M134" s="782"/>
      <c r="N134" s="782"/>
      <c r="O134" s="782"/>
      <c r="P134" s="782"/>
      <c r="Q134" s="782"/>
      <c r="R134" s="782"/>
      <c r="S134" s="782"/>
      <c r="T134" s="782"/>
      <c r="U134" s="782"/>
      <c r="V134" s="782"/>
      <c r="W134" s="782"/>
      <c r="X134" s="782"/>
      <c r="Y134" s="782"/>
      <c r="Z134" s="782"/>
      <c r="AA134" s="782"/>
      <c r="AB134" s="782"/>
      <c r="AC134" s="782"/>
      <c r="AD134" s="782"/>
      <c r="AE134" s="782"/>
      <c r="AF134" s="782"/>
      <c r="AG134" s="782"/>
      <c r="AH134" s="782"/>
      <c r="AI134" s="782"/>
      <c r="AJ134" s="782"/>
      <c r="AK134" s="782"/>
    </row>
    <row r="135" spans="1:37" s="7" customFormat="1" ht="24.75" customHeight="1" x14ac:dyDescent="0.25">
      <c r="A135" s="776"/>
      <c r="B135" s="777" t="s">
        <v>845</v>
      </c>
      <c r="C135" s="778"/>
      <c r="D135" s="778">
        <v>69471</v>
      </c>
      <c r="E135" s="778"/>
      <c r="F135" s="782"/>
      <c r="G135" s="782"/>
      <c r="H135" s="782"/>
      <c r="I135" s="782"/>
      <c r="J135" s="782"/>
      <c r="K135" s="782"/>
      <c r="L135" s="782"/>
      <c r="M135" s="782"/>
      <c r="N135" s="782"/>
      <c r="O135" s="782"/>
      <c r="P135" s="782"/>
      <c r="Q135" s="782"/>
      <c r="R135" s="782"/>
      <c r="S135" s="782"/>
      <c r="T135" s="782"/>
      <c r="U135" s="782"/>
      <c r="V135" s="782"/>
      <c r="W135" s="782"/>
      <c r="X135" s="782"/>
      <c r="Y135" s="782"/>
      <c r="Z135" s="782"/>
      <c r="AA135" s="782"/>
      <c r="AB135" s="782"/>
      <c r="AC135" s="782"/>
      <c r="AD135" s="782"/>
      <c r="AE135" s="782"/>
      <c r="AF135" s="782"/>
      <c r="AG135" s="782"/>
      <c r="AH135" s="782"/>
      <c r="AI135" s="782"/>
      <c r="AJ135" s="782"/>
      <c r="AK135" s="782"/>
    </row>
    <row r="136" spans="1:37" s="7" customFormat="1" ht="24.75" customHeight="1" x14ac:dyDescent="0.25">
      <c r="A136" s="776"/>
      <c r="B136" s="777" t="s">
        <v>897</v>
      </c>
      <c r="C136" s="778">
        <v>69471</v>
      </c>
      <c r="D136" s="778"/>
      <c r="E136" s="778"/>
      <c r="F136" s="782"/>
      <c r="G136" s="782"/>
      <c r="H136" s="782"/>
      <c r="I136" s="782"/>
      <c r="J136" s="782"/>
      <c r="K136" s="782"/>
      <c r="L136" s="782"/>
      <c r="M136" s="782"/>
      <c r="N136" s="782"/>
      <c r="O136" s="782"/>
      <c r="P136" s="782"/>
      <c r="Q136" s="782"/>
      <c r="R136" s="782"/>
      <c r="S136" s="782"/>
      <c r="T136" s="782"/>
      <c r="U136" s="782"/>
      <c r="V136" s="782"/>
      <c r="W136" s="782"/>
      <c r="X136" s="782"/>
      <c r="Y136" s="782"/>
      <c r="Z136" s="782"/>
      <c r="AA136" s="782"/>
      <c r="AB136" s="782"/>
      <c r="AC136" s="782"/>
      <c r="AD136" s="782"/>
      <c r="AE136" s="782"/>
      <c r="AF136" s="782"/>
      <c r="AG136" s="782"/>
      <c r="AH136" s="782"/>
      <c r="AI136" s="782"/>
      <c r="AJ136" s="782"/>
      <c r="AK136" s="782"/>
    </row>
    <row r="137" spans="1:37" s="7" customFormat="1" ht="24.75" customHeight="1" x14ac:dyDescent="0.25">
      <c r="A137" s="776"/>
      <c r="B137" s="777" t="s">
        <v>796</v>
      </c>
      <c r="C137" s="778"/>
      <c r="D137" s="778">
        <v>5590222</v>
      </c>
      <c r="E137" s="778"/>
      <c r="F137" s="782"/>
      <c r="G137" s="782"/>
      <c r="H137" s="782"/>
      <c r="I137" s="782"/>
      <c r="J137" s="782"/>
      <c r="K137" s="782"/>
      <c r="L137" s="782"/>
      <c r="M137" s="782"/>
      <c r="N137" s="782"/>
      <c r="O137" s="782"/>
      <c r="P137" s="782"/>
      <c r="Q137" s="782"/>
      <c r="R137" s="782"/>
      <c r="S137" s="782"/>
      <c r="T137" s="782"/>
      <c r="U137" s="782"/>
      <c r="V137" s="782"/>
      <c r="W137" s="782"/>
      <c r="X137" s="782"/>
      <c r="Y137" s="782"/>
      <c r="Z137" s="782"/>
      <c r="AA137" s="782"/>
      <c r="AB137" s="782"/>
      <c r="AC137" s="782"/>
      <c r="AD137" s="782"/>
      <c r="AE137" s="782"/>
      <c r="AF137" s="782"/>
      <c r="AG137" s="782"/>
      <c r="AH137" s="782"/>
      <c r="AI137" s="782"/>
      <c r="AJ137" s="782"/>
      <c r="AK137" s="782"/>
    </row>
    <row r="138" spans="1:37" s="7" customFormat="1" ht="24.75" customHeight="1" x14ac:dyDescent="0.25">
      <c r="A138" s="776"/>
      <c r="B138" s="777" t="s">
        <v>898</v>
      </c>
      <c r="C138" s="778"/>
      <c r="D138" s="778"/>
      <c r="E138" s="778"/>
      <c r="F138" s="782"/>
      <c r="G138" s="782"/>
      <c r="H138" s="782"/>
      <c r="I138" s="782"/>
      <c r="J138" s="782"/>
      <c r="K138" s="782"/>
      <c r="L138" s="782"/>
      <c r="M138" s="782"/>
      <c r="N138" s="782"/>
      <c r="O138" s="782"/>
      <c r="P138" s="782"/>
      <c r="Q138" s="782"/>
      <c r="R138" s="782"/>
      <c r="S138" s="782"/>
      <c r="T138" s="782"/>
      <c r="U138" s="782"/>
      <c r="V138" s="782"/>
      <c r="W138" s="782"/>
      <c r="X138" s="782"/>
      <c r="Y138" s="782"/>
      <c r="Z138" s="782"/>
      <c r="AA138" s="782"/>
      <c r="AB138" s="782"/>
      <c r="AC138" s="782"/>
      <c r="AD138" s="782"/>
      <c r="AE138" s="782"/>
      <c r="AF138" s="782"/>
      <c r="AG138" s="782"/>
      <c r="AH138" s="782"/>
      <c r="AI138" s="782"/>
      <c r="AJ138" s="782"/>
      <c r="AK138" s="782"/>
    </row>
    <row r="139" spans="1:37" s="7" customFormat="1" ht="24.75" customHeight="1" x14ac:dyDescent="0.25">
      <c r="A139" s="776"/>
      <c r="B139" s="777" t="s">
        <v>797</v>
      </c>
      <c r="C139" s="778"/>
      <c r="D139" s="778">
        <v>236102</v>
      </c>
      <c r="E139" s="778"/>
      <c r="F139" s="782"/>
      <c r="G139" s="782"/>
      <c r="H139" s="782"/>
      <c r="I139" s="782"/>
      <c r="J139" s="782"/>
      <c r="K139" s="782"/>
      <c r="L139" s="782"/>
      <c r="M139" s="782"/>
      <c r="N139" s="782"/>
      <c r="O139" s="782"/>
      <c r="P139" s="782"/>
      <c r="Q139" s="782"/>
      <c r="R139" s="782"/>
      <c r="S139" s="782"/>
      <c r="T139" s="782"/>
      <c r="U139" s="782"/>
      <c r="V139" s="782"/>
      <c r="W139" s="782"/>
      <c r="X139" s="782"/>
      <c r="Y139" s="782"/>
      <c r="Z139" s="782"/>
      <c r="AA139" s="782"/>
      <c r="AB139" s="782"/>
      <c r="AC139" s="782"/>
      <c r="AD139" s="782"/>
      <c r="AE139" s="782"/>
      <c r="AF139" s="782"/>
      <c r="AG139" s="782"/>
      <c r="AH139" s="782"/>
      <c r="AI139" s="782"/>
      <c r="AJ139" s="782"/>
      <c r="AK139" s="782"/>
    </row>
    <row r="140" spans="1:37" s="7" customFormat="1" ht="24.75" customHeight="1" x14ac:dyDescent="0.25">
      <c r="A140" s="776"/>
      <c r="B140" s="777" t="s">
        <v>899</v>
      </c>
      <c r="C140" s="778"/>
      <c r="D140" s="778"/>
      <c r="E140" s="778"/>
      <c r="F140" s="782"/>
      <c r="G140" s="782"/>
      <c r="H140" s="782"/>
      <c r="I140" s="782"/>
      <c r="J140" s="782"/>
      <c r="K140" s="782"/>
      <c r="L140" s="782"/>
      <c r="M140" s="782"/>
      <c r="N140" s="782"/>
      <c r="O140" s="782"/>
      <c r="P140" s="782"/>
      <c r="Q140" s="782"/>
      <c r="R140" s="782"/>
      <c r="S140" s="782"/>
      <c r="T140" s="782"/>
      <c r="U140" s="782"/>
      <c r="V140" s="782"/>
      <c r="W140" s="782"/>
      <c r="X140" s="782"/>
      <c r="Y140" s="782"/>
      <c r="Z140" s="782"/>
      <c r="AA140" s="782"/>
      <c r="AB140" s="782"/>
      <c r="AC140" s="782"/>
      <c r="AD140" s="782"/>
      <c r="AE140" s="782"/>
      <c r="AF140" s="782"/>
      <c r="AG140" s="782"/>
      <c r="AH140" s="782"/>
      <c r="AI140" s="782"/>
      <c r="AJ140" s="782"/>
      <c r="AK140" s="782"/>
    </row>
    <row r="141" spans="1:37" s="7" customFormat="1" ht="24.75" customHeight="1" x14ac:dyDescent="0.25">
      <c r="A141" s="776"/>
      <c r="B141" s="777" t="s">
        <v>495</v>
      </c>
      <c r="C141" s="778"/>
      <c r="D141" s="778">
        <v>1816176</v>
      </c>
      <c r="E141" s="778"/>
      <c r="F141" s="782"/>
      <c r="G141" s="782"/>
      <c r="H141" s="782"/>
      <c r="I141" s="782"/>
      <c r="J141" s="782"/>
      <c r="K141" s="782"/>
      <c r="L141" s="782"/>
      <c r="M141" s="782"/>
      <c r="N141" s="782"/>
      <c r="O141" s="782"/>
      <c r="P141" s="782"/>
      <c r="Q141" s="782"/>
      <c r="R141" s="782"/>
      <c r="S141" s="782"/>
      <c r="T141" s="782"/>
      <c r="U141" s="782"/>
      <c r="V141" s="782"/>
      <c r="W141" s="782"/>
      <c r="X141" s="782"/>
      <c r="Y141" s="782"/>
      <c r="Z141" s="782"/>
      <c r="AA141" s="782"/>
      <c r="AB141" s="782"/>
      <c r="AC141" s="782"/>
      <c r="AD141" s="782"/>
      <c r="AE141" s="782"/>
      <c r="AF141" s="782"/>
      <c r="AG141" s="782"/>
      <c r="AH141" s="782"/>
      <c r="AI141" s="782"/>
      <c r="AJ141" s="782"/>
      <c r="AK141" s="782"/>
    </row>
    <row r="142" spans="1:37" s="7" customFormat="1" ht="24.75" customHeight="1" x14ac:dyDescent="0.25">
      <c r="A142" s="776"/>
      <c r="B142" s="777" t="s">
        <v>900</v>
      </c>
      <c r="C142" s="778"/>
      <c r="D142" s="778"/>
      <c r="E142" s="778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2"/>
      <c r="T142" s="782"/>
      <c r="U142" s="782"/>
      <c r="V142" s="782"/>
      <c r="W142" s="782"/>
      <c r="X142" s="782"/>
      <c r="Y142" s="782"/>
      <c r="Z142" s="782"/>
      <c r="AA142" s="782"/>
      <c r="AB142" s="782"/>
      <c r="AC142" s="782"/>
      <c r="AD142" s="782"/>
      <c r="AE142" s="782"/>
      <c r="AF142" s="782"/>
      <c r="AG142" s="782"/>
      <c r="AH142" s="782"/>
      <c r="AI142" s="782"/>
      <c r="AJ142" s="782"/>
      <c r="AK142" s="782"/>
    </row>
    <row r="143" spans="1:37" s="7" customFormat="1" ht="24.75" customHeight="1" x14ac:dyDescent="0.25">
      <c r="A143" s="776" t="s">
        <v>138</v>
      </c>
      <c r="B143" s="777" t="s">
        <v>230</v>
      </c>
      <c r="C143" s="778"/>
      <c r="D143" s="778"/>
      <c r="E143" s="778">
        <v>82349082</v>
      </c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2"/>
      <c r="T143" s="782"/>
      <c r="U143" s="782"/>
      <c r="V143" s="782"/>
      <c r="W143" s="782"/>
      <c r="X143" s="782"/>
      <c r="Y143" s="782"/>
      <c r="Z143" s="782"/>
      <c r="AA143" s="782"/>
      <c r="AB143" s="782"/>
      <c r="AC143" s="782"/>
      <c r="AD143" s="782"/>
      <c r="AE143" s="782"/>
      <c r="AF143" s="782"/>
      <c r="AG143" s="782"/>
      <c r="AH143" s="782"/>
      <c r="AI143" s="782"/>
      <c r="AJ143" s="782"/>
      <c r="AK143" s="782"/>
    </row>
    <row r="144" spans="1:37" s="7" customFormat="1" ht="24.75" customHeight="1" x14ac:dyDescent="0.25">
      <c r="A144" s="776"/>
      <c r="B144" s="777" t="s">
        <v>844</v>
      </c>
      <c r="C144" s="778"/>
      <c r="D144" s="778">
        <v>82349082</v>
      </c>
      <c r="E144" s="778"/>
      <c r="F144" s="782"/>
      <c r="G144" s="782"/>
      <c r="H144" s="782"/>
      <c r="I144" s="782"/>
      <c r="J144" s="782"/>
      <c r="K144" s="782"/>
      <c r="L144" s="782"/>
      <c r="M144" s="782"/>
      <c r="N144" s="782"/>
      <c r="O144" s="782"/>
      <c r="P144" s="782"/>
      <c r="Q144" s="782"/>
      <c r="R144" s="782"/>
      <c r="S144" s="782"/>
      <c r="T144" s="782"/>
      <c r="U144" s="782"/>
      <c r="V144" s="782"/>
      <c r="W144" s="782"/>
      <c r="X144" s="782"/>
      <c r="Y144" s="782"/>
      <c r="Z144" s="782"/>
      <c r="AA144" s="782"/>
      <c r="AB144" s="782"/>
      <c r="AC144" s="782"/>
      <c r="AD144" s="782"/>
      <c r="AE144" s="782"/>
      <c r="AF144" s="782"/>
      <c r="AG144" s="782"/>
      <c r="AH144" s="782"/>
      <c r="AI144" s="782"/>
      <c r="AJ144" s="782"/>
      <c r="AK144" s="782"/>
    </row>
    <row r="145" spans="1:37" s="7" customFormat="1" ht="24.75" customHeight="1" x14ac:dyDescent="0.25">
      <c r="A145" s="776"/>
      <c r="B145" s="777" t="s">
        <v>901</v>
      </c>
      <c r="C145" s="778">
        <v>1320677</v>
      </c>
      <c r="D145" s="778"/>
      <c r="E145" s="778"/>
      <c r="F145" s="782"/>
      <c r="G145" s="782"/>
      <c r="H145" s="782"/>
      <c r="I145" s="782"/>
      <c r="J145" s="782"/>
      <c r="K145" s="782"/>
      <c r="L145" s="782"/>
      <c r="M145" s="782"/>
      <c r="N145" s="782"/>
      <c r="O145" s="782"/>
      <c r="P145" s="782"/>
      <c r="Q145" s="782"/>
      <c r="R145" s="782"/>
      <c r="S145" s="782"/>
      <c r="T145" s="782"/>
      <c r="U145" s="782"/>
      <c r="V145" s="782"/>
      <c r="W145" s="782"/>
      <c r="X145" s="782"/>
      <c r="Y145" s="782"/>
      <c r="Z145" s="782"/>
      <c r="AA145" s="782"/>
      <c r="AB145" s="782"/>
      <c r="AC145" s="782"/>
      <c r="AD145" s="782"/>
      <c r="AE145" s="782"/>
      <c r="AF145" s="782"/>
      <c r="AG145" s="782"/>
      <c r="AH145" s="782"/>
      <c r="AI145" s="782"/>
      <c r="AJ145" s="782"/>
      <c r="AK145" s="782"/>
    </row>
    <row r="146" spans="1:37" s="7" customFormat="1" ht="24.75" customHeight="1" x14ac:dyDescent="0.25">
      <c r="A146" s="776"/>
      <c r="B146" s="777" t="s">
        <v>902</v>
      </c>
      <c r="C146" s="778">
        <v>80022476</v>
      </c>
      <c r="D146" s="778"/>
      <c r="E146" s="778"/>
      <c r="F146" s="782"/>
      <c r="G146" s="782"/>
      <c r="H146" s="782"/>
      <c r="I146" s="782"/>
      <c r="J146" s="782"/>
      <c r="K146" s="782"/>
      <c r="L146" s="782"/>
      <c r="M146" s="782"/>
      <c r="N146" s="782"/>
      <c r="O146" s="782"/>
      <c r="P146" s="782"/>
      <c r="Q146" s="782"/>
      <c r="R146" s="782"/>
      <c r="S146" s="782"/>
      <c r="T146" s="782"/>
      <c r="U146" s="782"/>
      <c r="V146" s="782"/>
      <c r="W146" s="782"/>
      <c r="X146" s="782"/>
      <c r="Y146" s="782"/>
      <c r="Z146" s="782"/>
      <c r="AA146" s="782"/>
      <c r="AB146" s="782"/>
      <c r="AC146" s="782"/>
      <c r="AD146" s="782"/>
      <c r="AE146" s="782"/>
      <c r="AF146" s="782"/>
      <c r="AG146" s="782"/>
      <c r="AH146" s="782"/>
      <c r="AI146" s="782"/>
      <c r="AJ146" s="782"/>
      <c r="AK146" s="782"/>
    </row>
    <row r="147" spans="1:37" s="7" customFormat="1" ht="24.75" customHeight="1" x14ac:dyDescent="0.25">
      <c r="A147" s="776"/>
      <c r="B147" s="777" t="s">
        <v>903</v>
      </c>
      <c r="C147" s="778">
        <v>1005929</v>
      </c>
      <c r="D147" s="778"/>
      <c r="E147" s="778"/>
      <c r="F147" s="782"/>
      <c r="G147" s="782"/>
      <c r="H147" s="782"/>
      <c r="I147" s="782"/>
      <c r="J147" s="782"/>
      <c r="K147" s="782"/>
      <c r="L147" s="782"/>
      <c r="M147" s="782"/>
      <c r="N147" s="782"/>
      <c r="O147" s="782"/>
      <c r="P147" s="782"/>
      <c r="Q147" s="782"/>
      <c r="R147" s="782"/>
      <c r="S147" s="782"/>
      <c r="T147" s="782"/>
      <c r="U147" s="782"/>
      <c r="V147" s="782"/>
      <c r="W147" s="782"/>
      <c r="X147" s="782"/>
      <c r="Y147" s="782"/>
      <c r="Z147" s="782"/>
      <c r="AA147" s="782"/>
      <c r="AB147" s="782"/>
      <c r="AC147" s="782"/>
      <c r="AD147" s="782"/>
      <c r="AE147" s="782"/>
      <c r="AF147" s="782"/>
      <c r="AG147" s="782"/>
      <c r="AH147" s="782"/>
      <c r="AI147" s="782"/>
      <c r="AJ147" s="782"/>
      <c r="AK147" s="782"/>
    </row>
    <row r="148" spans="1:37" s="7" customFormat="1" ht="24.75" customHeight="1" x14ac:dyDescent="0.25">
      <c r="A148" s="776" t="s">
        <v>139</v>
      </c>
      <c r="B148" s="777" t="s">
        <v>233</v>
      </c>
      <c r="C148" s="778"/>
      <c r="D148" s="778"/>
      <c r="E148" s="778">
        <v>2922590</v>
      </c>
      <c r="F148" s="734"/>
      <c r="G148" s="782"/>
      <c r="H148" s="782"/>
      <c r="I148" s="782"/>
      <c r="J148" s="782"/>
      <c r="K148" s="782"/>
      <c r="L148" s="782"/>
      <c r="M148" s="782"/>
      <c r="N148" s="782"/>
      <c r="O148" s="782"/>
      <c r="P148" s="782"/>
      <c r="Q148" s="782"/>
      <c r="R148" s="782"/>
      <c r="S148" s="782"/>
      <c r="T148" s="782"/>
      <c r="U148" s="782"/>
      <c r="V148" s="782"/>
      <c r="W148" s="782"/>
      <c r="X148" s="782"/>
      <c r="Y148" s="782"/>
      <c r="Z148" s="782"/>
      <c r="AA148" s="782"/>
      <c r="AB148" s="782"/>
      <c r="AC148" s="782"/>
      <c r="AD148" s="782"/>
      <c r="AE148" s="782"/>
      <c r="AF148" s="782"/>
      <c r="AG148" s="782"/>
      <c r="AH148" s="782"/>
      <c r="AI148" s="782"/>
      <c r="AJ148" s="782"/>
      <c r="AK148" s="782"/>
    </row>
    <row r="149" spans="1:37" s="7" customFormat="1" ht="24.75" customHeight="1" x14ac:dyDescent="0.25">
      <c r="A149" s="776"/>
      <c r="B149" s="777" t="s">
        <v>489</v>
      </c>
      <c r="C149" s="778"/>
      <c r="D149" s="778">
        <v>51135</v>
      </c>
      <c r="E149" s="778"/>
      <c r="F149" s="782"/>
      <c r="G149" s="782"/>
      <c r="H149" s="782"/>
      <c r="I149" s="782"/>
      <c r="J149" s="782"/>
      <c r="K149" s="782"/>
      <c r="L149" s="782"/>
      <c r="M149" s="782"/>
      <c r="N149" s="782"/>
      <c r="O149" s="782"/>
      <c r="P149" s="782"/>
      <c r="Q149" s="782"/>
      <c r="R149" s="782"/>
      <c r="S149" s="782"/>
      <c r="T149" s="782"/>
      <c r="U149" s="782"/>
      <c r="V149" s="782"/>
      <c r="W149" s="782"/>
      <c r="X149" s="782"/>
      <c r="Y149" s="782"/>
      <c r="Z149" s="782"/>
      <c r="AA149" s="782"/>
      <c r="AB149" s="782"/>
      <c r="AC149" s="782"/>
      <c r="AD149" s="782"/>
      <c r="AE149" s="782"/>
      <c r="AF149" s="782"/>
      <c r="AG149" s="782"/>
      <c r="AH149" s="782"/>
      <c r="AI149" s="782"/>
      <c r="AJ149" s="782"/>
      <c r="AK149" s="782"/>
    </row>
    <row r="150" spans="1:37" s="7" customFormat="1" ht="24.75" customHeight="1" x14ac:dyDescent="0.25">
      <c r="A150" s="776"/>
      <c r="B150" s="777" t="s">
        <v>495</v>
      </c>
      <c r="C150" s="778"/>
      <c r="D150" s="778">
        <v>2871455</v>
      </c>
      <c r="E150" s="778"/>
      <c r="F150" s="782"/>
      <c r="G150" s="782"/>
      <c r="H150" s="782"/>
      <c r="I150" s="782"/>
      <c r="J150" s="782"/>
      <c r="K150" s="782"/>
      <c r="L150" s="782"/>
      <c r="M150" s="782"/>
      <c r="N150" s="782"/>
      <c r="O150" s="782"/>
      <c r="P150" s="782"/>
      <c r="Q150" s="782"/>
      <c r="R150" s="782"/>
      <c r="S150" s="782"/>
      <c r="T150" s="782"/>
      <c r="U150" s="782"/>
      <c r="V150" s="782"/>
      <c r="W150" s="782"/>
      <c r="X150" s="782"/>
      <c r="Y150" s="782"/>
      <c r="Z150" s="782"/>
      <c r="AA150" s="782"/>
      <c r="AB150" s="782"/>
      <c r="AC150" s="782"/>
      <c r="AD150" s="782"/>
      <c r="AE150" s="782"/>
      <c r="AF150" s="782"/>
      <c r="AG150" s="782"/>
      <c r="AH150" s="782"/>
      <c r="AI150" s="782"/>
      <c r="AJ150" s="782"/>
      <c r="AK150" s="782"/>
    </row>
    <row r="151" spans="1:37" s="7" customFormat="1" ht="24.75" customHeight="1" x14ac:dyDescent="0.25">
      <c r="A151" s="776" t="s">
        <v>140</v>
      </c>
      <c r="B151" s="777" t="s">
        <v>234</v>
      </c>
      <c r="C151" s="778"/>
      <c r="D151" s="778"/>
      <c r="E151" s="778">
        <v>1826622</v>
      </c>
      <c r="F151" s="734"/>
      <c r="G151" s="782"/>
      <c r="H151" s="782"/>
      <c r="I151" s="782"/>
      <c r="J151" s="782"/>
      <c r="K151" s="782"/>
      <c r="L151" s="782"/>
      <c r="M151" s="782"/>
      <c r="N151" s="782"/>
      <c r="O151" s="782"/>
      <c r="P151" s="782"/>
      <c r="Q151" s="782"/>
      <c r="R151" s="782"/>
      <c r="S151" s="782"/>
      <c r="T151" s="782"/>
      <c r="U151" s="782"/>
      <c r="V151" s="782"/>
      <c r="W151" s="782"/>
      <c r="X151" s="782"/>
      <c r="Y151" s="782"/>
      <c r="Z151" s="782"/>
      <c r="AA151" s="782"/>
      <c r="AB151" s="782"/>
      <c r="AC151" s="782"/>
      <c r="AD151" s="782"/>
      <c r="AE151" s="782"/>
      <c r="AF151" s="782"/>
      <c r="AG151" s="782"/>
      <c r="AH151" s="782"/>
      <c r="AI151" s="782"/>
      <c r="AJ151" s="782"/>
      <c r="AK151" s="782"/>
    </row>
    <row r="152" spans="1:37" s="7" customFormat="1" ht="24.75" customHeight="1" x14ac:dyDescent="0.25">
      <c r="A152" s="776"/>
      <c r="B152" s="777" t="s">
        <v>845</v>
      </c>
      <c r="C152" s="778"/>
      <c r="D152" s="778">
        <v>18729</v>
      </c>
      <c r="E152" s="778"/>
      <c r="F152" s="782"/>
      <c r="G152" s="782"/>
      <c r="H152" s="782"/>
      <c r="I152" s="782"/>
      <c r="J152" s="782"/>
      <c r="K152" s="782"/>
      <c r="L152" s="782"/>
      <c r="M152" s="782"/>
      <c r="N152" s="782"/>
      <c r="O152" s="782"/>
      <c r="P152" s="782"/>
      <c r="Q152" s="782"/>
      <c r="R152" s="782"/>
      <c r="S152" s="782"/>
      <c r="T152" s="782"/>
      <c r="U152" s="782"/>
      <c r="V152" s="782"/>
      <c r="W152" s="782"/>
      <c r="X152" s="782"/>
      <c r="Y152" s="782"/>
      <c r="Z152" s="782"/>
      <c r="AA152" s="782"/>
      <c r="AB152" s="782"/>
      <c r="AC152" s="782"/>
      <c r="AD152" s="782"/>
      <c r="AE152" s="782"/>
      <c r="AF152" s="782"/>
      <c r="AG152" s="782"/>
      <c r="AH152" s="782"/>
      <c r="AI152" s="782"/>
      <c r="AJ152" s="782"/>
      <c r="AK152" s="782"/>
    </row>
    <row r="153" spans="1:37" s="7" customFormat="1" ht="24.75" customHeight="1" x14ac:dyDescent="0.25">
      <c r="A153" s="776"/>
      <c r="B153" s="777" t="s">
        <v>904</v>
      </c>
      <c r="C153" s="778">
        <v>18729</v>
      </c>
      <c r="D153" s="778"/>
      <c r="E153" s="778"/>
      <c r="F153" s="782"/>
      <c r="G153" s="782"/>
      <c r="H153" s="782"/>
      <c r="I153" s="782"/>
      <c r="J153" s="782"/>
      <c r="K153" s="782"/>
      <c r="L153" s="782"/>
      <c r="M153" s="782"/>
      <c r="N153" s="782"/>
      <c r="O153" s="782"/>
      <c r="P153" s="782"/>
      <c r="Q153" s="782"/>
      <c r="R153" s="782"/>
      <c r="S153" s="782"/>
      <c r="T153" s="782"/>
      <c r="U153" s="782"/>
      <c r="V153" s="782"/>
      <c r="W153" s="782"/>
      <c r="X153" s="782"/>
      <c r="Y153" s="782"/>
      <c r="Z153" s="782"/>
      <c r="AA153" s="782"/>
      <c r="AB153" s="782"/>
      <c r="AC153" s="782"/>
      <c r="AD153" s="782"/>
      <c r="AE153" s="782"/>
      <c r="AF153" s="782"/>
      <c r="AG153" s="782"/>
      <c r="AH153" s="782"/>
      <c r="AI153" s="782"/>
      <c r="AJ153" s="782"/>
      <c r="AK153" s="782"/>
    </row>
    <row r="154" spans="1:37" s="7" customFormat="1" ht="24.75" customHeight="1" x14ac:dyDescent="0.25">
      <c r="A154" s="776"/>
      <c r="B154" s="777" t="s">
        <v>796</v>
      </c>
      <c r="C154" s="778"/>
      <c r="D154" s="778">
        <v>977953</v>
      </c>
      <c r="E154" s="778"/>
      <c r="F154" s="782"/>
      <c r="G154" s="782"/>
      <c r="H154" s="782"/>
      <c r="I154" s="782"/>
      <c r="J154" s="782"/>
      <c r="K154" s="782"/>
      <c r="L154" s="782"/>
      <c r="M154" s="782"/>
      <c r="N154" s="782"/>
      <c r="O154" s="782"/>
      <c r="P154" s="782"/>
      <c r="Q154" s="782"/>
      <c r="R154" s="782"/>
      <c r="S154" s="782"/>
      <c r="T154" s="782"/>
      <c r="U154" s="782"/>
      <c r="V154" s="782"/>
      <c r="W154" s="782"/>
      <c r="X154" s="782"/>
      <c r="Y154" s="782"/>
      <c r="Z154" s="782"/>
      <c r="AA154" s="782"/>
      <c r="AB154" s="782"/>
      <c r="AC154" s="782"/>
      <c r="AD154" s="782"/>
      <c r="AE154" s="782"/>
      <c r="AF154" s="782"/>
      <c r="AG154" s="782"/>
      <c r="AH154" s="782"/>
      <c r="AI154" s="782"/>
      <c r="AJ154" s="782"/>
      <c r="AK154" s="782"/>
    </row>
    <row r="155" spans="1:37" s="7" customFormat="1" ht="24.75" customHeight="1" x14ac:dyDescent="0.25">
      <c r="A155" s="776"/>
      <c r="B155" s="777" t="s">
        <v>495</v>
      </c>
      <c r="C155" s="778"/>
      <c r="D155" s="778">
        <v>829940</v>
      </c>
      <c r="E155" s="778"/>
      <c r="F155" s="782"/>
      <c r="G155" s="782"/>
      <c r="H155" s="782"/>
      <c r="I155" s="782"/>
      <c r="J155" s="782"/>
      <c r="K155" s="782"/>
      <c r="L155" s="782"/>
      <c r="M155" s="782"/>
      <c r="N155" s="782"/>
      <c r="O155" s="782"/>
      <c r="P155" s="782"/>
      <c r="Q155" s="782"/>
      <c r="R155" s="782"/>
      <c r="S155" s="782"/>
      <c r="T155" s="782"/>
      <c r="U155" s="782"/>
      <c r="V155" s="782"/>
      <c r="W155" s="782"/>
      <c r="X155" s="782"/>
      <c r="Y155" s="782"/>
      <c r="Z155" s="782"/>
      <c r="AA155" s="782"/>
      <c r="AB155" s="782"/>
      <c r="AC155" s="782"/>
      <c r="AD155" s="782"/>
      <c r="AE155" s="782"/>
      <c r="AF155" s="782"/>
      <c r="AG155" s="782"/>
      <c r="AH155" s="782"/>
      <c r="AI155" s="782"/>
      <c r="AJ155" s="782"/>
      <c r="AK155" s="782"/>
    </row>
    <row r="156" spans="1:37" s="7" customFormat="1" ht="24.75" customHeight="1" x14ac:dyDescent="0.25">
      <c r="A156" s="776" t="s">
        <v>142</v>
      </c>
      <c r="B156" s="777" t="s">
        <v>236</v>
      </c>
      <c r="C156" s="778"/>
      <c r="D156" s="778"/>
      <c r="E156" s="778">
        <v>68343132</v>
      </c>
      <c r="F156" s="782"/>
      <c r="G156" s="782"/>
      <c r="H156" s="782"/>
      <c r="I156" s="782"/>
      <c r="J156" s="782"/>
      <c r="K156" s="782"/>
      <c r="L156" s="782"/>
      <c r="M156" s="782"/>
      <c r="N156" s="782"/>
      <c r="O156" s="782"/>
      <c r="P156" s="782"/>
      <c r="Q156" s="782"/>
      <c r="R156" s="782"/>
      <c r="S156" s="782"/>
      <c r="T156" s="782"/>
      <c r="U156" s="782"/>
      <c r="V156" s="782"/>
      <c r="W156" s="782"/>
      <c r="X156" s="782"/>
      <c r="Y156" s="782"/>
      <c r="Z156" s="782"/>
      <c r="AA156" s="782"/>
      <c r="AB156" s="782"/>
      <c r="AC156" s="782"/>
      <c r="AD156" s="782"/>
      <c r="AE156" s="782"/>
      <c r="AF156" s="782"/>
      <c r="AG156" s="782"/>
      <c r="AH156" s="782"/>
      <c r="AI156" s="782"/>
      <c r="AJ156" s="782"/>
      <c r="AK156" s="782"/>
    </row>
    <row r="157" spans="1:37" s="7" customFormat="1" ht="24.75" customHeight="1" x14ac:dyDescent="0.25">
      <c r="A157" s="776"/>
      <c r="B157" s="777" t="s">
        <v>844</v>
      </c>
      <c r="C157" s="778"/>
      <c r="D157" s="778">
        <v>68343132</v>
      </c>
      <c r="E157" s="778"/>
      <c r="F157" s="782"/>
      <c r="G157" s="782"/>
      <c r="H157" s="782"/>
      <c r="I157" s="782"/>
      <c r="J157" s="782"/>
      <c r="K157" s="782"/>
      <c r="L157" s="782"/>
      <c r="M157" s="782"/>
      <c r="N157" s="782"/>
      <c r="O157" s="782"/>
      <c r="P157" s="782"/>
      <c r="Q157" s="782"/>
      <c r="R157" s="782"/>
      <c r="S157" s="782"/>
      <c r="T157" s="782"/>
      <c r="U157" s="782"/>
      <c r="V157" s="782"/>
      <c r="W157" s="782"/>
      <c r="X157" s="782"/>
      <c r="Y157" s="782"/>
      <c r="Z157" s="782"/>
      <c r="AA157" s="782"/>
      <c r="AB157" s="782"/>
      <c r="AC157" s="782"/>
      <c r="AD157" s="782"/>
      <c r="AE157" s="782"/>
      <c r="AF157" s="782"/>
      <c r="AG157" s="782"/>
      <c r="AH157" s="782"/>
      <c r="AI157" s="782"/>
      <c r="AJ157" s="782"/>
      <c r="AK157" s="782"/>
    </row>
    <row r="158" spans="1:37" s="7" customFormat="1" ht="24.75" customHeight="1" x14ac:dyDescent="0.25">
      <c r="A158" s="776"/>
      <c r="B158" s="777" t="s">
        <v>905</v>
      </c>
      <c r="C158" s="778">
        <v>63569262</v>
      </c>
      <c r="D158" s="778"/>
      <c r="E158" s="778"/>
      <c r="F158" s="782"/>
      <c r="G158" s="782"/>
      <c r="H158" s="782"/>
      <c r="I158" s="782"/>
      <c r="J158" s="782"/>
      <c r="K158" s="782"/>
      <c r="L158" s="782"/>
      <c r="M158" s="782"/>
      <c r="N158" s="782"/>
      <c r="O158" s="782"/>
      <c r="P158" s="782"/>
      <c r="Q158" s="782"/>
      <c r="R158" s="782"/>
      <c r="S158" s="782"/>
      <c r="T158" s="782"/>
      <c r="U158" s="782"/>
      <c r="V158" s="782"/>
      <c r="W158" s="782"/>
      <c r="X158" s="782"/>
      <c r="Y158" s="782"/>
      <c r="Z158" s="782"/>
      <c r="AA158" s="782"/>
      <c r="AB158" s="782"/>
      <c r="AC158" s="782"/>
      <c r="AD158" s="782"/>
      <c r="AE158" s="782"/>
      <c r="AF158" s="782"/>
      <c r="AG158" s="782"/>
      <c r="AH158" s="782"/>
      <c r="AI158" s="782"/>
      <c r="AJ158" s="782"/>
      <c r="AK158" s="782"/>
    </row>
    <row r="159" spans="1:37" s="7" customFormat="1" ht="24.75" customHeight="1" x14ac:dyDescent="0.25">
      <c r="A159" s="776"/>
      <c r="B159" s="777" t="s">
        <v>906</v>
      </c>
      <c r="C159" s="778">
        <v>4773870</v>
      </c>
      <c r="D159" s="778"/>
      <c r="E159" s="778"/>
      <c r="F159" s="782"/>
      <c r="G159" s="782"/>
      <c r="H159" s="782"/>
      <c r="I159" s="782"/>
      <c r="J159" s="782"/>
      <c r="K159" s="782"/>
      <c r="L159" s="782"/>
      <c r="M159" s="782"/>
      <c r="N159" s="782"/>
      <c r="O159" s="782"/>
      <c r="P159" s="782"/>
      <c r="Q159" s="782"/>
      <c r="R159" s="782"/>
      <c r="S159" s="782"/>
      <c r="T159" s="782"/>
      <c r="U159" s="782"/>
      <c r="V159" s="782"/>
      <c r="W159" s="782"/>
      <c r="X159" s="782"/>
      <c r="Y159" s="782"/>
      <c r="Z159" s="782"/>
      <c r="AA159" s="782"/>
      <c r="AB159" s="782"/>
      <c r="AC159" s="782"/>
      <c r="AD159" s="782"/>
      <c r="AE159" s="782"/>
      <c r="AF159" s="782"/>
      <c r="AG159" s="782"/>
      <c r="AH159" s="782"/>
      <c r="AI159" s="782"/>
      <c r="AJ159" s="782"/>
      <c r="AK159" s="782"/>
    </row>
    <row r="160" spans="1:37" s="7" customFormat="1" ht="24.75" customHeight="1" x14ac:dyDescent="0.25">
      <c r="A160" s="776" t="s">
        <v>141</v>
      </c>
      <c r="B160" s="777" t="s">
        <v>235</v>
      </c>
      <c r="C160" s="778"/>
      <c r="D160" s="778"/>
      <c r="E160" s="778">
        <v>53604981</v>
      </c>
      <c r="F160" s="734"/>
      <c r="G160" s="782"/>
      <c r="H160" s="782"/>
      <c r="I160" s="782"/>
      <c r="J160" s="782"/>
      <c r="K160" s="782"/>
      <c r="L160" s="782"/>
      <c r="M160" s="782"/>
      <c r="N160" s="782"/>
      <c r="O160" s="782"/>
      <c r="P160" s="782"/>
      <c r="Q160" s="782"/>
      <c r="R160" s="782"/>
      <c r="S160" s="782"/>
      <c r="T160" s="782"/>
      <c r="U160" s="782"/>
      <c r="V160" s="782"/>
      <c r="W160" s="782"/>
      <c r="X160" s="782"/>
      <c r="Y160" s="782"/>
      <c r="Z160" s="782"/>
      <c r="AA160" s="782"/>
      <c r="AB160" s="782"/>
      <c r="AC160" s="782"/>
      <c r="AD160" s="782"/>
      <c r="AE160" s="782"/>
      <c r="AF160" s="782"/>
      <c r="AG160" s="782"/>
      <c r="AH160" s="782"/>
      <c r="AI160" s="782"/>
      <c r="AJ160" s="782"/>
      <c r="AK160" s="782"/>
    </row>
    <row r="161" spans="1:37" s="7" customFormat="1" ht="24.75" customHeight="1" x14ac:dyDescent="0.25">
      <c r="A161" s="776"/>
      <c r="B161" s="777" t="s">
        <v>844</v>
      </c>
      <c r="C161" s="778"/>
      <c r="D161" s="778">
        <v>39644617</v>
      </c>
      <c r="E161" s="778"/>
      <c r="F161" s="782"/>
      <c r="G161" s="782"/>
      <c r="H161" s="782"/>
      <c r="I161" s="782"/>
      <c r="J161" s="782"/>
      <c r="K161" s="782"/>
      <c r="L161" s="782"/>
      <c r="M161" s="782"/>
      <c r="N161" s="782"/>
      <c r="O161" s="782"/>
      <c r="P161" s="782"/>
      <c r="Q161" s="782"/>
      <c r="R161" s="782"/>
      <c r="S161" s="782"/>
      <c r="T161" s="782"/>
      <c r="U161" s="782"/>
      <c r="V161" s="782"/>
      <c r="W161" s="782"/>
      <c r="X161" s="782"/>
      <c r="Y161" s="782"/>
      <c r="Z161" s="782"/>
      <c r="AA161" s="782"/>
      <c r="AB161" s="782"/>
      <c r="AC161" s="782"/>
      <c r="AD161" s="782"/>
      <c r="AE161" s="782"/>
      <c r="AF161" s="782"/>
      <c r="AG161" s="782"/>
      <c r="AH161" s="782"/>
      <c r="AI161" s="782"/>
      <c r="AJ161" s="782"/>
      <c r="AK161" s="782"/>
    </row>
    <row r="162" spans="1:37" s="7" customFormat="1" ht="24.75" customHeight="1" x14ac:dyDescent="0.25">
      <c r="A162" s="776"/>
      <c r="B162" s="777" t="s">
        <v>907</v>
      </c>
      <c r="C162" s="778">
        <v>33050000</v>
      </c>
      <c r="D162" s="778"/>
      <c r="E162" s="778"/>
      <c r="F162" s="782"/>
      <c r="G162" s="782"/>
      <c r="H162" s="782"/>
      <c r="I162" s="782"/>
      <c r="J162" s="782"/>
      <c r="K162" s="782"/>
      <c r="L162" s="782"/>
      <c r="M162" s="782"/>
      <c r="N162" s="782"/>
      <c r="O162" s="782"/>
      <c r="P162" s="782"/>
      <c r="Q162" s="782"/>
      <c r="R162" s="782"/>
      <c r="S162" s="782"/>
      <c r="T162" s="782"/>
      <c r="U162" s="782"/>
      <c r="V162" s="782"/>
      <c r="W162" s="782"/>
      <c r="X162" s="782"/>
      <c r="Y162" s="782"/>
      <c r="Z162" s="782"/>
      <c r="AA162" s="782"/>
      <c r="AB162" s="782"/>
      <c r="AC162" s="782"/>
      <c r="AD162" s="782"/>
      <c r="AE162" s="782"/>
      <c r="AF162" s="782"/>
      <c r="AG162" s="782"/>
      <c r="AH162" s="782"/>
      <c r="AI162" s="782"/>
      <c r="AJ162" s="782"/>
      <c r="AK162" s="782"/>
    </row>
    <row r="163" spans="1:37" s="7" customFormat="1" ht="24.75" customHeight="1" x14ac:dyDescent="0.25">
      <c r="A163" s="776"/>
      <c r="B163" s="777" t="s">
        <v>908</v>
      </c>
      <c r="C163" s="778">
        <v>2975317</v>
      </c>
      <c r="D163" s="778"/>
      <c r="E163" s="778"/>
      <c r="F163" s="782"/>
      <c r="G163" s="782"/>
      <c r="H163" s="782"/>
      <c r="I163" s="782"/>
      <c r="J163" s="782"/>
      <c r="K163" s="782"/>
      <c r="L163" s="782"/>
      <c r="M163" s="782"/>
      <c r="N163" s="782"/>
      <c r="O163" s="782"/>
      <c r="P163" s="782"/>
      <c r="Q163" s="782"/>
      <c r="R163" s="782"/>
      <c r="S163" s="782"/>
      <c r="T163" s="782"/>
      <c r="U163" s="782"/>
      <c r="V163" s="782"/>
      <c r="W163" s="782"/>
      <c r="X163" s="782"/>
      <c r="Y163" s="782"/>
      <c r="Z163" s="782"/>
      <c r="AA163" s="782"/>
      <c r="AB163" s="782"/>
      <c r="AC163" s="782"/>
      <c r="AD163" s="782"/>
      <c r="AE163" s="782"/>
      <c r="AF163" s="782"/>
      <c r="AG163" s="782"/>
      <c r="AH163" s="782"/>
      <c r="AI163" s="782"/>
      <c r="AJ163" s="782"/>
      <c r="AK163" s="782"/>
    </row>
    <row r="164" spans="1:37" s="7" customFormat="1" ht="24.75" customHeight="1" x14ac:dyDescent="0.25">
      <c r="A164" s="776"/>
      <c r="B164" s="777" t="s">
        <v>909</v>
      </c>
      <c r="C164" s="778">
        <v>3619300</v>
      </c>
      <c r="D164" s="778"/>
      <c r="E164" s="778"/>
      <c r="F164" s="782"/>
      <c r="G164" s="782"/>
      <c r="H164" s="782"/>
      <c r="I164" s="782"/>
      <c r="J164" s="782"/>
      <c r="K164" s="782"/>
      <c r="L164" s="782"/>
      <c r="M164" s="782"/>
      <c r="N164" s="782"/>
      <c r="O164" s="782"/>
      <c r="P164" s="782"/>
      <c r="Q164" s="782"/>
      <c r="R164" s="782"/>
      <c r="S164" s="782"/>
      <c r="T164" s="782"/>
      <c r="U164" s="782"/>
      <c r="V164" s="782"/>
      <c r="W164" s="782"/>
      <c r="X164" s="782"/>
      <c r="Y164" s="782"/>
      <c r="Z164" s="782"/>
      <c r="AA164" s="782"/>
      <c r="AB164" s="782"/>
      <c r="AC164" s="782"/>
      <c r="AD164" s="782"/>
      <c r="AE164" s="782"/>
      <c r="AF164" s="782"/>
      <c r="AG164" s="782"/>
      <c r="AH164" s="782"/>
      <c r="AI164" s="782"/>
      <c r="AJ164" s="782"/>
      <c r="AK164" s="782"/>
    </row>
    <row r="165" spans="1:37" s="7" customFormat="1" ht="24.75" customHeight="1" x14ac:dyDescent="0.25">
      <c r="A165" s="776"/>
      <c r="B165" s="777" t="s">
        <v>845</v>
      </c>
      <c r="C165" s="778"/>
      <c r="D165" s="778">
        <v>13960364</v>
      </c>
      <c r="E165" s="778"/>
      <c r="F165" s="782"/>
      <c r="G165" s="782"/>
      <c r="H165" s="782"/>
      <c r="I165" s="782"/>
      <c r="J165" s="782"/>
      <c r="K165" s="782"/>
      <c r="L165" s="782"/>
      <c r="M165" s="782"/>
      <c r="N165" s="782"/>
      <c r="O165" s="782"/>
      <c r="P165" s="782"/>
      <c r="Q165" s="782"/>
      <c r="R165" s="782"/>
      <c r="S165" s="782"/>
      <c r="T165" s="782"/>
      <c r="U165" s="782"/>
      <c r="V165" s="782"/>
      <c r="W165" s="782"/>
      <c r="X165" s="782"/>
      <c r="Y165" s="782"/>
      <c r="Z165" s="782"/>
      <c r="AA165" s="782"/>
      <c r="AB165" s="782"/>
      <c r="AC165" s="782"/>
      <c r="AD165" s="782"/>
      <c r="AE165" s="782"/>
      <c r="AF165" s="782"/>
      <c r="AG165" s="782"/>
      <c r="AH165" s="782"/>
      <c r="AI165" s="782"/>
      <c r="AJ165" s="782"/>
      <c r="AK165" s="782"/>
    </row>
    <row r="166" spans="1:37" s="7" customFormat="1" ht="24.75" customHeight="1" x14ac:dyDescent="0.25">
      <c r="A166" s="776"/>
      <c r="B166" s="777" t="s">
        <v>910</v>
      </c>
      <c r="C166" s="778">
        <v>13960364</v>
      </c>
      <c r="D166" s="778"/>
      <c r="E166" s="778"/>
      <c r="F166" s="782"/>
      <c r="G166" s="782"/>
      <c r="H166" s="782"/>
      <c r="I166" s="782"/>
      <c r="J166" s="782"/>
      <c r="K166" s="782"/>
      <c r="L166" s="782"/>
      <c r="M166" s="782"/>
      <c r="N166" s="782"/>
      <c r="O166" s="782"/>
      <c r="P166" s="782"/>
      <c r="Q166" s="782"/>
      <c r="R166" s="782"/>
      <c r="S166" s="782"/>
      <c r="T166" s="782"/>
      <c r="U166" s="782"/>
      <c r="V166" s="782"/>
      <c r="W166" s="782"/>
      <c r="X166" s="782"/>
      <c r="Y166" s="782"/>
      <c r="Z166" s="782"/>
      <c r="AA166" s="782"/>
      <c r="AB166" s="782"/>
      <c r="AC166" s="782"/>
      <c r="AD166" s="782"/>
      <c r="AE166" s="782"/>
      <c r="AF166" s="782"/>
      <c r="AG166" s="782"/>
      <c r="AH166" s="782"/>
      <c r="AI166" s="782"/>
      <c r="AJ166" s="782"/>
      <c r="AK166" s="782"/>
    </row>
    <row r="167" spans="1:37" s="7" customFormat="1" ht="24.75" customHeight="1" x14ac:dyDescent="0.25">
      <c r="A167" s="776" t="s">
        <v>143</v>
      </c>
      <c r="B167" s="777" t="s">
        <v>237</v>
      </c>
      <c r="C167" s="778"/>
      <c r="D167" s="778"/>
      <c r="E167" s="778">
        <v>49893</v>
      </c>
      <c r="F167" s="782"/>
      <c r="G167" s="782"/>
      <c r="H167" s="782"/>
      <c r="I167" s="782"/>
      <c r="J167" s="782"/>
      <c r="K167" s="782"/>
      <c r="L167" s="782"/>
      <c r="M167" s="782"/>
      <c r="N167" s="782"/>
      <c r="O167" s="782"/>
      <c r="P167" s="782"/>
      <c r="Q167" s="782"/>
      <c r="R167" s="782"/>
      <c r="S167" s="782"/>
      <c r="T167" s="782"/>
      <c r="U167" s="782"/>
      <c r="V167" s="782"/>
      <c r="W167" s="782"/>
      <c r="X167" s="782"/>
      <c r="Y167" s="782"/>
      <c r="Z167" s="782"/>
      <c r="AA167" s="782"/>
      <c r="AB167" s="782"/>
      <c r="AC167" s="782"/>
      <c r="AD167" s="782"/>
      <c r="AE167" s="782"/>
      <c r="AF167" s="782"/>
      <c r="AG167" s="782"/>
      <c r="AH167" s="782"/>
      <c r="AI167" s="782"/>
      <c r="AJ167" s="782"/>
      <c r="AK167" s="782"/>
    </row>
    <row r="168" spans="1:37" s="7" customFormat="1" ht="24.75" customHeight="1" x14ac:dyDescent="0.25">
      <c r="A168" s="776" t="s">
        <v>144</v>
      </c>
      <c r="B168" s="777" t="s">
        <v>238</v>
      </c>
      <c r="C168" s="778"/>
      <c r="D168" s="778"/>
      <c r="E168" s="778">
        <v>49893</v>
      </c>
      <c r="F168" s="782"/>
      <c r="G168" s="782"/>
      <c r="H168" s="782"/>
      <c r="I168" s="782"/>
      <c r="J168" s="782"/>
      <c r="K168" s="782"/>
      <c r="L168" s="782"/>
      <c r="M168" s="782"/>
      <c r="N168" s="782"/>
      <c r="O168" s="782"/>
      <c r="P168" s="782"/>
      <c r="Q168" s="782"/>
      <c r="R168" s="782"/>
      <c r="S168" s="782"/>
      <c r="T168" s="782"/>
      <c r="U168" s="782"/>
      <c r="V168" s="782"/>
      <c r="W168" s="782"/>
      <c r="X168" s="782"/>
      <c r="Y168" s="782"/>
      <c r="Z168" s="782"/>
      <c r="AA168" s="782"/>
      <c r="AB168" s="782"/>
      <c r="AC168" s="782"/>
      <c r="AD168" s="782"/>
      <c r="AE168" s="782"/>
      <c r="AF168" s="782"/>
      <c r="AG168" s="782"/>
      <c r="AH168" s="782"/>
      <c r="AI168" s="782"/>
      <c r="AJ168" s="782"/>
      <c r="AK168" s="782"/>
    </row>
    <row r="169" spans="1:37" s="7" customFormat="1" ht="24.75" customHeight="1" x14ac:dyDescent="0.25">
      <c r="A169" s="776"/>
      <c r="B169" s="777" t="s">
        <v>844</v>
      </c>
      <c r="C169" s="778"/>
      <c r="D169" s="778">
        <v>49893</v>
      </c>
      <c r="E169" s="778"/>
      <c r="F169" s="782"/>
      <c r="G169" s="782"/>
      <c r="H169" s="782"/>
      <c r="I169" s="782"/>
      <c r="J169" s="782"/>
      <c r="K169" s="782"/>
      <c r="L169" s="782"/>
      <c r="M169" s="782"/>
      <c r="N169" s="782"/>
      <c r="O169" s="782"/>
      <c r="P169" s="782"/>
      <c r="Q169" s="782"/>
      <c r="R169" s="782"/>
      <c r="S169" s="782"/>
      <c r="T169" s="782"/>
      <c r="U169" s="782"/>
      <c r="V169" s="782"/>
      <c r="W169" s="782"/>
      <c r="X169" s="782"/>
      <c r="Y169" s="782"/>
      <c r="Z169" s="782"/>
      <c r="AA169" s="782"/>
      <c r="AB169" s="782"/>
      <c r="AC169" s="782"/>
      <c r="AD169" s="782"/>
      <c r="AE169" s="782"/>
      <c r="AF169" s="782"/>
      <c r="AG169" s="782"/>
      <c r="AH169" s="782"/>
      <c r="AI169" s="782"/>
      <c r="AJ169" s="782"/>
      <c r="AK169" s="782"/>
    </row>
    <row r="170" spans="1:37" s="7" customFormat="1" ht="24.75" customHeight="1" x14ac:dyDescent="0.25">
      <c r="A170" s="776"/>
      <c r="B170" s="777" t="s">
        <v>911</v>
      </c>
      <c r="C170" s="778">
        <v>49893</v>
      </c>
      <c r="D170" s="778"/>
      <c r="E170" s="778"/>
      <c r="F170" s="782"/>
      <c r="G170" s="782"/>
      <c r="H170" s="782"/>
      <c r="I170" s="782"/>
      <c r="J170" s="782"/>
      <c r="K170" s="782"/>
      <c r="L170" s="782"/>
      <c r="M170" s="782"/>
      <c r="N170" s="782"/>
      <c r="O170" s="782"/>
      <c r="P170" s="782"/>
      <c r="Q170" s="782"/>
      <c r="R170" s="782"/>
      <c r="S170" s="782"/>
      <c r="T170" s="782"/>
      <c r="U170" s="782"/>
      <c r="V170" s="782"/>
      <c r="W170" s="782"/>
      <c r="X170" s="782"/>
      <c r="Y170" s="782"/>
      <c r="Z170" s="782"/>
      <c r="AA170" s="782"/>
      <c r="AB170" s="782"/>
      <c r="AC170" s="782"/>
      <c r="AD170" s="782"/>
      <c r="AE170" s="782"/>
      <c r="AF170" s="782"/>
      <c r="AG170" s="782"/>
      <c r="AH170" s="782"/>
      <c r="AI170" s="782"/>
      <c r="AJ170" s="782"/>
      <c r="AK170" s="782"/>
    </row>
    <row r="171" spans="1:37" s="7" customFormat="1" ht="24.75" customHeight="1" x14ac:dyDescent="0.25">
      <c r="A171" s="776" t="s">
        <v>146</v>
      </c>
      <c r="B171" s="777" t="s">
        <v>240</v>
      </c>
      <c r="C171" s="778"/>
      <c r="D171" s="778"/>
      <c r="E171" s="778">
        <v>14664338</v>
      </c>
      <c r="F171" s="782"/>
      <c r="G171" s="782"/>
      <c r="H171" s="782"/>
      <c r="I171" s="782"/>
      <c r="J171" s="782"/>
      <c r="K171" s="782"/>
      <c r="L171" s="782"/>
      <c r="M171" s="782"/>
      <c r="N171" s="782"/>
      <c r="O171" s="782"/>
      <c r="P171" s="782"/>
      <c r="Q171" s="782"/>
      <c r="R171" s="782"/>
      <c r="S171" s="782"/>
      <c r="T171" s="782"/>
      <c r="U171" s="782"/>
      <c r="V171" s="782"/>
      <c r="W171" s="782"/>
      <c r="X171" s="782"/>
      <c r="Y171" s="782"/>
      <c r="Z171" s="782"/>
      <c r="AA171" s="782"/>
      <c r="AB171" s="782"/>
      <c r="AC171" s="782"/>
      <c r="AD171" s="782"/>
      <c r="AE171" s="782"/>
      <c r="AF171" s="782"/>
      <c r="AG171" s="782"/>
      <c r="AH171" s="782"/>
      <c r="AI171" s="782"/>
      <c r="AJ171" s="782"/>
      <c r="AK171" s="782"/>
    </row>
    <row r="172" spans="1:37" s="26" customFormat="1" ht="30.75" customHeight="1" x14ac:dyDescent="0.25">
      <c r="A172" s="30" t="s">
        <v>9</v>
      </c>
      <c r="B172" s="5" t="s">
        <v>0</v>
      </c>
      <c r="C172" s="5"/>
      <c r="D172" s="5"/>
      <c r="E172" s="5" t="s">
        <v>105</v>
      </c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</row>
    <row r="173" spans="1:37" s="7" customFormat="1" ht="18" customHeight="1" x14ac:dyDescent="0.25">
      <c r="A173" s="31" t="s">
        <v>147</v>
      </c>
      <c r="B173" s="32" t="s">
        <v>241</v>
      </c>
      <c r="C173" s="787"/>
      <c r="D173" s="787"/>
      <c r="E173" s="787">
        <v>14664338</v>
      </c>
      <c r="F173" s="734"/>
      <c r="G173" s="782"/>
      <c r="H173" s="782"/>
      <c r="I173" s="782"/>
      <c r="J173" s="782"/>
      <c r="K173" s="782"/>
      <c r="L173" s="782"/>
      <c r="M173" s="782"/>
      <c r="N173" s="782"/>
      <c r="O173" s="782"/>
      <c r="P173" s="782"/>
      <c r="Q173" s="782"/>
      <c r="R173" s="782"/>
      <c r="S173" s="782"/>
      <c r="T173" s="782"/>
      <c r="U173" s="782"/>
      <c r="V173" s="782"/>
      <c r="W173" s="782"/>
      <c r="X173" s="782"/>
      <c r="Y173" s="782"/>
      <c r="Z173" s="782"/>
      <c r="AA173" s="782"/>
      <c r="AB173" s="782"/>
      <c r="AC173" s="782"/>
      <c r="AD173" s="782"/>
      <c r="AE173" s="782"/>
      <c r="AF173" s="782"/>
      <c r="AG173" s="782"/>
      <c r="AH173" s="782"/>
      <c r="AI173" s="782"/>
      <c r="AJ173" s="782"/>
      <c r="AK173" s="782"/>
    </row>
    <row r="174" spans="1:37" s="7" customFormat="1" ht="18" customHeight="1" x14ac:dyDescent="0.25">
      <c r="A174" s="33"/>
      <c r="B174" s="34" t="s">
        <v>242</v>
      </c>
      <c r="C174" s="788"/>
      <c r="D174" s="788"/>
      <c r="E174" s="788"/>
      <c r="F174" s="782"/>
      <c r="G174" s="782"/>
      <c r="H174" s="782"/>
      <c r="I174" s="782"/>
      <c r="J174" s="782"/>
      <c r="K174" s="782"/>
      <c r="L174" s="782"/>
      <c r="M174" s="782"/>
      <c r="N174" s="782"/>
      <c r="O174" s="782"/>
      <c r="P174" s="782"/>
      <c r="Q174" s="782"/>
      <c r="R174" s="782"/>
      <c r="S174" s="782"/>
      <c r="T174" s="782"/>
      <c r="U174" s="782"/>
      <c r="V174" s="782"/>
      <c r="W174" s="782"/>
      <c r="X174" s="782"/>
      <c r="Y174" s="782"/>
      <c r="Z174" s="782"/>
      <c r="AA174" s="782"/>
      <c r="AB174" s="782"/>
      <c r="AC174" s="782"/>
      <c r="AD174" s="782"/>
      <c r="AE174" s="782"/>
      <c r="AF174" s="782"/>
      <c r="AG174" s="782"/>
      <c r="AH174" s="782"/>
      <c r="AI174" s="782"/>
      <c r="AJ174" s="782"/>
      <c r="AK174" s="782"/>
    </row>
    <row r="175" spans="1:37" s="7" customFormat="1" ht="24.75" customHeight="1" x14ac:dyDescent="0.25">
      <c r="A175" s="776"/>
      <c r="B175" s="777" t="s">
        <v>844</v>
      </c>
      <c r="C175" s="778"/>
      <c r="D175" s="778">
        <v>12630583</v>
      </c>
      <c r="E175" s="778"/>
      <c r="F175" s="782"/>
      <c r="G175" s="782"/>
      <c r="H175" s="782"/>
      <c r="I175" s="782"/>
      <c r="J175" s="782"/>
      <c r="K175" s="782"/>
      <c r="L175" s="782"/>
      <c r="M175" s="782"/>
      <c r="N175" s="782"/>
      <c r="O175" s="782"/>
      <c r="P175" s="782"/>
      <c r="Q175" s="782"/>
      <c r="R175" s="782"/>
      <c r="S175" s="782"/>
      <c r="T175" s="782"/>
      <c r="U175" s="782"/>
      <c r="V175" s="782"/>
      <c r="W175" s="782"/>
      <c r="X175" s="782"/>
      <c r="Y175" s="782"/>
      <c r="Z175" s="782"/>
      <c r="AA175" s="782"/>
      <c r="AB175" s="782"/>
      <c r="AC175" s="782"/>
      <c r="AD175" s="782"/>
      <c r="AE175" s="782"/>
      <c r="AF175" s="782"/>
      <c r="AG175" s="782"/>
      <c r="AH175" s="782"/>
      <c r="AI175" s="782"/>
      <c r="AJ175" s="782"/>
      <c r="AK175" s="782"/>
    </row>
    <row r="176" spans="1:37" s="7" customFormat="1" ht="24.75" customHeight="1" x14ac:dyDescent="0.25">
      <c r="A176" s="776"/>
      <c r="B176" s="777" t="s">
        <v>912</v>
      </c>
      <c r="C176" s="778">
        <v>9560000</v>
      </c>
      <c r="D176" s="778"/>
      <c r="E176" s="778"/>
      <c r="F176" s="782"/>
      <c r="G176" s="782"/>
      <c r="H176" s="782"/>
      <c r="I176" s="782"/>
      <c r="J176" s="782"/>
      <c r="K176" s="782"/>
      <c r="L176" s="782"/>
      <c r="M176" s="782"/>
      <c r="N176" s="782"/>
      <c r="O176" s="782"/>
      <c r="P176" s="782"/>
      <c r="Q176" s="782"/>
      <c r="R176" s="782"/>
      <c r="S176" s="782"/>
      <c r="T176" s="782"/>
      <c r="U176" s="782"/>
      <c r="V176" s="782"/>
      <c r="W176" s="782"/>
      <c r="X176" s="782"/>
      <c r="Y176" s="782"/>
      <c r="Z176" s="782"/>
      <c r="AA176" s="782"/>
      <c r="AB176" s="782"/>
      <c r="AC176" s="782"/>
      <c r="AD176" s="782"/>
      <c r="AE176" s="782"/>
      <c r="AF176" s="782"/>
      <c r="AG176" s="782"/>
      <c r="AH176" s="782"/>
      <c r="AI176" s="782"/>
      <c r="AJ176" s="782"/>
      <c r="AK176" s="782"/>
    </row>
    <row r="177" spans="1:37" s="7" customFormat="1" ht="24.75" customHeight="1" x14ac:dyDescent="0.25">
      <c r="A177" s="776"/>
      <c r="B177" s="777" t="s">
        <v>913</v>
      </c>
      <c r="C177" s="778">
        <v>1958089</v>
      </c>
      <c r="D177" s="778"/>
      <c r="E177" s="778"/>
      <c r="F177" s="782"/>
      <c r="G177" s="782"/>
      <c r="H177" s="782"/>
      <c r="I177" s="782"/>
      <c r="J177" s="782"/>
      <c r="K177" s="782"/>
      <c r="L177" s="782"/>
      <c r="M177" s="782"/>
      <c r="N177" s="782"/>
      <c r="O177" s="782"/>
      <c r="P177" s="782"/>
      <c r="Q177" s="782"/>
      <c r="R177" s="782"/>
      <c r="S177" s="782"/>
      <c r="T177" s="782"/>
      <c r="U177" s="782"/>
      <c r="V177" s="782"/>
      <c r="W177" s="782"/>
      <c r="X177" s="782"/>
      <c r="Y177" s="782"/>
      <c r="Z177" s="782"/>
      <c r="AA177" s="782"/>
      <c r="AB177" s="782"/>
      <c r="AC177" s="782"/>
      <c r="AD177" s="782"/>
      <c r="AE177" s="782"/>
      <c r="AF177" s="782"/>
      <c r="AG177" s="782"/>
      <c r="AH177" s="782"/>
      <c r="AI177" s="782"/>
      <c r="AJ177" s="782"/>
      <c r="AK177" s="782"/>
    </row>
    <row r="178" spans="1:37" s="7" customFormat="1" ht="24.75" customHeight="1" x14ac:dyDescent="0.25">
      <c r="A178" s="776"/>
      <c r="B178" s="777" t="s">
        <v>914</v>
      </c>
      <c r="C178" s="778">
        <v>13543</v>
      </c>
      <c r="D178" s="778"/>
      <c r="E178" s="778"/>
      <c r="F178" s="782"/>
      <c r="G178" s="782"/>
      <c r="H178" s="782"/>
      <c r="I178" s="782"/>
      <c r="J178" s="782"/>
      <c r="K178" s="782"/>
      <c r="L178" s="782"/>
      <c r="M178" s="782"/>
      <c r="N178" s="782"/>
      <c r="O178" s="782"/>
      <c r="P178" s="782"/>
      <c r="Q178" s="782"/>
      <c r="R178" s="782"/>
      <c r="S178" s="782"/>
      <c r="T178" s="782"/>
      <c r="U178" s="782"/>
      <c r="V178" s="782"/>
      <c r="W178" s="782"/>
      <c r="X178" s="782"/>
      <c r="Y178" s="782"/>
      <c r="Z178" s="782"/>
      <c r="AA178" s="782"/>
      <c r="AB178" s="782"/>
      <c r="AC178" s="782"/>
      <c r="AD178" s="782"/>
      <c r="AE178" s="782"/>
      <c r="AF178" s="782"/>
      <c r="AG178" s="782"/>
      <c r="AH178" s="782"/>
      <c r="AI178" s="782"/>
      <c r="AJ178" s="782"/>
      <c r="AK178" s="782"/>
    </row>
    <row r="179" spans="1:37" s="7" customFormat="1" ht="24.75" customHeight="1" x14ac:dyDescent="0.25">
      <c r="A179" s="776"/>
      <c r="B179" s="777" t="s">
        <v>915</v>
      </c>
      <c r="C179" s="778">
        <v>281293</v>
      </c>
      <c r="D179" s="778"/>
      <c r="E179" s="778"/>
      <c r="F179" s="782"/>
      <c r="G179" s="782"/>
      <c r="H179" s="782"/>
      <c r="I179" s="782"/>
      <c r="J179" s="782"/>
      <c r="K179" s="782"/>
      <c r="L179" s="782"/>
      <c r="M179" s="782"/>
      <c r="N179" s="782"/>
      <c r="O179" s="782"/>
      <c r="P179" s="782"/>
      <c r="Q179" s="782"/>
      <c r="R179" s="782"/>
      <c r="S179" s="782"/>
      <c r="T179" s="782"/>
      <c r="U179" s="782"/>
      <c r="V179" s="782"/>
      <c r="W179" s="782"/>
      <c r="X179" s="782"/>
      <c r="Y179" s="782"/>
      <c r="Z179" s="782"/>
      <c r="AA179" s="782"/>
      <c r="AB179" s="782"/>
      <c r="AC179" s="782"/>
      <c r="AD179" s="782"/>
      <c r="AE179" s="782"/>
      <c r="AF179" s="782"/>
      <c r="AG179" s="782"/>
      <c r="AH179" s="782"/>
      <c r="AI179" s="782"/>
      <c r="AJ179" s="782"/>
      <c r="AK179" s="782"/>
    </row>
    <row r="180" spans="1:37" s="7" customFormat="1" ht="24.75" customHeight="1" x14ac:dyDescent="0.25">
      <c r="A180" s="776"/>
      <c r="B180" s="777" t="s">
        <v>916</v>
      </c>
      <c r="C180" s="778">
        <v>817658</v>
      </c>
      <c r="D180" s="778"/>
      <c r="E180" s="778"/>
      <c r="F180" s="782"/>
      <c r="G180" s="782"/>
      <c r="H180" s="782"/>
      <c r="I180" s="782"/>
      <c r="J180" s="782"/>
      <c r="K180" s="782"/>
      <c r="L180" s="782"/>
      <c r="M180" s="782"/>
      <c r="N180" s="782"/>
      <c r="O180" s="782"/>
      <c r="P180" s="782"/>
      <c r="Q180" s="782"/>
      <c r="R180" s="782"/>
      <c r="S180" s="782"/>
      <c r="T180" s="782"/>
      <c r="U180" s="782"/>
      <c r="V180" s="782"/>
      <c r="W180" s="782"/>
      <c r="X180" s="782"/>
      <c r="Y180" s="782"/>
      <c r="Z180" s="782"/>
      <c r="AA180" s="782"/>
      <c r="AB180" s="782"/>
      <c r="AC180" s="782"/>
      <c r="AD180" s="782"/>
      <c r="AE180" s="782"/>
      <c r="AF180" s="782"/>
      <c r="AG180" s="782"/>
      <c r="AH180" s="782"/>
      <c r="AI180" s="782"/>
      <c r="AJ180" s="782"/>
      <c r="AK180" s="782"/>
    </row>
    <row r="181" spans="1:37" s="7" customFormat="1" ht="24.75" customHeight="1" x14ac:dyDescent="0.25">
      <c r="A181" s="776"/>
      <c r="B181" s="777" t="s">
        <v>495</v>
      </c>
      <c r="C181" s="778"/>
      <c r="D181" s="778">
        <v>2033755</v>
      </c>
      <c r="E181" s="778"/>
      <c r="F181" s="782"/>
      <c r="G181" s="782"/>
      <c r="H181" s="782"/>
      <c r="I181" s="782"/>
      <c r="J181" s="782"/>
      <c r="K181" s="782"/>
      <c r="L181" s="782"/>
      <c r="M181" s="782"/>
      <c r="N181" s="782"/>
      <c r="O181" s="782"/>
      <c r="P181" s="782"/>
      <c r="Q181" s="782"/>
      <c r="R181" s="782"/>
      <c r="S181" s="782"/>
      <c r="T181" s="782"/>
      <c r="U181" s="782"/>
      <c r="V181" s="782"/>
      <c r="W181" s="782"/>
      <c r="X181" s="782"/>
      <c r="Y181" s="782"/>
      <c r="Z181" s="782"/>
      <c r="AA181" s="782"/>
      <c r="AB181" s="782"/>
      <c r="AC181" s="782"/>
      <c r="AD181" s="782"/>
      <c r="AE181" s="782"/>
      <c r="AF181" s="782"/>
      <c r="AG181" s="782"/>
      <c r="AH181" s="782"/>
      <c r="AI181" s="782"/>
      <c r="AJ181" s="782"/>
      <c r="AK181" s="782"/>
    </row>
    <row r="182" spans="1:37" s="7" customFormat="1" ht="24.75" customHeight="1" x14ac:dyDescent="0.25">
      <c r="A182" s="779" t="s">
        <v>15</v>
      </c>
      <c r="B182" s="780" t="s">
        <v>54</v>
      </c>
      <c r="C182" s="781"/>
      <c r="D182" s="781"/>
      <c r="E182" s="781">
        <v>283540496</v>
      </c>
      <c r="F182" s="782"/>
      <c r="G182" s="782"/>
      <c r="H182" s="782"/>
      <c r="I182" s="782"/>
      <c r="J182" s="782"/>
      <c r="K182" s="782"/>
      <c r="L182" s="782"/>
      <c r="M182" s="782"/>
      <c r="N182" s="782"/>
      <c r="O182" s="782"/>
      <c r="P182" s="782"/>
      <c r="Q182" s="782"/>
      <c r="R182" s="782"/>
      <c r="S182" s="782"/>
      <c r="T182" s="782"/>
      <c r="U182" s="782"/>
      <c r="V182" s="782"/>
      <c r="W182" s="782"/>
      <c r="X182" s="782"/>
      <c r="Y182" s="782"/>
      <c r="Z182" s="782"/>
      <c r="AA182" s="782"/>
      <c r="AB182" s="782"/>
      <c r="AC182" s="782"/>
      <c r="AD182" s="782"/>
      <c r="AE182" s="782"/>
      <c r="AF182" s="782"/>
      <c r="AG182" s="782"/>
      <c r="AH182" s="782"/>
      <c r="AI182" s="782"/>
      <c r="AJ182" s="782"/>
      <c r="AK182" s="782"/>
    </row>
    <row r="183" spans="1:37" s="7" customFormat="1" ht="24.75" customHeight="1" x14ac:dyDescent="0.25">
      <c r="A183" s="776" t="s">
        <v>151</v>
      </c>
      <c r="B183" s="777" t="s">
        <v>246</v>
      </c>
      <c r="C183" s="778"/>
      <c r="D183" s="778"/>
      <c r="E183" s="778">
        <v>4335361</v>
      </c>
      <c r="F183" s="782"/>
      <c r="G183" s="782"/>
      <c r="H183" s="782"/>
      <c r="I183" s="782"/>
      <c r="J183" s="782"/>
      <c r="K183" s="782"/>
      <c r="L183" s="782"/>
      <c r="M183" s="782"/>
      <c r="N183" s="782"/>
      <c r="O183" s="782"/>
      <c r="P183" s="782"/>
      <c r="Q183" s="782"/>
      <c r="R183" s="782"/>
      <c r="S183" s="782"/>
      <c r="T183" s="782"/>
      <c r="U183" s="782"/>
      <c r="V183" s="782"/>
      <c r="W183" s="782"/>
      <c r="X183" s="782"/>
      <c r="Y183" s="782"/>
      <c r="Z183" s="782"/>
      <c r="AA183" s="782"/>
      <c r="AB183" s="782"/>
      <c r="AC183" s="782"/>
      <c r="AD183" s="782"/>
      <c r="AE183" s="782"/>
      <c r="AF183" s="782"/>
      <c r="AG183" s="782"/>
      <c r="AH183" s="782"/>
      <c r="AI183" s="782"/>
      <c r="AJ183" s="782"/>
      <c r="AK183" s="782"/>
    </row>
    <row r="184" spans="1:37" s="7" customFormat="1" ht="24.75" customHeight="1" x14ac:dyDescent="0.25">
      <c r="A184" s="776" t="s">
        <v>152</v>
      </c>
      <c r="B184" s="777" t="s">
        <v>247</v>
      </c>
      <c r="C184" s="778"/>
      <c r="D184" s="778"/>
      <c r="E184" s="778">
        <v>4335361</v>
      </c>
      <c r="F184" s="782"/>
      <c r="G184" s="782"/>
      <c r="H184" s="782"/>
      <c r="I184" s="782"/>
      <c r="J184" s="782"/>
      <c r="K184" s="782"/>
      <c r="L184" s="782"/>
      <c r="M184" s="782"/>
      <c r="N184" s="782"/>
      <c r="O184" s="782"/>
      <c r="P184" s="782"/>
      <c r="Q184" s="782"/>
      <c r="R184" s="782"/>
      <c r="S184" s="782"/>
      <c r="T184" s="782"/>
      <c r="U184" s="782"/>
      <c r="V184" s="782"/>
      <c r="W184" s="782"/>
      <c r="X184" s="782"/>
      <c r="Y184" s="782"/>
      <c r="Z184" s="782"/>
      <c r="AA184" s="782"/>
      <c r="AB184" s="782"/>
      <c r="AC184" s="782"/>
      <c r="AD184" s="782"/>
      <c r="AE184" s="782"/>
      <c r="AF184" s="782"/>
      <c r="AG184" s="782"/>
      <c r="AH184" s="782"/>
      <c r="AI184" s="782"/>
      <c r="AJ184" s="782"/>
      <c r="AK184" s="782"/>
    </row>
    <row r="185" spans="1:37" s="7" customFormat="1" ht="24.75" customHeight="1" x14ac:dyDescent="0.25">
      <c r="A185" s="776"/>
      <c r="B185" s="777" t="s">
        <v>844</v>
      </c>
      <c r="C185" s="778"/>
      <c r="D185" s="778">
        <v>4335361</v>
      </c>
      <c r="E185" s="778"/>
      <c r="F185" s="782"/>
      <c r="G185" s="782"/>
      <c r="H185" s="782"/>
      <c r="I185" s="782"/>
      <c r="J185" s="782"/>
      <c r="K185" s="782"/>
      <c r="L185" s="782"/>
      <c r="M185" s="782"/>
      <c r="N185" s="782"/>
      <c r="O185" s="782"/>
      <c r="P185" s="782"/>
      <c r="Q185" s="782"/>
      <c r="R185" s="782"/>
      <c r="S185" s="782"/>
      <c r="T185" s="782"/>
      <c r="U185" s="782"/>
      <c r="V185" s="782"/>
      <c r="W185" s="782"/>
      <c r="X185" s="782"/>
      <c r="Y185" s="782"/>
      <c r="Z185" s="782"/>
      <c r="AA185" s="782"/>
      <c r="AB185" s="782"/>
      <c r="AC185" s="782"/>
      <c r="AD185" s="782"/>
      <c r="AE185" s="782"/>
      <c r="AF185" s="782"/>
      <c r="AG185" s="782"/>
      <c r="AH185" s="782"/>
      <c r="AI185" s="782"/>
      <c r="AJ185" s="782"/>
      <c r="AK185" s="782"/>
    </row>
    <row r="186" spans="1:37" s="7" customFormat="1" ht="24.75" customHeight="1" x14ac:dyDescent="0.25">
      <c r="A186" s="776"/>
      <c r="B186" s="777" t="s">
        <v>911</v>
      </c>
      <c r="C186" s="778">
        <v>4335161</v>
      </c>
      <c r="D186" s="778"/>
      <c r="E186" s="778"/>
      <c r="F186" s="782"/>
      <c r="G186" s="782"/>
      <c r="H186" s="782"/>
      <c r="I186" s="782"/>
      <c r="J186" s="782"/>
      <c r="K186" s="782"/>
      <c r="L186" s="782"/>
      <c r="M186" s="782"/>
      <c r="N186" s="782"/>
      <c r="O186" s="782"/>
      <c r="P186" s="782"/>
      <c r="Q186" s="782"/>
      <c r="R186" s="782"/>
      <c r="S186" s="782"/>
      <c r="T186" s="782"/>
      <c r="U186" s="782"/>
      <c r="V186" s="782"/>
      <c r="W186" s="782"/>
      <c r="X186" s="782"/>
      <c r="Y186" s="782"/>
      <c r="Z186" s="782"/>
      <c r="AA186" s="782"/>
      <c r="AB186" s="782"/>
      <c r="AC186" s="782"/>
      <c r="AD186" s="782"/>
      <c r="AE186" s="782"/>
      <c r="AF186" s="782"/>
      <c r="AG186" s="782"/>
      <c r="AH186" s="782"/>
      <c r="AI186" s="782"/>
      <c r="AJ186" s="782"/>
      <c r="AK186" s="782"/>
    </row>
    <row r="187" spans="1:37" s="7" customFormat="1" ht="24.75" customHeight="1" x14ac:dyDescent="0.25">
      <c r="A187" s="776" t="s">
        <v>153</v>
      </c>
      <c r="B187" s="777" t="s">
        <v>248</v>
      </c>
      <c r="C187" s="778"/>
      <c r="D187" s="778"/>
      <c r="E187" s="778">
        <v>22847000</v>
      </c>
      <c r="F187" s="782"/>
      <c r="G187" s="782"/>
      <c r="H187" s="782"/>
      <c r="I187" s="782"/>
      <c r="J187" s="782"/>
      <c r="K187" s="782"/>
      <c r="L187" s="782"/>
      <c r="M187" s="782"/>
      <c r="N187" s="782"/>
      <c r="O187" s="782"/>
      <c r="P187" s="782"/>
      <c r="Q187" s="782"/>
      <c r="R187" s="782"/>
      <c r="S187" s="782"/>
      <c r="T187" s="782"/>
      <c r="U187" s="782"/>
      <c r="V187" s="782"/>
      <c r="W187" s="782"/>
      <c r="X187" s="782"/>
      <c r="Y187" s="782"/>
      <c r="Z187" s="782"/>
      <c r="AA187" s="782"/>
      <c r="AB187" s="782"/>
      <c r="AC187" s="782"/>
      <c r="AD187" s="782"/>
      <c r="AE187" s="782"/>
      <c r="AF187" s="782"/>
      <c r="AG187" s="782"/>
      <c r="AH187" s="782"/>
      <c r="AI187" s="782"/>
      <c r="AJ187" s="782"/>
      <c r="AK187" s="782"/>
    </row>
    <row r="188" spans="1:37" s="7" customFormat="1" ht="18" customHeight="1" x14ac:dyDescent="0.25">
      <c r="A188" s="31" t="s">
        <v>154</v>
      </c>
      <c r="B188" s="32" t="s">
        <v>289</v>
      </c>
      <c r="C188" s="787"/>
      <c r="D188" s="787"/>
      <c r="E188" s="787">
        <v>22847000</v>
      </c>
      <c r="F188" s="782"/>
      <c r="G188" s="782"/>
      <c r="H188" s="782"/>
      <c r="I188" s="782"/>
      <c r="J188" s="782"/>
      <c r="K188" s="782"/>
      <c r="L188" s="782"/>
      <c r="M188" s="782"/>
      <c r="N188" s="782"/>
      <c r="O188" s="782"/>
      <c r="P188" s="782"/>
      <c r="Q188" s="782"/>
      <c r="R188" s="782"/>
      <c r="S188" s="782"/>
      <c r="T188" s="782"/>
      <c r="U188" s="782"/>
      <c r="V188" s="782"/>
      <c r="W188" s="782"/>
      <c r="X188" s="782"/>
      <c r="Y188" s="782"/>
      <c r="Z188" s="782"/>
      <c r="AA188" s="782"/>
      <c r="AB188" s="782"/>
      <c r="AC188" s="782"/>
      <c r="AD188" s="782"/>
      <c r="AE188" s="782"/>
      <c r="AF188" s="782"/>
      <c r="AG188" s="782"/>
      <c r="AH188" s="782"/>
      <c r="AI188" s="782"/>
      <c r="AJ188" s="782"/>
      <c r="AK188" s="782"/>
    </row>
    <row r="189" spans="1:37" s="7" customFormat="1" ht="18" customHeight="1" x14ac:dyDescent="0.25">
      <c r="A189" s="33"/>
      <c r="B189" s="34" t="s">
        <v>288</v>
      </c>
      <c r="C189" s="788"/>
      <c r="D189" s="788"/>
      <c r="E189" s="788"/>
      <c r="F189" s="782"/>
      <c r="G189" s="782"/>
      <c r="H189" s="782"/>
      <c r="I189" s="782"/>
      <c r="J189" s="782"/>
      <c r="K189" s="782"/>
      <c r="L189" s="782"/>
      <c r="M189" s="782"/>
      <c r="N189" s="782"/>
      <c r="O189" s="782"/>
      <c r="P189" s="782"/>
      <c r="Q189" s="782"/>
      <c r="R189" s="782"/>
      <c r="S189" s="782"/>
      <c r="T189" s="782"/>
      <c r="U189" s="782"/>
      <c r="V189" s="782"/>
      <c r="W189" s="782"/>
      <c r="X189" s="782"/>
      <c r="Y189" s="782"/>
      <c r="Z189" s="782"/>
      <c r="AA189" s="782"/>
      <c r="AB189" s="782"/>
      <c r="AC189" s="782"/>
      <c r="AD189" s="782"/>
      <c r="AE189" s="782"/>
      <c r="AF189" s="782"/>
      <c r="AG189" s="782"/>
      <c r="AH189" s="782"/>
      <c r="AI189" s="782"/>
      <c r="AJ189" s="782"/>
      <c r="AK189" s="782"/>
    </row>
    <row r="190" spans="1:37" s="7" customFormat="1" ht="24.75" customHeight="1" x14ac:dyDescent="0.25">
      <c r="A190" s="776"/>
      <c r="B190" s="777" t="s">
        <v>844</v>
      </c>
      <c r="C190" s="778"/>
      <c r="D190" s="778">
        <v>22847000</v>
      </c>
      <c r="E190" s="778"/>
      <c r="F190" s="782"/>
      <c r="G190" s="782"/>
      <c r="H190" s="782"/>
      <c r="I190" s="782"/>
      <c r="J190" s="782"/>
      <c r="K190" s="782"/>
      <c r="L190" s="782"/>
      <c r="M190" s="782"/>
      <c r="N190" s="782"/>
      <c r="O190" s="782"/>
      <c r="P190" s="782"/>
      <c r="Q190" s="782"/>
      <c r="R190" s="782"/>
      <c r="S190" s="782"/>
      <c r="T190" s="782"/>
      <c r="U190" s="782"/>
      <c r="V190" s="782"/>
      <c r="W190" s="782"/>
      <c r="X190" s="782"/>
      <c r="Y190" s="782"/>
      <c r="Z190" s="782"/>
      <c r="AA190" s="782"/>
      <c r="AB190" s="782"/>
      <c r="AC190" s="782"/>
      <c r="AD190" s="782"/>
      <c r="AE190" s="782"/>
      <c r="AF190" s="782"/>
      <c r="AG190" s="782"/>
      <c r="AH190" s="782"/>
      <c r="AI190" s="782"/>
      <c r="AJ190" s="782"/>
      <c r="AK190" s="782"/>
    </row>
    <row r="191" spans="1:37" s="7" customFormat="1" ht="24.75" customHeight="1" x14ac:dyDescent="0.25">
      <c r="A191" s="776"/>
      <c r="B191" s="777" t="s">
        <v>917</v>
      </c>
      <c r="C191" s="778">
        <v>18500000</v>
      </c>
      <c r="D191" s="778"/>
      <c r="E191" s="778"/>
      <c r="F191" s="782"/>
      <c r="G191" s="782"/>
      <c r="H191" s="782"/>
      <c r="I191" s="782"/>
      <c r="J191" s="782"/>
      <c r="K191" s="782"/>
      <c r="L191" s="782"/>
      <c r="M191" s="782"/>
      <c r="N191" s="782"/>
      <c r="O191" s="782"/>
      <c r="P191" s="782"/>
      <c r="Q191" s="782"/>
      <c r="R191" s="782"/>
      <c r="S191" s="782"/>
      <c r="T191" s="782"/>
      <c r="U191" s="782"/>
      <c r="V191" s="782"/>
      <c r="W191" s="782"/>
      <c r="X191" s="782"/>
      <c r="Y191" s="782"/>
      <c r="Z191" s="782"/>
      <c r="AA191" s="782"/>
      <c r="AB191" s="782"/>
      <c r="AC191" s="782"/>
      <c r="AD191" s="782"/>
      <c r="AE191" s="782"/>
      <c r="AF191" s="782"/>
      <c r="AG191" s="782"/>
      <c r="AH191" s="782"/>
      <c r="AI191" s="782"/>
      <c r="AJ191" s="782"/>
      <c r="AK191" s="782"/>
    </row>
    <row r="192" spans="1:37" s="7" customFormat="1" ht="24.75" customHeight="1" x14ac:dyDescent="0.25">
      <c r="A192" s="776"/>
      <c r="B192" s="777" t="s">
        <v>918</v>
      </c>
      <c r="C192" s="778">
        <v>4347000</v>
      </c>
      <c r="D192" s="778"/>
      <c r="E192" s="778"/>
      <c r="F192" s="782"/>
      <c r="G192" s="782"/>
      <c r="H192" s="782"/>
      <c r="I192" s="782"/>
      <c r="J192" s="782"/>
      <c r="K192" s="782"/>
      <c r="L192" s="782"/>
      <c r="M192" s="782"/>
      <c r="N192" s="782"/>
      <c r="O192" s="782"/>
      <c r="P192" s="782"/>
      <c r="Q192" s="782"/>
      <c r="R192" s="782"/>
      <c r="S192" s="782"/>
      <c r="T192" s="782"/>
      <c r="U192" s="782"/>
      <c r="V192" s="782"/>
      <c r="W192" s="782"/>
      <c r="X192" s="782"/>
      <c r="Y192" s="782"/>
      <c r="Z192" s="782"/>
      <c r="AA192" s="782"/>
      <c r="AB192" s="782"/>
      <c r="AC192" s="782"/>
      <c r="AD192" s="782"/>
      <c r="AE192" s="782"/>
      <c r="AF192" s="782"/>
      <c r="AG192" s="782"/>
      <c r="AH192" s="782"/>
      <c r="AI192" s="782"/>
      <c r="AJ192" s="782"/>
      <c r="AK192" s="782"/>
    </row>
    <row r="193" spans="1:37" s="7" customFormat="1" ht="24.75" customHeight="1" x14ac:dyDescent="0.25">
      <c r="A193" s="776" t="s">
        <v>155</v>
      </c>
      <c r="B193" s="777" t="s">
        <v>249</v>
      </c>
      <c r="C193" s="778"/>
      <c r="D193" s="778"/>
      <c r="E193" s="778">
        <v>197093000</v>
      </c>
      <c r="F193" s="782"/>
      <c r="G193" s="782"/>
      <c r="H193" s="782"/>
      <c r="I193" s="782"/>
      <c r="J193" s="782"/>
      <c r="K193" s="782"/>
      <c r="L193" s="782"/>
      <c r="M193" s="782"/>
      <c r="N193" s="782"/>
      <c r="O193" s="782"/>
      <c r="P193" s="782"/>
      <c r="Q193" s="782"/>
      <c r="R193" s="782"/>
      <c r="S193" s="782"/>
      <c r="T193" s="782"/>
      <c r="U193" s="782"/>
      <c r="V193" s="782"/>
      <c r="W193" s="782"/>
      <c r="X193" s="782"/>
      <c r="Y193" s="782"/>
      <c r="Z193" s="782"/>
      <c r="AA193" s="782"/>
      <c r="AB193" s="782"/>
      <c r="AC193" s="782"/>
      <c r="AD193" s="782"/>
      <c r="AE193" s="782"/>
      <c r="AF193" s="782"/>
      <c r="AG193" s="782"/>
      <c r="AH193" s="782"/>
      <c r="AI193" s="782"/>
      <c r="AJ193" s="782"/>
      <c r="AK193" s="782"/>
    </row>
    <row r="194" spans="1:37" s="26" customFormat="1" ht="18.75" customHeight="1" x14ac:dyDescent="0.25">
      <c r="A194" s="31" t="s">
        <v>156</v>
      </c>
      <c r="B194" s="32" t="s">
        <v>290</v>
      </c>
      <c r="C194" s="787"/>
      <c r="D194" s="787"/>
      <c r="E194" s="787">
        <v>197093000</v>
      </c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</row>
    <row r="195" spans="1:37" s="7" customFormat="1" ht="18" customHeight="1" x14ac:dyDescent="0.25">
      <c r="A195" s="33"/>
      <c r="B195" s="34" t="s">
        <v>288</v>
      </c>
      <c r="C195" s="788"/>
      <c r="D195" s="788"/>
      <c r="E195" s="788"/>
      <c r="F195" s="782"/>
      <c r="G195" s="782"/>
      <c r="H195" s="782"/>
      <c r="I195" s="782"/>
      <c r="J195" s="782"/>
      <c r="K195" s="782"/>
      <c r="L195" s="782"/>
      <c r="M195" s="782"/>
      <c r="N195" s="782"/>
      <c r="O195" s="782"/>
      <c r="P195" s="782"/>
      <c r="Q195" s="782"/>
      <c r="R195" s="782"/>
      <c r="S195" s="782"/>
      <c r="T195" s="782"/>
      <c r="U195" s="782"/>
      <c r="V195" s="782"/>
      <c r="W195" s="782"/>
      <c r="X195" s="782"/>
      <c r="Y195" s="782"/>
      <c r="Z195" s="782"/>
      <c r="AA195" s="782"/>
      <c r="AB195" s="782"/>
      <c r="AC195" s="782"/>
      <c r="AD195" s="782"/>
      <c r="AE195" s="782"/>
      <c r="AF195" s="782"/>
      <c r="AG195" s="782"/>
      <c r="AH195" s="782"/>
      <c r="AI195" s="782"/>
      <c r="AJ195" s="782"/>
      <c r="AK195" s="782"/>
    </row>
    <row r="196" spans="1:37" s="7" customFormat="1" ht="24.75" customHeight="1" x14ac:dyDescent="0.25">
      <c r="A196" s="776"/>
      <c r="B196" s="777" t="s">
        <v>844</v>
      </c>
      <c r="C196" s="778"/>
      <c r="D196" s="778">
        <v>197093000</v>
      </c>
      <c r="E196" s="778"/>
      <c r="F196" s="782"/>
      <c r="G196" s="782"/>
      <c r="H196" s="782"/>
      <c r="I196" s="782"/>
      <c r="J196" s="782"/>
      <c r="K196" s="782"/>
      <c r="L196" s="782"/>
      <c r="M196" s="782"/>
      <c r="N196" s="782"/>
      <c r="O196" s="782"/>
      <c r="P196" s="782"/>
      <c r="Q196" s="782"/>
      <c r="R196" s="782"/>
      <c r="S196" s="782"/>
      <c r="T196" s="782"/>
      <c r="U196" s="782"/>
      <c r="V196" s="782"/>
      <c r="W196" s="782"/>
      <c r="X196" s="782"/>
      <c r="Y196" s="782"/>
      <c r="Z196" s="782"/>
      <c r="AA196" s="782"/>
      <c r="AB196" s="782"/>
      <c r="AC196" s="782"/>
      <c r="AD196" s="782"/>
      <c r="AE196" s="782"/>
      <c r="AF196" s="782"/>
      <c r="AG196" s="782"/>
      <c r="AH196" s="782"/>
      <c r="AI196" s="782"/>
      <c r="AJ196" s="782"/>
      <c r="AK196" s="782"/>
    </row>
    <row r="197" spans="1:37" s="7" customFormat="1" ht="24.75" customHeight="1" x14ac:dyDescent="0.25">
      <c r="A197" s="776"/>
      <c r="B197" s="777" t="s">
        <v>912</v>
      </c>
      <c r="C197" s="778">
        <v>197093000</v>
      </c>
      <c r="D197" s="778"/>
      <c r="E197" s="778"/>
      <c r="F197" s="782"/>
      <c r="G197" s="782"/>
      <c r="H197" s="782"/>
      <c r="I197" s="782"/>
      <c r="J197" s="782"/>
      <c r="K197" s="782"/>
      <c r="L197" s="782"/>
      <c r="M197" s="782"/>
      <c r="N197" s="782"/>
      <c r="O197" s="782"/>
      <c r="P197" s="782"/>
      <c r="Q197" s="782"/>
      <c r="R197" s="782"/>
      <c r="S197" s="782"/>
      <c r="T197" s="782"/>
      <c r="U197" s="782"/>
      <c r="V197" s="782"/>
      <c r="W197" s="782"/>
      <c r="X197" s="782"/>
      <c r="Y197" s="782"/>
      <c r="Z197" s="782"/>
      <c r="AA197" s="782"/>
      <c r="AB197" s="782"/>
      <c r="AC197" s="782"/>
      <c r="AD197" s="782"/>
      <c r="AE197" s="782"/>
      <c r="AF197" s="782"/>
      <c r="AG197" s="782"/>
      <c r="AH197" s="782"/>
      <c r="AI197" s="782"/>
      <c r="AJ197" s="782"/>
      <c r="AK197" s="782"/>
    </row>
    <row r="198" spans="1:37" s="7" customFormat="1" ht="24.75" customHeight="1" x14ac:dyDescent="0.25">
      <c r="A198" s="779" t="s">
        <v>157</v>
      </c>
      <c r="B198" s="780" t="s">
        <v>250</v>
      </c>
      <c r="C198" s="781"/>
      <c r="D198" s="781"/>
      <c r="E198" s="781">
        <v>224275361</v>
      </c>
      <c r="F198" s="782"/>
      <c r="G198" s="782"/>
      <c r="H198" s="782"/>
      <c r="I198" s="782"/>
      <c r="J198" s="782"/>
      <c r="K198" s="782"/>
      <c r="L198" s="782"/>
      <c r="M198" s="782"/>
      <c r="N198" s="782"/>
      <c r="O198" s="782"/>
      <c r="P198" s="782"/>
      <c r="Q198" s="782"/>
      <c r="R198" s="782"/>
      <c r="S198" s="782"/>
      <c r="T198" s="782"/>
      <c r="U198" s="782"/>
      <c r="V198" s="782"/>
      <c r="W198" s="782"/>
      <c r="X198" s="782"/>
      <c r="Y198" s="782"/>
      <c r="Z198" s="782"/>
      <c r="AA198" s="782"/>
      <c r="AB198" s="782"/>
      <c r="AC198" s="782"/>
      <c r="AD198" s="782"/>
      <c r="AE198" s="782"/>
      <c r="AF198" s="782"/>
      <c r="AG198" s="782"/>
      <c r="AH198" s="782"/>
      <c r="AI198" s="782"/>
      <c r="AJ198" s="782"/>
      <c r="AK198" s="782"/>
    </row>
    <row r="199" spans="1:37" s="7" customFormat="1" ht="24.75" customHeight="1" x14ac:dyDescent="0.25">
      <c r="A199" s="776" t="s">
        <v>158</v>
      </c>
      <c r="B199" s="777" t="s">
        <v>251</v>
      </c>
      <c r="C199" s="778"/>
      <c r="D199" s="778"/>
      <c r="E199" s="778">
        <v>11425333</v>
      </c>
      <c r="F199" s="782"/>
      <c r="G199" s="782"/>
      <c r="H199" s="782"/>
      <c r="I199" s="782"/>
      <c r="J199" s="782"/>
      <c r="K199" s="782"/>
      <c r="L199" s="782"/>
      <c r="M199" s="782"/>
      <c r="N199" s="782"/>
      <c r="O199" s="782"/>
      <c r="P199" s="782"/>
      <c r="Q199" s="782"/>
      <c r="R199" s="782"/>
      <c r="S199" s="782"/>
      <c r="T199" s="782"/>
      <c r="U199" s="782"/>
      <c r="V199" s="782"/>
      <c r="W199" s="782"/>
      <c r="X199" s="782"/>
      <c r="Y199" s="782"/>
      <c r="Z199" s="782"/>
      <c r="AA199" s="782"/>
      <c r="AB199" s="782"/>
      <c r="AC199" s="782"/>
      <c r="AD199" s="782"/>
      <c r="AE199" s="782"/>
      <c r="AF199" s="782"/>
      <c r="AG199" s="782"/>
      <c r="AH199" s="782"/>
      <c r="AI199" s="782"/>
      <c r="AJ199" s="782"/>
      <c r="AK199" s="782"/>
    </row>
    <row r="200" spans="1:37" s="7" customFormat="1" ht="24.75" customHeight="1" x14ac:dyDescent="0.25">
      <c r="A200" s="776" t="s">
        <v>159</v>
      </c>
      <c r="B200" s="777" t="s">
        <v>252</v>
      </c>
      <c r="C200" s="778"/>
      <c r="D200" s="778"/>
      <c r="E200" s="778">
        <v>10767599</v>
      </c>
      <c r="F200" s="782"/>
      <c r="G200" s="782"/>
      <c r="H200" s="782"/>
      <c r="I200" s="782"/>
      <c r="J200" s="782"/>
      <c r="K200" s="782"/>
      <c r="L200" s="782"/>
      <c r="M200" s="782"/>
      <c r="N200" s="782"/>
      <c r="O200" s="782"/>
      <c r="P200" s="782"/>
      <c r="Q200" s="782"/>
      <c r="R200" s="782"/>
      <c r="S200" s="782"/>
      <c r="T200" s="782"/>
      <c r="U200" s="782"/>
      <c r="V200" s="782"/>
      <c r="W200" s="782"/>
      <c r="X200" s="782"/>
      <c r="Y200" s="782"/>
      <c r="Z200" s="782"/>
      <c r="AA200" s="782"/>
      <c r="AB200" s="782"/>
      <c r="AC200" s="782"/>
      <c r="AD200" s="782"/>
      <c r="AE200" s="782"/>
      <c r="AF200" s="782"/>
      <c r="AG200" s="782"/>
      <c r="AH200" s="782"/>
      <c r="AI200" s="782"/>
      <c r="AJ200" s="782"/>
      <c r="AK200" s="782"/>
    </row>
    <row r="201" spans="1:37" s="7" customFormat="1" ht="24.75" customHeight="1" x14ac:dyDescent="0.25">
      <c r="A201" s="776"/>
      <c r="B201" s="777" t="s">
        <v>844</v>
      </c>
      <c r="C201" s="778"/>
      <c r="D201" s="778">
        <v>10767599</v>
      </c>
      <c r="E201" s="778"/>
      <c r="F201" s="782"/>
      <c r="G201" s="782"/>
      <c r="H201" s="782"/>
      <c r="I201" s="782"/>
      <c r="J201" s="782"/>
      <c r="K201" s="782"/>
      <c r="L201" s="782"/>
      <c r="M201" s="782"/>
      <c r="N201" s="782"/>
      <c r="O201" s="782"/>
      <c r="P201" s="782"/>
      <c r="Q201" s="782"/>
      <c r="R201" s="782"/>
      <c r="S201" s="782"/>
      <c r="T201" s="782"/>
      <c r="U201" s="782"/>
      <c r="V201" s="782"/>
      <c r="W201" s="782"/>
      <c r="X201" s="782"/>
      <c r="Y201" s="782"/>
      <c r="Z201" s="782"/>
      <c r="AA201" s="782"/>
      <c r="AB201" s="782"/>
      <c r="AC201" s="782"/>
      <c r="AD201" s="782"/>
      <c r="AE201" s="782"/>
      <c r="AF201" s="782"/>
      <c r="AG201" s="782"/>
      <c r="AH201" s="782"/>
      <c r="AI201" s="782"/>
      <c r="AJ201" s="782"/>
      <c r="AK201" s="782"/>
    </row>
    <row r="202" spans="1:37" s="7" customFormat="1" ht="24.75" customHeight="1" x14ac:dyDescent="0.25">
      <c r="A202" s="776"/>
      <c r="B202" s="777" t="s">
        <v>919</v>
      </c>
      <c r="C202" s="778">
        <v>157480</v>
      </c>
      <c r="D202" s="778"/>
      <c r="E202" s="778"/>
      <c r="F202" s="782"/>
      <c r="G202" s="782"/>
      <c r="H202" s="782"/>
      <c r="I202" s="782"/>
      <c r="J202" s="782"/>
      <c r="K202" s="782"/>
      <c r="L202" s="782"/>
      <c r="M202" s="782"/>
      <c r="N202" s="782"/>
      <c r="O202" s="782"/>
      <c r="P202" s="782"/>
      <c r="Q202" s="782"/>
      <c r="R202" s="782"/>
      <c r="S202" s="782"/>
      <c r="T202" s="782"/>
      <c r="U202" s="782"/>
      <c r="V202" s="782"/>
      <c r="W202" s="782"/>
      <c r="X202" s="782"/>
      <c r="Y202" s="782"/>
      <c r="Z202" s="782"/>
      <c r="AA202" s="782"/>
      <c r="AB202" s="782"/>
      <c r="AC202" s="782"/>
      <c r="AD202" s="782"/>
      <c r="AE202" s="782"/>
      <c r="AF202" s="782"/>
      <c r="AG202" s="782"/>
      <c r="AH202" s="782"/>
      <c r="AI202" s="782"/>
      <c r="AJ202" s="782"/>
      <c r="AK202" s="782"/>
    </row>
    <row r="203" spans="1:37" s="7" customFormat="1" ht="24.75" customHeight="1" x14ac:dyDescent="0.25">
      <c r="A203" s="776"/>
      <c r="B203" s="777" t="s">
        <v>920</v>
      </c>
      <c r="C203" s="778">
        <v>8110236</v>
      </c>
      <c r="D203" s="778"/>
      <c r="E203" s="778"/>
      <c r="F203" s="782"/>
      <c r="G203" s="782"/>
      <c r="H203" s="782"/>
      <c r="I203" s="782"/>
      <c r="J203" s="782"/>
      <c r="K203" s="782"/>
      <c r="L203" s="782"/>
      <c r="M203" s="782"/>
      <c r="N203" s="782"/>
      <c r="O203" s="782"/>
      <c r="P203" s="782"/>
      <c r="Q203" s="782"/>
      <c r="R203" s="782"/>
      <c r="S203" s="782"/>
      <c r="T203" s="782"/>
      <c r="U203" s="782"/>
      <c r="V203" s="782"/>
      <c r="W203" s="782"/>
      <c r="X203" s="782"/>
      <c r="Y203" s="782"/>
      <c r="Z203" s="782"/>
      <c r="AA203" s="782"/>
      <c r="AB203" s="782"/>
      <c r="AC203" s="782"/>
      <c r="AD203" s="782"/>
      <c r="AE203" s="782"/>
      <c r="AF203" s="782"/>
      <c r="AG203" s="782"/>
      <c r="AH203" s="782"/>
      <c r="AI203" s="782"/>
      <c r="AJ203" s="782"/>
      <c r="AK203" s="782"/>
    </row>
    <row r="204" spans="1:37" s="7" customFormat="1" ht="24.75" customHeight="1" x14ac:dyDescent="0.25">
      <c r="A204" s="776"/>
      <c r="B204" s="777" t="s">
        <v>921</v>
      </c>
      <c r="C204" s="778">
        <v>2499883</v>
      </c>
      <c r="D204" s="778"/>
      <c r="E204" s="778"/>
      <c r="F204" s="782"/>
      <c r="G204" s="782"/>
      <c r="H204" s="782"/>
      <c r="I204" s="782"/>
      <c r="J204" s="782"/>
      <c r="K204" s="782"/>
      <c r="L204" s="782"/>
      <c r="M204" s="782"/>
      <c r="N204" s="782"/>
      <c r="O204" s="782"/>
      <c r="P204" s="782"/>
      <c r="Q204" s="782"/>
      <c r="R204" s="782"/>
      <c r="S204" s="782"/>
      <c r="T204" s="782"/>
      <c r="U204" s="782"/>
      <c r="V204" s="782"/>
      <c r="W204" s="782"/>
      <c r="X204" s="782"/>
      <c r="Y204" s="782"/>
      <c r="Z204" s="782"/>
      <c r="AA204" s="782"/>
      <c r="AB204" s="782"/>
      <c r="AC204" s="782"/>
      <c r="AD204" s="782"/>
      <c r="AE204" s="782"/>
      <c r="AF204" s="782"/>
      <c r="AG204" s="782"/>
      <c r="AH204" s="782"/>
      <c r="AI204" s="782"/>
      <c r="AJ204" s="782"/>
      <c r="AK204" s="782"/>
    </row>
    <row r="205" spans="1:37" s="7" customFormat="1" ht="24.75" customHeight="1" x14ac:dyDescent="0.25">
      <c r="A205" s="776" t="s">
        <v>160</v>
      </c>
      <c r="B205" s="777" t="s">
        <v>253</v>
      </c>
      <c r="C205" s="778"/>
      <c r="D205" s="778"/>
      <c r="E205" s="778">
        <v>406665</v>
      </c>
      <c r="F205" s="734"/>
      <c r="G205" s="782"/>
      <c r="H205" s="782"/>
      <c r="I205" s="782"/>
      <c r="J205" s="782"/>
      <c r="K205" s="782"/>
      <c r="L205" s="782"/>
      <c r="M205" s="782"/>
      <c r="N205" s="782"/>
      <c r="O205" s="782"/>
      <c r="P205" s="782"/>
      <c r="Q205" s="782"/>
      <c r="R205" s="782"/>
      <c r="S205" s="782"/>
      <c r="T205" s="782"/>
      <c r="U205" s="782"/>
      <c r="V205" s="782"/>
      <c r="W205" s="782"/>
      <c r="X205" s="782"/>
      <c r="Y205" s="782"/>
      <c r="Z205" s="782"/>
      <c r="AA205" s="782"/>
      <c r="AB205" s="782"/>
      <c r="AC205" s="782"/>
      <c r="AD205" s="782"/>
      <c r="AE205" s="782"/>
      <c r="AF205" s="782"/>
      <c r="AG205" s="782"/>
      <c r="AH205" s="782"/>
      <c r="AI205" s="782"/>
      <c r="AJ205" s="782"/>
      <c r="AK205" s="782"/>
    </row>
    <row r="206" spans="1:37" s="7" customFormat="1" ht="24.75" customHeight="1" x14ac:dyDescent="0.25">
      <c r="A206" s="776"/>
      <c r="B206" s="777" t="s">
        <v>489</v>
      </c>
      <c r="C206" s="778"/>
      <c r="D206" s="778">
        <v>216666</v>
      </c>
      <c r="E206" s="778"/>
      <c r="F206" s="782"/>
      <c r="G206" s="782"/>
      <c r="H206" s="782"/>
      <c r="I206" s="782"/>
      <c r="J206" s="782"/>
      <c r="K206" s="782"/>
      <c r="L206" s="782"/>
      <c r="M206" s="782"/>
      <c r="N206" s="782"/>
      <c r="O206" s="782"/>
      <c r="P206" s="782"/>
      <c r="Q206" s="782"/>
      <c r="R206" s="782"/>
      <c r="S206" s="782"/>
      <c r="T206" s="782"/>
      <c r="U206" s="782"/>
      <c r="V206" s="782"/>
      <c r="W206" s="782"/>
      <c r="X206" s="782"/>
      <c r="Y206" s="782"/>
      <c r="Z206" s="782"/>
      <c r="AA206" s="782"/>
      <c r="AB206" s="782"/>
      <c r="AC206" s="782"/>
      <c r="AD206" s="782"/>
      <c r="AE206" s="782"/>
      <c r="AF206" s="782"/>
      <c r="AG206" s="782"/>
      <c r="AH206" s="782"/>
      <c r="AI206" s="782"/>
      <c r="AJ206" s="782"/>
      <c r="AK206" s="782"/>
    </row>
    <row r="207" spans="1:37" s="7" customFormat="1" ht="24.75" customHeight="1" x14ac:dyDescent="0.25">
      <c r="A207" s="776"/>
      <c r="B207" s="777" t="s">
        <v>796</v>
      </c>
      <c r="C207" s="778"/>
      <c r="D207" s="778">
        <v>16666</v>
      </c>
      <c r="E207" s="778"/>
      <c r="F207" s="782"/>
      <c r="G207" s="782"/>
      <c r="H207" s="782"/>
      <c r="I207" s="782"/>
      <c r="J207" s="782"/>
      <c r="K207" s="782"/>
      <c r="L207" s="782"/>
      <c r="M207" s="782"/>
      <c r="N207" s="782"/>
      <c r="O207" s="782"/>
      <c r="P207" s="782"/>
      <c r="Q207" s="782"/>
      <c r="R207" s="782"/>
      <c r="S207" s="782"/>
      <c r="T207" s="782"/>
      <c r="U207" s="782"/>
      <c r="V207" s="782"/>
      <c r="W207" s="782"/>
      <c r="X207" s="782"/>
      <c r="Y207" s="782"/>
      <c r="Z207" s="782"/>
      <c r="AA207" s="782"/>
      <c r="AB207" s="782"/>
      <c r="AC207" s="782"/>
      <c r="AD207" s="782"/>
      <c r="AE207" s="782"/>
      <c r="AF207" s="782"/>
      <c r="AG207" s="782"/>
      <c r="AH207" s="782"/>
      <c r="AI207" s="782"/>
      <c r="AJ207" s="782"/>
      <c r="AK207" s="782"/>
    </row>
    <row r="208" spans="1:37" s="7" customFormat="1" ht="24.75" customHeight="1" x14ac:dyDescent="0.25">
      <c r="A208" s="776"/>
      <c r="B208" s="777" t="s">
        <v>797</v>
      </c>
      <c r="C208" s="778"/>
      <c r="D208" s="778">
        <v>30000</v>
      </c>
      <c r="E208" s="778"/>
      <c r="F208" s="782"/>
      <c r="G208" s="782"/>
      <c r="H208" s="782"/>
      <c r="I208" s="782"/>
      <c r="J208" s="782"/>
      <c r="K208" s="782"/>
      <c r="L208" s="782"/>
      <c r="M208" s="782"/>
      <c r="N208" s="782"/>
      <c r="O208" s="782"/>
      <c r="P208" s="782"/>
      <c r="Q208" s="782"/>
      <c r="R208" s="782"/>
      <c r="S208" s="782"/>
      <c r="T208" s="782"/>
      <c r="U208" s="782"/>
      <c r="V208" s="782"/>
      <c r="W208" s="782"/>
      <c r="X208" s="782"/>
      <c r="Y208" s="782"/>
      <c r="Z208" s="782"/>
      <c r="AA208" s="782"/>
      <c r="AB208" s="782"/>
      <c r="AC208" s="782"/>
      <c r="AD208" s="782"/>
      <c r="AE208" s="782"/>
      <c r="AF208" s="782"/>
      <c r="AG208" s="782"/>
      <c r="AH208" s="782"/>
      <c r="AI208" s="782"/>
      <c r="AJ208" s="782"/>
      <c r="AK208" s="782"/>
    </row>
    <row r="209" spans="1:37" s="7" customFormat="1" ht="24.75" customHeight="1" x14ac:dyDescent="0.25">
      <c r="A209" s="776"/>
      <c r="B209" s="777" t="s">
        <v>495</v>
      </c>
      <c r="C209" s="778"/>
      <c r="D209" s="778">
        <v>143333</v>
      </c>
      <c r="E209" s="778"/>
      <c r="F209" s="782"/>
      <c r="G209" s="782"/>
      <c r="H209" s="782"/>
      <c r="I209" s="782"/>
      <c r="J209" s="782"/>
      <c r="K209" s="782"/>
      <c r="L209" s="782"/>
      <c r="M209" s="782"/>
      <c r="N209" s="782"/>
      <c r="O209" s="782"/>
      <c r="P209" s="782"/>
      <c r="Q209" s="782"/>
      <c r="R209" s="782"/>
      <c r="S209" s="782"/>
      <c r="T209" s="782"/>
      <c r="U209" s="782"/>
      <c r="V209" s="782"/>
      <c r="W209" s="782"/>
      <c r="X209" s="782"/>
      <c r="Y209" s="782"/>
      <c r="Z209" s="782"/>
      <c r="AA209" s="782"/>
      <c r="AB209" s="782"/>
      <c r="AC209" s="782"/>
      <c r="AD209" s="782"/>
      <c r="AE209" s="782"/>
      <c r="AF209" s="782"/>
      <c r="AG209" s="782"/>
      <c r="AH209" s="782"/>
      <c r="AI209" s="782"/>
      <c r="AJ209" s="782"/>
      <c r="AK209" s="782"/>
    </row>
    <row r="210" spans="1:37" s="7" customFormat="1" ht="24.75" customHeight="1" x14ac:dyDescent="0.25">
      <c r="A210" s="776" t="s">
        <v>161</v>
      </c>
      <c r="B210" s="777" t="s">
        <v>254</v>
      </c>
      <c r="C210" s="778"/>
      <c r="D210" s="778"/>
      <c r="E210" s="778">
        <v>251069</v>
      </c>
      <c r="F210" s="734"/>
      <c r="G210" s="782"/>
      <c r="H210" s="782"/>
      <c r="I210" s="782"/>
      <c r="J210" s="782"/>
      <c r="K210" s="782"/>
      <c r="L210" s="782"/>
      <c r="M210" s="782"/>
      <c r="N210" s="782"/>
      <c r="O210" s="782"/>
      <c r="P210" s="782"/>
      <c r="Q210" s="782"/>
      <c r="R210" s="782"/>
      <c r="S210" s="782"/>
      <c r="T210" s="782"/>
      <c r="U210" s="782"/>
      <c r="V210" s="782"/>
      <c r="W210" s="782"/>
      <c r="X210" s="782"/>
      <c r="Y210" s="782"/>
      <c r="Z210" s="782"/>
      <c r="AA210" s="782"/>
      <c r="AB210" s="782"/>
      <c r="AC210" s="782"/>
      <c r="AD210" s="782"/>
      <c r="AE210" s="782"/>
      <c r="AF210" s="782"/>
      <c r="AG210" s="782"/>
      <c r="AH210" s="782"/>
      <c r="AI210" s="782"/>
      <c r="AJ210" s="782"/>
      <c r="AK210" s="782"/>
    </row>
    <row r="211" spans="1:37" s="7" customFormat="1" ht="24.75" customHeight="1" x14ac:dyDescent="0.25">
      <c r="A211" s="776"/>
      <c r="B211" s="777" t="s">
        <v>844</v>
      </c>
      <c r="C211" s="778"/>
      <c r="D211" s="778">
        <v>74868</v>
      </c>
      <c r="E211" s="778"/>
      <c r="F211" s="782"/>
      <c r="G211" s="782"/>
      <c r="H211" s="782"/>
      <c r="I211" s="782"/>
      <c r="J211" s="782"/>
      <c r="K211" s="782"/>
      <c r="L211" s="782"/>
      <c r="M211" s="782"/>
      <c r="N211" s="782"/>
      <c r="O211" s="782"/>
      <c r="P211" s="782"/>
      <c r="Q211" s="782"/>
      <c r="R211" s="782"/>
      <c r="S211" s="782"/>
      <c r="T211" s="782"/>
      <c r="U211" s="782"/>
      <c r="V211" s="782"/>
      <c r="W211" s="782"/>
      <c r="X211" s="782"/>
      <c r="Y211" s="782"/>
      <c r="Z211" s="782"/>
      <c r="AA211" s="782"/>
      <c r="AB211" s="782"/>
      <c r="AC211" s="782"/>
      <c r="AD211" s="782"/>
      <c r="AE211" s="782"/>
      <c r="AF211" s="782"/>
      <c r="AG211" s="782"/>
      <c r="AH211" s="782"/>
      <c r="AI211" s="782"/>
      <c r="AJ211" s="782"/>
      <c r="AK211" s="782"/>
    </row>
    <row r="212" spans="1:37" s="7" customFormat="1" ht="24.75" customHeight="1" x14ac:dyDescent="0.25">
      <c r="A212" s="776"/>
      <c r="B212" s="777" t="s">
        <v>845</v>
      </c>
      <c r="C212" s="778"/>
      <c r="D212" s="778">
        <v>176201</v>
      </c>
      <c r="E212" s="778"/>
      <c r="F212" s="782"/>
      <c r="G212" s="782"/>
      <c r="H212" s="782"/>
      <c r="I212" s="782"/>
      <c r="J212" s="782"/>
      <c r="K212" s="782"/>
      <c r="L212" s="782"/>
      <c r="M212" s="782"/>
      <c r="N212" s="782"/>
      <c r="O212" s="782"/>
      <c r="P212" s="782"/>
      <c r="Q212" s="782"/>
      <c r="R212" s="782"/>
      <c r="S212" s="782"/>
      <c r="T212" s="782"/>
      <c r="U212" s="782"/>
      <c r="V212" s="782"/>
      <c r="W212" s="782"/>
      <c r="X212" s="782"/>
      <c r="Y212" s="782"/>
      <c r="Z212" s="782"/>
      <c r="AA212" s="782"/>
      <c r="AB212" s="782"/>
      <c r="AC212" s="782"/>
      <c r="AD212" s="782"/>
      <c r="AE212" s="782"/>
      <c r="AF212" s="782"/>
      <c r="AG212" s="782"/>
      <c r="AH212" s="782"/>
      <c r="AI212" s="782"/>
      <c r="AJ212" s="782"/>
      <c r="AK212" s="782"/>
    </row>
    <row r="213" spans="1:37" s="7" customFormat="1" ht="24.75" customHeight="1" x14ac:dyDescent="0.25">
      <c r="A213" s="776" t="s">
        <v>162</v>
      </c>
      <c r="B213" s="777" t="s">
        <v>255</v>
      </c>
      <c r="C213" s="778"/>
      <c r="D213" s="778"/>
      <c r="E213" s="778">
        <v>3102000</v>
      </c>
      <c r="F213" s="782"/>
      <c r="G213" s="782"/>
      <c r="H213" s="782"/>
      <c r="I213" s="782"/>
      <c r="J213" s="782"/>
      <c r="K213" s="782"/>
      <c r="L213" s="782"/>
      <c r="M213" s="782"/>
      <c r="N213" s="782"/>
      <c r="O213" s="782"/>
      <c r="P213" s="782"/>
      <c r="Q213" s="782"/>
      <c r="R213" s="782"/>
      <c r="S213" s="782"/>
      <c r="T213" s="782"/>
      <c r="U213" s="782"/>
      <c r="V213" s="782"/>
      <c r="W213" s="782"/>
      <c r="X213" s="782"/>
      <c r="Y213" s="782"/>
      <c r="Z213" s="782"/>
      <c r="AA213" s="782"/>
      <c r="AB213" s="782"/>
      <c r="AC213" s="782"/>
      <c r="AD213" s="782"/>
      <c r="AE213" s="782"/>
      <c r="AF213" s="782"/>
      <c r="AG213" s="782"/>
      <c r="AH213" s="782"/>
      <c r="AI213" s="782"/>
      <c r="AJ213" s="782"/>
      <c r="AK213" s="782"/>
    </row>
    <row r="214" spans="1:37" s="7" customFormat="1" ht="24.75" customHeight="1" x14ac:dyDescent="0.25">
      <c r="A214" s="776"/>
      <c r="B214" s="777" t="s">
        <v>844</v>
      </c>
      <c r="C214" s="778"/>
      <c r="D214" s="778">
        <v>3102000</v>
      </c>
      <c r="E214" s="778"/>
      <c r="F214" s="782"/>
      <c r="G214" s="782"/>
      <c r="H214" s="782"/>
      <c r="I214" s="782"/>
      <c r="J214" s="782"/>
      <c r="K214" s="782"/>
      <c r="L214" s="782"/>
      <c r="M214" s="782"/>
      <c r="N214" s="782"/>
      <c r="O214" s="782"/>
      <c r="P214" s="782"/>
      <c r="Q214" s="782"/>
      <c r="R214" s="782"/>
      <c r="S214" s="782"/>
      <c r="T214" s="782"/>
      <c r="U214" s="782"/>
      <c r="V214" s="782"/>
      <c r="W214" s="782"/>
      <c r="X214" s="782"/>
      <c r="Y214" s="782"/>
      <c r="Z214" s="782"/>
      <c r="AA214" s="782"/>
      <c r="AB214" s="782"/>
      <c r="AC214" s="782"/>
      <c r="AD214" s="782"/>
      <c r="AE214" s="782"/>
      <c r="AF214" s="782"/>
      <c r="AG214" s="782"/>
      <c r="AH214" s="782"/>
      <c r="AI214" s="782"/>
      <c r="AJ214" s="782"/>
      <c r="AK214" s="782"/>
    </row>
    <row r="215" spans="1:37" s="7" customFormat="1" ht="24.75" customHeight="1" x14ac:dyDescent="0.25">
      <c r="A215" s="776" t="s">
        <v>163</v>
      </c>
      <c r="B215" s="777" t="s">
        <v>256</v>
      </c>
      <c r="C215" s="778"/>
      <c r="D215" s="778"/>
      <c r="E215" s="778">
        <v>328616</v>
      </c>
      <c r="F215" s="734"/>
      <c r="G215" s="782"/>
      <c r="H215" s="782"/>
      <c r="I215" s="782"/>
      <c r="J215" s="782"/>
      <c r="K215" s="782"/>
      <c r="L215" s="782"/>
      <c r="M215" s="782"/>
      <c r="N215" s="782"/>
      <c r="O215" s="782"/>
      <c r="P215" s="782"/>
      <c r="Q215" s="782"/>
      <c r="R215" s="782"/>
      <c r="S215" s="782"/>
      <c r="T215" s="782"/>
      <c r="U215" s="782"/>
      <c r="V215" s="782"/>
      <c r="W215" s="782"/>
      <c r="X215" s="782"/>
      <c r="Y215" s="782"/>
      <c r="Z215" s="782"/>
      <c r="AA215" s="782"/>
      <c r="AB215" s="782"/>
      <c r="AC215" s="782"/>
      <c r="AD215" s="782"/>
      <c r="AE215" s="782"/>
      <c r="AF215" s="782"/>
      <c r="AG215" s="782"/>
      <c r="AH215" s="782"/>
      <c r="AI215" s="782"/>
      <c r="AJ215" s="782"/>
      <c r="AK215" s="782"/>
    </row>
    <row r="216" spans="1:37" s="7" customFormat="1" ht="24.75" customHeight="1" x14ac:dyDescent="0.25">
      <c r="A216" s="776"/>
      <c r="B216" s="777" t="s">
        <v>796</v>
      </c>
      <c r="C216" s="778"/>
      <c r="D216" s="778">
        <v>102590</v>
      </c>
      <c r="E216" s="778"/>
      <c r="F216" s="782"/>
      <c r="G216" s="782"/>
      <c r="H216" s="782"/>
      <c r="I216" s="782"/>
      <c r="J216" s="782"/>
      <c r="K216" s="782"/>
      <c r="L216" s="782"/>
      <c r="M216" s="782"/>
      <c r="N216" s="782"/>
      <c r="O216" s="782"/>
      <c r="P216" s="782"/>
      <c r="Q216" s="782"/>
      <c r="R216" s="782"/>
      <c r="S216" s="782"/>
      <c r="T216" s="782"/>
      <c r="U216" s="782"/>
      <c r="V216" s="782"/>
      <c r="W216" s="782"/>
      <c r="X216" s="782"/>
      <c r="Y216" s="782"/>
      <c r="Z216" s="782"/>
      <c r="AA216" s="782"/>
      <c r="AB216" s="782"/>
      <c r="AC216" s="782"/>
      <c r="AD216" s="782"/>
      <c r="AE216" s="782"/>
      <c r="AF216" s="782"/>
      <c r="AG216" s="782"/>
      <c r="AH216" s="782"/>
      <c r="AI216" s="782"/>
      <c r="AJ216" s="782"/>
      <c r="AK216" s="782"/>
    </row>
    <row r="217" spans="1:37" s="7" customFormat="1" ht="24.75" customHeight="1" x14ac:dyDescent="0.25">
      <c r="A217" s="776"/>
      <c r="B217" s="777" t="s">
        <v>797</v>
      </c>
      <c r="C217" s="778"/>
      <c r="D217" s="778">
        <v>75493</v>
      </c>
      <c r="E217" s="778"/>
      <c r="F217" s="782"/>
      <c r="G217" s="782"/>
      <c r="H217" s="782"/>
      <c r="I217" s="782"/>
      <c r="J217" s="782"/>
      <c r="K217" s="782"/>
      <c r="L217" s="782"/>
      <c r="M217" s="782"/>
      <c r="N217" s="782"/>
      <c r="O217" s="782"/>
      <c r="P217" s="782"/>
      <c r="Q217" s="782"/>
      <c r="R217" s="782"/>
      <c r="S217" s="782"/>
      <c r="T217" s="782"/>
      <c r="U217" s="782"/>
      <c r="V217" s="782"/>
      <c r="W217" s="782"/>
      <c r="X217" s="782"/>
      <c r="Y217" s="782"/>
      <c r="Z217" s="782"/>
      <c r="AA217" s="782"/>
      <c r="AB217" s="782"/>
      <c r="AC217" s="782"/>
      <c r="AD217" s="782"/>
      <c r="AE217" s="782"/>
      <c r="AF217" s="782"/>
      <c r="AG217" s="782"/>
      <c r="AH217" s="782"/>
      <c r="AI217" s="782"/>
      <c r="AJ217" s="782"/>
      <c r="AK217" s="782"/>
    </row>
    <row r="218" spans="1:37" s="7" customFormat="1" ht="24.75" customHeight="1" x14ac:dyDescent="0.25">
      <c r="A218" s="776"/>
      <c r="B218" s="777" t="s">
        <v>495</v>
      </c>
      <c r="C218" s="778"/>
      <c r="D218" s="778">
        <v>150533</v>
      </c>
      <c r="E218" s="778"/>
      <c r="F218" s="782"/>
      <c r="G218" s="782"/>
      <c r="H218" s="782"/>
      <c r="I218" s="782"/>
      <c r="J218" s="782"/>
      <c r="K218" s="782"/>
      <c r="L218" s="782"/>
      <c r="M218" s="782"/>
      <c r="N218" s="782"/>
      <c r="O218" s="782"/>
      <c r="P218" s="782"/>
      <c r="Q218" s="782"/>
      <c r="R218" s="782"/>
      <c r="S218" s="782"/>
      <c r="T218" s="782"/>
      <c r="U218" s="782"/>
      <c r="V218" s="782"/>
      <c r="W218" s="782"/>
      <c r="X218" s="782"/>
      <c r="Y218" s="782"/>
      <c r="Z218" s="782"/>
      <c r="AA218" s="782"/>
      <c r="AB218" s="782"/>
      <c r="AC218" s="782"/>
      <c r="AD218" s="782"/>
      <c r="AE218" s="782"/>
      <c r="AF218" s="782"/>
      <c r="AG218" s="782"/>
      <c r="AH218" s="782"/>
      <c r="AI218" s="782"/>
      <c r="AJ218" s="782"/>
      <c r="AK218" s="782"/>
    </row>
    <row r="219" spans="1:37" s="7" customFormat="1" ht="24.75" customHeight="1" x14ac:dyDescent="0.25">
      <c r="A219" s="779" t="s">
        <v>164</v>
      </c>
      <c r="B219" s="780" t="s">
        <v>257</v>
      </c>
      <c r="C219" s="781"/>
      <c r="D219" s="781"/>
      <c r="E219" s="781">
        <v>14855949</v>
      </c>
      <c r="F219" s="782"/>
      <c r="G219" s="782"/>
      <c r="H219" s="782"/>
      <c r="I219" s="782"/>
      <c r="J219" s="782"/>
      <c r="K219" s="782"/>
      <c r="L219" s="782"/>
      <c r="M219" s="782"/>
      <c r="N219" s="782"/>
      <c r="O219" s="782"/>
      <c r="P219" s="782"/>
      <c r="Q219" s="782"/>
      <c r="R219" s="782"/>
      <c r="S219" s="782"/>
      <c r="T219" s="782"/>
      <c r="U219" s="782"/>
      <c r="V219" s="782"/>
      <c r="W219" s="782"/>
      <c r="X219" s="782"/>
      <c r="Y219" s="782"/>
      <c r="Z219" s="782"/>
      <c r="AA219" s="782"/>
      <c r="AB219" s="782"/>
      <c r="AC219" s="782"/>
      <c r="AD219" s="782"/>
      <c r="AE219" s="782"/>
      <c r="AF219" s="782"/>
      <c r="AG219" s="782"/>
      <c r="AH219" s="782"/>
      <c r="AI219" s="782"/>
      <c r="AJ219" s="782"/>
      <c r="AK219" s="782"/>
    </row>
    <row r="220" spans="1:37" s="7" customFormat="1" ht="24.75" customHeight="1" x14ac:dyDescent="0.25">
      <c r="A220" s="779" t="s">
        <v>165</v>
      </c>
      <c r="B220" s="780" t="s">
        <v>258</v>
      </c>
      <c r="C220" s="781"/>
      <c r="D220" s="781"/>
      <c r="E220" s="781">
        <v>522671806</v>
      </c>
      <c r="F220" s="782"/>
      <c r="G220" s="782"/>
      <c r="H220" s="782"/>
      <c r="I220" s="782"/>
      <c r="J220" s="782"/>
      <c r="K220" s="782"/>
      <c r="L220" s="782"/>
      <c r="M220" s="782"/>
      <c r="N220" s="782"/>
      <c r="O220" s="782"/>
      <c r="P220" s="782"/>
      <c r="Q220" s="782"/>
      <c r="R220" s="782"/>
      <c r="S220" s="782"/>
      <c r="T220" s="782"/>
      <c r="U220" s="782"/>
      <c r="V220" s="782"/>
      <c r="W220" s="782"/>
      <c r="X220" s="782"/>
      <c r="Y220" s="782"/>
      <c r="Z220" s="782"/>
      <c r="AA220" s="782"/>
      <c r="AB220" s="782"/>
      <c r="AC220" s="782"/>
      <c r="AD220" s="782"/>
      <c r="AE220" s="782"/>
      <c r="AF220" s="782"/>
      <c r="AG220" s="782"/>
      <c r="AH220" s="782"/>
      <c r="AI220" s="782"/>
      <c r="AJ220" s="782"/>
      <c r="AK220" s="782"/>
    </row>
    <row r="221" spans="1:37" s="7" customFormat="1" ht="24.75" customHeight="1" x14ac:dyDescent="0.25">
      <c r="A221" s="776" t="s">
        <v>166</v>
      </c>
      <c r="B221" s="777" t="s">
        <v>259</v>
      </c>
      <c r="C221" s="778"/>
      <c r="D221" s="778"/>
      <c r="E221" s="778">
        <v>2355000</v>
      </c>
      <c r="F221" s="734"/>
      <c r="G221" s="782"/>
      <c r="H221" s="782"/>
      <c r="I221" s="782"/>
      <c r="J221" s="782"/>
      <c r="K221" s="782"/>
      <c r="L221" s="782"/>
      <c r="M221" s="782"/>
      <c r="N221" s="782"/>
      <c r="O221" s="782"/>
      <c r="P221" s="782"/>
      <c r="Q221" s="782"/>
      <c r="R221" s="782"/>
      <c r="S221" s="782"/>
      <c r="T221" s="782"/>
      <c r="U221" s="782"/>
      <c r="V221" s="782"/>
      <c r="W221" s="782"/>
      <c r="X221" s="782"/>
      <c r="Y221" s="782"/>
      <c r="Z221" s="782"/>
      <c r="AA221" s="782"/>
      <c r="AB221" s="782"/>
      <c r="AC221" s="782"/>
      <c r="AD221" s="782"/>
      <c r="AE221" s="782"/>
      <c r="AF221" s="782"/>
      <c r="AG221" s="782"/>
      <c r="AH221" s="782"/>
      <c r="AI221" s="782"/>
      <c r="AJ221" s="782"/>
      <c r="AK221" s="782"/>
    </row>
    <row r="222" spans="1:37" s="7" customFormat="1" ht="24.75" customHeight="1" x14ac:dyDescent="0.25">
      <c r="A222" s="776"/>
      <c r="B222" s="777" t="s">
        <v>489</v>
      </c>
      <c r="C222" s="778"/>
      <c r="D222" s="778">
        <v>383000</v>
      </c>
      <c r="E222" s="778"/>
      <c r="F222" s="782"/>
      <c r="G222" s="782"/>
      <c r="H222" s="782"/>
      <c r="I222" s="782"/>
      <c r="J222" s="782"/>
      <c r="K222" s="782"/>
      <c r="L222" s="782"/>
      <c r="M222" s="782"/>
      <c r="N222" s="782"/>
      <c r="O222" s="782"/>
      <c r="P222" s="782"/>
      <c r="Q222" s="782"/>
      <c r="R222" s="782"/>
      <c r="S222" s="782"/>
      <c r="T222" s="782"/>
      <c r="U222" s="782"/>
      <c r="V222" s="782"/>
      <c r="W222" s="782"/>
      <c r="X222" s="782"/>
      <c r="Y222" s="782"/>
      <c r="Z222" s="782"/>
      <c r="AA222" s="782"/>
      <c r="AB222" s="782"/>
      <c r="AC222" s="782"/>
      <c r="AD222" s="782"/>
      <c r="AE222" s="782"/>
      <c r="AF222" s="782"/>
      <c r="AG222" s="782"/>
      <c r="AH222" s="782"/>
      <c r="AI222" s="782"/>
      <c r="AJ222" s="782"/>
      <c r="AK222" s="782"/>
    </row>
    <row r="223" spans="1:37" s="7" customFormat="1" ht="24.75" customHeight="1" x14ac:dyDescent="0.25">
      <c r="A223" s="776"/>
      <c r="B223" s="777" t="s">
        <v>495</v>
      </c>
      <c r="C223" s="778"/>
      <c r="D223" s="778">
        <v>1972000</v>
      </c>
      <c r="E223" s="778"/>
      <c r="F223" s="782"/>
      <c r="G223" s="782"/>
      <c r="H223" s="782"/>
      <c r="I223" s="782"/>
      <c r="J223" s="782"/>
      <c r="K223" s="782"/>
      <c r="L223" s="782"/>
      <c r="M223" s="782"/>
      <c r="N223" s="782"/>
      <c r="O223" s="782"/>
      <c r="P223" s="782"/>
      <c r="Q223" s="782"/>
      <c r="R223" s="782"/>
      <c r="S223" s="782"/>
      <c r="T223" s="782"/>
      <c r="U223" s="782"/>
      <c r="V223" s="782"/>
      <c r="W223" s="782"/>
      <c r="X223" s="782"/>
      <c r="Y223" s="782"/>
      <c r="Z223" s="782"/>
      <c r="AA223" s="782"/>
      <c r="AB223" s="782"/>
      <c r="AC223" s="782"/>
      <c r="AD223" s="782"/>
      <c r="AE223" s="782"/>
      <c r="AF223" s="782"/>
      <c r="AG223" s="782"/>
      <c r="AH223" s="782"/>
      <c r="AI223" s="782"/>
      <c r="AJ223" s="782"/>
      <c r="AK223" s="782"/>
    </row>
    <row r="224" spans="1:37" s="7" customFormat="1" ht="24.75" customHeight="1" x14ac:dyDescent="0.25">
      <c r="A224" s="779" t="s">
        <v>167</v>
      </c>
      <c r="B224" s="780" t="s">
        <v>260</v>
      </c>
      <c r="C224" s="781"/>
      <c r="D224" s="781"/>
      <c r="E224" s="781">
        <v>2355000</v>
      </c>
      <c r="F224" s="782"/>
      <c r="G224" s="782"/>
      <c r="H224" s="782"/>
      <c r="I224" s="782"/>
      <c r="J224" s="782"/>
      <c r="K224" s="782"/>
      <c r="L224" s="782"/>
      <c r="M224" s="782"/>
      <c r="N224" s="782"/>
      <c r="O224" s="782"/>
      <c r="P224" s="782"/>
      <c r="Q224" s="782"/>
      <c r="R224" s="782"/>
      <c r="S224" s="782"/>
      <c r="T224" s="782"/>
      <c r="U224" s="782"/>
      <c r="V224" s="782"/>
      <c r="W224" s="782"/>
      <c r="X224" s="782"/>
      <c r="Y224" s="782"/>
      <c r="Z224" s="782"/>
      <c r="AA224" s="782"/>
      <c r="AB224" s="782"/>
      <c r="AC224" s="782"/>
      <c r="AD224" s="782"/>
      <c r="AE224" s="782"/>
      <c r="AF224" s="782"/>
      <c r="AG224" s="782"/>
      <c r="AH224" s="782"/>
      <c r="AI224" s="782"/>
      <c r="AJ224" s="782"/>
      <c r="AK224" s="782"/>
    </row>
    <row r="225" spans="1:37" s="7" customFormat="1" ht="24.75" customHeight="1" x14ac:dyDescent="0.25">
      <c r="A225" s="776" t="s">
        <v>168</v>
      </c>
      <c r="B225" s="777" t="s">
        <v>261</v>
      </c>
      <c r="C225" s="778"/>
      <c r="D225" s="778"/>
      <c r="E225" s="778">
        <v>-3585650</v>
      </c>
      <c r="F225" s="734"/>
      <c r="G225" s="782"/>
      <c r="H225" s="782"/>
      <c r="I225" s="782"/>
      <c r="J225" s="782"/>
      <c r="K225" s="782"/>
      <c r="L225" s="782"/>
      <c r="M225" s="782"/>
      <c r="N225" s="782"/>
      <c r="O225" s="782"/>
      <c r="P225" s="782"/>
      <c r="Q225" s="782"/>
      <c r="R225" s="782"/>
      <c r="S225" s="782"/>
      <c r="T225" s="782"/>
      <c r="U225" s="782"/>
      <c r="V225" s="782"/>
      <c r="W225" s="782"/>
      <c r="X225" s="782"/>
      <c r="Y225" s="782"/>
      <c r="Z225" s="782"/>
      <c r="AA225" s="782"/>
      <c r="AB225" s="782"/>
      <c r="AC225" s="782"/>
      <c r="AD225" s="782"/>
      <c r="AE225" s="782"/>
      <c r="AF225" s="782"/>
      <c r="AG225" s="782"/>
      <c r="AH225" s="782"/>
      <c r="AI225" s="782"/>
      <c r="AJ225" s="782"/>
      <c r="AK225" s="782"/>
    </row>
    <row r="226" spans="1:37" s="7" customFormat="1" ht="24.75" customHeight="1" x14ac:dyDescent="0.25">
      <c r="A226" s="776"/>
      <c r="B226" s="777" t="s">
        <v>844</v>
      </c>
      <c r="C226" s="778"/>
      <c r="D226" s="778">
        <v>-3262854</v>
      </c>
      <c r="E226" s="778"/>
      <c r="F226" s="782"/>
      <c r="G226" s="782"/>
      <c r="H226" s="782"/>
      <c r="I226" s="782"/>
      <c r="J226" s="782"/>
      <c r="K226" s="782"/>
      <c r="L226" s="782"/>
      <c r="M226" s="782"/>
      <c r="N226" s="782"/>
      <c r="O226" s="782"/>
      <c r="P226" s="782"/>
      <c r="Q226" s="782"/>
      <c r="R226" s="782"/>
      <c r="S226" s="782"/>
      <c r="T226" s="782"/>
      <c r="U226" s="782"/>
      <c r="V226" s="782"/>
      <c r="W226" s="782"/>
      <c r="X226" s="782"/>
      <c r="Y226" s="782"/>
      <c r="Z226" s="782"/>
      <c r="AA226" s="782"/>
      <c r="AB226" s="782"/>
      <c r="AC226" s="782"/>
      <c r="AD226" s="782"/>
      <c r="AE226" s="782"/>
      <c r="AF226" s="782"/>
      <c r="AG226" s="782"/>
      <c r="AH226" s="782"/>
      <c r="AI226" s="782"/>
      <c r="AJ226" s="782"/>
      <c r="AK226" s="782"/>
    </row>
    <row r="227" spans="1:37" s="7" customFormat="1" ht="24.75" customHeight="1" x14ac:dyDescent="0.25">
      <c r="A227" s="776"/>
      <c r="B227" s="777" t="s">
        <v>845</v>
      </c>
      <c r="C227" s="778"/>
      <c r="D227" s="778">
        <v>-81796</v>
      </c>
      <c r="E227" s="778"/>
      <c r="F227" s="782"/>
      <c r="G227" s="782"/>
      <c r="H227" s="782"/>
      <c r="I227" s="782"/>
      <c r="J227" s="782"/>
      <c r="K227" s="782"/>
      <c r="L227" s="782"/>
      <c r="M227" s="782"/>
      <c r="N227" s="782"/>
      <c r="O227" s="782"/>
      <c r="P227" s="782"/>
      <c r="Q227" s="782"/>
      <c r="R227" s="782"/>
      <c r="S227" s="782"/>
      <c r="T227" s="782"/>
      <c r="U227" s="782"/>
      <c r="V227" s="782"/>
      <c r="W227" s="782"/>
      <c r="X227" s="782"/>
      <c r="Y227" s="782"/>
      <c r="Z227" s="782"/>
      <c r="AA227" s="782"/>
      <c r="AB227" s="782"/>
      <c r="AC227" s="782"/>
      <c r="AD227" s="782"/>
      <c r="AE227" s="782"/>
      <c r="AF227" s="782"/>
      <c r="AG227" s="782"/>
      <c r="AH227" s="782"/>
      <c r="AI227" s="782"/>
      <c r="AJ227" s="782"/>
      <c r="AK227" s="782"/>
    </row>
    <row r="228" spans="1:37" s="7" customFormat="1" ht="24.75" customHeight="1" x14ac:dyDescent="0.25">
      <c r="A228" s="776"/>
      <c r="B228" s="777" t="s">
        <v>796</v>
      </c>
      <c r="C228" s="778"/>
      <c r="D228" s="778">
        <v>-241000</v>
      </c>
      <c r="E228" s="778"/>
      <c r="F228" s="782"/>
      <c r="G228" s="782"/>
      <c r="H228" s="782"/>
      <c r="I228" s="782"/>
      <c r="J228" s="782"/>
      <c r="K228" s="782"/>
      <c r="L228" s="782"/>
      <c r="M228" s="782"/>
      <c r="N228" s="782"/>
      <c r="O228" s="782"/>
      <c r="P228" s="782"/>
      <c r="Q228" s="782"/>
      <c r="R228" s="782"/>
      <c r="S228" s="782"/>
      <c r="T228" s="782"/>
      <c r="U228" s="782"/>
      <c r="V228" s="782"/>
      <c r="W228" s="782"/>
      <c r="X228" s="782"/>
      <c r="Y228" s="782"/>
      <c r="Z228" s="782"/>
      <c r="AA228" s="782"/>
      <c r="AB228" s="782"/>
      <c r="AC228" s="782"/>
      <c r="AD228" s="782"/>
      <c r="AE228" s="782"/>
      <c r="AF228" s="782"/>
      <c r="AG228" s="782"/>
      <c r="AH228" s="782"/>
      <c r="AI228" s="782"/>
      <c r="AJ228" s="782"/>
      <c r="AK228" s="782"/>
    </row>
    <row r="229" spans="1:37" s="27" customFormat="1" ht="24.75" customHeight="1" x14ac:dyDescent="0.25">
      <c r="A229" s="779" t="s">
        <v>169</v>
      </c>
      <c r="B229" s="780" t="s">
        <v>262</v>
      </c>
      <c r="C229" s="781"/>
      <c r="D229" s="781"/>
      <c r="E229" s="781">
        <v>-3585650</v>
      </c>
      <c r="F229" s="782"/>
      <c r="G229" s="782"/>
      <c r="H229" s="782"/>
      <c r="I229" s="782"/>
      <c r="J229" s="782"/>
      <c r="K229" s="782"/>
      <c r="L229" s="782"/>
      <c r="M229" s="782"/>
      <c r="N229" s="782"/>
      <c r="O229" s="782"/>
      <c r="P229" s="782"/>
      <c r="Q229" s="782"/>
      <c r="R229" s="782"/>
      <c r="S229" s="782"/>
      <c r="T229" s="782"/>
      <c r="U229" s="782"/>
      <c r="V229" s="782"/>
      <c r="W229" s="782"/>
      <c r="X229" s="782"/>
      <c r="Y229" s="782"/>
      <c r="Z229" s="782"/>
      <c r="AA229" s="782"/>
      <c r="AB229" s="782"/>
      <c r="AC229" s="782"/>
      <c r="AD229" s="782"/>
      <c r="AE229" s="782"/>
      <c r="AF229" s="782"/>
      <c r="AG229" s="782"/>
      <c r="AH229" s="782"/>
      <c r="AI229" s="782"/>
      <c r="AJ229" s="782"/>
      <c r="AK229" s="782"/>
    </row>
    <row r="230" spans="1:37" s="7" customFormat="1" ht="24.75" customHeight="1" x14ac:dyDescent="0.25">
      <c r="A230" s="776" t="s">
        <v>170</v>
      </c>
      <c r="B230" s="777" t="s">
        <v>263</v>
      </c>
      <c r="C230" s="778"/>
      <c r="D230" s="778"/>
      <c r="E230" s="778">
        <v>766127</v>
      </c>
      <c r="F230" s="734"/>
      <c r="G230" s="782"/>
      <c r="H230" s="782"/>
      <c r="I230" s="782"/>
      <c r="J230" s="782"/>
      <c r="K230" s="782"/>
      <c r="L230" s="782"/>
      <c r="M230" s="782"/>
      <c r="N230" s="782"/>
      <c r="O230" s="782"/>
      <c r="P230" s="782"/>
      <c r="Q230" s="782"/>
      <c r="R230" s="782"/>
      <c r="S230" s="782"/>
      <c r="T230" s="782"/>
      <c r="U230" s="782"/>
      <c r="V230" s="782"/>
      <c r="W230" s="782"/>
      <c r="X230" s="782"/>
      <c r="Y230" s="782"/>
      <c r="Z230" s="782"/>
      <c r="AA230" s="782"/>
      <c r="AB230" s="782"/>
      <c r="AC230" s="782"/>
      <c r="AD230" s="782"/>
      <c r="AE230" s="782"/>
      <c r="AF230" s="782"/>
      <c r="AG230" s="782"/>
      <c r="AH230" s="782"/>
      <c r="AI230" s="782"/>
      <c r="AJ230" s="782"/>
      <c r="AK230" s="782"/>
    </row>
    <row r="231" spans="1:37" s="7" customFormat="1" ht="24.75" customHeight="1" x14ac:dyDescent="0.25">
      <c r="A231" s="776"/>
      <c r="B231" s="777" t="s">
        <v>489</v>
      </c>
      <c r="C231" s="778"/>
      <c r="D231" s="778">
        <v>276423</v>
      </c>
      <c r="E231" s="778"/>
      <c r="F231" s="782"/>
      <c r="G231" s="782"/>
      <c r="H231" s="782"/>
      <c r="I231" s="782"/>
      <c r="J231" s="782"/>
      <c r="K231" s="782"/>
      <c r="L231" s="782"/>
      <c r="M231" s="782"/>
      <c r="N231" s="782"/>
      <c r="O231" s="782"/>
      <c r="P231" s="782"/>
      <c r="Q231" s="782"/>
      <c r="R231" s="782"/>
      <c r="S231" s="782"/>
      <c r="T231" s="782"/>
      <c r="U231" s="782"/>
      <c r="V231" s="782"/>
      <c r="W231" s="782"/>
      <c r="X231" s="782"/>
      <c r="Y231" s="782"/>
      <c r="Z231" s="782"/>
      <c r="AA231" s="782"/>
      <c r="AB231" s="782"/>
      <c r="AC231" s="782"/>
      <c r="AD231" s="782"/>
      <c r="AE231" s="782"/>
      <c r="AF231" s="782"/>
      <c r="AG231" s="782"/>
      <c r="AH231" s="782"/>
      <c r="AI231" s="782"/>
      <c r="AJ231" s="782"/>
      <c r="AK231" s="782"/>
    </row>
    <row r="232" spans="1:37" s="7" customFormat="1" ht="24.75" customHeight="1" x14ac:dyDescent="0.25">
      <c r="A232" s="776"/>
      <c r="B232" s="777" t="s">
        <v>495</v>
      </c>
      <c r="C232" s="778"/>
      <c r="D232" s="778">
        <v>489704</v>
      </c>
      <c r="E232" s="778"/>
      <c r="F232" s="782"/>
      <c r="G232" s="782"/>
      <c r="H232" s="782"/>
      <c r="I232" s="782"/>
      <c r="J232" s="782"/>
      <c r="K232" s="782"/>
      <c r="L232" s="782"/>
      <c r="M232" s="782"/>
      <c r="N232" s="782"/>
      <c r="O232" s="782"/>
      <c r="P232" s="782"/>
      <c r="Q232" s="782"/>
      <c r="R232" s="782"/>
      <c r="S232" s="782"/>
      <c r="T232" s="782"/>
      <c r="U232" s="782"/>
      <c r="V232" s="782"/>
      <c r="W232" s="782"/>
      <c r="X232" s="782"/>
      <c r="Y232" s="782"/>
      <c r="Z232" s="782"/>
      <c r="AA232" s="782"/>
      <c r="AB232" s="782"/>
      <c r="AC232" s="782"/>
      <c r="AD232" s="782"/>
      <c r="AE232" s="782"/>
      <c r="AF232" s="782"/>
      <c r="AG232" s="782"/>
      <c r="AH232" s="782"/>
      <c r="AI232" s="782"/>
      <c r="AJ232" s="782"/>
      <c r="AK232" s="782"/>
    </row>
    <row r="233" spans="1:37" s="26" customFormat="1" ht="30.75" customHeight="1" x14ac:dyDescent="0.25">
      <c r="A233" s="30" t="s">
        <v>9</v>
      </c>
      <c r="B233" s="5" t="s">
        <v>0</v>
      </c>
      <c r="C233" s="5"/>
      <c r="D233" s="5"/>
      <c r="E233" s="5" t="s">
        <v>105</v>
      </c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</row>
    <row r="234" spans="1:37" s="7" customFormat="1" ht="24.75" customHeight="1" x14ac:dyDescent="0.25">
      <c r="A234" s="776" t="s">
        <v>171</v>
      </c>
      <c r="B234" s="777" t="s">
        <v>291</v>
      </c>
      <c r="C234" s="778"/>
      <c r="D234" s="778"/>
      <c r="E234" s="778">
        <v>10000</v>
      </c>
      <c r="F234" s="782"/>
      <c r="G234" s="782"/>
      <c r="H234" s="782"/>
      <c r="I234" s="782"/>
      <c r="J234" s="782"/>
      <c r="K234" s="782"/>
      <c r="L234" s="782"/>
      <c r="M234" s="782"/>
      <c r="N234" s="782"/>
      <c r="O234" s="782"/>
      <c r="P234" s="782"/>
      <c r="Q234" s="782"/>
      <c r="R234" s="782"/>
      <c r="S234" s="782"/>
      <c r="T234" s="782"/>
      <c r="U234" s="782"/>
      <c r="V234" s="782"/>
      <c r="W234" s="782"/>
      <c r="X234" s="782"/>
      <c r="Y234" s="782"/>
      <c r="Z234" s="782"/>
      <c r="AA234" s="782"/>
      <c r="AB234" s="782"/>
      <c r="AC234" s="782"/>
      <c r="AD234" s="782"/>
      <c r="AE234" s="782"/>
      <c r="AF234" s="782"/>
      <c r="AG234" s="782"/>
      <c r="AH234" s="782"/>
      <c r="AI234" s="782"/>
      <c r="AJ234" s="782"/>
      <c r="AK234" s="782"/>
    </row>
    <row r="235" spans="1:37" s="7" customFormat="1" ht="24.75" customHeight="1" x14ac:dyDescent="0.25">
      <c r="A235" s="776"/>
      <c r="B235" s="777" t="s">
        <v>844</v>
      </c>
      <c r="C235" s="778"/>
      <c r="D235" s="778">
        <v>10000</v>
      </c>
      <c r="E235" s="778"/>
      <c r="F235" s="782"/>
      <c r="G235" s="782"/>
      <c r="H235" s="782"/>
      <c r="I235" s="782"/>
      <c r="J235" s="782"/>
      <c r="K235" s="782"/>
      <c r="L235" s="782"/>
      <c r="M235" s="782"/>
      <c r="N235" s="782"/>
      <c r="O235" s="782"/>
      <c r="P235" s="782"/>
      <c r="Q235" s="782"/>
      <c r="R235" s="782"/>
      <c r="S235" s="782"/>
      <c r="T235" s="782"/>
      <c r="U235" s="782"/>
      <c r="V235" s="782"/>
      <c r="W235" s="782"/>
      <c r="X235" s="782"/>
      <c r="Y235" s="782"/>
      <c r="Z235" s="782"/>
      <c r="AA235" s="782"/>
      <c r="AB235" s="782"/>
      <c r="AC235" s="782"/>
      <c r="AD235" s="782"/>
      <c r="AE235" s="782"/>
      <c r="AF235" s="782"/>
      <c r="AG235" s="782"/>
      <c r="AH235" s="782"/>
      <c r="AI235" s="782"/>
      <c r="AJ235" s="782"/>
      <c r="AK235" s="782"/>
    </row>
    <row r="236" spans="1:37" s="7" customFormat="1" ht="24.75" customHeight="1" x14ac:dyDescent="0.25">
      <c r="A236" s="779" t="s">
        <v>172</v>
      </c>
      <c r="B236" s="780" t="s">
        <v>264</v>
      </c>
      <c r="C236" s="781"/>
      <c r="D236" s="781"/>
      <c r="E236" s="781">
        <v>776127</v>
      </c>
      <c r="F236" s="782"/>
      <c r="G236" s="782"/>
      <c r="H236" s="782"/>
      <c r="I236" s="782"/>
      <c r="J236" s="782"/>
      <c r="K236" s="782"/>
      <c r="L236" s="782"/>
      <c r="M236" s="782"/>
      <c r="N236" s="782"/>
      <c r="O236" s="782"/>
      <c r="P236" s="782"/>
      <c r="Q236" s="782"/>
      <c r="R236" s="782"/>
      <c r="S236" s="782"/>
      <c r="T236" s="782"/>
      <c r="U236" s="782"/>
      <c r="V236" s="782"/>
      <c r="W236" s="782"/>
      <c r="X236" s="782"/>
      <c r="Y236" s="782"/>
      <c r="Z236" s="782"/>
      <c r="AA236" s="782"/>
      <c r="AB236" s="782"/>
      <c r="AC236" s="782"/>
      <c r="AD236" s="782"/>
      <c r="AE236" s="782"/>
      <c r="AF236" s="782"/>
      <c r="AG236" s="782"/>
      <c r="AH236" s="782"/>
      <c r="AI236" s="782"/>
      <c r="AJ236" s="782"/>
      <c r="AK236" s="782"/>
    </row>
    <row r="237" spans="1:37" s="7" customFormat="1" ht="24.75" customHeight="1" x14ac:dyDescent="0.25">
      <c r="A237" s="779" t="s">
        <v>173</v>
      </c>
      <c r="B237" s="780" t="s">
        <v>265</v>
      </c>
      <c r="C237" s="781"/>
      <c r="D237" s="781"/>
      <c r="E237" s="781">
        <v>-454523</v>
      </c>
      <c r="F237" s="782"/>
      <c r="G237" s="782"/>
      <c r="H237" s="782"/>
      <c r="I237" s="782"/>
      <c r="J237" s="782"/>
      <c r="K237" s="782"/>
      <c r="L237" s="782"/>
      <c r="M237" s="782"/>
      <c r="N237" s="782"/>
      <c r="O237" s="782"/>
      <c r="P237" s="782"/>
      <c r="Q237" s="782"/>
      <c r="R237" s="782"/>
      <c r="S237" s="782"/>
      <c r="T237" s="782"/>
      <c r="U237" s="782"/>
      <c r="V237" s="782"/>
      <c r="W237" s="782"/>
      <c r="X237" s="782"/>
      <c r="Y237" s="782"/>
      <c r="Z237" s="782"/>
      <c r="AA237" s="782"/>
      <c r="AB237" s="782"/>
      <c r="AC237" s="782"/>
      <c r="AD237" s="782"/>
      <c r="AE237" s="782"/>
      <c r="AF237" s="782"/>
      <c r="AG237" s="782"/>
      <c r="AH237" s="782"/>
      <c r="AI237" s="782"/>
      <c r="AJ237" s="782"/>
      <c r="AK237" s="782"/>
    </row>
    <row r="238" spans="1:37" s="7" customFormat="1" ht="24.75" customHeight="1" x14ac:dyDescent="0.25">
      <c r="A238" s="776" t="s">
        <v>174</v>
      </c>
      <c r="B238" s="777" t="s">
        <v>266</v>
      </c>
      <c r="C238" s="778"/>
      <c r="D238" s="778"/>
      <c r="E238" s="778">
        <v>0</v>
      </c>
      <c r="F238" s="782"/>
      <c r="G238" s="782"/>
      <c r="H238" s="782"/>
      <c r="I238" s="782"/>
      <c r="J238" s="782"/>
      <c r="K238" s="782"/>
      <c r="L238" s="782"/>
      <c r="M238" s="782"/>
      <c r="N238" s="782"/>
      <c r="O238" s="782"/>
      <c r="P238" s="782"/>
      <c r="Q238" s="782"/>
      <c r="R238" s="782"/>
      <c r="S238" s="782"/>
      <c r="T238" s="782"/>
      <c r="U238" s="782"/>
      <c r="V238" s="782"/>
      <c r="W238" s="782"/>
      <c r="X238" s="782"/>
      <c r="Y238" s="782"/>
      <c r="Z238" s="782"/>
      <c r="AA238" s="782"/>
      <c r="AB238" s="782"/>
      <c r="AC238" s="782"/>
      <c r="AD238" s="782"/>
      <c r="AE238" s="782"/>
      <c r="AF238" s="782"/>
      <c r="AG238" s="782"/>
      <c r="AH238" s="782"/>
      <c r="AI238" s="782"/>
      <c r="AJ238" s="782"/>
      <c r="AK238" s="782"/>
    </row>
    <row r="239" spans="1:37" s="7" customFormat="1" ht="24.75" customHeight="1" x14ac:dyDescent="0.25">
      <c r="A239" s="776" t="s">
        <v>175</v>
      </c>
      <c r="B239" s="777" t="s">
        <v>267</v>
      </c>
      <c r="C239" s="778"/>
      <c r="D239" s="778"/>
      <c r="E239" s="778">
        <v>1522850</v>
      </c>
      <c r="F239" s="782"/>
      <c r="G239" s="782"/>
      <c r="H239" s="782"/>
      <c r="I239" s="782"/>
      <c r="J239" s="782"/>
      <c r="K239" s="782"/>
      <c r="L239" s="782"/>
      <c r="M239" s="782"/>
      <c r="N239" s="782"/>
      <c r="O239" s="782"/>
      <c r="P239" s="782"/>
      <c r="Q239" s="782"/>
      <c r="R239" s="782"/>
      <c r="S239" s="782"/>
      <c r="T239" s="782"/>
      <c r="U239" s="782"/>
      <c r="V239" s="782"/>
      <c r="W239" s="782"/>
      <c r="X239" s="782"/>
      <c r="Y239" s="782"/>
      <c r="Z239" s="782"/>
      <c r="AA239" s="782"/>
      <c r="AB239" s="782"/>
      <c r="AC239" s="782"/>
      <c r="AD239" s="782"/>
      <c r="AE239" s="782"/>
      <c r="AF239" s="782"/>
      <c r="AG239" s="782"/>
      <c r="AH239" s="782"/>
      <c r="AI239" s="782"/>
      <c r="AJ239" s="782"/>
      <c r="AK239" s="782"/>
    </row>
    <row r="240" spans="1:37" s="7" customFormat="1" ht="24.75" customHeight="1" x14ac:dyDescent="0.25">
      <c r="A240" s="776"/>
      <c r="B240" s="777" t="s">
        <v>844</v>
      </c>
      <c r="C240" s="778"/>
      <c r="D240" s="778">
        <v>1522850</v>
      </c>
      <c r="E240" s="778"/>
      <c r="F240" s="782"/>
      <c r="G240" s="782"/>
      <c r="H240" s="782"/>
      <c r="I240" s="782"/>
      <c r="J240" s="782"/>
      <c r="K240" s="782"/>
      <c r="L240" s="782"/>
      <c r="M240" s="782"/>
      <c r="N240" s="782"/>
      <c r="O240" s="782"/>
      <c r="P240" s="782"/>
      <c r="Q240" s="782"/>
      <c r="R240" s="782"/>
      <c r="S240" s="782"/>
      <c r="T240" s="782"/>
      <c r="U240" s="782"/>
      <c r="V240" s="782"/>
      <c r="W240" s="782"/>
      <c r="X240" s="782"/>
      <c r="Y240" s="782"/>
      <c r="Z240" s="782"/>
      <c r="AA240" s="782"/>
      <c r="AB240" s="782"/>
      <c r="AC240" s="782"/>
      <c r="AD240" s="782"/>
      <c r="AE240" s="782"/>
      <c r="AF240" s="782"/>
      <c r="AG240" s="782"/>
      <c r="AH240" s="782"/>
      <c r="AI240" s="782"/>
      <c r="AJ240" s="782"/>
      <c r="AK240" s="782"/>
    </row>
    <row r="241" spans="1:37" s="7" customFormat="1" ht="34.5" customHeight="1" x14ac:dyDescent="0.25">
      <c r="A241" s="776"/>
      <c r="B241" s="777" t="s">
        <v>922</v>
      </c>
      <c r="C241" s="778">
        <v>1522850</v>
      </c>
      <c r="D241" s="778"/>
      <c r="E241" s="778"/>
      <c r="F241" s="782"/>
      <c r="G241" s="782"/>
      <c r="H241" s="782"/>
      <c r="I241" s="782"/>
      <c r="J241" s="782"/>
      <c r="K241" s="782"/>
      <c r="L241" s="782"/>
      <c r="M241" s="782"/>
      <c r="N241" s="782"/>
      <c r="O241" s="782"/>
      <c r="P241" s="782"/>
      <c r="Q241" s="782"/>
      <c r="R241" s="782"/>
      <c r="S241" s="782"/>
      <c r="T241" s="782"/>
      <c r="U241" s="782"/>
      <c r="V241" s="782"/>
      <c r="W241" s="782"/>
      <c r="X241" s="782"/>
      <c r="Y241" s="782"/>
      <c r="Z241" s="782"/>
      <c r="AA241" s="782"/>
      <c r="AB241" s="782"/>
      <c r="AC241" s="782"/>
      <c r="AD241" s="782"/>
      <c r="AE241" s="782"/>
      <c r="AF241" s="782"/>
      <c r="AG241" s="782"/>
      <c r="AH241" s="782"/>
      <c r="AI241" s="782"/>
      <c r="AJ241" s="782"/>
      <c r="AK241" s="782"/>
    </row>
    <row r="242" spans="1:37" s="7" customFormat="1" ht="24.75" customHeight="1" x14ac:dyDescent="0.25">
      <c r="A242" s="779" t="s">
        <v>176</v>
      </c>
      <c r="B242" s="780" t="s">
        <v>268</v>
      </c>
      <c r="C242" s="781"/>
      <c r="D242" s="781"/>
      <c r="E242" s="781">
        <v>1522850</v>
      </c>
      <c r="F242" s="782"/>
      <c r="G242" s="782"/>
      <c r="H242" s="782"/>
      <c r="I242" s="782"/>
      <c r="J242" s="782"/>
      <c r="K242" s="782"/>
      <c r="L242" s="782"/>
      <c r="M242" s="782"/>
      <c r="N242" s="782"/>
      <c r="O242" s="782"/>
      <c r="P242" s="782"/>
      <c r="Q242" s="782"/>
      <c r="R242" s="782"/>
      <c r="S242" s="782"/>
      <c r="T242" s="782"/>
      <c r="U242" s="782"/>
      <c r="V242" s="782"/>
      <c r="W242" s="782"/>
      <c r="X242" s="782"/>
      <c r="Y242" s="782"/>
      <c r="Z242" s="782"/>
      <c r="AA242" s="782"/>
      <c r="AB242" s="782"/>
      <c r="AC242" s="782"/>
      <c r="AD242" s="782"/>
      <c r="AE242" s="782"/>
      <c r="AF242" s="782"/>
      <c r="AG242" s="782"/>
      <c r="AH242" s="782"/>
      <c r="AI242" s="782"/>
      <c r="AJ242" s="782"/>
      <c r="AK242" s="782"/>
    </row>
    <row r="243" spans="1:37" s="7" customFormat="1" ht="24.75" customHeight="1" x14ac:dyDescent="0.25">
      <c r="A243" s="15" t="s">
        <v>177</v>
      </c>
      <c r="B243" s="16" t="s">
        <v>4</v>
      </c>
      <c r="C243" s="17"/>
      <c r="D243" s="17"/>
      <c r="E243" s="17">
        <v>16324373913</v>
      </c>
      <c r="F243" s="734"/>
      <c r="G243" s="782"/>
      <c r="H243" s="782"/>
      <c r="I243" s="782"/>
      <c r="J243" s="782"/>
      <c r="K243" s="782"/>
      <c r="L243" s="782"/>
      <c r="M243" s="782"/>
      <c r="N243" s="782"/>
      <c r="O243" s="782"/>
      <c r="P243" s="782"/>
      <c r="Q243" s="782"/>
      <c r="R243" s="782"/>
      <c r="S243" s="782"/>
      <c r="T243" s="782"/>
      <c r="U243" s="782"/>
      <c r="V243" s="782"/>
      <c r="W243" s="782"/>
      <c r="X243" s="782"/>
      <c r="Y243" s="782"/>
      <c r="Z243" s="782"/>
      <c r="AA243" s="782"/>
      <c r="AB243" s="782"/>
      <c r="AC243" s="782"/>
      <c r="AD243" s="782"/>
      <c r="AE243" s="782"/>
      <c r="AF243" s="782"/>
      <c r="AG243" s="782"/>
      <c r="AH243" s="782"/>
      <c r="AI243" s="782"/>
      <c r="AJ243" s="782"/>
      <c r="AK243" s="782"/>
    </row>
    <row r="244" spans="1:37" s="7" customFormat="1" ht="24.75" customHeight="1" x14ac:dyDescent="0.25">
      <c r="A244" s="776"/>
      <c r="B244" s="777" t="s">
        <v>844</v>
      </c>
      <c r="C244" s="778"/>
      <c r="D244" s="778">
        <v>16115604091</v>
      </c>
      <c r="E244" s="778"/>
      <c r="F244" s="782"/>
      <c r="G244" s="782"/>
      <c r="H244" s="782"/>
      <c r="I244" s="782"/>
      <c r="J244" s="782"/>
      <c r="K244" s="782"/>
      <c r="L244" s="782"/>
      <c r="M244" s="782"/>
      <c r="N244" s="782"/>
      <c r="O244" s="782"/>
      <c r="P244" s="782"/>
      <c r="Q244" s="782"/>
      <c r="R244" s="782"/>
      <c r="S244" s="782"/>
      <c r="T244" s="782"/>
      <c r="U244" s="782"/>
      <c r="V244" s="782"/>
      <c r="W244" s="782"/>
      <c r="X244" s="782"/>
      <c r="Y244" s="782"/>
      <c r="Z244" s="782"/>
      <c r="AA244" s="782"/>
      <c r="AB244" s="782"/>
      <c r="AC244" s="782"/>
      <c r="AD244" s="782"/>
      <c r="AE244" s="782"/>
      <c r="AF244" s="782"/>
      <c r="AG244" s="782"/>
      <c r="AH244" s="782"/>
      <c r="AI244" s="782"/>
      <c r="AJ244" s="782"/>
      <c r="AK244" s="782"/>
    </row>
    <row r="245" spans="1:37" s="7" customFormat="1" ht="24.75" customHeight="1" x14ac:dyDescent="0.25">
      <c r="A245" s="776"/>
      <c r="B245" s="777" t="s">
        <v>845</v>
      </c>
      <c r="C245" s="778"/>
      <c r="D245" s="778">
        <v>21333497</v>
      </c>
      <c r="E245" s="778"/>
      <c r="F245" s="782"/>
      <c r="G245" s="782"/>
      <c r="H245" s="782"/>
      <c r="I245" s="782"/>
      <c r="J245" s="782"/>
      <c r="K245" s="782"/>
      <c r="L245" s="782"/>
      <c r="M245" s="782"/>
      <c r="N245" s="782"/>
      <c r="O245" s="782"/>
      <c r="P245" s="782"/>
      <c r="Q245" s="782"/>
      <c r="R245" s="782"/>
      <c r="S245" s="782"/>
      <c r="T245" s="782"/>
      <c r="U245" s="782"/>
      <c r="V245" s="782"/>
      <c r="W245" s="782"/>
      <c r="X245" s="782"/>
      <c r="Y245" s="782"/>
      <c r="Z245" s="782"/>
      <c r="AA245" s="782"/>
      <c r="AB245" s="782"/>
      <c r="AC245" s="782"/>
      <c r="AD245" s="782"/>
      <c r="AE245" s="782"/>
      <c r="AF245" s="782"/>
      <c r="AG245" s="782"/>
      <c r="AH245" s="782"/>
      <c r="AI245" s="782"/>
      <c r="AJ245" s="782"/>
      <c r="AK245" s="782"/>
    </row>
    <row r="246" spans="1:37" s="7" customFormat="1" ht="24.75" customHeight="1" x14ac:dyDescent="0.25">
      <c r="A246" s="776"/>
      <c r="B246" s="777" t="s">
        <v>489</v>
      </c>
      <c r="C246" s="778"/>
      <c r="D246" s="778">
        <v>8728474</v>
      </c>
      <c r="E246" s="778"/>
      <c r="F246" s="782"/>
      <c r="G246" s="782"/>
      <c r="H246" s="782"/>
      <c r="I246" s="782"/>
      <c r="J246" s="782"/>
      <c r="K246" s="782"/>
      <c r="L246" s="782"/>
      <c r="M246" s="782"/>
      <c r="N246" s="782"/>
      <c r="O246" s="782"/>
      <c r="P246" s="782"/>
      <c r="Q246" s="782"/>
      <c r="R246" s="782"/>
      <c r="S246" s="782"/>
      <c r="T246" s="782"/>
      <c r="U246" s="782"/>
      <c r="V246" s="782"/>
      <c r="W246" s="782"/>
      <c r="X246" s="782"/>
      <c r="Y246" s="782"/>
      <c r="Z246" s="782"/>
      <c r="AA246" s="782"/>
      <c r="AB246" s="782"/>
      <c r="AC246" s="782"/>
      <c r="AD246" s="782"/>
      <c r="AE246" s="782"/>
      <c r="AF246" s="782"/>
      <c r="AG246" s="782"/>
      <c r="AH246" s="782"/>
      <c r="AI246" s="782"/>
      <c r="AJ246" s="782"/>
      <c r="AK246" s="782"/>
    </row>
    <row r="247" spans="1:37" s="7" customFormat="1" ht="24.75" customHeight="1" x14ac:dyDescent="0.25">
      <c r="A247" s="776"/>
      <c r="B247" s="777" t="s">
        <v>796</v>
      </c>
      <c r="C247" s="778"/>
      <c r="D247" s="778">
        <v>22480139</v>
      </c>
      <c r="E247" s="778"/>
      <c r="F247" s="782"/>
      <c r="G247" s="782"/>
      <c r="H247" s="782"/>
      <c r="I247" s="782"/>
      <c r="J247" s="782"/>
      <c r="K247" s="782"/>
      <c r="L247" s="782"/>
      <c r="M247" s="782"/>
      <c r="N247" s="782"/>
      <c r="O247" s="782"/>
      <c r="P247" s="782"/>
      <c r="Q247" s="782"/>
      <c r="R247" s="782"/>
      <c r="S247" s="782"/>
      <c r="T247" s="782"/>
      <c r="U247" s="782"/>
      <c r="V247" s="782"/>
      <c r="W247" s="782"/>
      <c r="X247" s="782"/>
      <c r="Y247" s="782"/>
      <c r="Z247" s="782"/>
      <c r="AA247" s="782"/>
      <c r="AB247" s="782"/>
      <c r="AC247" s="782"/>
      <c r="AD247" s="782"/>
      <c r="AE247" s="782"/>
      <c r="AF247" s="782"/>
      <c r="AG247" s="782"/>
      <c r="AH247" s="782"/>
      <c r="AI247" s="782"/>
      <c r="AJ247" s="782"/>
      <c r="AK247" s="782"/>
    </row>
    <row r="248" spans="1:37" s="7" customFormat="1" ht="24.75" customHeight="1" x14ac:dyDescent="0.25">
      <c r="A248" s="776"/>
      <c r="B248" s="777" t="s">
        <v>797</v>
      </c>
      <c r="C248" s="778"/>
      <c r="D248" s="778">
        <v>36752839</v>
      </c>
      <c r="E248" s="778"/>
      <c r="F248" s="782"/>
      <c r="G248" s="782"/>
      <c r="H248" s="782"/>
      <c r="I248" s="782"/>
      <c r="J248" s="782"/>
      <c r="K248" s="782"/>
      <c r="L248" s="782"/>
      <c r="M248" s="782"/>
      <c r="N248" s="782"/>
      <c r="O248" s="782"/>
      <c r="P248" s="782"/>
      <c r="Q248" s="782"/>
      <c r="R248" s="782"/>
      <c r="S248" s="782"/>
      <c r="T248" s="782"/>
      <c r="U248" s="782"/>
      <c r="V248" s="782"/>
      <c r="W248" s="782"/>
      <c r="X248" s="782"/>
      <c r="Y248" s="782"/>
      <c r="Z248" s="782"/>
      <c r="AA248" s="782"/>
      <c r="AB248" s="782"/>
      <c r="AC248" s="782"/>
      <c r="AD248" s="782"/>
      <c r="AE248" s="782"/>
      <c r="AF248" s="782"/>
      <c r="AG248" s="782"/>
      <c r="AH248" s="782"/>
      <c r="AI248" s="782"/>
      <c r="AJ248" s="782"/>
      <c r="AK248" s="782"/>
    </row>
    <row r="249" spans="1:37" s="7" customFormat="1" ht="24.75" customHeight="1" x14ac:dyDescent="0.25">
      <c r="A249" s="776"/>
      <c r="B249" s="777" t="s">
        <v>495</v>
      </c>
      <c r="C249" s="778"/>
      <c r="D249" s="778">
        <v>119474873</v>
      </c>
      <c r="E249" s="778"/>
      <c r="F249" s="782"/>
      <c r="G249" s="782"/>
      <c r="H249" s="782"/>
      <c r="I249" s="782"/>
      <c r="J249" s="782"/>
      <c r="K249" s="782"/>
      <c r="L249" s="782"/>
      <c r="M249" s="782"/>
      <c r="N249" s="782"/>
      <c r="O249" s="782"/>
      <c r="P249" s="782"/>
      <c r="Q249" s="782"/>
      <c r="R249" s="782"/>
      <c r="S249" s="782"/>
      <c r="T249" s="782"/>
      <c r="U249" s="782"/>
      <c r="V249" s="782"/>
      <c r="W249" s="782"/>
      <c r="X249" s="782"/>
      <c r="Y249" s="782"/>
      <c r="Z249" s="782"/>
      <c r="AA249" s="782"/>
      <c r="AB249" s="782"/>
      <c r="AC249" s="782"/>
      <c r="AD249" s="782"/>
      <c r="AE249" s="782"/>
      <c r="AF249" s="782"/>
      <c r="AG249" s="782"/>
      <c r="AH249" s="782"/>
      <c r="AI249" s="782"/>
      <c r="AJ249" s="782"/>
      <c r="AK249" s="782"/>
    </row>
    <row r="250" spans="1:37" s="7" customFormat="1" ht="24.75" customHeight="1" x14ac:dyDescent="0.25">
      <c r="A250" s="776" t="s">
        <v>178</v>
      </c>
      <c r="B250" s="777" t="s">
        <v>269</v>
      </c>
      <c r="C250" s="778"/>
      <c r="D250" s="778"/>
      <c r="E250" s="778">
        <v>16561591404</v>
      </c>
      <c r="F250" s="734"/>
      <c r="G250" s="782"/>
      <c r="H250" s="782"/>
      <c r="I250" s="782"/>
      <c r="J250" s="782"/>
      <c r="K250" s="782"/>
      <c r="L250" s="782"/>
      <c r="M250" s="782"/>
      <c r="N250" s="782"/>
      <c r="O250" s="782"/>
      <c r="P250" s="782"/>
      <c r="Q250" s="782"/>
      <c r="R250" s="782"/>
      <c r="S250" s="782"/>
      <c r="T250" s="782"/>
      <c r="U250" s="782"/>
      <c r="V250" s="782"/>
      <c r="W250" s="782"/>
      <c r="X250" s="782"/>
      <c r="Y250" s="782"/>
      <c r="Z250" s="782"/>
      <c r="AA250" s="782"/>
      <c r="AB250" s="782"/>
      <c r="AC250" s="782"/>
      <c r="AD250" s="782"/>
      <c r="AE250" s="782"/>
      <c r="AF250" s="782"/>
      <c r="AG250" s="782"/>
      <c r="AH250" s="782"/>
      <c r="AI250" s="782"/>
      <c r="AJ250" s="782"/>
      <c r="AK250" s="782"/>
    </row>
    <row r="251" spans="1:37" s="7" customFormat="1" ht="24.75" customHeight="1" x14ac:dyDescent="0.25">
      <c r="A251" s="776"/>
      <c r="B251" s="777" t="s">
        <v>844</v>
      </c>
      <c r="C251" s="778"/>
      <c r="D251" s="778">
        <v>16154289353</v>
      </c>
      <c r="E251" s="778"/>
      <c r="F251" s="782"/>
      <c r="G251" s="782"/>
      <c r="H251" s="782"/>
      <c r="I251" s="782"/>
      <c r="J251" s="782"/>
      <c r="K251" s="782"/>
      <c r="L251" s="782"/>
      <c r="M251" s="782"/>
      <c r="N251" s="782"/>
      <c r="O251" s="782"/>
      <c r="P251" s="782"/>
      <c r="Q251" s="782"/>
      <c r="R251" s="782"/>
      <c r="S251" s="782"/>
      <c r="T251" s="782"/>
      <c r="U251" s="782"/>
      <c r="V251" s="782"/>
      <c r="W251" s="782"/>
      <c r="X251" s="782"/>
      <c r="Y251" s="782"/>
      <c r="Z251" s="782"/>
      <c r="AA251" s="782"/>
      <c r="AB251" s="782"/>
      <c r="AC251" s="782"/>
      <c r="AD251" s="782"/>
      <c r="AE251" s="782"/>
      <c r="AF251" s="782"/>
      <c r="AG251" s="782"/>
      <c r="AH251" s="782"/>
      <c r="AI251" s="782"/>
      <c r="AJ251" s="782"/>
      <c r="AK251" s="782"/>
    </row>
    <row r="252" spans="1:37" s="7" customFormat="1" ht="24.75" customHeight="1" x14ac:dyDescent="0.25">
      <c r="A252" s="776"/>
      <c r="B252" s="777" t="s">
        <v>845</v>
      </c>
      <c r="C252" s="778"/>
      <c r="D252" s="778">
        <v>91776325</v>
      </c>
      <c r="E252" s="778"/>
      <c r="F252" s="782"/>
      <c r="G252" s="782"/>
      <c r="H252" s="782"/>
      <c r="I252" s="782"/>
      <c r="J252" s="782"/>
      <c r="K252" s="782"/>
      <c r="L252" s="782"/>
      <c r="M252" s="782"/>
      <c r="N252" s="782"/>
      <c r="O252" s="782"/>
      <c r="P252" s="782"/>
      <c r="Q252" s="782"/>
      <c r="R252" s="782"/>
      <c r="S252" s="782"/>
      <c r="T252" s="782"/>
      <c r="U252" s="782"/>
      <c r="V252" s="782"/>
      <c r="W252" s="782"/>
      <c r="X252" s="782"/>
      <c r="Y252" s="782"/>
      <c r="Z252" s="782"/>
      <c r="AA252" s="782"/>
      <c r="AB252" s="782"/>
      <c r="AC252" s="782"/>
      <c r="AD252" s="782"/>
      <c r="AE252" s="782"/>
      <c r="AF252" s="782"/>
      <c r="AG252" s="782"/>
      <c r="AH252" s="782"/>
      <c r="AI252" s="782"/>
      <c r="AJ252" s="782"/>
      <c r="AK252" s="782"/>
    </row>
    <row r="253" spans="1:37" s="7" customFormat="1" ht="24.75" customHeight="1" x14ac:dyDescent="0.25">
      <c r="A253" s="776"/>
      <c r="B253" s="777" t="s">
        <v>489</v>
      </c>
      <c r="C253" s="778"/>
      <c r="D253" s="778">
        <v>27593303</v>
      </c>
      <c r="E253" s="778"/>
      <c r="F253" s="782"/>
      <c r="G253" s="782"/>
      <c r="H253" s="782"/>
      <c r="I253" s="782"/>
      <c r="J253" s="782"/>
      <c r="K253" s="782"/>
      <c r="L253" s="782"/>
      <c r="M253" s="782"/>
      <c r="N253" s="782"/>
      <c r="O253" s="782"/>
      <c r="P253" s="782"/>
      <c r="Q253" s="782"/>
      <c r="R253" s="782"/>
      <c r="S253" s="782"/>
      <c r="T253" s="782"/>
      <c r="U253" s="782"/>
      <c r="V253" s="782"/>
      <c r="W253" s="782"/>
      <c r="X253" s="782"/>
      <c r="Y253" s="782"/>
      <c r="Z253" s="782"/>
      <c r="AA253" s="782"/>
      <c r="AB253" s="782"/>
      <c r="AC253" s="782"/>
      <c r="AD253" s="782"/>
      <c r="AE253" s="782"/>
      <c r="AF253" s="782"/>
      <c r="AG253" s="782"/>
      <c r="AH253" s="782"/>
      <c r="AI253" s="782"/>
      <c r="AJ253" s="782"/>
      <c r="AK253" s="782"/>
    </row>
    <row r="254" spans="1:37" s="7" customFormat="1" ht="24.75" customHeight="1" x14ac:dyDescent="0.25">
      <c r="A254" s="776"/>
      <c r="B254" s="777" t="s">
        <v>796</v>
      </c>
      <c r="C254" s="778"/>
      <c r="D254" s="778">
        <v>67328386</v>
      </c>
      <c r="E254" s="778"/>
      <c r="F254" s="782"/>
      <c r="G254" s="782"/>
      <c r="H254" s="782"/>
      <c r="I254" s="782"/>
      <c r="J254" s="782"/>
      <c r="K254" s="782"/>
      <c r="L254" s="782"/>
      <c r="M254" s="782"/>
      <c r="N254" s="782"/>
      <c r="O254" s="782"/>
      <c r="P254" s="782"/>
      <c r="Q254" s="782"/>
      <c r="R254" s="782"/>
      <c r="S254" s="782"/>
      <c r="T254" s="782"/>
      <c r="U254" s="782"/>
      <c r="V254" s="782"/>
      <c r="W254" s="782"/>
      <c r="X254" s="782"/>
      <c r="Y254" s="782"/>
      <c r="Z254" s="782"/>
      <c r="AA254" s="782"/>
      <c r="AB254" s="782"/>
      <c r="AC254" s="782"/>
      <c r="AD254" s="782"/>
      <c r="AE254" s="782"/>
      <c r="AF254" s="782"/>
      <c r="AG254" s="782"/>
      <c r="AH254" s="782"/>
      <c r="AI254" s="782"/>
      <c r="AJ254" s="782"/>
      <c r="AK254" s="782"/>
    </row>
    <row r="255" spans="1:37" s="7" customFormat="1" ht="24.75" customHeight="1" x14ac:dyDescent="0.25">
      <c r="A255" s="776"/>
      <c r="B255" s="777" t="s">
        <v>797</v>
      </c>
      <c r="C255" s="778"/>
      <c r="D255" s="778">
        <v>34116344</v>
      </c>
      <c r="E255" s="778"/>
      <c r="F255" s="782"/>
      <c r="G255" s="782"/>
      <c r="H255" s="782"/>
      <c r="I255" s="782"/>
      <c r="J255" s="782"/>
      <c r="K255" s="782"/>
      <c r="L255" s="782"/>
      <c r="M255" s="782"/>
      <c r="N255" s="782"/>
      <c r="O255" s="782"/>
      <c r="P255" s="782"/>
      <c r="Q255" s="782"/>
      <c r="R255" s="782"/>
      <c r="S255" s="782"/>
      <c r="T255" s="782"/>
      <c r="U255" s="782"/>
      <c r="V255" s="782"/>
      <c r="W255" s="782"/>
      <c r="X255" s="782"/>
      <c r="Y255" s="782"/>
      <c r="Z255" s="782"/>
      <c r="AA255" s="782"/>
      <c r="AB255" s="782"/>
      <c r="AC255" s="782"/>
      <c r="AD255" s="782"/>
      <c r="AE255" s="782"/>
      <c r="AF255" s="782"/>
      <c r="AG255" s="782"/>
      <c r="AH255" s="782"/>
      <c r="AI255" s="782"/>
      <c r="AJ255" s="782"/>
      <c r="AK255" s="782"/>
    </row>
    <row r="256" spans="1:37" s="7" customFormat="1" ht="24.75" customHeight="1" x14ac:dyDescent="0.25">
      <c r="A256" s="776"/>
      <c r="B256" s="777" t="s">
        <v>495</v>
      </c>
      <c r="C256" s="778"/>
      <c r="D256" s="778">
        <v>186487693</v>
      </c>
      <c r="E256" s="778"/>
      <c r="F256" s="782"/>
      <c r="G256" s="782"/>
      <c r="H256" s="782"/>
      <c r="I256" s="782"/>
      <c r="J256" s="782"/>
      <c r="K256" s="782"/>
      <c r="L256" s="782"/>
      <c r="M256" s="782"/>
      <c r="N256" s="782"/>
      <c r="O256" s="782"/>
      <c r="P256" s="782"/>
      <c r="Q256" s="782"/>
      <c r="R256" s="782"/>
      <c r="S256" s="782"/>
      <c r="T256" s="782"/>
      <c r="U256" s="782"/>
      <c r="V256" s="782"/>
      <c r="W256" s="782"/>
      <c r="X256" s="782"/>
      <c r="Y256" s="782"/>
      <c r="Z256" s="782"/>
      <c r="AA256" s="782"/>
      <c r="AB256" s="782"/>
      <c r="AC256" s="782"/>
      <c r="AD256" s="782"/>
      <c r="AE256" s="782"/>
      <c r="AF256" s="782"/>
      <c r="AG256" s="782"/>
      <c r="AH256" s="782"/>
      <c r="AI256" s="782"/>
      <c r="AJ256" s="782"/>
      <c r="AK256" s="782"/>
    </row>
    <row r="257" spans="1:37" s="7" customFormat="1" ht="24.75" customHeight="1" x14ac:dyDescent="0.25">
      <c r="A257" s="776" t="s">
        <v>179</v>
      </c>
      <c r="B257" s="777" t="s">
        <v>270</v>
      </c>
      <c r="C257" s="778"/>
      <c r="D257" s="778"/>
      <c r="E257" s="778">
        <v>2581828356</v>
      </c>
      <c r="F257" s="734"/>
      <c r="G257" s="782"/>
      <c r="H257" s="782"/>
      <c r="I257" s="782"/>
      <c r="J257" s="782"/>
      <c r="K257" s="782"/>
      <c r="L257" s="782"/>
      <c r="M257" s="782"/>
      <c r="N257" s="782"/>
      <c r="O257" s="782"/>
      <c r="P257" s="782"/>
      <c r="Q257" s="782"/>
      <c r="R257" s="782"/>
      <c r="S257" s="782"/>
      <c r="T257" s="782"/>
      <c r="U257" s="782"/>
      <c r="V257" s="782"/>
      <c r="W257" s="782"/>
      <c r="X257" s="782"/>
      <c r="Y257" s="782"/>
      <c r="Z257" s="782"/>
      <c r="AA257" s="782"/>
      <c r="AB257" s="782"/>
      <c r="AC257" s="782"/>
      <c r="AD257" s="782"/>
      <c r="AE257" s="782"/>
      <c r="AF257" s="782"/>
      <c r="AG257" s="782"/>
      <c r="AH257" s="782"/>
      <c r="AI257" s="782"/>
      <c r="AJ257" s="782"/>
      <c r="AK257" s="782"/>
    </row>
    <row r="258" spans="1:37" s="7" customFormat="1" ht="24.75" customHeight="1" x14ac:dyDescent="0.25">
      <c r="A258" s="776"/>
      <c r="B258" s="777" t="s">
        <v>844</v>
      </c>
      <c r="C258" s="778"/>
      <c r="D258" s="778">
        <v>2639071880</v>
      </c>
      <c r="E258" s="778"/>
      <c r="F258" s="782"/>
      <c r="G258" s="782"/>
      <c r="H258" s="782"/>
      <c r="I258" s="782"/>
      <c r="J258" s="782"/>
      <c r="K258" s="782"/>
      <c r="L258" s="782"/>
      <c r="M258" s="782"/>
      <c r="N258" s="782"/>
      <c r="O258" s="782"/>
      <c r="P258" s="782"/>
      <c r="Q258" s="782"/>
      <c r="R258" s="782"/>
      <c r="S258" s="782"/>
      <c r="T258" s="782"/>
      <c r="U258" s="782"/>
      <c r="V258" s="782"/>
      <c r="W258" s="782"/>
      <c r="X258" s="782"/>
      <c r="Y258" s="782"/>
      <c r="Z258" s="782"/>
      <c r="AA258" s="782"/>
      <c r="AB258" s="782"/>
      <c r="AC258" s="782"/>
      <c r="AD258" s="782"/>
      <c r="AE258" s="782"/>
      <c r="AF258" s="782"/>
      <c r="AG258" s="782"/>
      <c r="AH258" s="782"/>
      <c r="AI258" s="782"/>
      <c r="AJ258" s="782"/>
      <c r="AK258" s="782"/>
    </row>
    <row r="259" spans="1:37" s="7" customFormat="1" ht="24.75" customHeight="1" x14ac:dyDescent="0.25">
      <c r="A259" s="776"/>
      <c r="B259" s="777" t="s">
        <v>489</v>
      </c>
      <c r="C259" s="778"/>
      <c r="D259" s="778">
        <v>2206457</v>
      </c>
      <c r="E259" s="778"/>
      <c r="F259" s="782"/>
      <c r="G259" s="782"/>
      <c r="H259" s="782"/>
      <c r="I259" s="782"/>
      <c r="J259" s="782"/>
      <c r="K259" s="782"/>
      <c r="L259" s="782"/>
      <c r="M259" s="782"/>
      <c r="N259" s="782"/>
      <c r="O259" s="782"/>
      <c r="P259" s="782"/>
      <c r="Q259" s="782"/>
      <c r="R259" s="782"/>
      <c r="S259" s="782"/>
      <c r="T259" s="782"/>
      <c r="U259" s="782"/>
      <c r="V259" s="782"/>
      <c r="W259" s="782"/>
      <c r="X259" s="782"/>
      <c r="Y259" s="782"/>
      <c r="Z259" s="782"/>
      <c r="AA259" s="782"/>
      <c r="AB259" s="782"/>
      <c r="AC259" s="782"/>
      <c r="AD259" s="782"/>
      <c r="AE259" s="782"/>
      <c r="AF259" s="782"/>
      <c r="AG259" s="782"/>
      <c r="AH259" s="782"/>
      <c r="AI259" s="782"/>
      <c r="AJ259" s="782"/>
      <c r="AK259" s="782"/>
    </row>
    <row r="260" spans="1:37" s="7" customFormat="1" ht="24.75" customHeight="1" x14ac:dyDescent="0.25">
      <c r="A260" s="776"/>
      <c r="B260" s="777" t="s">
        <v>495</v>
      </c>
      <c r="C260" s="778"/>
      <c r="D260" s="778">
        <v>-59449981</v>
      </c>
      <c r="E260" s="778"/>
      <c r="F260" s="782"/>
      <c r="G260" s="782"/>
      <c r="H260" s="782"/>
      <c r="I260" s="782"/>
      <c r="J260" s="782"/>
      <c r="K260" s="782"/>
      <c r="L260" s="782"/>
      <c r="M260" s="782"/>
      <c r="N260" s="782"/>
      <c r="O260" s="782"/>
      <c r="P260" s="782"/>
      <c r="Q260" s="782"/>
      <c r="R260" s="782"/>
      <c r="S260" s="782"/>
      <c r="T260" s="782"/>
      <c r="U260" s="782"/>
      <c r="V260" s="782"/>
      <c r="W260" s="782"/>
      <c r="X260" s="782"/>
      <c r="Y260" s="782"/>
      <c r="Z260" s="782"/>
      <c r="AA260" s="782"/>
      <c r="AB260" s="782"/>
      <c r="AC260" s="782"/>
      <c r="AD260" s="782"/>
      <c r="AE260" s="782"/>
      <c r="AF260" s="782"/>
      <c r="AG260" s="782"/>
      <c r="AH260" s="782"/>
      <c r="AI260" s="782"/>
      <c r="AJ260" s="782"/>
      <c r="AK260" s="782"/>
    </row>
    <row r="261" spans="1:37" s="7" customFormat="1" ht="24.75" customHeight="1" x14ac:dyDescent="0.25">
      <c r="A261" s="776" t="s">
        <v>180</v>
      </c>
      <c r="B261" s="777" t="s">
        <v>271</v>
      </c>
      <c r="C261" s="778"/>
      <c r="D261" s="778"/>
      <c r="E261" s="778">
        <v>407955406</v>
      </c>
      <c r="F261" s="734"/>
      <c r="G261" s="782"/>
      <c r="H261" s="782"/>
      <c r="I261" s="782"/>
      <c r="J261" s="782"/>
      <c r="K261" s="782"/>
      <c r="L261" s="782"/>
      <c r="M261" s="782"/>
      <c r="N261" s="782"/>
      <c r="O261" s="782"/>
      <c r="P261" s="782"/>
      <c r="Q261" s="782"/>
      <c r="R261" s="782"/>
      <c r="S261" s="782"/>
      <c r="T261" s="782"/>
      <c r="U261" s="782"/>
      <c r="V261" s="782"/>
      <c r="W261" s="782"/>
      <c r="X261" s="782"/>
      <c r="Y261" s="782"/>
      <c r="Z261" s="782"/>
      <c r="AA261" s="782"/>
      <c r="AB261" s="782"/>
      <c r="AC261" s="782"/>
      <c r="AD261" s="782"/>
      <c r="AE261" s="782"/>
      <c r="AF261" s="782"/>
      <c r="AG261" s="782"/>
      <c r="AH261" s="782"/>
      <c r="AI261" s="782"/>
      <c r="AJ261" s="782"/>
      <c r="AK261" s="782"/>
    </row>
    <row r="262" spans="1:37" s="7" customFormat="1" ht="24.75" customHeight="1" x14ac:dyDescent="0.25">
      <c r="A262" s="776"/>
      <c r="B262" s="777" t="s">
        <v>844</v>
      </c>
      <c r="C262" s="778"/>
      <c r="D262" s="778">
        <v>318124051</v>
      </c>
      <c r="E262" s="778"/>
      <c r="F262" s="782"/>
      <c r="G262" s="782"/>
      <c r="H262" s="782"/>
      <c r="I262" s="782"/>
      <c r="J262" s="782"/>
      <c r="K262" s="782"/>
      <c r="L262" s="782"/>
      <c r="M262" s="782"/>
      <c r="N262" s="782"/>
      <c r="O262" s="782"/>
      <c r="P262" s="782"/>
      <c r="Q262" s="782"/>
      <c r="R262" s="782"/>
      <c r="S262" s="782"/>
      <c r="T262" s="782"/>
      <c r="U262" s="782"/>
      <c r="V262" s="782"/>
      <c r="W262" s="782"/>
      <c r="X262" s="782"/>
      <c r="Y262" s="782"/>
      <c r="Z262" s="782"/>
      <c r="AA262" s="782"/>
      <c r="AB262" s="782"/>
      <c r="AC262" s="782"/>
      <c r="AD262" s="782"/>
      <c r="AE262" s="782"/>
      <c r="AF262" s="782"/>
      <c r="AG262" s="782"/>
      <c r="AH262" s="782"/>
      <c r="AI262" s="782"/>
      <c r="AJ262" s="782"/>
      <c r="AK262" s="782"/>
    </row>
    <row r="263" spans="1:37" s="7" customFormat="1" ht="24.75" customHeight="1" x14ac:dyDescent="0.25">
      <c r="A263" s="776"/>
      <c r="B263" s="777" t="s">
        <v>845</v>
      </c>
      <c r="C263" s="778"/>
      <c r="D263" s="778">
        <v>19434440</v>
      </c>
      <c r="E263" s="778"/>
      <c r="F263" s="782"/>
      <c r="G263" s="782"/>
      <c r="H263" s="782"/>
      <c r="I263" s="782"/>
      <c r="J263" s="782"/>
      <c r="K263" s="782"/>
      <c r="L263" s="782"/>
      <c r="M263" s="782"/>
      <c r="N263" s="782"/>
      <c r="O263" s="782"/>
      <c r="P263" s="782"/>
      <c r="Q263" s="782"/>
      <c r="R263" s="782"/>
      <c r="S263" s="782"/>
      <c r="T263" s="782"/>
      <c r="U263" s="782"/>
      <c r="V263" s="782"/>
      <c r="W263" s="782"/>
      <c r="X263" s="782"/>
      <c r="Y263" s="782"/>
      <c r="Z263" s="782"/>
      <c r="AA263" s="782"/>
      <c r="AB263" s="782"/>
      <c r="AC263" s="782"/>
      <c r="AD263" s="782"/>
      <c r="AE263" s="782"/>
      <c r="AF263" s="782"/>
      <c r="AG263" s="782"/>
      <c r="AH263" s="782"/>
      <c r="AI263" s="782"/>
      <c r="AJ263" s="782"/>
      <c r="AK263" s="782"/>
    </row>
    <row r="264" spans="1:37" s="7" customFormat="1" ht="24.75" customHeight="1" x14ac:dyDescent="0.25">
      <c r="A264" s="776"/>
      <c r="B264" s="777" t="s">
        <v>489</v>
      </c>
      <c r="C264" s="778"/>
      <c r="D264" s="778">
        <v>11606354</v>
      </c>
      <c r="E264" s="778"/>
      <c r="F264" s="782"/>
      <c r="G264" s="782"/>
      <c r="H264" s="782"/>
      <c r="I264" s="782"/>
      <c r="J264" s="782"/>
      <c r="K264" s="782"/>
      <c r="L264" s="782"/>
      <c r="M264" s="782"/>
      <c r="N264" s="782"/>
      <c r="O264" s="782"/>
      <c r="P264" s="782"/>
      <c r="Q264" s="782"/>
      <c r="R264" s="782"/>
      <c r="S264" s="782"/>
      <c r="T264" s="782"/>
      <c r="U264" s="782"/>
      <c r="V264" s="782"/>
      <c r="W264" s="782"/>
      <c r="X264" s="782"/>
      <c r="Y264" s="782"/>
      <c r="Z264" s="782"/>
      <c r="AA264" s="782"/>
      <c r="AB264" s="782"/>
      <c r="AC264" s="782"/>
      <c r="AD264" s="782"/>
      <c r="AE264" s="782"/>
      <c r="AF264" s="782"/>
      <c r="AG264" s="782"/>
      <c r="AH264" s="782"/>
      <c r="AI264" s="782"/>
      <c r="AJ264" s="782"/>
      <c r="AK264" s="782"/>
    </row>
    <row r="265" spans="1:37" s="7" customFormat="1" ht="24.75" customHeight="1" x14ac:dyDescent="0.25">
      <c r="A265" s="776"/>
      <c r="B265" s="777" t="s">
        <v>796</v>
      </c>
      <c r="C265" s="778"/>
      <c r="D265" s="778">
        <v>14440354</v>
      </c>
      <c r="E265" s="778"/>
      <c r="F265" s="782"/>
      <c r="G265" s="782"/>
      <c r="H265" s="782"/>
      <c r="I265" s="782"/>
      <c r="J265" s="782"/>
      <c r="K265" s="782"/>
      <c r="L265" s="782"/>
      <c r="M265" s="782"/>
      <c r="N265" s="782"/>
      <c r="O265" s="782"/>
      <c r="P265" s="782"/>
      <c r="Q265" s="782"/>
      <c r="R265" s="782"/>
      <c r="S265" s="782"/>
      <c r="T265" s="782"/>
      <c r="U265" s="782"/>
      <c r="V265" s="782"/>
      <c r="W265" s="782"/>
      <c r="X265" s="782"/>
      <c r="Y265" s="782"/>
      <c r="Z265" s="782"/>
      <c r="AA265" s="782"/>
      <c r="AB265" s="782"/>
      <c r="AC265" s="782"/>
      <c r="AD265" s="782"/>
      <c r="AE265" s="782"/>
      <c r="AF265" s="782"/>
      <c r="AG265" s="782"/>
      <c r="AH265" s="782"/>
      <c r="AI265" s="782"/>
      <c r="AJ265" s="782"/>
      <c r="AK265" s="782"/>
    </row>
    <row r="266" spans="1:37" s="7" customFormat="1" ht="24.75" customHeight="1" x14ac:dyDescent="0.25">
      <c r="A266" s="776"/>
      <c r="B266" s="777" t="s">
        <v>797</v>
      </c>
      <c r="C266" s="778"/>
      <c r="D266" s="778">
        <v>293357</v>
      </c>
      <c r="E266" s="778"/>
      <c r="F266" s="782"/>
      <c r="G266" s="782"/>
      <c r="H266" s="782"/>
      <c r="I266" s="782"/>
      <c r="J266" s="782"/>
      <c r="K266" s="782"/>
      <c r="L266" s="782"/>
      <c r="M266" s="782"/>
      <c r="N266" s="782"/>
      <c r="O266" s="782"/>
      <c r="P266" s="782"/>
      <c r="Q266" s="782"/>
      <c r="R266" s="782"/>
      <c r="S266" s="782"/>
      <c r="T266" s="782"/>
      <c r="U266" s="782"/>
      <c r="V266" s="782"/>
      <c r="W266" s="782"/>
      <c r="X266" s="782"/>
      <c r="Y266" s="782"/>
      <c r="Z266" s="782"/>
      <c r="AA266" s="782"/>
      <c r="AB266" s="782"/>
      <c r="AC266" s="782"/>
      <c r="AD266" s="782"/>
      <c r="AE266" s="782"/>
      <c r="AF266" s="782"/>
      <c r="AG266" s="782"/>
      <c r="AH266" s="782"/>
      <c r="AI266" s="782"/>
      <c r="AJ266" s="782"/>
      <c r="AK266" s="782"/>
    </row>
    <row r="267" spans="1:37" s="7" customFormat="1" ht="24.75" customHeight="1" x14ac:dyDescent="0.25">
      <c r="A267" s="776"/>
      <c r="B267" s="777" t="s">
        <v>495</v>
      </c>
      <c r="C267" s="778"/>
      <c r="D267" s="778">
        <v>44056850</v>
      </c>
      <c r="E267" s="778"/>
      <c r="F267" s="782"/>
      <c r="G267" s="782"/>
      <c r="H267" s="782"/>
      <c r="I267" s="782"/>
      <c r="J267" s="782"/>
      <c r="K267" s="782"/>
      <c r="L267" s="782"/>
      <c r="M267" s="782"/>
      <c r="N267" s="782"/>
      <c r="O267" s="782"/>
      <c r="P267" s="782"/>
      <c r="Q267" s="782"/>
      <c r="R267" s="782"/>
      <c r="S267" s="782"/>
      <c r="T267" s="782"/>
      <c r="U267" s="782"/>
      <c r="V267" s="782"/>
      <c r="W267" s="782"/>
      <c r="X267" s="782"/>
      <c r="Y267" s="782"/>
      <c r="Z267" s="782"/>
      <c r="AA267" s="782"/>
      <c r="AB267" s="782"/>
      <c r="AC267" s="782"/>
      <c r="AD267" s="782"/>
      <c r="AE267" s="782"/>
      <c r="AF267" s="782"/>
      <c r="AG267" s="782"/>
      <c r="AH267" s="782"/>
      <c r="AI267" s="782"/>
      <c r="AJ267" s="782"/>
      <c r="AK267" s="782"/>
    </row>
    <row r="268" spans="1:37" s="7" customFormat="1" ht="24.75" customHeight="1" x14ac:dyDescent="0.25">
      <c r="A268" s="779" t="s">
        <v>181</v>
      </c>
      <c r="B268" s="780" t="s">
        <v>272</v>
      </c>
      <c r="C268" s="781"/>
      <c r="D268" s="781"/>
      <c r="E268" s="781">
        <v>407955406</v>
      </c>
      <c r="F268" s="782"/>
      <c r="G268" s="782"/>
      <c r="H268" s="782"/>
      <c r="I268" s="782"/>
      <c r="J268" s="782"/>
      <c r="K268" s="782"/>
      <c r="L268" s="782"/>
      <c r="M268" s="782"/>
      <c r="N268" s="782"/>
      <c r="O268" s="782"/>
      <c r="P268" s="782"/>
      <c r="Q268" s="782"/>
      <c r="R268" s="782"/>
      <c r="S268" s="782"/>
      <c r="T268" s="782"/>
      <c r="U268" s="782"/>
      <c r="V268" s="782"/>
      <c r="W268" s="782"/>
      <c r="X268" s="782"/>
      <c r="Y268" s="782"/>
      <c r="Z268" s="782"/>
      <c r="AA268" s="782"/>
      <c r="AB268" s="782"/>
      <c r="AC268" s="782"/>
      <c r="AD268" s="782"/>
      <c r="AE268" s="782"/>
      <c r="AF268" s="782"/>
      <c r="AG268" s="782"/>
      <c r="AH268" s="782"/>
      <c r="AI268" s="782"/>
      <c r="AJ268" s="782"/>
      <c r="AK268" s="782"/>
    </row>
    <row r="269" spans="1:37" s="7" customFormat="1" ht="24.75" customHeight="1" x14ac:dyDescent="0.25">
      <c r="A269" s="776" t="s">
        <v>16</v>
      </c>
      <c r="B269" s="777" t="s">
        <v>61</v>
      </c>
      <c r="C269" s="778"/>
      <c r="D269" s="778"/>
      <c r="E269" s="778">
        <v>-3877918047</v>
      </c>
      <c r="F269" s="734"/>
      <c r="G269" s="782"/>
      <c r="H269" s="782"/>
      <c r="I269" s="782"/>
      <c r="J269" s="782"/>
      <c r="K269" s="782"/>
      <c r="L269" s="782"/>
      <c r="M269" s="782"/>
      <c r="N269" s="782"/>
      <c r="O269" s="782"/>
      <c r="P269" s="782"/>
      <c r="Q269" s="782"/>
      <c r="R269" s="782"/>
      <c r="S269" s="782"/>
      <c r="T269" s="782"/>
      <c r="U269" s="782"/>
      <c r="V269" s="782"/>
      <c r="W269" s="782"/>
      <c r="X269" s="782"/>
      <c r="Y269" s="782"/>
      <c r="Z269" s="782"/>
      <c r="AA269" s="782"/>
      <c r="AB269" s="782"/>
      <c r="AC269" s="782"/>
      <c r="AD269" s="782"/>
      <c r="AE269" s="782"/>
      <c r="AF269" s="782"/>
      <c r="AG269" s="782"/>
      <c r="AH269" s="782"/>
      <c r="AI269" s="782"/>
      <c r="AJ269" s="782"/>
      <c r="AK269" s="782"/>
    </row>
    <row r="270" spans="1:37" s="7" customFormat="1" ht="24.75" customHeight="1" x14ac:dyDescent="0.25">
      <c r="A270" s="776"/>
      <c r="B270" s="777" t="s">
        <v>844</v>
      </c>
      <c r="C270" s="778"/>
      <c r="D270" s="778">
        <v>-3479304812</v>
      </c>
      <c r="E270" s="778"/>
      <c r="F270" s="782"/>
      <c r="G270" s="782"/>
      <c r="H270" s="782"/>
      <c r="I270" s="782"/>
      <c r="J270" s="782"/>
      <c r="K270" s="782"/>
      <c r="L270" s="782"/>
      <c r="M270" s="782"/>
      <c r="N270" s="782"/>
      <c r="O270" s="782"/>
      <c r="P270" s="782"/>
      <c r="Q270" s="782"/>
      <c r="R270" s="782"/>
      <c r="S270" s="782"/>
      <c r="T270" s="782"/>
      <c r="U270" s="782"/>
      <c r="V270" s="782"/>
      <c r="W270" s="782"/>
      <c r="X270" s="782"/>
      <c r="Y270" s="782"/>
      <c r="Z270" s="782"/>
      <c r="AA270" s="782"/>
      <c r="AB270" s="782"/>
      <c r="AC270" s="782"/>
      <c r="AD270" s="782"/>
      <c r="AE270" s="782"/>
      <c r="AF270" s="782"/>
      <c r="AG270" s="782"/>
      <c r="AH270" s="782"/>
      <c r="AI270" s="782"/>
      <c r="AJ270" s="782"/>
      <c r="AK270" s="782"/>
    </row>
    <row r="271" spans="1:37" s="7" customFormat="1" ht="24.75" customHeight="1" x14ac:dyDescent="0.25">
      <c r="A271" s="776"/>
      <c r="B271" s="777" t="s">
        <v>845</v>
      </c>
      <c r="C271" s="778"/>
      <c r="D271" s="778">
        <v>-108226182</v>
      </c>
      <c r="E271" s="778"/>
      <c r="F271" s="782"/>
      <c r="G271" s="782"/>
      <c r="H271" s="782"/>
      <c r="I271" s="782"/>
      <c r="J271" s="782"/>
      <c r="K271" s="782"/>
      <c r="L271" s="782"/>
      <c r="M271" s="782"/>
      <c r="N271" s="782"/>
      <c r="O271" s="782"/>
      <c r="P271" s="782"/>
      <c r="Q271" s="782"/>
      <c r="R271" s="782"/>
      <c r="S271" s="782"/>
      <c r="T271" s="782"/>
      <c r="U271" s="782"/>
      <c r="V271" s="782"/>
      <c r="W271" s="782"/>
      <c r="X271" s="782"/>
      <c r="Y271" s="782"/>
      <c r="Z271" s="782"/>
      <c r="AA271" s="782"/>
      <c r="AB271" s="782"/>
      <c r="AC271" s="782"/>
      <c r="AD271" s="782"/>
      <c r="AE271" s="782"/>
      <c r="AF271" s="782"/>
      <c r="AG271" s="782"/>
      <c r="AH271" s="782"/>
      <c r="AI271" s="782"/>
      <c r="AJ271" s="782"/>
      <c r="AK271" s="782"/>
    </row>
    <row r="272" spans="1:37" s="7" customFormat="1" ht="24.75" customHeight="1" x14ac:dyDescent="0.25">
      <c r="A272" s="776"/>
      <c r="B272" s="777" t="s">
        <v>489</v>
      </c>
      <c r="C272" s="778"/>
      <c r="D272" s="778">
        <v>-65798475</v>
      </c>
      <c r="E272" s="778"/>
      <c r="F272" s="782"/>
      <c r="G272" s="782"/>
      <c r="H272" s="782"/>
      <c r="I272" s="782"/>
      <c r="J272" s="782"/>
      <c r="K272" s="782"/>
      <c r="L272" s="782"/>
      <c r="M272" s="782"/>
      <c r="N272" s="782"/>
      <c r="O272" s="782"/>
      <c r="P272" s="782"/>
      <c r="Q272" s="782"/>
      <c r="R272" s="782"/>
      <c r="S272" s="782"/>
      <c r="T272" s="782"/>
      <c r="U272" s="782"/>
      <c r="V272" s="782"/>
      <c r="W272" s="782"/>
      <c r="X272" s="782"/>
      <c r="Y272" s="782"/>
      <c r="Z272" s="782"/>
      <c r="AA272" s="782"/>
      <c r="AB272" s="782"/>
      <c r="AC272" s="782"/>
      <c r="AD272" s="782"/>
      <c r="AE272" s="782"/>
      <c r="AF272" s="782"/>
      <c r="AG272" s="782"/>
      <c r="AH272" s="782"/>
      <c r="AI272" s="782"/>
      <c r="AJ272" s="782"/>
      <c r="AK272" s="782"/>
    </row>
    <row r="273" spans="1:37" s="7" customFormat="1" ht="24.75" customHeight="1" x14ac:dyDescent="0.25">
      <c r="A273" s="776"/>
      <c r="B273" s="777" t="s">
        <v>796</v>
      </c>
      <c r="C273" s="778"/>
      <c r="D273" s="778">
        <v>-66259692</v>
      </c>
      <c r="E273" s="778"/>
      <c r="F273" s="782"/>
      <c r="G273" s="782"/>
      <c r="H273" s="782"/>
      <c r="I273" s="782"/>
      <c r="J273" s="782"/>
      <c r="K273" s="782"/>
      <c r="L273" s="782"/>
      <c r="M273" s="782"/>
      <c r="N273" s="782"/>
      <c r="O273" s="782"/>
      <c r="P273" s="782"/>
      <c r="Q273" s="782"/>
      <c r="R273" s="782"/>
      <c r="S273" s="782"/>
      <c r="T273" s="782"/>
      <c r="U273" s="782"/>
      <c r="V273" s="782"/>
      <c r="W273" s="782"/>
      <c r="X273" s="782"/>
      <c r="Y273" s="782"/>
      <c r="Z273" s="782"/>
      <c r="AA273" s="782"/>
      <c r="AB273" s="782"/>
      <c r="AC273" s="782"/>
      <c r="AD273" s="782"/>
      <c r="AE273" s="782"/>
      <c r="AF273" s="782"/>
      <c r="AG273" s="782"/>
      <c r="AH273" s="782"/>
      <c r="AI273" s="782"/>
      <c r="AJ273" s="782"/>
      <c r="AK273" s="782"/>
    </row>
    <row r="274" spans="1:37" s="7" customFormat="1" ht="24.75" customHeight="1" x14ac:dyDescent="0.25">
      <c r="A274" s="776"/>
      <c r="B274" s="777" t="s">
        <v>797</v>
      </c>
      <c r="C274" s="778"/>
      <c r="D274" s="778">
        <v>-5173380</v>
      </c>
      <c r="E274" s="778"/>
      <c r="F274" s="782"/>
      <c r="G274" s="782"/>
      <c r="H274" s="782"/>
      <c r="I274" s="782"/>
      <c r="J274" s="782"/>
      <c r="K274" s="782"/>
      <c r="L274" s="782"/>
      <c r="M274" s="782"/>
      <c r="N274" s="782"/>
      <c r="O274" s="782"/>
      <c r="P274" s="782"/>
      <c r="Q274" s="782"/>
      <c r="R274" s="782"/>
      <c r="S274" s="782"/>
      <c r="T274" s="782"/>
      <c r="U274" s="782"/>
      <c r="V274" s="782"/>
      <c r="W274" s="782"/>
      <c r="X274" s="782"/>
      <c r="Y274" s="782"/>
      <c r="Z274" s="782"/>
      <c r="AA274" s="782"/>
      <c r="AB274" s="782"/>
      <c r="AC274" s="782"/>
      <c r="AD274" s="782"/>
      <c r="AE274" s="782"/>
      <c r="AF274" s="782"/>
      <c r="AG274" s="782"/>
      <c r="AH274" s="782"/>
      <c r="AI274" s="782"/>
      <c r="AJ274" s="782"/>
      <c r="AK274" s="782"/>
    </row>
    <row r="275" spans="1:37" s="7" customFormat="1" ht="24.75" customHeight="1" x14ac:dyDescent="0.25">
      <c r="A275" s="776"/>
      <c r="B275" s="777" t="s">
        <v>495</v>
      </c>
      <c r="C275" s="778"/>
      <c r="D275" s="778">
        <v>-153155506</v>
      </c>
      <c r="E275" s="778"/>
      <c r="F275" s="782"/>
      <c r="G275" s="782"/>
      <c r="H275" s="782"/>
      <c r="I275" s="782"/>
      <c r="J275" s="782"/>
      <c r="K275" s="782"/>
      <c r="L275" s="782"/>
      <c r="M275" s="782"/>
      <c r="N275" s="782"/>
      <c r="O275" s="782"/>
      <c r="P275" s="782"/>
      <c r="Q275" s="782"/>
      <c r="R275" s="782"/>
      <c r="S275" s="782"/>
      <c r="T275" s="782"/>
      <c r="U275" s="782"/>
      <c r="V275" s="782"/>
      <c r="W275" s="782"/>
      <c r="X275" s="782"/>
      <c r="Y275" s="782"/>
      <c r="Z275" s="782"/>
      <c r="AA275" s="782"/>
      <c r="AB275" s="782"/>
      <c r="AC275" s="782"/>
      <c r="AD275" s="782"/>
      <c r="AE275" s="782"/>
      <c r="AF275" s="782"/>
      <c r="AG275" s="782"/>
      <c r="AH275" s="782"/>
      <c r="AI275" s="782"/>
      <c r="AJ275" s="782"/>
      <c r="AK275" s="782"/>
    </row>
    <row r="276" spans="1:37" s="7" customFormat="1" ht="24.75" customHeight="1" x14ac:dyDescent="0.25">
      <c r="A276" s="776" t="s">
        <v>182</v>
      </c>
      <c r="B276" s="777" t="s">
        <v>62</v>
      </c>
      <c r="C276" s="778"/>
      <c r="D276" s="778"/>
      <c r="E276" s="778">
        <v>-512541543</v>
      </c>
      <c r="F276" s="734"/>
      <c r="G276" s="782"/>
      <c r="H276" s="782"/>
      <c r="I276" s="782"/>
      <c r="J276" s="782"/>
      <c r="K276" s="782"/>
      <c r="L276" s="782"/>
      <c r="M276" s="782"/>
      <c r="N276" s="782"/>
      <c r="O276" s="782"/>
      <c r="P276" s="782"/>
      <c r="Q276" s="782"/>
      <c r="R276" s="782"/>
      <c r="S276" s="782"/>
      <c r="T276" s="782"/>
      <c r="U276" s="782"/>
      <c r="V276" s="782"/>
      <c r="W276" s="782"/>
      <c r="X276" s="782"/>
      <c r="Y276" s="782"/>
      <c r="Z276" s="782"/>
      <c r="AA276" s="782"/>
      <c r="AB276" s="782"/>
      <c r="AC276" s="782"/>
      <c r="AD276" s="782"/>
      <c r="AE276" s="782"/>
      <c r="AF276" s="782"/>
      <c r="AG276" s="782"/>
      <c r="AH276" s="782"/>
      <c r="AI276" s="782"/>
      <c r="AJ276" s="782"/>
      <c r="AK276" s="782"/>
    </row>
    <row r="277" spans="1:37" s="7" customFormat="1" ht="24.75" customHeight="1" x14ac:dyDescent="0.25">
      <c r="A277" s="776"/>
      <c r="B277" s="777" t="s">
        <v>844</v>
      </c>
      <c r="C277" s="778"/>
      <c r="D277" s="778">
        <v>-505479153</v>
      </c>
      <c r="E277" s="778"/>
      <c r="F277" s="782"/>
      <c r="G277" s="782"/>
      <c r="H277" s="782"/>
      <c r="I277" s="782"/>
      <c r="J277" s="782"/>
      <c r="K277" s="782"/>
      <c r="L277" s="782"/>
      <c r="M277" s="782"/>
      <c r="N277" s="782"/>
      <c r="O277" s="782"/>
      <c r="P277" s="782"/>
      <c r="Q277" s="782"/>
      <c r="R277" s="782"/>
      <c r="S277" s="782"/>
      <c r="T277" s="782"/>
      <c r="U277" s="782"/>
      <c r="V277" s="782"/>
      <c r="W277" s="782"/>
      <c r="X277" s="782"/>
      <c r="Y277" s="782"/>
      <c r="Z277" s="782"/>
      <c r="AA277" s="782"/>
      <c r="AB277" s="782"/>
      <c r="AC277" s="782"/>
      <c r="AD277" s="782"/>
      <c r="AE277" s="782"/>
      <c r="AF277" s="782"/>
      <c r="AG277" s="782"/>
      <c r="AH277" s="782"/>
      <c r="AI277" s="782"/>
      <c r="AJ277" s="782"/>
      <c r="AK277" s="782"/>
    </row>
    <row r="278" spans="1:37" s="7" customFormat="1" ht="24.75" customHeight="1" x14ac:dyDescent="0.25">
      <c r="A278" s="776"/>
      <c r="B278" s="777" t="s">
        <v>845</v>
      </c>
      <c r="C278" s="778"/>
      <c r="D278" s="778">
        <v>-3697824</v>
      </c>
      <c r="E278" s="778"/>
      <c r="F278" s="782"/>
      <c r="G278" s="782"/>
      <c r="H278" s="782"/>
      <c r="I278" s="782"/>
      <c r="J278" s="782"/>
      <c r="K278" s="782"/>
      <c r="L278" s="782"/>
      <c r="M278" s="782"/>
      <c r="N278" s="782"/>
      <c r="O278" s="782"/>
      <c r="P278" s="782"/>
      <c r="Q278" s="782"/>
      <c r="R278" s="782"/>
      <c r="S278" s="782"/>
      <c r="T278" s="782"/>
      <c r="U278" s="782"/>
      <c r="V278" s="782"/>
      <c r="W278" s="782"/>
      <c r="X278" s="782"/>
      <c r="Y278" s="782"/>
      <c r="Z278" s="782"/>
      <c r="AA278" s="782"/>
      <c r="AB278" s="782"/>
      <c r="AC278" s="782"/>
      <c r="AD278" s="782"/>
      <c r="AE278" s="782"/>
      <c r="AF278" s="782"/>
      <c r="AG278" s="782"/>
      <c r="AH278" s="782"/>
      <c r="AI278" s="782"/>
      <c r="AJ278" s="782"/>
      <c r="AK278" s="782"/>
    </row>
    <row r="279" spans="1:37" s="7" customFormat="1" ht="24.75" customHeight="1" x14ac:dyDescent="0.25">
      <c r="A279" s="776"/>
      <c r="B279" s="777" t="s">
        <v>489</v>
      </c>
      <c r="C279" s="778"/>
      <c r="D279" s="778">
        <v>-10185894</v>
      </c>
      <c r="E279" s="778"/>
      <c r="F279" s="782"/>
      <c r="G279" s="782"/>
      <c r="H279" s="782"/>
      <c r="I279" s="782"/>
      <c r="J279" s="782"/>
      <c r="K279" s="782"/>
      <c r="L279" s="782"/>
      <c r="M279" s="782"/>
      <c r="N279" s="782"/>
      <c r="O279" s="782"/>
      <c r="P279" s="782"/>
      <c r="Q279" s="782"/>
      <c r="R279" s="782"/>
      <c r="S279" s="782"/>
      <c r="T279" s="782"/>
      <c r="U279" s="782"/>
      <c r="V279" s="782"/>
      <c r="W279" s="782"/>
      <c r="X279" s="782"/>
      <c r="Y279" s="782"/>
      <c r="Z279" s="782"/>
      <c r="AA279" s="782"/>
      <c r="AB279" s="782"/>
      <c r="AC279" s="782"/>
      <c r="AD279" s="782"/>
      <c r="AE279" s="782"/>
      <c r="AF279" s="782"/>
      <c r="AG279" s="782"/>
      <c r="AH279" s="782"/>
      <c r="AI279" s="782"/>
      <c r="AJ279" s="782"/>
      <c r="AK279" s="782"/>
    </row>
    <row r="280" spans="1:37" s="7" customFormat="1" ht="24.75" customHeight="1" x14ac:dyDescent="0.25">
      <c r="A280" s="776"/>
      <c r="B280" s="777" t="s">
        <v>796</v>
      </c>
      <c r="C280" s="778"/>
      <c r="D280" s="778">
        <v>-5917916</v>
      </c>
      <c r="E280" s="778"/>
      <c r="F280" s="782"/>
      <c r="G280" s="782"/>
      <c r="H280" s="782"/>
      <c r="I280" s="782"/>
      <c r="J280" s="782"/>
      <c r="K280" s="782"/>
      <c r="L280" s="782"/>
      <c r="M280" s="782"/>
      <c r="N280" s="782"/>
      <c r="O280" s="782"/>
      <c r="P280" s="782"/>
      <c r="Q280" s="782"/>
      <c r="R280" s="782"/>
      <c r="S280" s="782"/>
      <c r="T280" s="782"/>
      <c r="U280" s="782"/>
      <c r="V280" s="782"/>
      <c r="W280" s="782"/>
      <c r="X280" s="782"/>
      <c r="Y280" s="782"/>
      <c r="Z280" s="782"/>
      <c r="AA280" s="782"/>
      <c r="AB280" s="782"/>
      <c r="AC280" s="782"/>
      <c r="AD280" s="782"/>
      <c r="AE280" s="782"/>
      <c r="AF280" s="782"/>
      <c r="AG280" s="782"/>
      <c r="AH280" s="782"/>
      <c r="AI280" s="782"/>
      <c r="AJ280" s="782"/>
      <c r="AK280" s="782"/>
    </row>
    <row r="281" spans="1:37" s="7" customFormat="1" ht="24.75" customHeight="1" x14ac:dyDescent="0.25">
      <c r="A281" s="776"/>
      <c r="B281" s="777" t="s">
        <v>797</v>
      </c>
      <c r="C281" s="778"/>
      <c r="D281" s="778">
        <v>4781677</v>
      </c>
      <c r="E281" s="778"/>
      <c r="F281" s="782"/>
      <c r="G281" s="782"/>
      <c r="H281" s="782"/>
      <c r="I281" s="782"/>
      <c r="J281" s="782"/>
      <c r="K281" s="782"/>
      <c r="L281" s="782"/>
      <c r="M281" s="782"/>
      <c r="N281" s="782"/>
      <c r="O281" s="782"/>
      <c r="P281" s="782"/>
      <c r="Q281" s="782"/>
      <c r="R281" s="782"/>
      <c r="S281" s="782"/>
      <c r="T281" s="782"/>
      <c r="U281" s="782"/>
      <c r="V281" s="782"/>
      <c r="W281" s="782"/>
      <c r="X281" s="782"/>
      <c r="Y281" s="782"/>
      <c r="Z281" s="782"/>
      <c r="AA281" s="782"/>
      <c r="AB281" s="782"/>
      <c r="AC281" s="782"/>
      <c r="AD281" s="782"/>
      <c r="AE281" s="782"/>
      <c r="AF281" s="782"/>
      <c r="AG281" s="782"/>
      <c r="AH281" s="782"/>
      <c r="AI281" s="782"/>
      <c r="AJ281" s="782"/>
      <c r="AK281" s="782"/>
    </row>
    <row r="282" spans="1:37" s="7" customFormat="1" ht="24.75" customHeight="1" x14ac:dyDescent="0.25">
      <c r="A282" s="776"/>
      <c r="B282" s="777" t="s">
        <v>495</v>
      </c>
      <c r="C282" s="778"/>
      <c r="D282" s="778">
        <v>7957567</v>
      </c>
      <c r="E282" s="778"/>
      <c r="F282" s="782"/>
      <c r="G282" s="782"/>
      <c r="H282" s="782"/>
      <c r="I282" s="782"/>
      <c r="J282" s="782"/>
      <c r="K282" s="782"/>
      <c r="L282" s="782"/>
      <c r="M282" s="782"/>
      <c r="N282" s="782"/>
      <c r="O282" s="782"/>
      <c r="P282" s="782"/>
      <c r="Q282" s="782"/>
      <c r="R282" s="782"/>
      <c r="S282" s="782"/>
      <c r="T282" s="782"/>
      <c r="U282" s="782"/>
      <c r="V282" s="782"/>
      <c r="W282" s="782"/>
      <c r="X282" s="782"/>
      <c r="Y282" s="782"/>
      <c r="Z282" s="782"/>
      <c r="AA282" s="782"/>
      <c r="AB282" s="782"/>
      <c r="AC282" s="782"/>
      <c r="AD282" s="782"/>
      <c r="AE282" s="782"/>
      <c r="AF282" s="782"/>
      <c r="AG282" s="782"/>
      <c r="AH282" s="782"/>
      <c r="AI282" s="782"/>
      <c r="AJ282" s="782"/>
      <c r="AK282" s="782"/>
    </row>
    <row r="283" spans="1:37" s="7" customFormat="1" ht="24.75" customHeight="1" x14ac:dyDescent="0.25">
      <c r="A283" s="779" t="s">
        <v>38</v>
      </c>
      <c r="B283" s="780" t="s">
        <v>273</v>
      </c>
      <c r="C283" s="781"/>
      <c r="D283" s="781"/>
      <c r="E283" s="781">
        <v>15160915576</v>
      </c>
      <c r="F283" s="782"/>
      <c r="G283" s="782"/>
      <c r="H283" s="782"/>
      <c r="I283" s="782"/>
      <c r="J283" s="782"/>
      <c r="K283" s="782"/>
      <c r="L283" s="782"/>
      <c r="M283" s="782"/>
      <c r="N283" s="782"/>
      <c r="O283" s="782"/>
      <c r="P283" s="782"/>
      <c r="Q283" s="782"/>
      <c r="R283" s="782"/>
      <c r="S283" s="782"/>
      <c r="T283" s="782"/>
      <c r="U283" s="782"/>
      <c r="V283" s="782"/>
      <c r="W283" s="782"/>
      <c r="X283" s="782"/>
      <c r="Y283" s="782"/>
      <c r="Z283" s="782"/>
      <c r="AA283" s="782"/>
      <c r="AB283" s="782"/>
      <c r="AC283" s="782"/>
      <c r="AD283" s="782"/>
      <c r="AE283" s="782"/>
      <c r="AF283" s="782"/>
      <c r="AG283" s="782"/>
      <c r="AH283" s="782"/>
      <c r="AI283" s="782"/>
      <c r="AJ283" s="782"/>
      <c r="AK283" s="782"/>
    </row>
    <row r="284" spans="1:37" s="7" customFormat="1" ht="24.75" customHeight="1" x14ac:dyDescent="0.25">
      <c r="A284" s="776" t="s">
        <v>183</v>
      </c>
      <c r="B284" s="777" t="s">
        <v>274</v>
      </c>
      <c r="C284" s="778"/>
      <c r="D284" s="778"/>
      <c r="E284" s="778">
        <v>3702669</v>
      </c>
      <c r="F284" s="734"/>
      <c r="G284" s="782"/>
      <c r="H284" s="782"/>
      <c r="I284" s="782"/>
      <c r="J284" s="782"/>
      <c r="K284" s="782"/>
      <c r="L284" s="782"/>
      <c r="M284" s="782"/>
      <c r="N284" s="782"/>
      <c r="O284" s="782"/>
      <c r="P284" s="782"/>
      <c r="Q284" s="782"/>
      <c r="R284" s="782"/>
      <c r="S284" s="782"/>
      <c r="T284" s="782"/>
      <c r="U284" s="782"/>
      <c r="V284" s="782"/>
      <c r="W284" s="782"/>
      <c r="X284" s="782"/>
      <c r="Y284" s="782"/>
      <c r="Z284" s="782"/>
      <c r="AA284" s="782"/>
      <c r="AB284" s="782"/>
      <c r="AC284" s="782"/>
      <c r="AD284" s="782"/>
      <c r="AE284" s="782"/>
      <c r="AF284" s="782"/>
      <c r="AG284" s="782"/>
      <c r="AH284" s="782"/>
      <c r="AI284" s="782"/>
      <c r="AJ284" s="782"/>
      <c r="AK284" s="782"/>
    </row>
    <row r="285" spans="1:37" s="7" customFormat="1" ht="24.75" customHeight="1" x14ac:dyDescent="0.25">
      <c r="A285" s="776"/>
      <c r="B285" s="777" t="s">
        <v>844</v>
      </c>
      <c r="C285" s="778"/>
      <c r="D285" s="778">
        <v>642734</v>
      </c>
      <c r="E285" s="778"/>
      <c r="F285" s="782"/>
      <c r="G285" s="782"/>
      <c r="H285" s="782"/>
      <c r="I285" s="782"/>
      <c r="J285" s="782"/>
      <c r="K285" s="782"/>
      <c r="L285" s="782"/>
      <c r="M285" s="782"/>
      <c r="N285" s="782"/>
      <c r="O285" s="782"/>
      <c r="P285" s="782"/>
      <c r="Q285" s="782"/>
      <c r="R285" s="782"/>
      <c r="S285" s="782"/>
      <c r="T285" s="782"/>
      <c r="U285" s="782"/>
      <c r="V285" s="782"/>
      <c r="W285" s="782"/>
      <c r="X285" s="782"/>
      <c r="Y285" s="782"/>
      <c r="Z285" s="782"/>
      <c r="AA285" s="782"/>
      <c r="AB285" s="782"/>
      <c r="AC285" s="782"/>
      <c r="AD285" s="782"/>
      <c r="AE285" s="782"/>
      <c r="AF285" s="782"/>
      <c r="AG285" s="782"/>
      <c r="AH285" s="782"/>
      <c r="AI285" s="782"/>
      <c r="AJ285" s="782"/>
      <c r="AK285" s="782"/>
    </row>
    <row r="286" spans="1:37" s="7" customFormat="1" ht="24.75" customHeight="1" x14ac:dyDescent="0.25">
      <c r="A286" s="776"/>
      <c r="B286" s="777" t="s">
        <v>845</v>
      </c>
      <c r="C286" s="778"/>
      <c r="D286" s="778">
        <v>1306918</v>
      </c>
      <c r="E286" s="778"/>
      <c r="F286" s="782"/>
      <c r="G286" s="782"/>
      <c r="H286" s="782"/>
      <c r="I286" s="782"/>
      <c r="J286" s="782"/>
      <c r="K286" s="782"/>
      <c r="L286" s="782"/>
      <c r="M286" s="782"/>
      <c r="N286" s="782"/>
      <c r="O286" s="782"/>
      <c r="P286" s="782"/>
      <c r="Q286" s="782"/>
      <c r="R286" s="782"/>
      <c r="S286" s="782"/>
      <c r="T286" s="782"/>
      <c r="U286" s="782"/>
      <c r="V286" s="782"/>
      <c r="W286" s="782"/>
      <c r="X286" s="782"/>
      <c r="Y286" s="782"/>
      <c r="Z286" s="782"/>
      <c r="AA286" s="782"/>
      <c r="AB286" s="782"/>
      <c r="AC286" s="782"/>
      <c r="AD286" s="782"/>
      <c r="AE286" s="782"/>
      <c r="AF286" s="782"/>
      <c r="AG286" s="782"/>
      <c r="AH286" s="782"/>
      <c r="AI286" s="782"/>
      <c r="AJ286" s="782"/>
      <c r="AK286" s="782"/>
    </row>
    <row r="287" spans="1:37" s="7" customFormat="1" ht="24.75" customHeight="1" x14ac:dyDescent="0.25">
      <c r="A287" s="776"/>
      <c r="B287" s="777" t="s">
        <v>489</v>
      </c>
      <c r="C287" s="778"/>
      <c r="D287" s="778">
        <v>134428</v>
      </c>
      <c r="E287" s="778"/>
      <c r="F287" s="782"/>
      <c r="G287" s="782"/>
      <c r="H287" s="782"/>
      <c r="I287" s="782"/>
      <c r="J287" s="782"/>
      <c r="K287" s="782"/>
      <c r="L287" s="782"/>
      <c r="M287" s="782"/>
      <c r="N287" s="782"/>
      <c r="O287" s="782"/>
      <c r="P287" s="782"/>
      <c r="Q287" s="782"/>
      <c r="R287" s="782"/>
      <c r="S287" s="782"/>
      <c r="T287" s="782"/>
      <c r="U287" s="782"/>
      <c r="V287" s="782"/>
      <c r="W287" s="782"/>
      <c r="X287" s="782"/>
      <c r="Y287" s="782"/>
      <c r="Z287" s="782"/>
      <c r="AA287" s="782"/>
      <c r="AB287" s="782"/>
      <c r="AC287" s="782"/>
      <c r="AD287" s="782"/>
      <c r="AE287" s="782"/>
      <c r="AF287" s="782"/>
      <c r="AG287" s="782"/>
      <c r="AH287" s="782"/>
      <c r="AI287" s="782"/>
      <c r="AJ287" s="782"/>
      <c r="AK287" s="782"/>
    </row>
    <row r="288" spans="1:37" s="7" customFormat="1" ht="24.75" customHeight="1" x14ac:dyDescent="0.25">
      <c r="A288" s="776"/>
      <c r="B288" s="777" t="s">
        <v>796</v>
      </c>
      <c r="C288" s="778"/>
      <c r="D288" s="778">
        <v>547524</v>
      </c>
      <c r="E288" s="778"/>
      <c r="F288" s="782"/>
      <c r="G288" s="782"/>
      <c r="H288" s="782"/>
      <c r="I288" s="782"/>
      <c r="J288" s="782"/>
      <c r="K288" s="782"/>
      <c r="L288" s="782"/>
      <c r="M288" s="782"/>
      <c r="N288" s="782"/>
      <c r="O288" s="782"/>
      <c r="P288" s="782"/>
      <c r="Q288" s="782"/>
      <c r="R288" s="782"/>
      <c r="S288" s="782"/>
      <c r="T288" s="782"/>
      <c r="U288" s="782"/>
      <c r="V288" s="782"/>
      <c r="W288" s="782"/>
      <c r="X288" s="782"/>
      <c r="Y288" s="782"/>
      <c r="Z288" s="782"/>
      <c r="AA288" s="782"/>
      <c r="AB288" s="782"/>
      <c r="AC288" s="782"/>
      <c r="AD288" s="782"/>
      <c r="AE288" s="782"/>
      <c r="AF288" s="782"/>
      <c r="AG288" s="782"/>
      <c r="AH288" s="782"/>
      <c r="AI288" s="782"/>
      <c r="AJ288" s="782"/>
      <c r="AK288" s="782"/>
    </row>
    <row r="289" spans="1:37" s="7" customFormat="1" ht="24.75" customHeight="1" x14ac:dyDescent="0.25">
      <c r="A289" s="776"/>
      <c r="B289" s="777" t="s">
        <v>797</v>
      </c>
      <c r="C289" s="778"/>
      <c r="D289" s="778">
        <v>53966</v>
      </c>
      <c r="E289" s="778"/>
      <c r="F289" s="782"/>
      <c r="G289" s="782"/>
      <c r="H289" s="782"/>
      <c r="I289" s="782"/>
      <c r="J289" s="782"/>
      <c r="K289" s="782"/>
      <c r="L289" s="782"/>
      <c r="M289" s="782"/>
      <c r="N289" s="782"/>
      <c r="O289" s="782"/>
      <c r="P289" s="782"/>
      <c r="Q289" s="782"/>
      <c r="R289" s="782"/>
      <c r="S289" s="782"/>
      <c r="T289" s="782"/>
      <c r="U289" s="782"/>
      <c r="V289" s="782"/>
      <c r="W289" s="782"/>
      <c r="X289" s="782"/>
      <c r="Y289" s="782"/>
      <c r="Z289" s="782"/>
      <c r="AA289" s="782"/>
      <c r="AB289" s="782"/>
      <c r="AC289" s="782"/>
      <c r="AD289" s="782"/>
      <c r="AE289" s="782"/>
      <c r="AF289" s="782"/>
      <c r="AG289" s="782"/>
      <c r="AH289" s="782"/>
      <c r="AI289" s="782"/>
      <c r="AJ289" s="782"/>
      <c r="AK289" s="782"/>
    </row>
    <row r="290" spans="1:37" s="7" customFormat="1" ht="24.75" customHeight="1" x14ac:dyDescent="0.25">
      <c r="A290" s="776"/>
      <c r="B290" s="777" t="s">
        <v>495</v>
      </c>
      <c r="C290" s="778"/>
      <c r="D290" s="778">
        <v>1017099</v>
      </c>
      <c r="E290" s="778"/>
      <c r="F290" s="782"/>
      <c r="G290" s="782"/>
      <c r="H290" s="782"/>
      <c r="I290" s="782"/>
      <c r="J290" s="782"/>
      <c r="K290" s="782"/>
      <c r="L290" s="782"/>
      <c r="M290" s="782"/>
      <c r="N290" s="782"/>
      <c r="O290" s="782"/>
      <c r="P290" s="782"/>
      <c r="Q290" s="782"/>
      <c r="R290" s="782"/>
      <c r="S290" s="782"/>
      <c r="T290" s="782"/>
      <c r="U290" s="782"/>
      <c r="V290" s="782"/>
      <c r="W290" s="782"/>
      <c r="X290" s="782"/>
      <c r="Y290" s="782"/>
      <c r="Z290" s="782"/>
      <c r="AA290" s="782"/>
      <c r="AB290" s="782"/>
      <c r="AC290" s="782"/>
      <c r="AD290" s="782"/>
      <c r="AE290" s="782"/>
      <c r="AF290" s="782"/>
      <c r="AG290" s="782"/>
      <c r="AH290" s="782"/>
      <c r="AI290" s="782"/>
      <c r="AJ290" s="782"/>
      <c r="AK290" s="782"/>
    </row>
    <row r="291" spans="1:37" s="26" customFormat="1" ht="30.75" customHeight="1" x14ac:dyDescent="0.25">
      <c r="A291" s="30" t="s">
        <v>9</v>
      </c>
      <c r="B291" s="5" t="s">
        <v>0</v>
      </c>
      <c r="C291" s="5"/>
      <c r="D291" s="5"/>
      <c r="E291" s="5" t="s">
        <v>105</v>
      </c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</row>
    <row r="292" spans="1:37" s="7" customFormat="1" ht="24.75" customHeight="1" x14ac:dyDescent="0.25">
      <c r="A292" s="779" t="s">
        <v>186</v>
      </c>
      <c r="B292" s="780" t="s">
        <v>277</v>
      </c>
      <c r="C292" s="781"/>
      <c r="D292" s="781"/>
      <c r="E292" s="781">
        <v>3702669</v>
      </c>
      <c r="F292" s="782"/>
      <c r="G292" s="782"/>
      <c r="H292" s="782"/>
      <c r="I292" s="782"/>
      <c r="J292" s="782"/>
      <c r="K292" s="782"/>
      <c r="L292" s="782"/>
      <c r="M292" s="782"/>
      <c r="N292" s="782"/>
      <c r="O292" s="782"/>
      <c r="P292" s="782"/>
      <c r="Q292" s="782"/>
      <c r="R292" s="782"/>
      <c r="S292" s="782"/>
      <c r="T292" s="782"/>
      <c r="U292" s="782"/>
      <c r="V292" s="782"/>
      <c r="W292" s="782"/>
      <c r="X292" s="782"/>
      <c r="Y292" s="782"/>
      <c r="Z292" s="782"/>
      <c r="AA292" s="782"/>
      <c r="AB292" s="782"/>
      <c r="AC292" s="782"/>
      <c r="AD292" s="782"/>
      <c r="AE292" s="782"/>
      <c r="AF292" s="782"/>
      <c r="AG292" s="782"/>
      <c r="AH292" s="782"/>
      <c r="AI292" s="782"/>
      <c r="AJ292" s="782"/>
      <c r="AK292" s="782"/>
    </row>
    <row r="293" spans="1:37" s="7" customFormat="1" ht="24.75" customHeight="1" x14ac:dyDescent="0.25">
      <c r="A293" s="776" t="s">
        <v>188</v>
      </c>
      <c r="B293" s="777" t="s">
        <v>278</v>
      </c>
      <c r="C293" s="778"/>
      <c r="D293" s="778"/>
      <c r="E293" s="778">
        <v>9206175</v>
      </c>
      <c r="F293" s="734"/>
      <c r="G293" s="782"/>
      <c r="H293" s="782"/>
      <c r="I293" s="782"/>
      <c r="J293" s="782"/>
      <c r="K293" s="782"/>
      <c r="L293" s="782"/>
      <c r="M293" s="782"/>
      <c r="N293" s="782"/>
      <c r="O293" s="782"/>
      <c r="P293" s="782"/>
      <c r="Q293" s="782"/>
      <c r="R293" s="782"/>
      <c r="S293" s="782"/>
      <c r="T293" s="782"/>
      <c r="U293" s="782"/>
      <c r="V293" s="782"/>
      <c r="W293" s="782"/>
      <c r="X293" s="782"/>
      <c r="Y293" s="782"/>
      <c r="Z293" s="782"/>
      <c r="AA293" s="782"/>
      <c r="AB293" s="782"/>
      <c r="AC293" s="782"/>
      <c r="AD293" s="782"/>
      <c r="AE293" s="782"/>
      <c r="AF293" s="782"/>
      <c r="AG293" s="782"/>
      <c r="AH293" s="782"/>
      <c r="AI293" s="782"/>
      <c r="AJ293" s="782"/>
      <c r="AK293" s="782"/>
    </row>
    <row r="294" spans="1:37" s="7" customFormat="1" ht="24.75" customHeight="1" x14ac:dyDescent="0.25">
      <c r="A294" s="776"/>
      <c r="B294" s="777" t="s">
        <v>489</v>
      </c>
      <c r="C294" s="778"/>
      <c r="D294" s="778">
        <v>3579310</v>
      </c>
      <c r="E294" s="778"/>
      <c r="F294" s="782"/>
      <c r="G294" s="782"/>
      <c r="H294" s="782"/>
      <c r="I294" s="782"/>
      <c r="J294" s="782"/>
      <c r="K294" s="782"/>
      <c r="L294" s="782"/>
      <c r="M294" s="782"/>
      <c r="N294" s="782"/>
      <c r="O294" s="782"/>
      <c r="P294" s="782"/>
      <c r="Q294" s="782"/>
      <c r="R294" s="782"/>
      <c r="S294" s="782"/>
      <c r="T294" s="782"/>
      <c r="U294" s="782"/>
      <c r="V294" s="782"/>
      <c r="W294" s="782"/>
      <c r="X294" s="782"/>
      <c r="Y294" s="782"/>
      <c r="Z294" s="782"/>
      <c r="AA294" s="782"/>
      <c r="AB294" s="782"/>
      <c r="AC294" s="782"/>
      <c r="AD294" s="782"/>
      <c r="AE294" s="782"/>
      <c r="AF294" s="782"/>
      <c r="AG294" s="782"/>
      <c r="AH294" s="782"/>
      <c r="AI294" s="782"/>
      <c r="AJ294" s="782"/>
      <c r="AK294" s="782"/>
    </row>
    <row r="295" spans="1:37" s="7" customFormat="1" ht="24.75" customHeight="1" x14ac:dyDescent="0.25">
      <c r="A295" s="776"/>
      <c r="B295" s="777" t="s">
        <v>796</v>
      </c>
      <c r="C295" s="778"/>
      <c r="D295" s="778">
        <v>2381299</v>
      </c>
      <c r="E295" s="778"/>
      <c r="F295" s="782"/>
      <c r="G295" s="782"/>
      <c r="H295" s="782"/>
      <c r="I295" s="782"/>
      <c r="J295" s="782"/>
      <c r="K295" s="782"/>
      <c r="L295" s="782"/>
      <c r="M295" s="782"/>
      <c r="N295" s="782"/>
      <c r="O295" s="782"/>
      <c r="P295" s="782"/>
      <c r="Q295" s="782"/>
      <c r="R295" s="782"/>
      <c r="S295" s="782"/>
      <c r="T295" s="782"/>
      <c r="U295" s="782"/>
      <c r="V295" s="782"/>
      <c r="W295" s="782"/>
      <c r="X295" s="782"/>
      <c r="Y295" s="782"/>
      <c r="Z295" s="782"/>
      <c r="AA295" s="782"/>
      <c r="AB295" s="782"/>
      <c r="AC295" s="782"/>
      <c r="AD295" s="782"/>
      <c r="AE295" s="782"/>
      <c r="AF295" s="782"/>
      <c r="AG295" s="782"/>
      <c r="AH295" s="782"/>
      <c r="AI295" s="782"/>
      <c r="AJ295" s="782"/>
      <c r="AK295" s="782"/>
    </row>
    <row r="296" spans="1:37" s="7" customFormat="1" ht="24.75" customHeight="1" x14ac:dyDescent="0.25">
      <c r="A296" s="776"/>
      <c r="B296" s="777" t="s">
        <v>797</v>
      </c>
      <c r="C296" s="778"/>
      <c r="D296" s="778">
        <v>80168</v>
      </c>
      <c r="E296" s="778"/>
      <c r="F296" s="782"/>
      <c r="G296" s="782"/>
      <c r="H296" s="782"/>
      <c r="I296" s="782"/>
      <c r="J296" s="782"/>
      <c r="K296" s="782"/>
      <c r="L296" s="782"/>
      <c r="M296" s="782"/>
      <c r="N296" s="782"/>
      <c r="O296" s="782"/>
      <c r="P296" s="782"/>
      <c r="Q296" s="782"/>
      <c r="R296" s="782"/>
      <c r="S296" s="782"/>
      <c r="T296" s="782"/>
      <c r="U296" s="782"/>
      <c r="V296" s="782"/>
      <c r="W296" s="782"/>
      <c r="X296" s="782"/>
      <c r="Y296" s="782"/>
      <c r="Z296" s="782"/>
      <c r="AA296" s="782"/>
      <c r="AB296" s="782"/>
      <c r="AC296" s="782"/>
      <c r="AD296" s="782"/>
      <c r="AE296" s="782"/>
      <c r="AF296" s="782"/>
      <c r="AG296" s="782"/>
      <c r="AH296" s="782"/>
      <c r="AI296" s="782"/>
      <c r="AJ296" s="782"/>
      <c r="AK296" s="782"/>
    </row>
    <row r="297" spans="1:37" s="7" customFormat="1" ht="24.75" customHeight="1" x14ac:dyDescent="0.25">
      <c r="A297" s="776"/>
      <c r="B297" s="777" t="s">
        <v>495</v>
      </c>
      <c r="C297" s="778"/>
      <c r="D297" s="778">
        <v>3165398</v>
      </c>
      <c r="E297" s="778"/>
      <c r="F297" s="782"/>
      <c r="G297" s="782"/>
      <c r="H297" s="782"/>
      <c r="I297" s="782"/>
      <c r="J297" s="782"/>
      <c r="K297" s="782"/>
      <c r="L297" s="782"/>
      <c r="M297" s="782"/>
      <c r="N297" s="782"/>
      <c r="O297" s="782"/>
      <c r="P297" s="782"/>
      <c r="Q297" s="782"/>
      <c r="R297" s="782"/>
      <c r="S297" s="782"/>
      <c r="T297" s="782"/>
      <c r="U297" s="782"/>
      <c r="V297" s="782"/>
      <c r="W297" s="782"/>
      <c r="X297" s="782"/>
      <c r="Y297" s="782"/>
      <c r="Z297" s="782"/>
      <c r="AA297" s="782"/>
      <c r="AB297" s="782"/>
      <c r="AC297" s="782"/>
      <c r="AD297" s="782"/>
      <c r="AE297" s="782"/>
      <c r="AF297" s="782"/>
      <c r="AG297" s="782"/>
      <c r="AH297" s="782"/>
      <c r="AI297" s="782"/>
      <c r="AJ297" s="782"/>
      <c r="AK297" s="782"/>
    </row>
    <row r="298" spans="1:37" s="7" customFormat="1" ht="24.75" customHeight="1" x14ac:dyDescent="0.25">
      <c r="A298" s="776" t="s">
        <v>189</v>
      </c>
      <c r="B298" s="777" t="s">
        <v>279</v>
      </c>
      <c r="C298" s="778"/>
      <c r="D298" s="778"/>
      <c r="E298" s="778">
        <v>52044365</v>
      </c>
      <c r="F298" s="782"/>
      <c r="G298" s="782"/>
      <c r="H298" s="782"/>
      <c r="I298" s="782"/>
      <c r="J298" s="782"/>
      <c r="K298" s="782"/>
      <c r="L298" s="782"/>
      <c r="M298" s="782"/>
      <c r="N298" s="782"/>
      <c r="O298" s="782"/>
      <c r="P298" s="782"/>
      <c r="Q298" s="782"/>
      <c r="R298" s="782"/>
      <c r="S298" s="782"/>
      <c r="T298" s="782"/>
      <c r="U298" s="782"/>
      <c r="V298" s="782"/>
      <c r="W298" s="782"/>
      <c r="X298" s="782"/>
      <c r="Y298" s="782"/>
      <c r="Z298" s="782"/>
      <c r="AA298" s="782"/>
      <c r="AB298" s="782"/>
      <c r="AC298" s="782"/>
      <c r="AD298" s="782"/>
      <c r="AE298" s="782"/>
      <c r="AF298" s="782"/>
      <c r="AG298" s="782"/>
      <c r="AH298" s="782"/>
      <c r="AI298" s="782"/>
      <c r="AJ298" s="782"/>
      <c r="AK298" s="782"/>
    </row>
    <row r="299" spans="1:37" s="7" customFormat="1" ht="24.75" customHeight="1" x14ac:dyDescent="0.25">
      <c r="A299" s="776" t="s">
        <v>190</v>
      </c>
      <c r="B299" s="777" t="s">
        <v>293</v>
      </c>
      <c r="C299" s="778"/>
      <c r="D299" s="778"/>
      <c r="E299" s="778">
        <v>52044365</v>
      </c>
      <c r="F299" s="782"/>
      <c r="G299" s="782"/>
      <c r="H299" s="782"/>
      <c r="I299" s="782"/>
      <c r="J299" s="782"/>
      <c r="K299" s="782"/>
      <c r="L299" s="782"/>
      <c r="M299" s="782"/>
      <c r="N299" s="782"/>
      <c r="O299" s="782"/>
      <c r="P299" s="782"/>
      <c r="Q299" s="782"/>
      <c r="R299" s="782"/>
      <c r="S299" s="782"/>
      <c r="T299" s="782"/>
      <c r="U299" s="782"/>
      <c r="V299" s="782"/>
      <c r="W299" s="782"/>
      <c r="X299" s="782"/>
      <c r="Y299" s="782"/>
      <c r="Z299" s="782"/>
      <c r="AA299" s="782"/>
      <c r="AB299" s="782"/>
      <c r="AC299" s="782"/>
      <c r="AD299" s="782"/>
      <c r="AE299" s="782"/>
      <c r="AF299" s="782"/>
      <c r="AG299" s="782"/>
      <c r="AH299" s="782"/>
      <c r="AI299" s="782"/>
      <c r="AJ299" s="782"/>
      <c r="AK299" s="782"/>
    </row>
    <row r="300" spans="1:37" s="7" customFormat="1" ht="24.75" customHeight="1" x14ac:dyDescent="0.25">
      <c r="A300" s="776"/>
      <c r="B300" s="777" t="s">
        <v>844</v>
      </c>
      <c r="C300" s="778"/>
      <c r="D300" s="778">
        <v>52044365</v>
      </c>
      <c r="E300" s="778"/>
      <c r="F300" s="782"/>
      <c r="G300" s="782"/>
      <c r="H300" s="782"/>
      <c r="I300" s="782"/>
      <c r="J300" s="782"/>
      <c r="K300" s="782"/>
      <c r="L300" s="782"/>
      <c r="M300" s="782"/>
      <c r="N300" s="782"/>
      <c r="O300" s="782"/>
      <c r="P300" s="782"/>
      <c r="Q300" s="782"/>
      <c r="R300" s="782"/>
      <c r="S300" s="782"/>
      <c r="T300" s="782"/>
      <c r="U300" s="782"/>
      <c r="V300" s="782"/>
      <c r="W300" s="782"/>
      <c r="X300" s="782"/>
      <c r="Y300" s="782"/>
      <c r="Z300" s="782"/>
      <c r="AA300" s="782"/>
      <c r="AB300" s="782"/>
      <c r="AC300" s="782"/>
      <c r="AD300" s="782"/>
      <c r="AE300" s="782"/>
      <c r="AF300" s="782"/>
      <c r="AG300" s="782"/>
      <c r="AH300" s="782"/>
      <c r="AI300" s="782"/>
      <c r="AJ300" s="782"/>
      <c r="AK300" s="782"/>
    </row>
    <row r="301" spans="1:37" s="7" customFormat="1" ht="24.75" customHeight="1" x14ac:dyDescent="0.25">
      <c r="A301" s="776"/>
      <c r="B301" s="777" t="s">
        <v>923</v>
      </c>
      <c r="C301" s="778">
        <v>52044365</v>
      </c>
      <c r="D301" s="778"/>
      <c r="E301" s="778"/>
      <c r="F301" s="782"/>
      <c r="G301" s="782"/>
      <c r="H301" s="782"/>
      <c r="I301" s="782"/>
      <c r="J301" s="782"/>
      <c r="K301" s="782"/>
      <c r="L301" s="782"/>
      <c r="M301" s="782"/>
      <c r="N301" s="782"/>
      <c r="O301" s="782"/>
      <c r="P301" s="782"/>
      <c r="Q301" s="782"/>
      <c r="R301" s="782"/>
      <c r="S301" s="782"/>
      <c r="T301" s="782"/>
      <c r="U301" s="782"/>
      <c r="V301" s="782"/>
      <c r="W301" s="782"/>
      <c r="X301" s="782"/>
      <c r="Y301" s="782"/>
      <c r="Z301" s="782"/>
      <c r="AA301" s="782"/>
      <c r="AB301" s="782"/>
      <c r="AC301" s="782"/>
      <c r="AD301" s="782"/>
      <c r="AE301" s="782"/>
      <c r="AF301" s="782"/>
      <c r="AG301" s="782"/>
      <c r="AH301" s="782"/>
      <c r="AI301" s="782"/>
      <c r="AJ301" s="782"/>
      <c r="AK301" s="782"/>
    </row>
    <row r="302" spans="1:37" s="7" customFormat="1" ht="24.75" customHeight="1" x14ac:dyDescent="0.25">
      <c r="A302" s="779" t="s">
        <v>17</v>
      </c>
      <c r="B302" s="780" t="s">
        <v>7</v>
      </c>
      <c r="C302" s="781"/>
      <c r="D302" s="781"/>
      <c r="E302" s="781">
        <v>61250540</v>
      </c>
      <c r="F302" s="782"/>
      <c r="G302" s="782"/>
      <c r="H302" s="782"/>
      <c r="I302" s="782"/>
      <c r="J302" s="782"/>
      <c r="K302" s="782"/>
      <c r="L302" s="782"/>
      <c r="M302" s="782"/>
      <c r="N302" s="782"/>
      <c r="O302" s="782"/>
      <c r="P302" s="782"/>
      <c r="Q302" s="782"/>
      <c r="R302" s="782"/>
      <c r="S302" s="782"/>
      <c r="T302" s="782"/>
      <c r="U302" s="782"/>
      <c r="V302" s="782"/>
      <c r="W302" s="782"/>
      <c r="X302" s="782"/>
      <c r="Y302" s="782"/>
      <c r="Z302" s="782"/>
      <c r="AA302" s="782"/>
      <c r="AB302" s="782"/>
      <c r="AC302" s="782"/>
      <c r="AD302" s="782"/>
      <c r="AE302" s="782"/>
      <c r="AF302" s="782"/>
      <c r="AG302" s="782"/>
      <c r="AH302" s="782"/>
      <c r="AI302" s="782"/>
      <c r="AJ302" s="782"/>
      <c r="AK302" s="782"/>
    </row>
    <row r="303" spans="1:37" s="7" customFormat="1" ht="24.75" customHeight="1" x14ac:dyDescent="0.25">
      <c r="A303" s="776" t="s">
        <v>191</v>
      </c>
      <c r="B303" s="777" t="s">
        <v>280</v>
      </c>
      <c r="C303" s="778"/>
      <c r="D303" s="778"/>
      <c r="E303" s="778">
        <v>19114753</v>
      </c>
      <c r="F303" s="782"/>
      <c r="G303" s="782"/>
      <c r="H303" s="782"/>
      <c r="I303" s="782"/>
      <c r="J303" s="782"/>
      <c r="K303" s="782"/>
      <c r="L303" s="782"/>
      <c r="M303" s="782"/>
      <c r="N303" s="782"/>
      <c r="O303" s="782"/>
      <c r="P303" s="782"/>
      <c r="Q303" s="782"/>
      <c r="R303" s="782"/>
      <c r="S303" s="782"/>
      <c r="T303" s="782"/>
      <c r="U303" s="782"/>
      <c r="V303" s="782"/>
      <c r="W303" s="782"/>
      <c r="X303" s="782"/>
      <c r="Y303" s="782"/>
      <c r="Z303" s="782"/>
      <c r="AA303" s="782"/>
      <c r="AB303" s="782"/>
      <c r="AC303" s="782"/>
      <c r="AD303" s="782"/>
      <c r="AE303" s="782"/>
      <c r="AF303" s="782"/>
      <c r="AG303" s="782"/>
      <c r="AH303" s="782"/>
      <c r="AI303" s="782"/>
      <c r="AJ303" s="782"/>
      <c r="AK303" s="782"/>
    </row>
    <row r="304" spans="1:37" s="7" customFormat="1" ht="24.75" customHeight="1" x14ac:dyDescent="0.25">
      <c r="A304" s="776"/>
      <c r="B304" s="777" t="s">
        <v>844</v>
      </c>
      <c r="C304" s="778"/>
      <c r="D304" s="778">
        <v>19114753</v>
      </c>
      <c r="E304" s="778"/>
      <c r="F304" s="782"/>
      <c r="G304" s="782"/>
      <c r="H304" s="782"/>
      <c r="I304" s="782"/>
      <c r="J304" s="782"/>
      <c r="K304" s="782"/>
      <c r="L304" s="782"/>
      <c r="M304" s="782"/>
      <c r="N304" s="782"/>
      <c r="O304" s="782"/>
      <c r="P304" s="782"/>
      <c r="Q304" s="782"/>
      <c r="R304" s="782"/>
      <c r="S304" s="782"/>
      <c r="T304" s="782"/>
      <c r="U304" s="782"/>
      <c r="V304" s="782"/>
      <c r="W304" s="782"/>
      <c r="X304" s="782"/>
      <c r="Y304" s="782"/>
      <c r="Z304" s="782"/>
      <c r="AA304" s="782"/>
      <c r="AB304" s="782"/>
      <c r="AC304" s="782"/>
      <c r="AD304" s="782"/>
      <c r="AE304" s="782"/>
      <c r="AF304" s="782"/>
      <c r="AG304" s="782"/>
      <c r="AH304" s="782"/>
      <c r="AI304" s="782"/>
      <c r="AJ304" s="782"/>
      <c r="AK304" s="782"/>
    </row>
    <row r="305" spans="1:37" s="7" customFormat="1" ht="24.75" customHeight="1" x14ac:dyDescent="0.25">
      <c r="A305" s="776"/>
      <c r="B305" s="777" t="s">
        <v>924</v>
      </c>
      <c r="C305" s="778">
        <v>17032336</v>
      </c>
      <c r="D305" s="778"/>
      <c r="E305" s="778"/>
      <c r="F305" s="782"/>
      <c r="G305" s="782"/>
      <c r="H305" s="782"/>
      <c r="I305" s="782"/>
      <c r="J305" s="782"/>
      <c r="K305" s="782"/>
      <c r="L305" s="782"/>
      <c r="M305" s="782"/>
      <c r="N305" s="782"/>
      <c r="O305" s="782"/>
      <c r="P305" s="782"/>
      <c r="Q305" s="782"/>
      <c r="R305" s="782"/>
      <c r="S305" s="782"/>
      <c r="T305" s="782"/>
      <c r="U305" s="782"/>
      <c r="V305" s="782"/>
      <c r="W305" s="782"/>
      <c r="X305" s="782"/>
      <c r="Y305" s="782"/>
      <c r="Z305" s="782"/>
      <c r="AA305" s="782"/>
      <c r="AB305" s="782"/>
      <c r="AC305" s="782"/>
      <c r="AD305" s="782"/>
      <c r="AE305" s="782"/>
      <c r="AF305" s="782"/>
      <c r="AG305" s="782"/>
      <c r="AH305" s="782"/>
      <c r="AI305" s="782"/>
      <c r="AJ305" s="782"/>
      <c r="AK305" s="782"/>
    </row>
    <row r="306" spans="1:37" s="7" customFormat="1" ht="24.75" customHeight="1" x14ac:dyDescent="0.25">
      <c r="A306" s="776"/>
      <c r="B306" s="777" t="s">
        <v>925</v>
      </c>
      <c r="C306" s="778">
        <v>9680</v>
      </c>
      <c r="D306" s="778"/>
      <c r="E306" s="778"/>
      <c r="F306" s="782"/>
      <c r="G306" s="782"/>
      <c r="H306" s="782"/>
      <c r="I306" s="782"/>
      <c r="J306" s="782"/>
      <c r="K306" s="782"/>
      <c r="L306" s="782"/>
      <c r="M306" s="782"/>
      <c r="N306" s="782"/>
      <c r="O306" s="782"/>
      <c r="P306" s="782"/>
      <c r="Q306" s="782"/>
      <c r="R306" s="782"/>
      <c r="S306" s="782"/>
      <c r="T306" s="782"/>
      <c r="U306" s="782"/>
      <c r="V306" s="782"/>
      <c r="W306" s="782"/>
      <c r="X306" s="782"/>
      <c r="Y306" s="782"/>
      <c r="Z306" s="782"/>
      <c r="AA306" s="782"/>
      <c r="AB306" s="782"/>
      <c r="AC306" s="782"/>
      <c r="AD306" s="782"/>
      <c r="AE306" s="782"/>
      <c r="AF306" s="782"/>
      <c r="AG306" s="782"/>
      <c r="AH306" s="782"/>
      <c r="AI306" s="782"/>
      <c r="AJ306" s="782"/>
      <c r="AK306" s="782"/>
    </row>
    <row r="307" spans="1:37" s="7" customFormat="1" ht="24.75" customHeight="1" x14ac:dyDescent="0.25">
      <c r="A307" s="776"/>
      <c r="B307" s="777" t="s">
        <v>926</v>
      </c>
      <c r="C307" s="778">
        <v>171353</v>
      </c>
      <c r="D307" s="778"/>
      <c r="E307" s="778"/>
      <c r="F307" s="782"/>
      <c r="G307" s="782"/>
      <c r="H307" s="782"/>
      <c r="I307" s="782"/>
      <c r="J307" s="782"/>
      <c r="K307" s="782"/>
      <c r="L307" s="782"/>
      <c r="M307" s="782"/>
      <c r="N307" s="782"/>
      <c r="O307" s="782"/>
      <c r="P307" s="782"/>
      <c r="Q307" s="782"/>
      <c r="R307" s="782"/>
      <c r="S307" s="782"/>
      <c r="T307" s="782"/>
      <c r="U307" s="782"/>
      <c r="V307" s="782"/>
      <c r="W307" s="782"/>
      <c r="X307" s="782"/>
      <c r="Y307" s="782"/>
      <c r="Z307" s="782"/>
      <c r="AA307" s="782"/>
      <c r="AB307" s="782"/>
      <c r="AC307" s="782"/>
      <c r="AD307" s="782"/>
      <c r="AE307" s="782"/>
      <c r="AF307" s="782"/>
      <c r="AG307" s="782"/>
      <c r="AH307" s="782"/>
      <c r="AI307" s="782"/>
      <c r="AJ307" s="782"/>
      <c r="AK307" s="782"/>
    </row>
    <row r="308" spans="1:37" s="7" customFormat="1" ht="24.75" customHeight="1" x14ac:dyDescent="0.25">
      <c r="A308" s="776"/>
      <c r="B308" s="777" t="s">
        <v>927</v>
      </c>
      <c r="C308" s="778">
        <v>27265</v>
      </c>
      <c r="D308" s="778"/>
      <c r="E308" s="778"/>
      <c r="F308" s="782"/>
      <c r="G308" s="782"/>
      <c r="H308" s="782"/>
      <c r="I308" s="782"/>
      <c r="J308" s="782"/>
      <c r="K308" s="782"/>
      <c r="L308" s="782"/>
      <c r="M308" s="782"/>
      <c r="N308" s="782"/>
      <c r="O308" s="782"/>
      <c r="P308" s="782"/>
      <c r="Q308" s="782"/>
      <c r="R308" s="782"/>
      <c r="S308" s="782"/>
      <c r="T308" s="782"/>
      <c r="U308" s="782"/>
      <c r="V308" s="782"/>
      <c r="W308" s="782"/>
      <c r="X308" s="782"/>
      <c r="Y308" s="782"/>
      <c r="Z308" s="782"/>
      <c r="AA308" s="782"/>
      <c r="AB308" s="782"/>
      <c r="AC308" s="782"/>
      <c r="AD308" s="782"/>
      <c r="AE308" s="782"/>
      <c r="AF308" s="782"/>
      <c r="AG308" s="782"/>
      <c r="AH308" s="782"/>
      <c r="AI308" s="782"/>
      <c r="AJ308" s="782"/>
      <c r="AK308" s="782"/>
    </row>
    <row r="309" spans="1:37" s="7" customFormat="1" ht="24.75" customHeight="1" x14ac:dyDescent="0.25">
      <c r="A309" s="776"/>
      <c r="B309" s="777" t="s">
        <v>928</v>
      </c>
      <c r="C309" s="778">
        <v>1083054</v>
      </c>
      <c r="D309" s="778"/>
      <c r="E309" s="778"/>
      <c r="F309" s="782"/>
      <c r="G309" s="782"/>
      <c r="H309" s="782"/>
      <c r="I309" s="782"/>
      <c r="J309" s="782"/>
      <c r="K309" s="782"/>
      <c r="L309" s="782"/>
      <c r="M309" s="782"/>
      <c r="N309" s="782"/>
      <c r="O309" s="782"/>
      <c r="P309" s="782"/>
      <c r="Q309" s="782"/>
      <c r="R309" s="782"/>
      <c r="S309" s="782"/>
      <c r="T309" s="782"/>
      <c r="U309" s="782"/>
      <c r="V309" s="782"/>
      <c r="W309" s="782"/>
      <c r="X309" s="782"/>
      <c r="Y309" s="782"/>
      <c r="Z309" s="782"/>
      <c r="AA309" s="782"/>
      <c r="AB309" s="782"/>
      <c r="AC309" s="782"/>
      <c r="AD309" s="782"/>
      <c r="AE309" s="782"/>
      <c r="AF309" s="782"/>
      <c r="AG309" s="782"/>
      <c r="AH309" s="782"/>
      <c r="AI309" s="782"/>
      <c r="AJ309" s="782"/>
      <c r="AK309" s="782"/>
    </row>
    <row r="310" spans="1:37" s="7" customFormat="1" ht="24.75" customHeight="1" x14ac:dyDescent="0.25">
      <c r="A310" s="776"/>
      <c r="B310" s="777" t="s">
        <v>929</v>
      </c>
      <c r="C310" s="778">
        <v>5000</v>
      </c>
      <c r="D310" s="778"/>
      <c r="E310" s="778"/>
      <c r="F310" s="782"/>
      <c r="G310" s="782"/>
      <c r="H310" s="782"/>
      <c r="I310" s="782"/>
      <c r="J310" s="782"/>
      <c r="K310" s="782"/>
      <c r="L310" s="782"/>
      <c r="M310" s="782"/>
      <c r="N310" s="782"/>
      <c r="O310" s="782"/>
      <c r="P310" s="782"/>
      <c r="Q310" s="782"/>
      <c r="R310" s="782"/>
      <c r="S310" s="782"/>
      <c r="T310" s="782"/>
      <c r="U310" s="782"/>
      <c r="V310" s="782"/>
      <c r="W310" s="782"/>
      <c r="X310" s="782"/>
      <c r="Y310" s="782"/>
      <c r="Z310" s="782"/>
      <c r="AA310" s="782"/>
      <c r="AB310" s="782"/>
      <c r="AC310" s="782"/>
      <c r="AD310" s="782"/>
      <c r="AE310" s="782"/>
      <c r="AF310" s="782"/>
      <c r="AG310" s="782"/>
      <c r="AH310" s="782"/>
      <c r="AI310" s="782"/>
      <c r="AJ310" s="782"/>
      <c r="AK310" s="782"/>
    </row>
    <row r="311" spans="1:37" s="7" customFormat="1" ht="24.75" customHeight="1" x14ac:dyDescent="0.25">
      <c r="A311" s="776"/>
      <c r="B311" s="777" t="s">
        <v>930</v>
      </c>
      <c r="C311" s="778">
        <v>62529</v>
      </c>
      <c r="D311" s="778"/>
      <c r="E311" s="778"/>
      <c r="F311" s="782"/>
      <c r="G311" s="782"/>
      <c r="H311" s="782"/>
      <c r="I311" s="782"/>
      <c r="J311" s="782"/>
      <c r="K311" s="782"/>
      <c r="L311" s="782"/>
      <c r="M311" s="782"/>
      <c r="N311" s="782"/>
      <c r="O311" s="782"/>
      <c r="P311" s="782"/>
      <c r="Q311" s="782"/>
      <c r="R311" s="782"/>
      <c r="S311" s="782"/>
      <c r="T311" s="782"/>
      <c r="U311" s="782"/>
      <c r="V311" s="782"/>
      <c r="W311" s="782"/>
      <c r="X311" s="782"/>
      <c r="Y311" s="782"/>
      <c r="Z311" s="782"/>
      <c r="AA311" s="782"/>
      <c r="AB311" s="782"/>
      <c r="AC311" s="782"/>
      <c r="AD311" s="782"/>
      <c r="AE311" s="782"/>
      <c r="AF311" s="782"/>
      <c r="AG311" s="782"/>
      <c r="AH311" s="782"/>
      <c r="AI311" s="782"/>
      <c r="AJ311" s="782"/>
      <c r="AK311" s="782"/>
    </row>
    <row r="312" spans="1:37" s="7" customFormat="1" ht="24.75" customHeight="1" x14ac:dyDescent="0.25">
      <c r="A312" s="776"/>
      <c r="B312" s="777" t="s">
        <v>931</v>
      </c>
      <c r="C312" s="778">
        <v>39787</v>
      </c>
      <c r="D312" s="778"/>
      <c r="E312" s="778"/>
      <c r="F312" s="782"/>
      <c r="G312" s="782"/>
      <c r="H312" s="782"/>
      <c r="I312" s="782"/>
      <c r="J312" s="782"/>
      <c r="K312" s="782"/>
      <c r="L312" s="782"/>
      <c r="M312" s="782"/>
      <c r="N312" s="782"/>
      <c r="O312" s="782"/>
      <c r="P312" s="782"/>
      <c r="Q312" s="782"/>
      <c r="R312" s="782"/>
      <c r="S312" s="782"/>
      <c r="T312" s="782"/>
      <c r="U312" s="782"/>
      <c r="V312" s="782"/>
      <c r="W312" s="782"/>
      <c r="X312" s="782"/>
      <c r="Y312" s="782"/>
      <c r="Z312" s="782"/>
      <c r="AA312" s="782"/>
      <c r="AB312" s="782"/>
      <c r="AC312" s="782"/>
      <c r="AD312" s="782"/>
      <c r="AE312" s="782"/>
      <c r="AF312" s="782"/>
      <c r="AG312" s="782"/>
      <c r="AH312" s="782"/>
      <c r="AI312" s="782"/>
      <c r="AJ312" s="782"/>
      <c r="AK312" s="782"/>
    </row>
    <row r="313" spans="1:37" s="7" customFormat="1" ht="24.75" customHeight="1" x14ac:dyDescent="0.25">
      <c r="A313" s="776"/>
      <c r="B313" s="777" t="s">
        <v>932</v>
      </c>
      <c r="C313" s="778">
        <v>600927</v>
      </c>
      <c r="D313" s="778"/>
      <c r="E313" s="778"/>
      <c r="F313" s="782"/>
      <c r="G313" s="782"/>
      <c r="H313" s="782"/>
      <c r="I313" s="782"/>
      <c r="J313" s="782"/>
      <c r="K313" s="782"/>
      <c r="L313" s="782"/>
      <c r="M313" s="782"/>
      <c r="N313" s="782"/>
      <c r="O313" s="782"/>
      <c r="P313" s="782"/>
      <c r="Q313" s="782"/>
      <c r="R313" s="782"/>
      <c r="S313" s="782"/>
      <c r="T313" s="782"/>
      <c r="U313" s="782"/>
      <c r="V313" s="782"/>
      <c r="W313" s="782"/>
      <c r="X313" s="782"/>
      <c r="Y313" s="782"/>
      <c r="Z313" s="782"/>
      <c r="AA313" s="782"/>
      <c r="AB313" s="782"/>
      <c r="AC313" s="782"/>
      <c r="AD313" s="782"/>
      <c r="AE313" s="782"/>
      <c r="AF313" s="782"/>
      <c r="AG313" s="782"/>
      <c r="AH313" s="782"/>
      <c r="AI313" s="782"/>
      <c r="AJ313" s="782"/>
      <c r="AK313" s="782"/>
    </row>
    <row r="314" spans="1:37" s="7" customFormat="1" ht="24.75" customHeight="1" x14ac:dyDescent="0.25">
      <c r="A314" s="776"/>
      <c r="B314" s="777" t="s">
        <v>933</v>
      </c>
      <c r="C314" s="778">
        <v>72822</v>
      </c>
      <c r="D314" s="778"/>
      <c r="E314" s="778"/>
      <c r="F314" s="782"/>
      <c r="G314" s="782"/>
      <c r="H314" s="782"/>
      <c r="I314" s="782"/>
      <c r="J314" s="782"/>
      <c r="K314" s="782"/>
      <c r="L314" s="782"/>
      <c r="M314" s="782"/>
      <c r="N314" s="782"/>
      <c r="O314" s="782"/>
      <c r="P314" s="782"/>
      <c r="Q314" s="782"/>
      <c r="R314" s="782"/>
      <c r="S314" s="782"/>
      <c r="T314" s="782"/>
      <c r="U314" s="782"/>
      <c r="V314" s="782"/>
      <c r="W314" s="782"/>
      <c r="X314" s="782"/>
      <c r="Y314" s="782"/>
      <c r="Z314" s="782"/>
      <c r="AA314" s="782"/>
      <c r="AB314" s="782"/>
      <c r="AC314" s="782"/>
      <c r="AD314" s="782"/>
      <c r="AE314" s="782"/>
      <c r="AF314" s="782"/>
      <c r="AG314" s="782"/>
      <c r="AH314" s="782"/>
      <c r="AI314" s="782"/>
      <c r="AJ314" s="782"/>
      <c r="AK314" s="782"/>
    </row>
    <row r="315" spans="1:37" s="7" customFormat="1" ht="24.75" customHeight="1" x14ac:dyDescent="0.25">
      <c r="A315" s="776"/>
      <c r="B315" s="777" t="s">
        <v>934</v>
      </c>
      <c r="C315" s="778">
        <v>10000</v>
      </c>
      <c r="D315" s="778"/>
      <c r="E315" s="778"/>
      <c r="F315" s="782"/>
      <c r="G315" s="782"/>
      <c r="H315" s="782"/>
      <c r="I315" s="782"/>
      <c r="J315" s="782"/>
      <c r="K315" s="782"/>
      <c r="L315" s="782"/>
      <c r="M315" s="782"/>
      <c r="N315" s="782"/>
      <c r="O315" s="782"/>
      <c r="P315" s="782"/>
      <c r="Q315" s="782"/>
      <c r="R315" s="782"/>
      <c r="S315" s="782"/>
      <c r="T315" s="782"/>
      <c r="U315" s="782"/>
      <c r="V315" s="782"/>
      <c r="W315" s="782"/>
      <c r="X315" s="782"/>
      <c r="Y315" s="782"/>
      <c r="Z315" s="782"/>
      <c r="AA315" s="782"/>
      <c r="AB315" s="782"/>
      <c r="AC315" s="782"/>
      <c r="AD315" s="782"/>
      <c r="AE315" s="782"/>
      <c r="AF315" s="782"/>
      <c r="AG315" s="782"/>
      <c r="AH315" s="782"/>
      <c r="AI315" s="782"/>
      <c r="AJ315" s="782"/>
      <c r="AK315" s="782"/>
    </row>
    <row r="316" spans="1:37" s="7" customFormat="1" ht="24.75" customHeight="1" x14ac:dyDescent="0.25">
      <c r="A316" s="776" t="s">
        <v>192</v>
      </c>
      <c r="B316" s="777" t="s">
        <v>281</v>
      </c>
      <c r="C316" s="778"/>
      <c r="D316" s="778"/>
      <c r="E316" s="778">
        <v>1052234</v>
      </c>
      <c r="F316" s="734"/>
      <c r="G316" s="782"/>
      <c r="H316" s="782"/>
      <c r="I316" s="782"/>
      <c r="J316" s="782"/>
      <c r="K316" s="782"/>
      <c r="L316" s="782"/>
      <c r="M316" s="782"/>
      <c r="N316" s="782"/>
      <c r="O316" s="782"/>
      <c r="P316" s="782"/>
      <c r="Q316" s="782"/>
      <c r="R316" s="782"/>
      <c r="S316" s="782"/>
      <c r="T316" s="782"/>
      <c r="U316" s="782"/>
      <c r="V316" s="782"/>
      <c r="W316" s="782"/>
      <c r="X316" s="782"/>
      <c r="Y316" s="782"/>
      <c r="Z316" s="782"/>
      <c r="AA316" s="782"/>
      <c r="AB316" s="782"/>
      <c r="AC316" s="782"/>
      <c r="AD316" s="782"/>
      <c r="AE316" s="782"/>
      <c r="AF316" s="782"/>
      <c r="AG316" s="782"/>
      <c r="AH316" s="782"/>
      <c r="AI316" s="782"/>
      <c r="AJ316" s="782"/>
      <c r="AK316" s="782"/>
    </row>
    <row r="317" spans="1:37" s="7" customFormat="1" ht="24.75" customHeight="1" x14ac:dyDescent="0.25">
      <c r="A317" s="776"/>
      <c r="B317" s="777" t="s">
        <v>844</v>
      </c>
      <c r="C317" s="778"/>
      <c r="D317" s="778">
        <v>868017</v>
      </c>
      <c r="E317" s="778"/>
      <c r="F317" s="782"/>
      <c r="G317" s="782"/>
      <c r="H317" s="782"/>
      <c r="I317" s="782"/>
      <c r="J317" s="782"/>
      <c r="K317" s="782"/>
      <c r="L317" s="782"/>
      <c r="M317" s="782"/>
      <c r="N317" s="782"/>
      <c r="O317" s="782"/>
      <c r="P317" s="782"/>
      <c r="Q317" s="782"/>
      <c r="R317" s="782"/>
      <c r="S317" s="782"/>
      <c r="T317" s="782"/>
      <c r="U317" s="782"/>
      <c r="V317" s="782"/>
      <c r="W317" s="782"/>
      <c r="X317" s="782"/>
      <c r="Y317" s="782"/>
      <c r="Z317" s="782"/>
      <c r="AA317" s="782"/>
      <c r="AB317" s="782"/>
      <c r="AC317" s="782"/>
      <c r="AD317" s="782"/>
      <c r="AE317" s="782"/>
      <c r="AF317" s="782"/>
      <c r="AG317" s="782"/>
      <c r="AH317" s="782"/>
      <c r="AI317" s="782"/>
      <c r="AJ317" s="782"/>
      <c r="AK317" s="782"/>
    </row>
    <row r="318" spans="1:37" s="7" customFormat="1" ht="24.75" customHeight="1" x14ac:dyDescent="0.25">
      <c r="A318" s="776"/>
      <c r="B318" s="777" t="s">
        <v>935</v>
      </c>
      <c r="C318" s="778">
        <v>568017</v>
      </c>
      <c r="D318" s="778"/>
      <c r="E318" s="778"/>
      <c r="F318" s="782"/>
      <c r="G318" s="782"/>
      <c r="H318" s="782"/>
      <c r="I318" s="782"/>
      <c r="J318" s="782"/>
      <c r="K318" s="782"/>
      <c r="L318" s="782"/>
      <c r="M318" s="782"/>
      <c r="N318" s="782"/>
      <c r="O318" s="782"/>
      <c r="P318" s="782"/>
      <c r="Q318" s="782"/>
      <c r="R318" s="782"/>
      <c r="S318" s="782"/>
      <c r="T318" s="782"/>
      <c r="U318" s="782"/>
      <c r="V318" s="782"/>
      <c r="W318" s="782"/>
      <c r="X318" s="782"/>
      <c r="Y318" s="782"/>
      <c r="Z318" s="782"/>
      <c r="AA318" s="782"/>
      <c r="AB318" s="782"/>
      <c r="AC318" s="782"/>
      <c r="AD318" s="782"/>
      <c r="AE318" s="782"/>
      <c r="AF318" s="782"/>
      <c r="AG318" s="782"/>
      <c r="AH318" s="782"/>
      <c r="AI318" s="782"/>
      <c r="AJ318" s="782"/>
      <c r="AK318" s="782"/>
    </row>
    <row r="319" spans="1:37" s="7" customFormat="1" ht="24.75" customHeight="1" x14ac:dyDescent="0.25">
      <c r="A319" s="776"/>
      <c r="B319" s="777" t="s">
        <v>936</v>
      </c>
      <c r="C319" s="778">
        <v>300000</v>
      </c>
      <c r="D319" s="778"/>
      <c r="E319" s="778"/>
      <c r="F319" s="782"/>
      <c r="G319" s="782"/>
      <c r="H319" s="782"/>
      <c r="I319" s="782"/>
      <c r="J319" s="782"/>
      <c r="K319" s="782"/>
      <c r="L319" s="782"/>
      <c r="M319" s="782"/>
      <c r="N319" s="782"/>
      <c r="O319" s="782"/>
      <c r="P319" s="782"/>
      <c r="Q319" s="782"/>
      <c r="R319" s="782"/>
      <c r="S319" s="782"/>
      <c r="T319" s="782"/>
      <c r="U319" s="782"/>
      <c r="V319" s="782"/>
      <c r="W319" s="782"/>
      <c r="X319" s="782"/>
      <c r="Y319" s="782"/>
      <c r="Z319" s="782"/>
      <c r="AA319" s="782"/>
      <c r="AB319" s="782"/>
      <c r="AC319" s="782"/>
      <c r="AD319" s="782"/>
      <c r="AE319" s="782"/>
      <c r="AF319" s="782"/>
      <c r="AG319" s="782"/>
      <c r="AH319" s="782"/>
      <c r="AI319" s="782"/>
      <c r="AJ319" s="782"/>
      <c r="AK319" s="782"/>
    </row>
    <row r="320" spans="1:37" s="7" customFormat="1" ht="24.75" customHeight="1" x14ac:dyDescent="0.25">
      <c r="A320" s="776"/>
      <c r="B320" s="777" t="s">
        <v>495</v>
      </c>
      <c r="C320" s="778"/>
      <c r="D320" s="778">
        <v>184217</v>
      </c>
      <c r="E320" s="778"/>
      <c r="F320" s="782"/>
      <c r="G320" s="782"/>
      <c r="H320" s="782"/>
      <c r="I320" s="782"/>
      <c r="J320" s="782"/>
      <c r="K320" s="782"/>
      <c r="L320" s="782"/>
      <c r="M320" s="782"/>
      <c r="N320" s="782"/>
      <c r="O320" s="782"/>
      <c r="P320" s="782"/>
      <c r="Q320" s="782"/>
      <c r="R320" s="782"/>
      <c r="S320" s="782"/>
      <c r="T320" s="782"/>
      <c r="U320" s="782"/>
      <c r="V320" s="782"/>
      <c r="W320" s="782"/>
      <c r="X320" s="782"/>
      <c r="Y320" s="782"/>
      <c r="Z320" s="782"/>
      <c r="AA320" s="782"/>
      <c r="AB320" s="782"/>
      <c r="AC320" s="782"/>
      <c r="AD320" s="782"/>
      <c r="AE320" s="782"/>
      <c r="AF320" s="782"/>
      <c r="AG320" s="782"/>
      <c r="AH320" s="782"/>
      <c r="AI320" s="782"/>
      <c r="AJ320" s="782"/>
      <c r="AK320" s="782"/>
    </row>
    <row r="321" spans="1:37" s="27" customFormat="1" ht="24.75" customHeight="1" x14ac:dyDescent="0.25">
      <c r="A321" s="776" t="s">
        <v>193</v>
      </c>
      <c r="B321" s="777" t="s">
        <v>282</v>
      </c>
      <c r="C321" s="778"/>
      <c r="D321" s="778"/>
      <c r="E321" s="778">
        <v>1486524</v>
      </c>
      <c r="F321" s="782"/>
      <c r="G321" s="782"/>
      <c r="H321" s="782"/>
      <c r="I321" s="782"/>
      <c r="J321" s="782"/>
      <c r="K321" s="782"/>
      <c r="L321" s="782"/>
      <c r="M321" s="782"/>
      <c r="N321" s="782"/>
      <c r="O321" s="782"/>
      <c r="P321" s="782"/>
      <c r="Q321" s="782"/>
      <c r="R321" s="782"/>
      <c r="S321" s="782"/>
      <c r="T321" s="782"/>
      <c r="U321" s="782"/>
      <c r="V321" s="782"/>
      <c r="W321" s="782"/>
      <c r="X321" s="782"/>
      <c r="Y321" s="782"/>
      <c r="Z321" s="782"/>
      <c r="AA321" s="782"/>
      <c r="AB321" s="782"/>
      <c r="AC321" s="782"/>
      <c r="AD321" s="782"/>
      <c r="AE321" s="782"/>
      <c r="AF321" s="782"/>
      <c r="AG321" s="782"/>
      <c r="AH321" s="782"/>
      <c r="AI321" s="782"/>
      <c r="AJ321" s="782"/>
      <c r="AK321" s="782"/>
    </row>
    <row r="322" spans="1:37" s="7" customFormat="1" ht="24.75" customHeight="1" x14ac:dyDescent="0.25">
      <c r="A322" s="776"/>
      <c r="B322" s="777" t="s">
        <v>844</v>
      </c>
      <c r="C322" s="778"/>
      <c r="D322" s="778">
        <v>1486524</v>
      </c>
      <c r="E322" s="778"/>
      <c r="F322" s="782"/>
      <c r="G322" s="782"/>
      <c r="H322" s="782"/>
      <c r="I322" s="782"/>
      <c r="J322" s="782"/>
      <c r="K322" s="782"/>
      <c r="L322" s="782"/>
      <c r="M322" s="782"/>
      <c r="N322" s="782"/>
      <c r="O322" s="782"/>
      <c r="P322" s="782"/>
      <c r="Q322" s="782"/>
      <c r="R322" s="782"/>
      <c r="S322" s="782"/>
      <c r="T322" s="782"/>
      <c r="U322" s="782"/>
      <c r="V322" s="782"/>
      <c r="W322" s="782"/>
      <c r="X322" s="782"/>
      <c r="Y322" s="782"/>
      <c r="Z322" s="782"/>
      <c r="AA322" s="782"/>
      <c r="AB322" s="782"/>
      <c r="AC322" s="782"/>
      <c r="AD322" s="782"/>
      <c r="AE322" s="782"/>
      <c r="AF322" s="782"/>
      <c r="AG322" s="782"/>
      <c r="AH322" s="782"/>
      <c r="AI322" s="782"/>
      <c r="AJ322" s="782"/>
      <c r="AK322" s="782"/>
    </row>
    <row r="323" spans="1:37" s="7" customFormat="1" ht="24.75" customHeight="1" x14ac:dyDescent="0.25">
      <c r="A323" s="776"/>
      <c r="B323" s="777" t="s">
        <v>937</v>
      </c>
      <c r="C323" s="778">
        <v>545314</v>
      </c>
      <c r="D323" s="778"/>
      <c r="E323" s="778"/>
      <c r="F323" s="782"/>
      <c r="G323" s="782"/>
      <c r="H323" s="782"/>
      <c r="I323" s="782"/>
      <c r="J323" s="782"/>
      <c r="K323" s="782"/>
      <c r="L323" s="782"/>
      <c r="M323" s="782"/>
      <c r="N323" s="782"/>
      <c r="O323" s="782"/>
      <c r="P323" s="782"/>
      <c r="Q323" s="782"/>
      <c r="R323" s="782"/>
      <c r="S323" s="782"/>
      <c r="T323" s="782"/>
      <c r="U323" s="782"/>
      <c r="V323" s="782"/>
      <c r="W323" s="782"/>
      <c r="X323" s="782"/>
      <c r="Y323" s="782"/>
      <c r="Z323" s="782"/>
      <c r="AA323" s="782"/>
      <c r="AB323" s="782"/>
      <c r="AC323" s="782"/>
      <c r="AD323" s="782"/>
      <c r="AE323" s="782"/>
      <c r="AF323" s="782"/>
      <c r="AG323" s="782"/>
      <c r="AH323" s="782"/>
      <c r="AI323" s="782"/>
      <c r="AJ323" s="782"/>
      <c r="AK323" s="782"/>
    </row>
    <row r="324" spans="1:37" s="7" customFormat="1" ht="24.75" customHeight="1" x14ac:dyDescent="0.25">
      <c r="A324" s="776"/>
      <c r="B324" s="777" t="s">
        <v>938</v>
      </c>
      <c r="C324" s="778">
        <v>941210</v>
      </c>
      <c r="D324" s="778"/>
      <c r="E324" s="778"/>
      <c r="F324" s="782"/>
      <c r="G324" s="782"/>
      <c r="H324" s="782"/>
      <c r="I324" s="782"/>
      <c r="J324" s="782"/>
      <c r="K324" s="782"/>
      <c r="L324" s="782"/>
      <c r="M324" s="782"/>
      <c r="N324" s="782"/>
      <c r="O324" s="782"/>
      <c r="P324" s="782"/>
      <c r="Q324" s="782"/>
      <c r="R324" s="782"/>
      <c r="S324" s="782"/>
      <c r="T324" s="782"/>
      <c r="U324" s="782"/>
      <c r="V324" s="782"/>
      <c r="W324" s="782"/>
      <c r="X324" s="782"/>
      <c r="Y324" s="782"/>
      <c r="Z324" s="782"/>
      <c r="AA324" s="782"/>
      <c r="AB324" s="782"/>
      <c r="AC324" s="782"/>
      <c r="AD324" s="782"/>
      <c r="AE324" s="782"/>
      <c r="AF324" s="782"/>
      <c r="AG324" s="782"/>
      <c r="AH324" s="782"/>
      <c r="AI324" s="782"/>
      <c r="AJ324" s="782"/>
      <c r="AK324" s="782"/>
    </row>
    <row r="325" spans="1:37" s="7" customFormat="1" ht="24.75" customHeight="1" x14ac:dyDescent="0.25">
      <c r="A325" s="779" t="s">
        <v>18</v>
      </c>
      <c r="B325" s="780" t="s">
        <v>283</v>
      </c>
      <c r="C325" s="781"/>
      <c r="D325" s="781"/>
      <c r="E325" s="781">
        <v>21653511</v>
      </c>
      <c r="F325" s="782"/>
      <c r="G325" s="782"/>
      <c r="H325" s="782"/>
      <c r="I325" s="782"/>
      <c r="J325" s="782"/>
      <c r="K325" s="782"/>
      <c r="L325" s="782"/>
      <c r="M325" s="782"/>
      <c r="N325" s="782"/>
      <c r="O325" s="782"/>
      <c r="P325" s="782"/>
      <c r="Q325" s="782"/>
      <c r="R325" s="782"/>
      <c r="S325" s="782"/>
      <c r="T325" s="782"/>
      <c r="U325" s="782"/>
      <c r="V325" s="782"/>
      <c r="W325" s="782"/>
      <c r="X325" s="782"/>
      <c r="Y325" s="782"/>
      <c r="Z325" s="782"/>
      <c r="AA325" s="782"/>
      <c r="AB325" s="782"/>
      <c r="AC325" s="782"/>
      <c r="AD325" s="782"/>
      <c r="AE325" s="782"/>
      <c r="AF325" s="782"/>
      <c r="AG325" s="782"/>
      <c r="AH325" s="782"/>
      <c r="AI325" s="782"/>
      <c r="AJ325" s="782"/>
      <c r="AK325" s="782"/>
    </row>
    <row r="326" spans="1:37" ht="24.75" customHeight="1" x14ac:dyDescent="0.25">
      <c r="A326" s="779" t="s">
        <v>194</v>
      </c>
      <c r="B326" s="780" t="s">
        <v>284</v>
      </c>
      <c r="C326" s="781"/>
      <c r="D326" s="781"/>
      <c r="E326" s="781">
        <v>86606720</v>
      </c>
    </row>
    <row r="327" spans="1:37" ht="24.75" customHeight="1" x14ac:dyDescent="0.25">
      <c r="A327" s="776" t="s">
        <v>195</v>
      </c>
      <c r="B327" s="777" t="s">
        <v>285</v>
      </c>
      <c r="C327" s="778"/>
      <c r="D327" s="778"/>
      <c r="E327" s="778">
        <v>955078387</v>
      </c>
      <c r="F327" s="735"/>
    </row>
    <row r="328" spans="1:37" s="7" customFormat="1" ht="24.75" customHeight="1" x14ac:dyDescent="0.25">
      <c r="A328" s="776"/>
      <c r="B328" s="777" t="s">
        <v>844</v>
      </c>
      <c r="C328" s="778"/>
      <c r="D328" s="778">
        <v>910814870</v>
      </c>
      <c r="E328" s="778"/>
      <c r="F328" s="782"/>
      <c r="G328" s="782"/>
      <c r="H328" s="782"/>
      <c r="I328" s="782"/>
      <c r="J328" s="782"/>
      <c r="K328" s="782"/>
      <c r="L328" s="782"/>
      <c r="M328" s="782"/>
      <c r="N328" s="782"/>
      <c r="O328" s="782"/>
      <c r="P328" s="782"/>
      <c r="Q328" s="782"/>
      <c r="R328" s="782"/>
      <c r="S328" s="782"/>
      <c r="T328" s="782"/>
      <c r="U328" s="782"/>
      <c r="V328" s="782"/>
      <c r="W328" s="782"/>
      <c r="X328" s="782"/>
      <c r="Y328" s="782"/>
      <c r="Z328" s="782"/>
      <c r="AA328" s="782"/>
      <c r="AB328" s="782"/>
      <c r="AC328" s="782"/>
      <c r="AD328" s="782"/>
      <c r="AE328" s="782"/>
      <c r="AF328" s="782"/>
      <c r="AG328" s="782"/>
      <c r="AH328" s="782"/>
      <c r="AI328" s="782"/>
      <c r="AJ328" s="782"/>
      <c r="AK328" s="782"/>
    </row>
    <row r="329" spans="1:37" s="7" customFormat="1" ht="24.75" customHeight="1" x14ac:dyDescent="0.25">
      <c r="A329" s="776"/>
      <c r="B329" s="777" t="s">
        <v>939</v>
      </c>
      <c r="C329" s="778">
        <v>128516696</v>
      </c>
      <c r="D329" s="778"/>
      <c r="E329" s="778"/>
      <c r="F329" s="782"/>
      <c r="G329" s="782"/>
      <c r="H329" s="782"/>
      <c r="I329" s="782"/>
      <c r="J329" s="782"/>
      <c r="K329" s="782"/>
      <c r="L329" s="782"/>
      <c r="M329" s="782"/>
      <c r="N329" s="782"/>
      <c r="O329" s="782"/>
      <c r="P329" s="782"/>
      <c r="Q329" s="782"/>
      <c r="R329" s="782"/>
      <c r="S329" s="782"/>
      <c r="T329" s="782"/>
      <c r="U329" s="782"/>
      <c r="V329" s="782"/>
      <c r="W329" s="782"/>
      <c r="X329" s="782"/>
      <c r="Y329" s="782"/>
      <c r="Z329" s="782"/>
      <c r="AA329" s="782"/>
      <c r="AB329" s="782"/>
      <c r="AC329" s="782"/>
      <c r="AD329" s="782"/>
      <c r="AE329" s="782"/>
      <c r="AF329" s="782"/>
      <c r="AG329" s="782"/>
      <c r="AH329" s="782"/>
      <c r="AI329" s="782"/>
      <c r="AJ329" s="782"/>
      <c r="AK329" s="782"/>
    </row>
    <row r="330" spans="1:37" s="7" customFormat="1" ht="24.75" customHeight="1" x14ac:dyDescent="0.25">
      <c r="A330" s="776"/>
      <c r="B330" s="777" t="s">
        <v>940</v>
      </c>
      <c r="C330" s="778">
        <v>1627870</v>
      </c>
      <c r="D330" s="778"/>
      <c r="E330" s="778"/>
      <c r="F330" s="782"/>
      <c r="G330" s="782"/>
      <c r="H330" s="782"/>
      <c r="I330" s="782"/>
      <c r="J330" s="782"/>
      <c r="K330" s="782"/>
      <c r="L330" s="782"/>
      <c r="M330" s="782"/>
      <c r="N330" s="782"/>
      <c r="O330" s="782"/>
      <c r="P330" s="782"/>
      <c r="Q330" s="782"/>
      <c r="R330" s="782"/>
      <c r="S330" s="782"/>
      <c r="T330" s="782"/>
      <c r="U330" s="782"/>
      <c r="V330" s="782"/>
      <c r="W330" s="782"/>
      <c r="X330" s="782"/>
      <c r="Y330" s="782"/>
      <c r="Z330" s="782"/>
      <c r="AA330" s="782"/>
      <c r="AB330" s="782"/>
      <c r="AC330" s="782"/>
      <c r="AD330" s="782"/>
      <c r="AE330" s="782"/>
      <c r="AF330" s="782"/>
      <c r="AG330" s="782"/>
      <c r="AH330" s="782"/>
      <c r="AI330" s="782"/>
      <c r="AJ330" s="782"/>
      <c r="AK330" s="782"/>
    </row>
    <row r="331" spans="1:37" s="7" customFormat="1" ht="24.75" customHeight="1" x14ac:dyDescent="0.25">
      <c r="A331" s="776"/>
      <c r="B331" s="777" t="s">
        <v>941</v>
      </c>
      <c r="C331" s="778">
        <v>354528366</v>
      </c>
      <c r="D331" s="778"/>
      <c r="E331" s="778"/>
      <c r="F331" s="782"/>
      <c r="G331" s="782"/>
      <c r="H331" s="782"/>
      <c r="I331" s="782"/>
      <c r="J331" s="782"/>
      <c r="K331" s="782"/>
      <c r="L331" s="782"/>
      <c r="M331" s="782"/>
      <c r="N331" s="782"/>
      <c r="O331" s="782"/>
      <c r="P331" s="782"/>
      <c r="Q331" s="782"/>
      <c r="R331" s="782"/>
      <c r="S331" s="782"/>
      <c r="T331" s="782"/>
      <c r="U331" s="782"/>
      <c r="V331" s="782"/>
      <c r="W331" s="782"/>
      <c r="X331" s="782"/>
      <c r="Y331" s="782"/>
      <c r="Z331" s="782"/>
      <c r="AA331" s="782"/>
      <c r="AB331" s="782"/>
      <c r="AC331" s="782"/>
      <c r="AD331" s="782"/>
      <c r="AE331" s="782"/>
      <c r="AF331" s="782"/>
      <c r="AG331" s="782"/>
      <c r="AH331" s="782"/>
      <c r="AI331" s="782"/>
      <c r="AJ331" s="782"/>
      <c r="AK331" s="782"/>
    </row>
    <row r="332" spans="1:37" s="7" customFormat="1" ht="24.75" customHeight="1" x14ac:dyDescent="0.25">
      <c r="A332" s="776"/>
      <c r="B332" s="777" t="s">
        <v>942</v>
      </c>
      <c r="C332" s="778">
        <v>93518602</v>
      </c>
      <c r="D332" s="778"/>
      <c r="E332" s="778"/>
      <c r="F332" s="782"/>
      <c r="G332" s="782"/>
      <c r="H332" s="782"/>
      <c r="I332" s="782"/>
      <c r="J332" s="782"/>
      <c r="K332" s="782"/>
      <c r="L332" s="782"/>
      <c r="M332" s="782"/>
      <c r="N332" s="782"/>
      <c r="O332" s="782"/>
      <c r="P332" s="782"/>
      <c r="Q332" s="782"/>
      <c r="R332" s="782"/>
      <c r="S332" s="782"/>
      <c r="T332" s="782"/>
      <c r="U332" s="782"/>
      <c r="V332" s="782"/>
      <c r="W332" s="782"/>
      <c r="X332" s="782"/>
      <c r="Y332" s="782"/>
      <c r="Z332" s="782"/>
      <c r="AA332" s="782"/>
      <c r="AB332" s="782"/>
      <c r="AC332" s="782"/>
      <c r="AD332" s="782"/>
      <c r="AE332" s="782"/>
      <c r="AF332" s="782"/>
      <c r="AG332" s="782"/>
      <c r="AH332" s="782"/>
      <c r="AI332" s="782"/>
      <c r="AJ332" s="782"/>
      <c r="AK332" s="782"/>
    </row>
    <row r="333" spans="1:37" s="7" customFormat="1" ht="24.75" customHeight="1" x14ac:dyDescent="0.25">
      <c r="A333" s="776"/>
      <c r="B333" s="777" t="s">
        <v>943</v>
      </c>
      <c r="C333" s="778">
        <v>15891988</v>
      </c>
      <c r="D333" s="778"/>
      <c r="E333" s="778"/>
      <c r="F333" s="782"/>
      <c r="G333" s="782"/>
      <c r="H333" s="782"/>
      <c r="I333" s="782"/>
      <c r="J333" s="782"/>
      <c r="K333" s="782"/>
      <c r="L333" s="782"/>
      <c r="M333" s="782"/>
      <c r="N333" s="782"/>
      <c r="O333" s="782"/>
      <c r="P333" s="782"/>
      <c r="Q333" s="782"/>
      <c r="R333" s="782"/>
      <c r="S333" s="782"/>
      <c r="T333" s="782"/>
      <c r="U333" s="782"/>
      <c r="V333" s="782"/>
      <c r="W333" s="782"/>
      <c r="X333" s="782"/>
      <c r="Y333" s="782"/>
      <c r="Z333" s="782"/>
      <c r="AA333" s="782"/>
      <c r="AB333" s="782"/>
      <c r="AC333" s="782"/>
      <c r="AD333" s="782"/>
      <c r="AE333" s="782"/>
      <c r="AF333" s="782"/>
      <c r="AG333" s="782"/>
      <c r="AH333" s="782"/>
      <c r="AI333" s="782"/>
      <c r="AJ333" s="782"/>
      <c r="AK333" s="782"/>
    </row>
    <row r="334" spans="1:37" s="7" customFormat="1" ht="24.75" customHeight="1" x14ac:dyDescent="0.25">
      <c r="A334" s="776"/>
      <c r="B334" s="777" t="s">
        <v>944</v>
      </c>
      <c r="C334" s="778">
        <v>43297886</v>
      </c>
      <c r="D334" s="778"/>
      <c r="E334" s="778"/>
      <c r="F334" s="782"/>
      <c r="G334" s="782"/>
      <c r="H334" s="782"/>
      <c r="I334" s="782"/>
      <c r="J334" s="782"/>
      <c r="K334" s="782"/>
      <c r="L334" s="782"/>
      <c r="M334" s="782"/>
      <c r="N334" s="782"/>
      <c r="O334" s="782"/>
      <c r="P334" s="782"/>
      <c r="Q334" s="782"/>
      <c r="R334" s="782"/>
      <c r="S334" s="782"/>
      <c r="T334" s="782"/>
      <c r="U334" s="782"/>
      <c r="V334" s="782"/>
      <c r="W334" s="782"/>
      <c r="X334" s="782"/>
      <c r="Y334" s="782"/>
      <c r="Z334" s="782"/>
      <c r="AA334" s="782"/>
      <c r="AB334" s="782"/>
      <c r="AC334" s="782"/>
      <c r="AD334" s="782"/>
      <c r="AE334" s="782"/>
      <c r="AF334" s="782"/>
      <c r="AG334" s="782"/>
      <c r="AH334" s="782"/>
      <c r="AI334" s="782"/>
      <c r="AJ334" s="782"/>
      <c r="AK334" s="782"/>
    </row>
    <row r="335" spans="1:37" s="7" customFormat="1" ht="24.75" customHeight="1" x14ac:dyDescent="0.25">
      <c r="A335" s="776"/>
      <c r="B335" s="777" t="s">
        <v>945</v>
      </c>
      <c r="C335" s="778">
        <v>5670680</v>
      </c>
      <c r="D335" s="778"/>
      <c r="E335" s="778"/>
      <c r="F335" s="782"/>
      <c r="G335" s="782"/>
      <c r="H335" s="782"/>
      <c r="I335" s="782"/>
      <c r="J335" s="782"/>
      <c r="K335" s="782"/>
      <c r="L335" s="782"/>
      <c r="M335" s="782"/>
      <c r="N335" s="782"/>
      <c r="O335" s="782"/>
      <c r="P335" s="782"/>
      <c r="Q335" s="782"/>
      <c r="R335" s="782"/>
      <c r="S335" s="782"/>
      <c r="T335" s="782"/>
      <c r="U335" s="782"/>
      <c r="V335" s="782"/>
      <c r="W335" s="782"/>
      <c r="X335" s="782"/>
      <c r="Y335" s="782"/>
      <c r="Z335" s="782"/>
      <c r="AA335" s="782"/>
      <c r="AB335" s="782"/>
      <c r="AC335" s="782"/>
      <c r="AD335" s="782"/>
      <c r="AE335" s="782"/>
      <c r="AF335" s="782"/>
      <c r="AG335" s="782"/>
      <c r="AH335" s="782"/>
      <c r="AI335" s="782"/>
      <c r="AJ335" s="782"/>
      <c r="AK335" s="782"/>
    </row>
    <row r="336" spans="1:37" s="7" customFormat="1" ht="24.75" customHeight="1" x14ac:dyDescent="0.25">
      <c r="A336" s="776"/>
      <c r="B336" s="777" t="s">
        <v>946</v>
      </c>
      <c r="C336" s="778">
        <v>1951539</v>
      </c>
      <c r="D336" s="778"/>
      <c r="E336" s="778"/>
      <c r="F336" s="782"/>
      <c r="G336" s="782"/>
      <c r="H336" s="782"/>
      <c r="I336" s="782"/>
      <c r="J336" s="782"/>
      <c r="K336" s="782"/>
      <c r="L336" s="782"/>
      <c r="M336" s="782"/>
      <c r="N336" s="782"/>
      <c r="O336" s="782"/>
      <c r="P336" s="782"/>
      <c r="Q336" s="782"/>
      <c r="R336" s="782"/>
      <c r="S336" s="782"/>
      <c r="T336" s="782"/>
      <c r="U336" s="782"/>
      <c r="V336" s="782"/>
      <c r="W336" s="782"/>
      <c r="X336" s="782"/>
      <c r="Y336" s="782"/>
      <c r="Z336" s="782"/>
      <c r="AA336" s="782"/>
      <c r="AB336" s="782"/>
      <c r="AC336" s="782"/>
      <c r="AD336" s="782"/>
      <c r="AE336" s="782"/>
      <c r="AF336" s="782"/>
      <c r="AG336" s="782"/>
      <c r="AH336" s="782"/>
      <c r="AI336" s="782"/>
      <c r="AJ336" s="782"/>
      <c r="AK336" s="782"/>
    </row>
    <row r="337" spans="1:37" s="7" customFormat="1" ht="24.75" customHeight="1" x14ac:dyDescent="0.25">
      <c r="A337" s="776"/>
      <c r="B337" s="777" t="s">
        <v>947</v>
      </c>
      <c r="C337" s="778">
        <v>3265528</v>
      </c>
      <c r="D337" s="778"/>
      <c r="E337" s="778"/>
      <c r="F337" s="782"/>
      <c r="G337" s="782"/>
      <c r="H337" s="782"/>
      <c r="I337" s="782"/>
      <c r="J337" s="782"/>
      <c r="K337" s="782"/>
      <c r="L337" s="782"/>
      <c r="M337" s="782"/>
      <c r="N337" s="782"/>
      <c r="O337" s="782"/>
      <c r="P337" s="782"/>
      <c r="Q337" s="782"/>
      <c r="R337" s="782"/>
      <c r="S337" s="782"/>
      <c r="T337" s="782"/>
      <c r="U337" s="782"/>
      <c r="V337" s="782"/>
      <c r="W337" s="782"/>
      <c r="X337" s="782"/>
      <c r="Y337" s="782"/>
      <c r="Z337" s="782"/>
      <c r="AA337" s="782"/>
      <c r="AB337" s="782"/>
      <c r="AC337" s="782"/>
      <c r="AD337" s="782"/>
      <c r="AE337" s="782"/>
      <c r="AF337" s="782"/>
      <c r="AG337" s="782"/>
      <c r="AH337" s="782"/>
      <c r="AI337" s="782"/>
      <c r="AJ337" s="782"/>
      <c r="AK337" s="782"/>
    </row>
    <row r="338" spans="1:37" s="7" customFormat="1" ht="24.75" customHeight="1" x14ac:dyDescent="0.25">
      <c r="A338" s="776"/>
      <c r="B338" s="777" t="s">
        <v>948</v>
      </c>
      <c r="C338" s="778">
        <v>101370806</v>
      </c>
      <c r="D338" s="778"/>
      <c r="E338" s="778"/>
      <c r="F338" s="782"/>
      <c r="G338" s="782"/>
      <c r="H338" s="782"/>
      <c r="I338" s="782"/>
      <c r="J338" s="782"/>
      <c r="K338" s="782"/>
      <c r="L338" s="782"/>
      <c r="M338" s="782"/>
      <c r="N338" s="782"/>
      <c r="O338" s="782"/>
      <c r="P338" s="782"/>
      <c r="Q338" s="782"/>
      <c r="R338" s="782"/>
      <c r="S338" s="782"/>
      <c r="T338" s="782"/>
      <c r="U338" s="782"/>
      <c r="V338" s="782"/>
      <c r="W338" s="782"/>
      <c r="X338" s="782"/>
      <c r="Y338" s="782"/>
      <c r="Z338" s="782"/>
      <c r="AA338" s="782"/>
      <c r="AB338" s="782"/>
      <c r="AC338" s="782"/>
      <c r="AD338" s="782"/>
      <c r="AE338" s="782"/>
      <c r="AF338" s="782"/>
      <c r="AG338" s="782"/>
      <c r="AH338" s="782"/>
      <c r="AI338" s="782"/>
      <c r="AJ338" s="782"/>
      <c r="AK338" s="782"/>
    </row>
    <row r="339" spans="1:37" s="7" customFormat="1" ht="24.75" customHeight="1" x14ac:dyDescent="0.25">
      <c r="A339" s="776"/>
      <c r="B339" s="777" t="s">
        <v>949</v>
      </c>
      <c r="C339" s="778">
        <v>35112123</v>
      </c>
      <c r="D339" s="778"/>
      <c r="E339" s="778"/>
      <c r="F339" s="782"/>
      <c r="G339" s="782"/>
      <c r="H339" s="782"/>
      <c r="I339" s="782"/>
      <c r="J339" s="782"/>
      <c r="K339" s="782"/>
      <c r="L339" s="782"/>
      <c r="M339" s="782"/>
      <c r="N339" s="782"/>
      <c r="O339" s="782"/>
      <c r="P339" s="782"/>
      <c r="Q339" s="782"/>
      <c r="R339" s="782"/>
      <c r="S339" s="782"/>
      <c r="T339" s="782"/>
      <c r="U339" s="782"/>
      <c r="V339" s="782"/>
      <c r="W339" s="782"/>
      <c r="X339" s="782"/>
      <c r="Y339" s="782"/>
      <c r="Z339" s="782"/>
      <c r="AA339" s="782"/>
      <c r="AB339" s="782"/>
      <c r="AC339" s="782"/>
      <c r="AD339" s="782"/>
      <c r="AE339" s="782"/>
      <c r="AF339" s="782"/>
      <c r="AG339" s="782"/>
      <c r="AH339" s="782"/>
      <c r="AI339" s="782"/>
      <c r="AJ339" s="782"/>
      <c r="AK339" s="782"/>
    </row>
    <row r="340" spans="1:37" s="7" customFormat="1" ht="24.75" customHeight="1" x14ac:dyDescent="0.25">
      <c r="A340" s="776"/>
      <c r="B340" s="777" t="s">
        <v>950</v>
      </c>
      <c r="C340" s="778">
        <v>20625685</v>
      </c>
      <c r="D340" s="778"/>
      <c r="E340" s="778"/>
      <c r="F340" s="782"/>
      <c r="G340" s="782"/>
      <c r="H340" s="782"/>
      <c r="I340" s="782"/>
      <c r="J340" s="782"/>
      <c r="K340" s="782"/>
      <c r="L340" s="782"/>
      <c r="M340" s="782"/>
      <c r="N340" s="782"/>
      <c r="O340" s="782"/>
      <c r="P340" s="782"/>
      <c r="Q340" s="782"/>
      <c r="R340" s="782"/>
      <c r="S340" s="782"/>
      <c r="T340" s="782"/>
      <c r="U340" s="782"/>
      <c r="V340" s="782"/>
      <c r="W340" s="782"/>
      <c r="X340" s="782"/>
      <c r="Y340" s="782"/>
      <c r="Z340" s="782"/>
      <c r="AA340" s="782"/>
      <c r="AB340" s="782"/>
      <c r="AC340" s="782"/>
      <c r="AD340" s="782"/>
      <c r="AE340" s="782"/>
      <c r="AF340" s="782"/>
      <c r="AG340" s="782"/>
      <c r="AH340" s="782"/>
      <c r="AI340" s="782"/>
      <c r="AJ340" s="782"/>
      <c r="AK340" s="782"/>
    </row>
    <row r="341" spans="1:37" s="7" customFormat="1" ht="24.75" customHeight="1" x14ac:dyDescent="0.25">
      <c r="A341" s="776"/>
      <c r="B341" s="777" t="s">
        <v>951</v>
      </c>
      <c r="C341" s="778">
        <v>20443663</v>
      </c>
      <c r="D341" s="778"/>
      <c r="E341" s="778"/>
      <c r="F341" s="782"/>
      <c r="G341" s="782"/>
      <c r="H341" s="782"/>
      <c r="I341" s="782"/>
      <c r="J341" s="782"/>
      <c r="K341" s="782"/>
      <c r="L341" s="782"/>
      <c r="M341" s="782"/>
      <c r="N341" s="782"/>
      <c r="O341" s="782"/>
      <c r="P341" s="782"/>
      <c r="Q341" s="782"/>
      <c r="R341" s="782"/>
      <c r="S341" s="782"/>
      <c r="T341" s="782"/>
      <c r="U341" s="782"/>
      <c r="V341" s="782"/>
      <c r="W341" s="782"/>
      <c r="X341" s="782"/>
      <c r="Y341" s="782"/>
      <c r="Z341" s="782"/>
      <c r="AA341" s="782"/>
      <c r="AB341" s="782"/>
      <c r="AC341" s="782"/>
      <c r="AD341" s="782"/>
      <c r="AE341" s="782"/>
      <c r="AF341" s="782"/>
      <c r="AG341" s="782"/>
      <c r="AH341" s="782"/>
      <c r="AI341" s="782"/>
      <c r="AJ341" s="782"/>
      <c r="AK341" s="782"/>
    </row>
    <row r="342" spans="1:37" s="7" customFormat="1" ht="24.75" customHeight="1" x14ac:dyDescent="0.25">
      <c r="A342" s="776"/>
      <c r="B342" s="777" t="s">
        <v>952</v>
      </c>
      <c r="C342" s="778">
        <v>27861916</v>
      </c>
      <c r="D342" s="778"/>
      <c r="E342" s="778"/>
      <c r="F342" s="782"/>
      <c r="G342" s="782"/>
      <c r="H342" s="782"/>
      <c r="I342" s="782"/>
      <c r="J342" s="782"/>
      <c r="K342" s="782"/>
      <c r="L342" s="782"/>
      <c r="M342" s="782"/>
      <c r="N342" s="782"/>
      <c r="O342" s="782"/>
      <c r="P342" s="782"/>
      <c r="Q342" s="782"/>
      <c r="R342" s="782"/>
      <c r="S342" s="782"/>
      <c r="T342" s="782"/>
      <c r="U342" s="782"/>
      <c r="V342" s="782"/>
      <c r="W342" s="782"/>
      <c r="X342" s="782"/>
      <c r="Y342" s="782"/>
      <c r="Z342" s="782"/>
      <c r="AA342" s="782"/>
      <c r="AB342" s="782"/>
      <c r="AC342" s="782"/>
      <c r="AD342" s="782"/>
      <c r="AE342" s="782"/>
      <c r="AF342" s="782"/>
      <c r="AG342" s="782"/>
      <c r="AH342" s="782"/>
      <c r="AI342" s="782"/>
      <c r="AJ342" s="782"/>
      <c r="AK342" s="782"/>
    </row>
    <row r="343" spans="1:37" s="7" customFormat="1" ht="24.75" customHeight="1" x14ac:dyDescent="0.25">
      <c r="A343" s="776"/>
      <c r="B343" s="777" t="s">
        <v>953</v>
      </c>
      <c r="C343" s="778">
        <v>55131522</v>
      </c>
      <c r="D343" s="778"/>
      <c r="E343" s="778"/>
      <c r="F343" s="782"/>
      <c r="G343" s="782"/>
      <c r="H343" s="782"/>
      <c r="I343" s="782"/>
      <c r="J343" s="782"/>
      <c r="K343" s="782"/>
      <c r="L343" s="782"/>
      <c r="M343" s="782"/>
      <c r="N343" s="782"/>
      <c r="O343" s="782"/>
      <c r="P343" s="782"/>
      <c r="Q343" s="782"/>
      <c r="R343" s="782"/>
      <c r="S343" s="782"/>
      <c r="T343" s="782"/>
      <c r="U343" s="782"/>
      <c r="V343" s="782"/>
      <c r="W343" s="782"/>
      <c r="X343" s="782"/>
      <c r="Y343" s="782"/>
      <c r="Z343" s="782"/>
      <c r="AA343" s="782"/>
      <c r="AB343" s="782"/>
      <c r="AC343" s="782"/>
      <c r="AD343" s="782"/>
      <c r="AE343" s="782"/>
      <c r="AF343" s="782"/>
      <c r="AG343" s="782"/>
      <c r="AH343" s="782"/>
      <c r="AI343" s="782"/>
      <c r="AJ343" s="782"/>
      <c r="AK343" s="782"/>
    </row>
    <row r="344" spans="1:37" s="7" customFormat="1" ht="24.75" customHeight="1" x14ac:dyDescent="0.25">
      <c r="A344" s="776"/>
      <c r="B344" s="777" t="s">
        <v>954</v>
      </c>
      <c r="C344" s="778">
        <v>2000000</v>
      </c>
      <c r="D344" s="778"/>
      <c r="E344" s="778"/>
      <c r="F344" s="782"/>
      <c r="G344" s="782"/>
      <c r="H344" s="782"/>
      <c r="I344" s="782"/>
      <c r="J344" s="782"/>
      <c r="K344" s="782"/>
      <c r="L344" s="782"/>
      <c r="M344" s="782"/>
      <c r="N344" s="782"/>
      <c r="O344" s="782"/>
      <c r="P344" s="782"/>
      <c r="Q344" s="782"/>
      <c r="R344" s="782"/>
      <c r="S344" s="782"/>
      <c r="T344" s="782"/>
      <c r="U344" s="782"/>
      <c r="V344" s="782"/>
      <c r="W344" s="782"/>
      <c r="X344" s="782"/>
      <c r="Y344" s="782"/>
      <c r="Z344" s="782"/>
      <c r="AA344" s="782"/>
      <c r="AB344" s="782"/>
      <c r="AC344" s="782"/>
      <c r="AD344" s="782"/>
      <c r="AE344" s="782"/>
      <c r="AF344" s="782"/>
      <c r="AG344" s="782"/>
      <c r="AH344" s="782"/>
      <c r="AI344" s="782"/>
      <c r="AJ344" s="782"/>
      <c r="AK344" s="782"/>
    </row>
    <row r="345" spans="1:37" s="7" customFormat="1" ht="24.75" customHeight="1" x14ac:dyDescent="0.25">
      <c r="A345" s="776"/>
      <c r="B345" s="777" t="s">
        <v>489</v>
      </c>
      <c r="C345" s="778"/>
      <c r="D345" s="778">
        <v>1308452</v>
      </c>
      <c r="E345" s="778"/>
      <c r="F345" s="782"/>
      <c r="G345" s="782"/>
      <c r="H345" s="782"/>
      <c r="I345" s="782"/>
      <c r="J345" s="782"/>
      <c r="K345" s="782"/>
      <c r="L345" s="782"/>
      <c r="M345" s="782"/>
      <c r="N345" s="782"/>
      <c r="O345" s="782"/>
      <c r="P345" s="782"/>
      <c r="Q345" s="782"/>
      <c r="R345" s="782"/>
      <c r="S345" s="782"/>
      <c r="T345" s="782"/>
      <c r="U345" s="782"/>
      <c r="V345" s="782"/>
      <c r="W345" s="782"/>
      <c r="X345" s="782"/>
      <c r="Y345" s="782"/>
      <c r="Z345" s="782"/>
      <c r="AA345" s="782"/>
      <c r="AB345" s="782"/>
      <c r="AC345" s="782"/>
      <c r="AD345" s="782"/>
      <c r="AE345" s="782"/>
      <c r="AF345" s="782"/>
      <c r="AG345" s="782"/>
      <c r="AH345" s="782"/>
      <c r="AI345" s="782"/>
      <c r="AJ345" s="782"/>
      <c r="AK345" s="782"/>
    </row>
    <row r="346" spans="1:37" s="7" customFormat="1" ht="24.75" customHeight="1" x14ac:dyDescent="0.25">
      <c r="A346" s="776"/>
      <c r="B346" s="777" t="s">
        <v>955</v>
      </c>
      <c r="C346" s="778"/>
      <c r="D346" s="778"/>
      <c r="E346" s="778"/>
      <c r="F346" s="782"/>
      <c r="G346" s="782"/>
      <c r="H346" s="782"/>
      <c r="I346" s="782"/>
      <c r="J346" s="782"/>
      <c r="K346" s="782"/>
      <c r="L346" s="782"/>
      <c r="M346" s="782"/>
      <c r="N346" s="782"/>
      <c r="O346" s="782"/>
      <c r="P346" s="782"/>
      <c r="Q346" s="782"/>
      <c r="R346" s="782"/>
      <c r="S346" s="782"/>
      <c r="T346" s="782"/>
      <c r="U346" s="782"/>
      <c r="V346" s="782"/>
      <c r="W346" s="782"/>
      <c r="X346" s="782"/>
      <c r="Y346" s="782"/>
      <c r="Z346" s="782"/>
      <c r="AA346" s="782"/>
      <c r="AB346" s="782"/>
      <c r="AC346" s="782"/>
      <c r="AD346" s="782"/>
      <c r="AE346" s="782"/>
      <c r="AF346" s="782"/>
      <c r="AG346" s="782"/>
      <c r="AH346" s="782"/>
      <c r="AI346" s="782"/>
      <c r="AJ346" s="782"/>
      <c r="AK346" s="782"/>
    </row>
    <row r="347" spans="1:37" s="7" customFormat="1" ht="24.75" customHeight="1" x14ac:dyDescent="0.25">
      <c r="A347" s="776"/>
      <c r="B347" s="777" t="s">
        <v>796</v>
      </c>
      <c r="C347" s="778"/>
      <c r="D347" s="778">
        <v>1693155</v>
      </c>
      <c r="E347" s="778"/>
      <c r="F347" s="782"/>
      <c r="G347" s="782"/>
      <c r="H347" s="782"/>
      <c r="I347" s="782"/>
      <c r="J347" s="782"/>
      <c r="K347" s="782"/>
      <c r="L347" s="782"/>
      <c r="M347" s="782"/>
      <c r="N347" s="782"/>
      <c r="O347" s="782"/>
      <c r="P347" s="782"/>
      <c r="Q347" s="782"/>
      <c r="R347" s="782"/>
      <c r="S347" s="782"/>
      <c r="T347" s="782"/>
      <c r="U347" s="782"/>
      <c r="V347" s="782"/>
      <c r="W347" s="782"/>
      <c r="X347" s="782"/>
      <c r="Y347" s="782"/>
      <c r="Z347" s="782"/>
      <c r="AA347" s="782"/>
      <c r="AB347" s="782"/>
      <c r="AC347" s="782"/>
      <c r="AD347" s="782"/>
      <c r="AE347" s="782"/>
      <c r="AF347" s="782"/>
      <c r="AG347" s="782"/>
      <c r="AH347" s="782"/>
      <c r="AI347" s="782"/>
      <c r="AJ347" s="782"/>
      <c r="AK347" s="782"/>
    </row>
    <row r="348" spans="1:37" s="7" customFormat="1" ht="24.75" customHeight="1" x14ac:dyDescent="0.25">
      <c r="A348" s="776"/>
      <c r="B348" s="777" t="s">
        <v>955</v>
      </c>
      <c r="C348" s="778"/>
      <c r="D348" s="778"/>
      <c r="E348" s="778"/>
      <c r="F348" s="782"/>
      <c r="G348" s="782"/>
      <c r="H348" s="782"/>
      <c r="I348" s="782"/>
      <c r="J348" s="782"/>
      <c r="K348" s="782"/>
      <c r="L348" s="782"/>
      <c r="M348" s="782"/>
      <c r="N348" s="782"/>
      <c r="O348" s="782"/>
      <c r="P348" s="782"/>
      <c r="Q348" s="782"/>
      <c r="R348" s="782"/>
      <c r="S348" s="782"/>
      <c r="T348" s="782"/>
      <c r="U348" s="782"/>
      <c r="V348" s="782"/>
      <c r="W348" s="782"/>
      <c r="X348" s="782"/>
      <c r="Y348" s="782"/>
      <c r="Z348" s="782"/>
      <c r="AA348" s="782"/>
      <c r="AB348" s="782"/>
      <c r="AC348" s="782"/>
      <c r="AD348" s="782"/>
      <c r="AE348" s="782"/>
      <c r="AF348" s="782"/>
      <c r="AG348" s="782"/>
      <c r="AH348" s="782"/>
      <c r="AI348" s="782"/>
      <c r="AJ348" s="782"/>
      <c r="AK348" s="782"/>
    </row>
    <row r="349" spans="1:37" s="26" customFormat="1" ht="30.75" customHeight="1" x14ac:dyDescent="0.25">
      <c r="A349" s="30" t="s">
        <v>9</v>
      </c>
      <c r="B349" s="5" t="s">
        <v>0</v>
      </c>
      <c r="C349" s="5"/>
      <c r="D349" s="5"/>
      <c r="E349" s="5" t="s">
        <v>105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s="7" customFormat="1" ht="24.75" customHeight="1" x14ac:dyDescent="0.25">
      <c r="A350" s="776"/>
      <c r="B350" s="777" t="s">
        <v>797</v>
      </c>
      <c r="C350" s="778"/>
      <c r="D350" s="778">
        <v>179682</v>
      </c>
      <c r="E350" s="778"/>
      <c r="F350" s="782"/>
      <c r="G350" s="782"/>
      <c r="H350" s="782"/>
      <c r="I350" s="782"/>
      <c r="J350" s="782"/>
      <c r="K350" s="782"/>
      <c r="L350" s="782"/>
      <c r="M350" s="782"/>
      <c r="N350" s="782"/>
      <c r="O350" s="782"/>
      <c r="P350" s="782"/>
      <c r="Q350" s="782"/>
      <c r="R350" s="782"/>
      <c r="S350" s="782"/>
      <c r="T350" s="782"/>
      <c r="U350" s="782"/>
      <c r="V350" s="782"/>
      <c r="W350" s="782"/>
      <c r="X350" s="782"/>
      <c r="Y350" s="782"/>
      <c r="Z350" s="782"/>
      <c r="AA350" s="782"/>
      <c r="AB350" s="782"/>
      <c r="AC350" s="782"/>
      <c r="AD350" s="782"/>
      <c r="AE350" s="782"/>
      <c r="AF350" s="782"/>
      <c r="AG350" s="782"/>
      <c r="AH350" s="782"/>
      <c r="AI350" s="782"/>
      <c r="AJ350" s="782"/>
      <c r="AK350" s="782"/>
    </row>
    <row r="351" spans="1:37" s="7" customFormat="1" ht="24.75" customHeight="1" x14ac:dyDescent="0.25">
      <c r="A351" s="776"/>
      <c r="B351" s="777" t="s">
        <v>955</v>
      </c>
      <c r="C351" s="778"/>
      <c r="D351" s="778"/>
      <c r="E351" s="778"/>
      <c r="F351" s="782"/>
      <c r="G351" s="782"/>
      <c r="H351" s="782"/>
      <c r="I351" s="782"/>
      <c r="J351" s="782"/>
      <c r="K351" s="782"/>
      <c r="L351" s="782"/>
      <c r="M351" s="782"/>
      <c r="N351" s="782"/>
      <c r="O351" s="782"/>
      <c r="P351" s="782"/>
      <c r="Q351" s="782"/>
      <c r="R351" s="782"/>
      <c r="S351" s="782"/>
      <c r="T351" s="782"/>
      <c r="U351" s="782"/>
      <c r="V351" s="782"/>
      <c r="W351" s="782"/>
      <c r="X351" s="782"/>
      <c r="Y351" s="782"/>
      <c r="Z351" s="782"/>
      <c r="AA351" s="782"/>
      <c r="AB351" s="782"/>
      <c r="AC351" s="782"/>
      <c r="AD351" s="782"/>
      <c r="AE351" s="782"/>
      <c r="AF351" s="782"/>
      <c r="AG351" s="782"/>
      <c r="AH351" s="782"/>
      <c r="AI351" s="782"/>
      <c r="AJ351" s="782"/>
      <c r="AK351" s="782"/>
    </row>
    <row r="352" spans="1:37" s="7" customFormat="1" ht="24.75" customHeight="1" x14ac:dyDescent="0.25">
      <c r="A352" s="776"/>
      <c r="B352" s="777" t="s">
        <v>495</v>
      </c>
      <c r="C352" s="778"/>
      <c r="D352" s="778">
        <v>41082228</v>
      </c>
      <c r="E352" s="778"/>
      <c r="F352" s="782"/>
      <c r="G352" s="782"/>
      <c r="H352" s="782"/>
      <c r="I352" s="782"/>
      <c r="J352" s="782"/>
      <c r="K352" s="782"/>
      <c r="L352" s="782"/>
      <c r="M352" s="782"/>
      <c r="N352" s="782"/>
      <c r="O352" s="782"/>
      <c r="P352" s="782"/>
      <c r="Q352" s="782"/>
      <c r="R352" s="782"/>
      <c r="S352" s="782"/>
      <c r="T352" s="782"/>
      <c r="U352" s="782"/>
      <c r="V352" s="782"/>
      <c r="W352" s="782"/>
      <c r="X352" s="782"/>
      <c r="Y352" s="782"/>
      <c r="Z352" s="782"/>
      <c r="AA352" s="782"/>
      <c r="AB352" s="782"/>
      <c r="AC352" s="782"/>
      <c r="AD352" s="782"/>
      <c r="AE352" s="782"/>
      <c r="AF352" s="782"/>
      <c r="AG352" s="782"/>
      <c r="AH352" s="782"/>
      <c r="AI352" s="782"/>
      <c r="AJ352" s="782"/>
      <c r="AK352" s="782"/>
    </row>
    <row r="353" spans="1:37" s="7" customFormat="1" ht="24.75" customHeight="1" x14ac:dyDescent="0.25">
      <c r="A353" s="776"/>
      <c r="B353" s="777" t="s">
        <v>955</v>
      </c>
      <c r="C353" s="778"/>
      <c r="D353" s="778"/>
      <c r="E353" s="778"/>
      <c r="F353" s="782"/>
      <c r="G353" s="782"/>
      <c r="H353" s="782"/>
      <c r="I353" s="782"/>
      <c r="J353" s="782"/>
      <c r="K353" s="782"/>
      <c r="L353" s="782"/>
      <c r="M353" s="782"/>
      <c r="N353" s="782"/>
      <c r="O353" s="782"/>
      <c r="P353" s="782"/>
      <c r="Q353" s="782"/>
      <c r="R353" s="782"/>
      <c r="S353" s="782"/>
      <c r="T353" s="782"/>
      <c r="U353" s="782"/>
      <c r="V353" s="782"/>
      <c r="W353" s="782"/>
      <c r="X353" s="782"/>
      <c r="Y353" s="782"/>
      <c r="Z353" s="782"/>
      <c r="AA353" s="782"/>
      <c r="AB353" s="782"/>
      <c r="AC353" s="782"/>
      <c r="AD353" s="782"/>
      <c r="AE353" s="782"/>
      <c r="AF353" s="782"/>
      <c r="AG353" s="782"/>
      <c r="AH353" s="782"/>
      <c r="AI353" s="782"/>
      <c r="AJ353" s="782"/>
      <c r="AK353" s="782"/>
    </row>
    <row r="354" spans="1:37" ht="24.75" customHeight="1" x14ac:dyDescent="0.25">
      <c r="A354" s="776" t="s">
        <v>196</v>
      </c>
      <c r="B354" s="777" t="s">
        <v>286</v>
      </c>
      <c r="C354" s="778"/>
      <c r="D354" s="778"/>
      <c r="E354" s="778">
        <v>116321487</v>
      </c>
      <c r="F354" s="735"/>
    </row>
    <row r="355" spans="1:37" ht="24.75" customHeight="1" x14ac:dyDescent="0.25">
      <c r="A355" s="776"/>
      <c r="B355" s="777" t="s">
        <v>956</v>
      </c>
      <c r="C355" s="778"/>
      <c r="D355" s="778"/>
      <c r="E355" s="778"/>
      <c r="F355" s="735"/>
    </row>
    <row r="356" spans="1:37" s="7" customFormat="1" ht="24.75" customHeight="1" x14ac:dyDescent="0.25">
      <c r="A356" s="776"/>
      <c r="B356" s="777" t="s">
        <v>844</v>
      </c>
      <c r="C356" s="778"/>
      <c r="D356" s="778">
        <v>3931509</v>
      </c>
      <c r="E356" s="778"/>
      <c r="F356" s="782"/>
      <c r="G356" s="782"/>
      <c r="H356" s="782"/>
      <c r="I356" s="782"/>
      <c r="J356" s="782"/>
      <c r="K356" s="782"/>
      <c r="L356" s="782"/>
      <c r="M356" s="782"/>
      <c r="N356" s="782"/>
      <c r="O356" s="782"/>
      <c r="P356" s="782"/>
      <c r="Q356" s="782"/>
      <c r="R356" s="782"/>
      <c r="S356" s="782"/>
      <c r="T356" s="782"/>
      <c r="U356" s="782"/>
      <c r="V356" s="782"/>
      <c r="W356" s="782"/>
      <c r="X356" s="782"/>
      <c r="Y356" s="782"/>
      <c r="Z356" s="782"/>
      <c r="AA356" s="782"/>
      <c r="AB356" s="782"/>
      <c r="AC356" s="782"/>
      <c r="AD356" s="782"/>
      <c r="AE356" s="782"/>
      <c r="AF356" s="782"/>
      <c r="AG356" s="782"/>
      <c r="AH356" s="782"/>
      <c r="AI356" s="782"/>
      <c r="AJ356" s="782"/>
      <c r="AK356" s="782"/>
    </row>
    <row r="357" spans="1:37" s="7" customFormat="1" ht="24.75" customHeight="1" x14ac:dyDescent="0.25">
      <c r="A357" s="776"/>
      <c r="B357" s="777" t="s">
        <v>845</v>
      </c>
      <c r="C357" s="778"/>
      <c r="D357" s="778">
        <v>20739820</v>
      </c>
      <c r="E357" s="778"/>
      <c r="F357" s="782"/>
      <c r="G357" s="782"/>
      <c r="H357" s="782"/>
      <c r="I357" s="782"/>
      <c r="J357" s="782"/>
      <c r="K357" s="782"/>
      <c r="L357" s="782"/>
      <c r="M357" s="782"/>
      <c r="N357" s="782"/>
      <c r="O357" s="782"/>
      <c r="P357" s="782"/>
      <c r="Q357" s="782"/>
      <c r="R357" s="782"/>
      <c r="S357" s="782"/>
      <c r="T357" s="782"/>
      <c r="U357" s="782"/>
      <c r="V357" s="782"/>
      <c r="W357" s="782"/>
      <c r="X357" s="782"/>
      <c r="Y357" s="782"/>
      <c r="Z357" s="782"/>
      <c r="AA357" s="782"/>
      <c r="AB357" s="782"/>
      <c r="AC357" s="782"/>
      <c r="AD357" s="782"/>
      <c r="AE357" s="782"/>
      <c r="AF357" s="782"/>
      <c r="AG357" s="782"/>
      <c r="AH357" s="782"/>
      <c r="AI357" s="782"/>
      <c r="AJ357" s="782"/>
      <c r="AK357" s="782"/>
    </row>
    <row r="358" spans="1:37" s="7" customFormat="1" ht="24.75" customHeight="1" x14ac:dyDescent="0.25">
      <c r="A358" s="776"/>
      <c r="B358" s="777" t="s">
        <v>489</v>
      </c>
      <c r="C358" s="778"/>
      <c r="D358" s="778">
        <v>38284539</v>
      </c>
      <c r="E358" s="778"/>
      <c r="F358" s="782"/>
      <c r="G358" s="782"/>
      <c r="H358" s="782"/>
      <c r="I358" s="782"/>
      <c r="J358" s="782"/>
      <c r="K358" s="782"/>
      <c r="L358" s="782"/>
      <c r="M358" s="782"/>
      <c r="N358" s="782"/>
      <c r="O358" s="782"/>
      <c r="P358" s="782"/>
      <c r="Q358" s="782"/>
      <c r="R358" s="782"/>
      <c r="S358" s="782"/>
      <c r="T358" s="782"/>
      <c r="U358" s="782"/>
      <c r="V358" s="782"/>
      <c r="W358" s="782"/>
      <c r="X358" s="782"/>
      <c r="Y358" s="782"/>
      <c r="Z358" s="782"/>
      <c r="AA358" s="782"/>
      <c r="AB358" s="782"/>
      <c r="AC358" s="782"/>
      <c r="AD358" s="782"/>
      <c r="AE358" s="782"/>
      <c r="AF358" s="782"/>
      <c r="AG358" s="782"/>
      <c r="AH358" s="782"/>
      <c r="AI358" s="782"/>
      <c r="AJ358" s="782"/>
      <c r="AK358" s="782"/>
    </row>
    <row r="359" spans="1:37" s="7" customFormat="1" ht="24.75" customHeight="1" x14ac:dyDescent="0.25">
      <c r="A359" s="776"/>
      <c r="B359" s="777" t="s">
        <v>796</v>
      </c>
      <c r="C359" s="778"/>
      <c r="D359" s="778">
        <v>8170999</v>
      </c>
      <c r="E359" s="778"/>
      <c r="F359" s="782"/>
      <c r="G359" s="782"/>
      <c r="H359" s="782"/>
      <c r="I359" s="782"/>
      <c r="J359" s="782"/>
      <c r="K359" s="782"/>
      <c r="L359" s="782"/>
      <c r="M359" s="782"/>
      <c r="N359" s="782"/>
      <c r="O359" s="782"/>
      <c r="P359" s="782"/>
      <c r="Q359" s="782"/>
      <c r="R359" s="782"/>
      <c r="S359" s="782"/>
      <c r="T359" s="782"/>
      <c r="U359" s="782"/>
      <c r="V359" s="782"/>
      <c r="W359" s="782"/>
      <c r="X359" s="782"/>
      <c r="Y359" s="782"/>
      <c r="Z359" s="782"/>
      <c r="AA359" s="782"/>
      <c r="AB359" s="782"/>
      <c r="AC359" s="782"/>
      <c r="AD359" s="782"/>
      <c r="AE359" s="782"/>
      <c r="AF359" s="782"/>
      <c r="AG359" s="782"/>
      <c r="AH359" s="782"/>
      <c r="AI359" s="782"/>
      <c r="AJ359" s="782"/>
      <c r="AK359" s="782"/>
    </row>
    <row r="360" spans="1:37" s="7" customFormat="1" ht="24.75" customHeight="1" x14ac:dyDescent="0.25">
      <c r="A360" s="776"/>
      <c r="B360" s="777" t="s">
        <v>797</v>
      </c>
      <c r="C360" s="778"/>
      <c r="D360" s="778">
        <v>2421025</v>
      </c>
      <c r="E360" s="778"/>
      <c r="F360" s="782"/>
      <c r="G360" s="782"/>
      <c r="H360" s="782"/>
      <c r="I360" s="782"/>
      <c r="J360" s="782"/>
      <c r="K360" s="782"/>
      <c r="L360" s="782"/>
      <c r="M360" s="782"/>
      <c r="N360" s="782"/>
      <c r="O360" s="782"/>
      <c r="P360" s="782"/>
      <c r="Q360" s="782"/>
      <c r="R360" s="782"/>
      <c r="S360" s="782"/>
      <c r="T360" s="782"/>
      <c r="U360" s="782"/>
      <c r="V360" s="782"/>
      <c r="W360" s="782"/>
      <c r="X360" s="782"/>
      <c r="Y360" s="782"/>
      <c r="Z360" s="782"/>
      <c r="AA360" s="782"/>
      <c r="AB360" s="782"/>
      <c r="AC360" s="782"/>
      <c r="AD360" s="782"/>
      <c r="AE360" s="782"/>
      <c r="AF360" s="782"/>
      <c r="AG360" s="782"/>
      <c r="AH360" s="782"/>
      <c r="AI360" s="782"/>
      <c r="AJ360" s="782"/>
      <c r="AK360" s="782"/>
    </row>
    <row r="361" spans="1:37" s="7" customFormat="1" ht="24.75" customHeight="1" x14ac:dyDescent="0.25">
      <c r="A361" s="776"/>
      <c r="B361" s="777" t="s">
        <v>495</v>
      </c>
      <c r="C361" s="778"/>
      <c r="D361" s="778">
        <v>42773595</v>
      </c>
      <c r="E361" s="778"/>
      <c r="F361" s="782"/>
      <c r="G361" s="782"/>
      <c r="H361" s="782"/>
      <c r="I361" s="782"/>
      <c r="J361" s="782"/>
      <c r="K361" s="782"/>
      <c r="L361" s="782"/>
      <c r="M361" s="782"/>
      <c r="N361" s="782"/>
      <c r="O361" s="782"/>
      <c r="P361" s="782"/>
      <c r="Q361" s="782"/>
      <c r="R361" s="782"/>
      <c r="S361" s="782"/>
      <c r="T361" s="782"/>
      <c r="U361" s="782"/>
      <c r="V361" s="782"/>
      <c r="W361" s="782"/>
      <c r="X361" s="782"/>
      <c r="Y361" s="782"/>
      <c r="Z361" s="782"/>
      <c r="AA361" s="782"/>
      <c r="AB361" s="782"/>
      <c r="AC361" s="782"/>
      <c r="AD361" s="782"/>
      <c r="AE361" s="782"/>
      <c r="AF361" s="782"/>
      <c r="AG361" s="782"/>
      <c r="AH361" s="782"/>
      <c r="AI361" s="782"/>
      <c r="AJ361" s="782"/>
      <c r="AK361" s="782"/>
    </row>
    <row r="362" spans="1:37" ht="24.75" customHeight="1" x14ac:dyDescent="0.25">
      <c r="A362" s="776" t="s">
        <v>197</v>
      </c>
      <c r="B362" s="777" t="s">
        <v>287</v>
      </c>
      <c r="C362" s="778"/>
      <c r="D362" s="778"/>
      <c r="E362" s="778">
        <v>5451743</v>
      </c>
      <c r="F362" s="735"/>
    </row>
    <row r="363" spans="1:37" s="7" customFormat="1" ht="24.75" customHeight="1" x14ac:dyDescent="0.25">
      <c r="A363" s="776"/>
      <c r="B363" s="777" t="s">
        <v>796</v>
      </c>
      <c r="C363" s="778"/>
      <c r="D363" s="778">
        <v>96030</v>
      </c>
      <c r="E363" s="778"/>
      <c r="F363" s="782"/>
      <c r="G363" s="782"/>
      <c r="H363" s="782"/>
      <c r="I363" s="782"/>
      <c r="J363" s="782"/>
      <c r="K363" s="782"/>
      <c r="L363" s="782"/>
      <c r="M363" s="782"/>
      <c r="N363" s="782"/>
      <c r="O363" s="782"/>
      <c r="P363" s="782"/>
      <c r="Q363" s="782"/>
      <c r="R363" s="782"/>
      <c r="S363" s="782"/>
      <c r="T363" s="782"/>
      <c r="U363" s="782"/>
      <c r="V363" s="782"/>
      <c r="W363" s="782"/>
      <c r="X363" s="782"/>
      <c r="Y363" s="782"/>
      <c r="Z363" s="782"/>
      <c r="AA363" s="782"/>
      <c r="AB363" s="782"/>
      <c r="AC363" s="782"/>
      <c r="AD363" s="782"/>
      <c r="AE363" s="782"/>
      <c r="AF363" s="782"/>
      <c r="AG363" s="782"/>
      <c r="AH363" s="782"/>
      <c r="AI363" s="782"/>
      <c r="AJ363" s="782"/>
      <c r="AK363" s="782"/>
    </row>
    <row r="364" spans="1:37" s="7" customFormat="1" ht="24.75" customHeight="1" x14ac:dyDescent="0.25">
      <c r="A364" s="776"/>
      <c r="B364" s="777" t="s">
        <v>957</v>
      </c>
      <c r="C364" s="778"/>
      <c r="D364" s="778"/>
      <c r="E364" s="778"/>
      <c r="F364" s="782"/>
      <c r="G364" s="782"/>
      <c r="H364" s="782"/>
      <c r="I364" s="782"/>
      <c r="J364" s="782"/>
      <c r="K364" s="782"/>
      <c r="L364" s="782"/>
      <c r="M364" s="782"/>
      <c r="N364" s="782"/>
      <c r="O364" s="782"/>
      <c r="P364" s="782"/>
      <c r="Q364" s="782"/>
      <c r="R364" s="782"/>
      <c r="S364" s="782"/>
      <c r="T364" s="782"/>
      <c r="U364" s="782"/>
      <c r="V364" s="782"/>
      <c r="W364" s="782"/>
      <c r="X364" s="782"/>
      <c r="Y364" s="782"/>
      <c r="Z364" s="782"/>
      <c r="AA364" s="782"/>
      <c r="AB364" s="782"/>
      <c r="AC364" s="782"/>
      <c r="AD364" s="782"/>
      <c r="AE364" s="782"/>
      <c r="AF364" s="782"/>
      <c r="AG364" s="782"/>
      <c r="AH364" s="782"/>
      <c r="AI364" s="782"/>
      <c r="AJ364" s="782"/>
      <c r="AK364" s="782"/>
    </row>
    <row r="365" spans="1:37" s="7" customFormat="1" ht="24.75" customHeight="1" x14ac:dyDescent="0.25">
      <c r="A365" s="776"/>
      <c r="B365" s="777" t="s">
        <v>495</v>
      </c>
      <c r="C365" s="778"/>
      <c r="D365" s="778">
        <v>5355713</v>
      </c>
      <c r="E365" s="778"/>
      <c r="F365" s="782"/>
      <c r="G365" s="782"/>
      <c r="H365" s="782"/>
      <c r="I365" s="782"/>
      <c r="J365" s="782"/>
      <c r="K365" s="782"/>
      <c r="L365" s="782"/>
      <c r="M365" s="782"/>
      <c r="N365" s="782"/>
      <c r="O365" s="782"/>
      <c r="P365" s="782"/>
      <c r="Q365" s="782"/>
      <c r="R365" s="782"/>
      <c r="S365" s="782"/>
      <c r="T365" s="782"/>
      <c r="U365" s="782"/>
      <c r="V365" s="782"/>
      <c r="W365" s="782"/>
      <c r="X365" s="782"/>
      <c r="Y365" s="782"/>
      <c r="Z365" s="782"/>
      <c r="AA365" s="782"/>
      <c r="AB365" s="782"/>
      <c r="AC365" s="782"/>
      <c r="AD365" s="782"/>
      <c r="AE365" s="782"/>
      <c r="AF365" s="782"/>
      <c r="AG365" s="782"/>
      <c r="AH365" s="782"/>
      <c r="AI365" s="782"/>
      <c r="AJ365" s="782"/>
      <c r="AK365" s="782"/>
    </row>
    <row r="366" spans="1:37" s="7" customFormat="1" ht="24.75" customHeight="1" x14ac:dyDescent="0.25">
      <c r="A366" s="776"/>
      <c r="B366" s="777" t="s">
        <v>958</v>
      </c>
      <c r="C366" s="778"/>
      <c r="D366" s="778"/>
      <c r="E366" s="778"/>
      <c r="F366" s="782"/>
      <c r="G366" s="782"/>
      <c r="H366" s="782"/>
      <c r="I366" s="782"/>
      <c r="J366" s="782"/>
      <c r="K366" s="782"/>
      <c r="L366" s="782"/>
      <c r="M366" s="782"/>
      <c r="N366" s="782"/>
      <c r="O366" s="782"/>
      <c r="P366" s="782"/>
      <c r="Q366" s="782"/>
      <c r="R366" s="782"/>
      <c r="S366" s="782"/>
      <c r="T366" s="782"/>
      <c r="U366" s="782"/>
      <c r="V366" s="782"/>
      <c r="W366" s="782"/>
      <c r="X366" s="782"/>
      <c r="Y366" s="782"/>
      <c r="Z366" s="782"/>
      <c r="AA366" s="782"/>
      <c r="AB366" s="782"/>
      <c r="AC366" s="782"/>
      <c r="AD366" s="782"/>
      <c r="AE366" s="782"/>
      <c r="AF366" s="782"/>
      <c r="AG366" s="782"/>
      <c r="AH366" s="782"/>
      <c r="AI366" s="782"/>
      <c r="AJ366" s="782"/>
      <c r="AK366" s="782"/>
    </row>
    <row r="367" spans="1:37" ht="24.75" customHeight="1" x14ac:dyDescent="0.25">
      <c r="A367" s="779" t="s">
        <v>198</v>
      </c>
      <c r="B367" s="780" t="s">
        <v>68</v>
      </c>
      <c r="C367" s="781"/>
      <c r="D367" s="781"/>
      <c r="E367" s="781">
        <v>1076851617</v>
      </c>
    </row>
    <row r="368" spans="1:37" ht="24.75" customHeight="1" x14ac:dyDescent="0.25">
      <c r="A368" s="15" t="s">
        <v>43</v>
      </c>
      <c r="B368" s="16" t="s">
        <v>5</v>
      </c>
      <c r="C368" s="17"/>
      <c r="D368" s="17"/>
      <c r="E368" s="17">
        <v>16324373913</v>
      </c>
      <c r="F368" s="735"/>
    </row>
    <row r="369" spans="1:37" s="7" customFormat="1" ht="24.75" customHeight="1" x14ac:dyDescent="0.25">
      <c r="A369" s="776"/>
      <c r="B369" s="777" t="s">
        <v>844</v>
      </c>
      <c r="C369" s="778"/>
      <c r="D369" s="778">
        <v>16115604091</v>
      </c>
      <c r="E369" s="778"/>
      <c r="F369" s="782"/>
      <c r="G369" s="782"/>
      <c r="H369" s="782"/>
      <c r="I369" s="782"/>
      <c r="J369" s="782"/>
      <c r="K369" s="782"/>
      <c r="L369" s="782"/>
      <c r="M369" s="782"/>
      <c r="N369" s="782"/>
      <c r="O369" s="782"/>
      <c r="P369" s="782"/>
      <c r="Q369" s="782"/>
      <c r="R369" s="782"/>
      <c r="S369" s="782"/>
      <c r="T369" s="782"/>
      <c r="U369" s="782"/>
      <c r="V369" s="782"/>
      <c r="W369" s="782"/>
      <c r="X369" s="782"/>
      <c r="Y369" s="782"/>
      <c r="Z369" s="782"/>
      <c r="AA369" s="782"/>
      <c r="AB369" s="782"/>
      <c r="AC369" s="782"/>
      <c r="AD369" s="782"/>
      <c r="AE369" s="782"/>
      <c r="AF369" s="782"/>
      <c r="AG369" s="782"/>
      <c r="AH369" s="782"/>
      <c r="AI369" s="782"/>
      <c r="AJ369" s="782"/>
      <c r="AK369" s="782"/>
    </row>
    <row r="370" spans="1:37" s="7" customFormat="1" ht="24.75" customHeight="1" x14ac:dyDescent="0.25">
      <c r="A370" s="776"/>
      <c r="B370" s="777" t="s">
        <v>845</v>
      </c>
      <c r="C370" s="778"/>
      <c r="D370" s="778">
        <v>21333497</v>
      </c>
      <c r="E370" s="778"/>
      <c r="F370" s="782"/>
      <c r="G370" s="782"/>
      <c r="H370" s="782"/>
      <c r="I370" s="782"/>
      <c r="J370" s="782"/>
      <c r="K370" s="782"/>
      <c r="L370" s="782"/>
      <c r="M370" s="782"/>
      <c r="N370" s="782"/>
      <c r="O370" s="782"/>
      <c r="P370" s="782"/>
      <c r="Q370" s="782"/>
      <c r="R370" s="782"/>
      <c r="S370" s="782"/>
      <c r="T370" s="782"/>
      <c r="U370" s="782"/>
      <c r="V370" s="782"/>
      <c r="W370" s="782"/>
      <c r="X370" s="782"/>
      <c r="Y370" s="782"/>
      <c r="Z370" s="782"/>
      <c r="AA370" s="782"/>
      <c r="AB370" s="782"/>
      <c r="AC370" s="782"/>
      <c r="AD370" s="782"/>
      <c r="AE370" s="782"/>
      <c r="AF370" s="782"/>
      <c r="AG370" s="782"/>
      <c r="AH370" s="782"/>
      <c r="AI370" s="782"/>
      <c r="AJ370" s="782"/>
      <c r="AK370" s="782"/>
    </row>
    <row r="371" spans="1:37" s="7" customFormat="1" ht="24.75" customHeight="1" x14ac:dyDescent="0.25">
      <c r="A371" s="776"/>
      <c r="B371" s="777" t="s">
        <v>489</v>
      </c>
      <c r="C371" s="778"/>
      <c r="D371" s="778">
        <v>8728474</v>
      </c>
      <c r="E371" s="778"/>
      <c r="F371" s="782"/>
      <c r="G371" s="782"/>
      <c r="H371" s="782"/>
      <c r="I371" s="782"/>
      <c r="J371" s="782"/>
      <c r="K371" s="782"/>
      <c r="L371" s="782"/>
      <c r="M371" s="782"/>
      <c r="N371" s="782"/>
      <c r="O371" s="782"/>
      <c r="P371" s="782"/>
      <c r="Q371" s="782"/>
      <c r="R371" s="782"/>
      <c r="S371" s="782"/>
      <c r="T371" s="782"/>
      <c r="U371" s="782"/>
      <c r="V371" s="782"/>
      <c r="W371" s="782"/>
      <c r="X371" s="782"/>
      <c r="Y371" s="782"/>
      <c r="Z371" s="782"/>
      <c r="AA371" s="782"/>
      <c r="AB371" s="782"/>
      <c r="AC371" s="782"/>
      <c r="AD371" s="782"/>
      <c r="AE371" s="782"/>
      <c r="AF371" s="782"/>
      <c r="AG371" s="782"/>
      <c r="AH371" s="782"/>
      <c r="AI371" s="782"/>
      <c r="AJ371" s="782"/>
      <c r="AK371" s="782"/>
    </row>
    <row r="372" spans="1:37" s="7" customFormat="1" ht="24.75" customHeight="1" x14ac:dyDescent="0.25">
      <c r="A372" s="776"/>
      <c r="B372" s="777" t="s">
        <v>796</v>
      </c>
      <c r="C372" s="778"/>
      <c r="D372" s="778">
        <v>22480139</v>
      </c>
      <c r="E372" s="778"/>
      <c r="F372" s="782"/>
      <c r="G372" s="782"/>
      <c r="H372" s="782"/>
      <c r="I372" s="782"/>
      <c r="J372" s="782"/>
      <c r="K372" s="782"/>
      <c r="L372" s="782"/>
      <c r="M372" s="782"/>
      <c r="N372" s="782"/>
      <c r="O372" s="782"/>
      <c r="P372" s="782"/>
      <c r="Q372" s="782"/>
      <c r="R372" s="782"/>
      <c r="S372" s="782"/>
      <c r="T372" s="782"/>
      <c r="U372" s="782"/>
      <c r="V372" s="782"/>
      <c r="W372" s="782"/>
      <c r="X372" s="782"/>
      <c r="Y372" s="782"/>
      <c r="Z372" s="782"/>
      <c r="AA372" s="782"/>
      <c r="AB372" s="782"/>
      <c r="AC372" s="782"/>
      <c r="AD372" s="782"/>
      <c r="AE372" s="782"/>
      <c r="AF372" s="782"/>
      <c r="AG372" s="782"/>
      <c r="AH372" s="782"/>
      <c r="AI372" s="782"/>
      <c r="AJ372" s="782"/>
      <c r="AK372" s="782"/>
    </row>
    <row r="373" spans="1:37" s="7" customFormat="1" ht="24.75" customHeight="1" x14ac:dyDescent="0.25">
      <c r="A373" s="776"/>
      <c r="B373" s="777" t="s">
        <v>797</v>
      </c>
      <c r="C373" s="778"/>
      <c r="D373" s="778">
        <v>36752839</v>
      </c>
      <c r="E373" s="778"/>
      <c r="F373" s="782"/>
      <c r="G373" s="782"/>
      <c r="H373" s="782"/>
      <c r="I373" s="782"/>
      <c r="J373" s="782"/>
      <c r="K373" s="782"/>
      <c r="L373" s="782"/>
      <c r="M373" s="782"/>
      <c r="N373" s="782"/>
      <c r="O373" s="782"/>
      <c r="P373" s="782"/>
      <c r="Q373" s="782"/>
      <c r="R373" s="782"/>
      <c r="S373" s="782"/>
      <c r="T373" s="782"/>
      <c r="U373" s="782"/>
      <c r="V373" s="782"/>
      <c r="W373" s="782"/>
      <c r="X373" s="782"/>
      <c r="Y373" s="782"/>
      <c r="Z373" s="782"/>
      <c r="AA373" s="782"/>
      <c r="AB373" s="782"/>
      <c r="AC373" s="782"/>
      <c r="AD373" s="782"/>
      <c r="AE373" s="782"/>
      <c r="AF373" s="782"/>
      <c r="AG373" s="782"/>
      <c r="AH373" s="782"/>
      <c r="AI373" s="782"/>
      <c r="AJ373" s="782"/>
      <c r="AK373" s="782"/>
    </row>
    <row r="374" spans="1:37" s="7" customFormat="1" ht="24.75" customHeight="1" x14ac:dyDescent="0.25">
      <c r="A374" s="776"/>
      <c r="B374" s="777" t="s">
        <v>495</v>
      </c>
      <c r="C374" s="778"/>
      <c r="D374" s="778">
        <v>119474873</v>
      </c>
      <c r="E374" s="778"/>
      <c r="F374" s="782"/>
      <c r="G374" s="782"/>
      <c r="H374" s="782"/>
      <c r="I374" s="782"/>
      <c r="J374" s="782"/>
      <c r="K374" s="782"/>
      <c r="L374" s="782"/>
      <c r="M374" s="782"/>
      <c r="N374" s="782"/>
      <c r="O374" s="782"/>
      <c r="P374" s="782"/>
      <c r="Q374" s="782"/>
      <c r="R374" s="782"/>
      <c r="S374" s="782"/>
      <c r="T374" s="782"/>
      <c r="U374" s="782"/>
      <c r="V374" s="782"/>
      <c r="W374" s="782"/>
      <c r="X374" s="782"/>
      <c r="Y374" s="782"/>
      <c r="Z374" s="782"/>
      <c r="AA374" s="782"/>
      <c r="AB374" s="782"/>
      <c r="AC374" s="782"/>
      <c r="AD374" s="782"/>
      <c r="AE374" s="782"/>
      <c r="AF374" s="782"/>
      <c r="AG374" s="782"/>
      <c r="AH374" s="782"/>
      <c r="AI374" s="782"/>
      <c r="AJ374" s="782"/>
      <c r="AK374" s="782"/>
    </row>
  </sheetData>
  <mergeCells count="13">
    <mergeCell ref="A4:E4"/>
    <mergeCell ref="C133:C134"/>
    <mergeCell ref="D133:D134"/>
    <mergeCell ref="E133:E134"/>
    <mergeCell ref="C194:C195"/>
    <mergeCell ref="D194:D195"/>
    <mergeCell ref="E194:E195"/>
    <mergeCell ref="C173:C174"/>
    <mergeCell ref="D173:D174"/>
    <mergeCell ref="E173:E174"/>
    <mergeCell ref="C188:C189"/>
    <mergeCell ref="D188:D189"/>
    <mergeCell ref="E188:E189"/>
  </mergeCells>
  <pageMargins left="0.7" right="0.7" top="0.75" bottom="0.75" header="0.3" footer="0.3"/>
  <pageSetup paperSize="9" scale="52" orientation="portrait" horizontalDpi="300" verticalDpi="300" r:id="rId1"/>
  <rowBreaks count="5" manualBreakCount="5">
    <brk id="58" max="4" man="1"/>
    <brk id="115" max="4" man="1"/>
    <brk id="171" max="4" man="1"/>
    <brk id="232" max="4" man="1"/>
    <brk id="34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view="pageBreakPreview" zoomScale="95" zoomScaleNormal="100" zoomScaleSheetLayoutView="95" workbookViewId="0"/>
  </sheetViews>
  <sheetFormatPr defaultRowHeight="15.75" x14ac:dyDescent="0.25"/>
  <cols>
    <col min="1" max="1" width="82" style="1" customWidth="1"/>
    <col min="2" max="2" width="22.42578125" style="1" customWidth="1"/>
    <col min="3" max="38" width="9.140625" style="21"/>
    <col min="39" max="256" width="9.140625" style="1"/>
    <col min="257" max="257" width="82" style="1" customWidth="1"/>
    <col min="258" max="258" width="22.42578125" style="1" customWidth="1"/>
    <col min="259" max="512" width="9.140625" style="1"/>
    <col min="513" max="513" width="82" style="1" customWidth="1"/>
    <col min="514" max="514" width="22.42578125" style="1" customWidth="1"/>
    <col min="515" max="768" width="9.140625" style="1"/>
    <col min="769" max="769" width="82" style="1" customWidth="1"/>
    <col min="770" max="770" width="22.42578125" style="1" customWidth="1"/>
    <col min="771" max="1024" width="9.140625" style="1"/>
    <col min="1025" max="1025" width="82" style="1" customWidth="1"/>
    <col min="1026" max="1026" width="22.42578125" style="1" customWidth="1"/>
    <col min="1027" max="1280" width="9.140625" style="1"/>
    <col min="1281" max="1281" width="82" style="1" customWidth="1"/>
    <col min="1282" max="1282" width="22.42578125" style="1" customWidth="1"/>
    <col min="1283" max="1536" width="9.140625" style="1"/>
    <col min="1537" max="1537" width="82" style="1" customWidth="1"/>
    <col min="1538" max="1538" width="22.42578125" style="1" customWidth="1"/>
    <col min="1539" max="1792" width="9.140625" style="1"/>
    <col min="1793" max="1793" width="82" style="1" customWidth="1"/>
    <col min="1794" max="1794" width="22.42578125" style="1" customWidth="1"/>
    <col min="1795" max="2048" width="9.140625" style="1"/>
    <col min="2049" max="2049" width="82" style="1" customWidth="1"/>
    <col min="2050" max="2050" width="22.42578125" style="1" customWidth="1"/>
    <col min="2051" max="2304" width="9.140625" style="1"/>
    <col min="2305" max="2305" width="82" style="1" customWidth="1"/>
    <col min="2306" max="2306" width="22.42578125" style="1" customWidth="1"/>
    <col min="2307" max="2560" width="9.140625" style="1"/>
    <col min="2561" max="2561" width="82" style="1" customWidth="1"/>
    <col min="2562" max="2562" width="22.42578125" style="1" customWidth="1"/>
    <col min="2563" max="2816" width="9.140625" style="1"/>
    <col min="2817" max="2817" width="82" style="1" customWidth="1"/>
    <col min="2818" max="2818" width="22.42578125" style="1" customWidth="1"/>
    <col min="2819" max="3072" width="9.140625" style="1"/>
    <col min="3073" max="3073" width="82" style="1" customWidth="1"/>
    <col min="3074" max="3074" width="22.42578125" style="1" customWidth="1"/>
    <col min="3075" max="3328" width="9.140625" style="1"/>
    <col min="3329" max="3329" width="82" style="1" customWidth="1"/>
    <col min="3330" max="3330" width="22.42578125" style="1" customWidth="1"/>
    <col min="3331" max="3584" width="9.140625" style="1"/>
    <col min="3585" max="3585" width="82" style="1" customWidth="1"/>
    <col min="3586" max="3586" width="22.42578125" style="1" customWidth="1"/>
    <col min="3587" max="3840" width="9.140625" style="1"/>
    <col min="3841" max="3841" width="82" style="1" customWidth="1"/>
    <col min="3842" max="3842" width="22.42578125" style="1" customWidth="1"/>
    <col min="3843" max="4096" width="9.140625" style="1"/>
    <col min="4097" max="4097" width="82" style="1" customWidth="1"/>
    <col min="4098" max="4098" width="22.42578125" style="1" customWidth="1"/>
    <col min="4099" max="4352" width="9.140625" style="1"/>
    <col min="4353" max="4353" width="82" style="1" customWidth="1"/>
    <col min="4354" max="4354" width="22.42578125" style="1" customWidth="1"/>
    <col min="4355" max="4608" width="9.140625" style="1"/>
    <col min="4609" max="4609" width="82" style="1" customWidth="1"/>
    <col min="4610" max="4610" width="22.42578125" style="1" customWidth="1"/>
    <col min="4611" max="4864" width="9.140625" style="1"/>
    <col min="4865" max="4865" width="82" style="1" customWidth="1"/>
    <col min="4866" max="4866" width="22.42578125" style="1" customWidth="1"/>
    <col min="4867" max="5120" width="9.140625" style="1"/>
    <col min="5121" max="5121" width="82" style="1" customWidth="1"/>
    <col min="5122" max="5122" width="22.42578125" style="1" customWidth="1"/>
    <col min="5123" max="5376" width="9.140625" style="1"/>
    <col min="5377" max="5377" width="82" style="1" customWidth="1"/>
    <col min="5378" max="5378" width="22.42578125" style="1" customWidth="1"/>
    <col min="5379" max="5632" width="9.140625" style="1"/>
    <col min="5633" max="5633" width="82" style="1" customWidth="1"/>
    <col min="5634" max="5634" width="22.42578125" style="1" customWidth="1"/>
    <col min="5635" max="5888" width="9.140625" style="1"/>
    <col min="5889" max="5889" width="82" style="1" customWidth="1"/>
    <col min="5890" max="5890" width="22.42578125" style="1" customWidth="1"/>
    <col min="5891" max="6144" width="9.140625" style="1"/>
    <col min="6145" max="6145" width="82" style="1" customWidth="1"/>
    <col min="6146" max="6146" width="22.42578125" style="1" customWidth="1"/>
    <col min="6147" max="6400" width="9.140625" style="1"/>
    <col min="6401" max="6401" width="82" style="1" customWidth="1"/>
    <col min="6402" max="6402" width="22.42578125" style="1" customWidth="1"/>
    <col min="6403" max="6656" width="9.140625" style="1"/>
    <col min="6657" max="6657" width="82" style="1" customWidth="1"/>
    <col min="6658" max="6658" width="22.42578125" style="1" customWidth="1"/>
    <col min="6659" max="6912" width="9.140625" style="1"/>
    <col min="6913" max="6913" width="82" style="1" customWidth="1"/>
    <col min="6914" max="6914" width="22.42578125" style="1" customWidth="1"/>
    <col min="6915" max="7168" width="9.140625" style="1"/>
    <col min="7169" max="7169" width="82" style="1" customWidth="1"/>
    <col min="7170" max="7170" width="22.42578125" style="1" customWidth="1"/>
    <col min="7171" max="7424" width="9.140625" style="1"/>
    <col min="7425" max="7425" width="82" style="1" customWidth="1"/>
    <col min="7426" max="7426" width="22.42578125" style="1" customWidth="1"/>
    <col min="7427" max="7680" width="9.140625" style="1"/>
    <col min="7681" max="7681" width="82" style="1" customWidth="1"/>
    <col min="7682" max="7682" width="22.42578125" style="1" customWidth="1"/>
    <col min="7683" max="7936" width="9.140625" style="1"/>
    <col min="7937" max="7937" width="82" style="1" customWidth="1"/>
    <col min="7938" max="7938" width="22.42578125" style="1" customWidth="1"/>
    <col min="7939" max="8192" width="9.140625" style="1"/>
    <col min="8193" max="8193" width="82" style="1" customWidth="1"/>
    <col min="8194" max="8194" width="22.42578125" style="1" customWidth="1"/>
    <col min="8195" max="8448" width="9.140625" style="1"/>
    <col min="8449" max="8449" width="82" style="1" customWidth="1"/>
    <col min="8450" max="8450" width="22.42578125" style="1" customWidth="1"/>
    <col min="8451" max="8704" width="9.140625" style="1"/>
    <col min="8705" max="8705" width="82" style="1" customWidth="1"/>
    <col min="8706" max="8706" width="22.42578125" style="1" customWidth="1"/>
    <col min="8707" max="8960" width="9.140625" style="1"/>
    <col min="8961" max="8961" width="82" style="1" customWidth="1"/>
    <col min="8962" max="8962" width="22.42578125" style="1" customWidth="1"/>
    <col min="8963" max="9216" width="9.140625" style="1"/>
    <col min="9217" max="9217" width="82" style="1" customWidth="1"/>
    <col min="9218" max="9218" width="22.42578125" style="1" customWidth="1"/>
    <col min="9219" max="9472" width="9.140625" style="1"/>
    <col min="9473" max="9473" width="82" style="1" customWidth="1"/>
    <col min="9474" max="9474" width="22.42578125" style="1" customWidth="1"/>
    <col min="9475" max="9728" width="9.140625" style="1"/>
    <col min="9729" max="9729" width="82" style="1" customWidth="1"/>
    <col min="9730" max="9730" width="22.42578125" style="1" customWidth="1"/>
    <col min="9731" max="9984" width="9.140625" style="1"/>
    <col min="9985" max="9985" width="82" style="1" customWidth="1"/>
    <col min="9986" max="9986" width="22.42578125" style="1" customWidth="1"/>
    <col min="9987" max="10240" width="9.140625" style="1"/>
    <col min="10241" max="10241" width="82" style="1" customWidth="1"/>
    <col min="10242" max="10242" width="22.42578125" style="1" customWidth="1"/>
    <col min="10243" max="10496" width="9.140625" style="1"/>
    <col min="10497" max="10497" width="82" style="1" customWidth="1"/>
    <col min="10498" max="10498" width="22.42578125" style="1" customWidth="1"/>
    <col min="10499" max="10752" width="9.140625" style="1"/>
    <col min="10753" max="10753" width="82" style="1" customWidth="1"/>
    <col min="10754" max="10754" width="22.42578125" style="1" customWidth="1"/>
    <col min="10755" max="11008" width="9.140625" style="1"/>
    <col min="11009" max="11009" width="82" style="1" customWidth="1"/>
    <col min="11010" max="11010" width="22.42578125" style="1" customWidth="1"/>
    <col min="11011" max="11264" width="9.140625" style="1"/>
    <col min="11265" max="11265" width="82" style="1" customWidth="1"/>
    <col min="11266" max="11266" width="22.42578125" style="1" customWidth="1"/>
    <col min="11267" max="11520" width="9.140625" style="1"/>
    <col min="11521" max="11521" width="82" style="1" customWidth="1"/>
    <col min="11522" max="11522" width="22.42578125" style="1" customWidth="1"/>
    <col min="11523" max="11776" width="9.140625" style="1"/>
    <col min="11777" max="11777" width="82" style="1" customWidth="1"/>
    <col min="11778" max="11778" width="22.42578125" style="1" customWidth="1"/>
    <col min="11779" max="12032" width="9.140625" style="1"/>
    <col min="12033" max="12033" width="82" style="1" customWidth="1"/>
    <col min="12034" max="12034" width="22.42578125" style="1" customWidth="1"/>
    <col min="12035" max="12288" width="9.140625" style="1"/>
    <col min="12289" max="12289" width="82" style="1" customWidth="1"/>
    <col min="12290" max="12290" width="22.42578125" style="1" customWidth="1"/>
    <col min="12291" max="12544" width="9.140625" style="1"/>
    <col min="12545" max="12545" width="82" style="1" customWidth="1"/>
    <col min="12546" max="12546" width="22.42578125" style="1" customWidth="1"/>
    <col min="12547" max="12800" width="9.140625" style="1"/>
    <col min="12801" max="12801" width="82" style="1" customWidth="1"/>
    <col min="12802" max="12802" width="22.42578125" style="1" customWidth="1"/>
    <col min="12803" max="13056" width="9.140625" style="1"/>
    <col min="13057" max="13057" width="82" style="1" customWidth="1"/>
    <col min="13058" max="13058" width="22.42578125" style="1" customWidth="1"/>
    <col min="13059" max="13312" width="9.140625" style="1"/>
    <col min="13313" max="13313" width="82" style="1" customWidth="1"/>
    <col min="13314" max="13314" width="22.42578125" style="1" customWidth="1"/>
    <col min="13315" max="13568" width="9.140625" style="1"/>
    <col min="13569" max="13569" width="82" style="1" customWidth="1"/>
    <col min="13570" max="13570" width="22.42578125" style="1" customWidth="1"/>
    <col min="13571" max="13824" width="9.140625" style="1"/>
    <col min="13825" max="13825" width="82" style="1" customWidth="1"/>
    <col min="13826" max="13826" width="22.42578125" style="1" customWidth="1"/>
    <col min="13827" max="14080" width="9.140625" style="1"/>
    <col min="14081" max="14081" width="82" style="1" customWidth="1"/>
    <col min="14082" max="14082" width="22.42578125" style="1" customWidth="1"/>
    <col min="14083" max="14336" width="9.140625" style="1"/>
    <col min="14337" max="14337" width="82" style="1" customWidth="1"/>
    <col min="14338" max="14338" width="22.42578125" style="1" customWidth="1"/>
    <col min="14339" max="14592" width="9.140625" style="1"/>
    <col min="14593" max="14593" width="82" style="1" customWidth="1"/>
    <col min="14594" max="14594" width="22.42578125" style="1" customWidth="1"/>
    <col min="14595" max="14848" width="9.140625" style="1"/>
    <col min="14849" max="14849" width="82" style="1" customWidth="1"/>
    <col min="14850" max="14850" width="22.42578125" style="1" customWidth="1"/>
    <col min="14851" max="15104" width="9.140625" style="1"/>
    <col min="15105" max="15105" width="82" style="1" customWidth="1"/>
    <col min="15106" max="15106" width="22.42578125" style="1" customWidth="1"/>
    <col min="15107" max="15360" width="9.140625" style="1"/>
    <col min="15361" max="15361" width="82" style="1" customWidth="1"/>
    <col min="15362" max="15362" width="22.42578125" style="1" customWidth="1"/>
    <col min="15363" max="15616" width="9.140625" style="1"/>
    <col min="15617" max="15617" width="82" style="1" customWidth="1"/>
    <col min="15618" max="15618" width="22.42578125" style="1" customWidth="1"/>
    <col min="15619" max="15872" width="9.140625" style="1"/>
    <col min="15873" max="15873" width="82" style="1" customWidth="1"/>
    <col min="15874" max="15874" width="22.42578125" style="1" customWidth="1"/>
    <col min="15875" max="16128" width="9.140625" style="1"/>
    <col min="16129" max="16129" width="82" style="1" customWidth="1"/>
    <col min="16130" max="16130" width="22.42578125" style="1" customWidth="1"/>
    <col min="16131" max="16384" width="9.140625" style="1"/>
  </cols>
  <sheetData>
    <row r="1" spans="1:38" x14ac:dyDescent="0.25">
      <c r="A1" s="1" t="s">
        <v>963</v>
      </c>
    </row>
    <row r="4" spans="1:38" s="2" customFormat="1" ht="16.5" x14ac:dyDescent="0.25">
      <c r="A4" s="786" t="s">
        <v>306</v>
      </c>
      <c r="B4" s="78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2" customFormat="1" x14ac:dyDescent="0.25">
      <c r="A5" s="3"/>
      <c r="B5" s="3"/>
      <c r="C5" s="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x14ac:dyDescent="0.25">
      <c r="B6" s="4" t="s">
        <v>8</v>
      </c>
      <c r="C6" s="37"/>
    </row>
    <row r="7" spans="1:38" s="26" customFormat="1" ht="24" customHeight="1" x14ac:dyDescent="0.25">
      <c r="A7" s="5" t="s">
        <v>0</v>
      </c>
      <c r="B7" s="5" t="s">
        <v>295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7" customFormat="1" ht="24" customHeight="1" x14ac:dyDescent="0.25">
      <c r="A8" s="39" t="s">
        <v>296</v>
      </c>
      <c r="B8" s="11">
        <v>3360682240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s="7" customFormat="1" ht="24" customHeight="1" x14ac:dyDescent="0.25">
      <c r="A9" s="39" t="s">
        <v>297</v>
      </c>
      <c r="B9" s="11">
        <v>3352323888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s="7" customFormat="1" ht="24" customHeight="1" x14ac:dyDescent="0.25">
      <c r="A10" s="40" t="s">
        <v>298</v>
      </c>
      <c r="B10" s="14">
        <v>8358352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s="7" customFormat="1" ht="24" customHeight="1" x14ac:dyDescent="0.25">
      <c r="A11" s="39" t="s">
        <v>299</v>
      </c>
      <c r="B11" s="11">
        <v>1690116365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7" customFormat="1" ht="24" customHeight="1" x14ac:dyDescent="0.25">
      <c r="A12" s="39" t="s">
        <v>300</v>
      </c>
      <c r="B12" s="11">
        <v>1275535306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s="7" customFormat="1" ht="24" customHeight="1" x14ac:dyDescent="0.25">
      <c r="A13" s="40" t="s">
        <v>301</v>
      </c>
      <c r="B13" s="14">
        <v>414581059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s="7" customFormat="1" ht="24" customHeight="1" x14ac:dyDescent="0.25">
      <c r="A14" s="40" t="s">
        <v>302</v>
      </c>
      <c r="B14" s="14">
        <v>422939411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35" customFormat="1" ht="24" customHeight="1" x14ac:dyDescent="0.25">
      <c r="A15" s="41" t="s">
        <v>303</v>
      </c>
      <c r="B15" s="17">
        <v>422939411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s="7" customFormat="1" ht="24" customHeight="1" x14ac:dyDescent="0.25">
      <c r="A16" s="40" t="s">
        <v>304</v>
      </c>
      <c r="B16" s="563">
        <v>424651789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s="7" customFormat="1" ht="24" customHeight="1" x14ac:dyDescent="0.25">
      <c r="A17" s="40" t="s">
        <v>305</v>
      </c>
      <c r="B17" s="563">
        <v>-1712378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x14ac:dyDescent="0.25">
      <c r="B18" s="423">
        <f>SUM(B15-B16-B17)</f>
        <v>0</v>
      </c>
    </row>
  </sheetData>
  <mergeCells count="1">
    <mergeCell ref="A4:B4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view="pageBreakPreview" zoomScale="60" zoomScaleNormal="100" workbookViewId="0">
      <selection sqref="A1:D1"/>
    </sheetView>
  </sheetViews>
  <sheetFormatPr defaultRowHeight="15.75" x14ac:dyDescent="0.25"/>
  <cols>
    <col min="1" max="1" width="74.5703125" style="42" customWidth="1"/>
    <col min="2" max="2" width="16.28515625" style="42" customWidth="1"/>
    <col min="3" max="3" width="19" style="163" customWidth="1"/>
    <col min="4" max="4" width="16" style="163" customWidth="1"/>
    <col min="5" max="5" width="15.42578125" style="163" customWidth="1"/>
    <col min="6" max="6" width="16.28515625" style="163" customWidth="1"/>
    <col min="7" max="7" width="14.140625" style="43" customWidth="1"/>
    <col min="8" max="16384" width="9.140625" style="42"/>
  </cols>
  <sheetData>
    <row r="1" spans="1:7" ht="20.100000000000001" customHeight="1" x14ac:dyDescent="0.25">
      <c r="A1" s="795" t="s">
        <v>964</v>
      </c>
      <c r="B1" s="796"/>
      <c r="C1" s="796"/>
      <c r="D1" s="796"/>
      <c r="E1" s="42"/>
      <c r="F1" s="42"/>
    </row>
    <row r="2" spans="1:7" ht="20.100000000000001" customHeight="1" x14ac:dyDescent="0.25">
      <c r="A2" s="44"/>
      <c r="B2" s="45"/>
      <c r="C2" s="46"/>
      <c r="D2" s="46"/>
      <c r="E2" s="46"/>
      <c r="F2" s="46"/>
      <c r="G2" s="47"/>
    </row>
    <row r="3" spans="1:7" ht="39" customHeight="1" x14ac:dyDescent="0.25">
      <c r="A3" s="797" t="s">
        <v>415</v>
      </c>
      <c r="B3" s="797"/>
      <c r="C3" s="797"/>
      <c r="D3" s="797"/>
      <c r="E3" s="797"/>
      <c r="F3" s="797"/>
      <c r="G3" s="797"/>
    </row>
    <row r="4" spans="1:7" ht="20.100000000000001" customHeight="1" x14ac:dyDescent="0.25">
      <c r="A4" s="44" t="s">
        <v>307</v>
      </c>
      <c r="B4" s="45"/>
      <c r="C4" s="46"/>
      <c r="D4" s="46"/>
      <c r="E4" s="46"/>
      <c r="F4" s="46"/>
      <c r="G4" s="47"/>
    </row>
    <row r="5" spans="1:7" ht="20.100000000000001" customHeight="1" thickBot="1" x14ac:dyDescent="0.3">
      <c r="A5" s="48"/>
      <c r="B5" s="49"/>
      <c r="C5" s="49"/>
      <c r="D5" s="50"/>
      <c r="E5" s="50"/>
      <c r="F5" s="50"/>
      <c r="G5" s="51" t="s">
        <v>308</v>
      </c>
    </row>
    <row r="6" spans="1:7" ht="51" customHeight="1" thickBot="1" x14ac:dyDescent="0.3">
      <c r="A6" s="798" t="s">
        <v>309</v>
      </c>
      <c r="B6" s="799"/>
      <c r="C6" s="52"/>
      <c r="D6" s="53" t="s">
        <v>310</v>
      </c>
      <c r="E6" s="53" t="s">
        <v>311</v>
      </c>
      <c r="F6" s="53" t="s">
        <v>312</v>
      </c>
      <c r="G6" s="54" t="s">
        <v>313</v>
      </c>
    </row>
    <row r="7" spans="1:7" ht="20.100000000000001" customHeight="1" x14ac:dyDescent="0.25">
      <c r="A7" s="55" t="s">
        <v>314</v>
      </c>
      <c r="B7" s="56"/>
      <c r="C7" s="57"/>
      <c r="D7" s="58"/>
      <c r="E7" s="58"/>
      <c r="F7" s="57"/>
      <c r="G7" s="59"/>
    </row>
    <row r="8" spans="1:7" ht="20.100000000000001" customHeight="1" x14ac:dyDescent="0.25">
      <c r="A8" s="60" t="s">
        <v>315</v>
      </c>
      <c r="B8" s="61" t="s">
        <v>8</v>
      </c>
      <c r="C8" s="62" t="s">
        <v>8</v>
      </c>
      <c r="D8" s="63"/>
      <c r="E8" s="63"/>
      <c r="F8" s="64"/>
      <c r="G8" s="65"/>
    </row>
    <row r="9" spans="1:7" ht="20.100000000000001" customHeight="1" x14ac:dyDescent="0.25">
      <c r="A9" s="789" t="s">
        <v>316</v>
      </c>
      <c r="B9" s="790"/>
      <c r="C9" s="66">
        <v>195932400</v>
      </c>
      <c r="D9" s="67">
        <v>195933</v>
      </c>
      <c r="E9" s="67">
        <v>195933</v>
      </c>
      <c r="F9" s="66">
        <v>195933</v>
      </c>
      <c r="G9" s="68">
        <f>SUM(F9/E9)</f>
        <v>1</v>
      </c>
    </row>
    <row r="10" spans="1:7" ht="20.100000000000001" customHeight="1" x14ac:dyDescent="0.25">
      <c r="A10" s="789" t="s">
        <v>317</v>
      </c>
      <c r="B10" s="790"/>
      <c r="C10" s="66">
        <v>29491750</v>
      </c>
      <c r="D10" s="67">
        <v>0</v>
      </c>
      <c r="E10" s="67">
        <v>0</v>
      </c>
      <c r="F10" s="66"/>
      <c r="G10" s="68"/>
    </row>
    <row r="11" spans="1:7" ht="20.100000000000001" customHeight="1" x14ac:dyDescent="0.25">
      <c r="A11" s="789" t="s">
        <v>318</v>
      </c>
      <c r="B11" s="790"/>
      <c r="C11" s="66">
        <v>0</v>
      </c>
      <c r="D11" s="67"/>
      <c r="E11" s="67"/>
      <c r="F11" s="66"/>
      <c r="G11" s="68"/>
    </row>
    <row r="12" spans="1:7" ht="20.100000000000001" customHeight="1" x14ac:dyDescent="0.25">
      <c r="A12" s="69" t="s">
        <v>319</v>
      </c>
      <c r="B12" s="70"/>
      <c r="C12" s="66">
        <v>54560000</v>
      </c>
      <c r="D12" s="67">
        <v>15087</v>
      </c>
      <c r="E12" s="67">
        <v>52174</v>
      </c>
      <c r="F12" s="66">
        <v>52174</v>
      </c>
      <c r="G12" s="68">
        <f>SUM(F12/E12)</f>
        <v>1</v>
      </c>
    </row>
    <row r="13" spans="1:7" ht="20.100000000000001" customHeight="1" x14ac:dyDescent="0.25">
      <c r="A13" s="789" t="s">
        <v>318</v>
      </c>
      <c r="B13" s="790"/>
      <c r="C13" s="66">
        <v>52174293</v>
      </c>
      <c r="D13" s="67"/>
      <c r="E13" s="67"/>
      <c r="F13" s="66"/>
      <c r="G13" s="68"/>
    </row>
    <row r="14" spans="1:7" ht="20.100000000000001" customHeight="1" x14ac:dyDescent="0.25">
      <c r="A14" s="69" t="s">
        <v>320</v>
      </c>
      <c r="B14" s="70"/>
      <c r="C14" s="66">
        <v>0</v>
      </c>
      <c r="D14" s="67">
        <v>0</v>
      </c>
      <c r="E14" s="67">
        <v>0</v>
      </c>
      <c r="F14" s="66"/>
      <c r="G14" s="68"/>
    </row>
    <row r="15" spans="1:7" ht="20.100000000000001" customHeight="1" x14ac:dyDescent="0.25">
      <c r="A15" s="69" t="s">
        <v>321</v>
      </c>
      <c r="B15" s="70"/>
      <c r="C15" s="66">
        <v>32733200</v>
      </c>
      <c r="D15" s="67">
        <v>32733</v>
      </c>
      <c r="E15" s="67">
        <v>32733</v>
      </c>
      <c r="F15" s="66">
        <v>32733</v>
      </c>
      <c r="G15" s="68">
        <f>SUM(F15/E15)</f>
        <v>1</v>
      </c>
    </row>
    <row r="16" spans="1:7" ht="20.100000000000001" customHeight="1" x14ac:dyDescent="0.25">
      <c r="A16" s="69" t="s">
        <v>322</v>
      </c>
      <c r="B16" s="70"/>
      <c r="C16" s="66">
        <v>55744200</v>
      </c>
      <c r="D16" s="67">
        <v>0</v>
      </c>
      <c r="E16" s="67">
        <v>0</v>
      </c>
      <c r="F16" s="66"/>
      <c r="G16" s="68"/>
    </row>
    <row r="17" spans="1:7" ht="20.100000000000001" customHeight="1" x14ac:dyDescent="0.25">
      <c r="A17" s="789" t="s">
        <v>318</v>
      </c>
      <c r="B17" s="790"/>
      <c r="C17" s="66">
        <v>0</v>
      </c>
      <c r="D17" s="67"/>
      <c r="E17" s="67"/>
      <c r="F17" s="66"/>
      <c r="G17" s="68"/>
    </row>
    <row r="18" spans="1:7" ht="20.100000000000001" customHeight="1" x14ac:dyDescent="0.25">
      <c r="A18" s="69" t="s">
        <v>323</v>
      </c>
      <c r="B18" s="70"/>
      <c r="C18" s="66">
        <v>1387200</v>
      </c>
      <c r="D18" s="67">
        <v>0</v>
      </c>
      <c r="E18" s="67">
        <v>0</v>
      </c>
      <c r="F18" s="66"/>
      <c r="G18" s="68"/>
    </row>
    <row r="19" spans="1:7" ht="20.100000000000001" customHeight="1" x14ac:dyDescent="0.25">
      <c r="A19" s="789" t="s">
        <v>318</v>
      </c>
      <c r="B19" s="790"/>
      <c r="C19" s="66">
        <v>0</v>
      </c>
      <c r="D19" s="67"/>
      <c r="E19" s="67"/>
      <c r="F19" s="66"/>
      <c r="G19" s="68"/>
    </row>
    <row r="20" spans="1:7" ht="20.100000000000001" customHeight="1" x14ac:dyDescent="0.25">
      <c r="A20" s="69" t="s">
        <v>324</v>
      </c>
      <c r="B20" s="70"/>
      <c r="C20" s="66">
        <v>5469950</v>
      </c>
      <c r="D20" s="67">
        <v>5470</v>
      </c>
      <c r="E20" s="67">
        <v>5470</v>
      </c>
      <c r="F20" s="66">
        <v>5470</v>
      </c>
      <c r="G20" s="68">
        <f>SUM(F20/E20)</f>
        <v>1</v>
      </c>
    </row>
    <row r="21" spans="1:7" ht="20.100000000000001" customHeight="1" x14ac:dyDescent="0.25">
      <c r="A21" s="789" t="s">
        <v>318</v>
      </c>
      <c r="B21" s="790"/>
      <c r="C21" s="66">
        <v>5469950</v>
      </c>
      <c r="D21" s="67"/>
      <c r="E21" s="67"/>
      <c r="F21" s="66"/>
      <c r="G21" s="68"/>
    </row>
    <row r="22" spans="1:7" ht="20.100000000000001" customHeight="1" x14ac:dyDescent="0.25">
      <c r="A22" s="69" t="s">
        <v>325</v>
      </c>
      <c r="B22" s="71">
        <f>C10+C12-C13+C16+C18</f>
        <v>89008857</v>
      </c>
      <c r="C22" s="66"/>
      <c r="D22" s="67"/>
      <c r="E22" s="67"/>
      <c r="F22" s="66"/>
      <c r="G22" s="68"/>
    </row>
    <row r="23" spans="1:7" ht="20.100000000000001" customHeight="1" x14ac:dyDescent="0.25">
      <c r="A23" s="69" t="s">
        <v>326</v>
      </c>
      <c r="B23" s="71"/>
      <c r="C23" s="66">
        <v>1779524</v>
      </c>
      <c r="D23" s="67">
        <v>1779</v>
      </c>
      <c r="E23" s="67">
        <v>1779</v>
      </c>
      <c r="F23" s="66">
        <v>1780</v>
      </c>
      <c r="G23" s="68">
        <f>SUM(F23/E23)</f>
        <v>1.0005621135469365</v>
      </c>
    </row>
    <row r="24" spans="1:7" s="76" customFormat="1" ht="25.5" customHeight="1" x14ac:dyDescent="0.25">
      <c r="A24" s="802" t="s">
        <v>327</v>
      </c>
      <c r="B24" s="803"/>
      <c r="C24" s="72">
        <f>C9+C11+C13+C14+C15+C17+C19+C21+C23</f>
        <v>288089367</v>
      </c>
      <c r="D24" s="73">
        <f>SUM(D9:D23)</f>
        <v>251002</v>
      </c>
      <c r="E24" s="73">
        <f>SUM(E9:E23)</f>
        <v>288089</v>
      </c>
      <c r="F24" s="74">
        <f>SUM(F9:F23)</f>
        <v>288090</v>
      </c>
      <c r="G24" s="75">
        <f>F24/E24</f>
        <v>1.0000034711495407</v>
      </c>
    </row>
    <row r="25" spans="1:7" s="77" customFormat="1" ht="20.100000000000001" customHeight="1" x14ac:dyDescent="0.2">
      <c r="A25" s="69" t="s">
        <v>328</v>
      </c>
      <c r="B25" s="70"/>
      <c r="C25" s="66">
        <v>342701700</v>
      </c>
      <c r="D25" s="67">
        <v>336376</v>
      </c>
      <c r="E25" s="67">
        <v>342702</v>
      </c>
      <c r="F25" s="66">
        <v>342702</v>
      </c>
      <c r="G25" s="68">
        <f>SUM(F25/E25)</f>
        <v>1</v>
      </c>
    </row>
    <row r="26" spans="1:7" s="77" customFormat="1" ht="20.100000000000001" customHeight="1" x14ac:dyDescent="0.2">
      <c r="A26" s="69" t="s">
        <v>329</v>
      </c>
      <c r="B26" s="70"/>
      <c r="C26" s="66"/>
      <c r="D26" s="67"/>
      <c r="E26" s="67"/>
      <c r="F26" s="66"/>
      <c r="G26" s="68"/>
    </row>
    <row r="27" spans="1:7" s="77" customFormat="1" ht="20.100000000000001" customHeight="1" x14ac:dyDescent="0.2">
      <c r="A27" s="69" t="s">
        <v>330</v>
      </c>
      <c r="B27" s="70"/>
      <c r="C27" s="66">
        <v>54346667</v>
      </c>
      <c r="D27" s="67">
        <v>53200</v>
      </c>
      <c r="E27" s="67">
        <v>54346</v>
      </c>
      <c r="F27" s="66">
        <v>54346</v>
      </c>
      <c r="G27" s="68">
        <f>SUM(F27/E27)</f>
        <v>1</v>
      </c>
    </row>
    <row r="28" spans="1:7" s="77" customFormat="1" ht="20.100000000000001" customHeight="1" x14ac:dyDescent="0.2">
      <c r="A28" s="69" t="s">
        <v>331</v>
      </c>
      <c r="B28" s="70"/>
      <c r="C28" s="66">
        <v>9493820</v>
      </c>
      <c r="D28" s="67">
        <v>9494</v>
      </c>
      <c r="E28" s="67">
        <v>9494</v>
      </c>
      <c r="F28" s="66">
        <v>9494</v>
      </c>
      <c r="G28" s="68">
        <f>SUM(F28/E28)</f>
        <v>1</v>
      </c>
    </row>
    <row r="29" spans="1:7" s="77" customFormat="1" ht="20.100000000000001" customHeight="1" x14ac:dyDescent="0.2">
      <c r="A29" s="69" t="s">
        <v>332</v>
      </c>
      <c r="B29" s="70"/>
      <c r="C29" s="66"/>
      <c r="D29" s="67"/>
      <c r="E29" s="67"/>
      <c r="F29" s="66"/>
      <c r="G29" s="68"/>
    </row>
    <row r="30" spans="1:7" s="77" customFormat="1" ht="20.100000000000001" customHeight="1" x14ac:dyDescent="0.2">
      <c r="A30" s="69" t="s">
        <v>333</v>
      </c>
      <c r="B30" s="70"/>
      <c r="C30" s="66">
        <v>6422000</v>
      </c>
      <c r="D30" s="67">
        <v>6422</v>
      </c>
      <c r="E30" s="67">
        <v>6422</v>
      </c>
      <c r="F30" s="66">
        <v>6422</v>
      </c>
      <c r="G30" s="68">
        <f>SUM(F30/E30)</f>
        <v>1</v>
      </c>
    </row>
    <row r="31" spans="1:7" s="78" customFormat="1" ht="24" customHeight="1" x14ac:dyDescent="0.2">
      <c r="A31" s="802" t="s">
        <v>334</v>
      </c>
      <c r="B31" s="803"/>
      <c r="C31" s="72">
        <f>SUM(C25:C30)</f>
        <v>412964187</v>
      </c>
      <c r="D31" s="73">
        <f>SUM(D25:D30)</f>
        <v>405492</v>
      </c>
      <c r="E31" s="73">
        <f>SUM(E25:E30)</f>
        <v>412964</v>
      </c>
      <c r="F31" s="74">
        <f>SUM(F25:F30)</f>
        <v>412964</v>
      </c>
      <c r="G31" s="75">
        <f>F31/E31</f>
        <v>1</v>
      </c>
    </row>
    <row r="32" spans="1:7" s="77" customFormat="1" ht="20.100000000000001" customHeight="1" x14ac:dyDescent="0.2">
      <c r="A32" s="69" t="s">
        <v>335</v>
      </c>
      <c r="B32" s="70"/>
      <c r="C32" s="66">
        <v>78966549</v>
      </c>
      <c r="D32" s="67">
        <v>78967</v>
      </c>
      <c r="E32" s="67">
        <v>78967</v>
      </c>
      <c r="F32" s="66">
        <v>78967</v>
      </c>
      <c r="G32" s="68">
        <f t="shared" ref="G32:G33" si="0">SUM(F32/E32)</f>
        <v>1</v>
      </c>
    </row>
    <row r="33" spans="1:7" s="77" customFormat="1" ht="20.100000000000001" customHeight="1" x14ac:dyDescent="0.2">
      <c r="A33" s="69" t="s">
        <v>336</v>
      </c>
      <c r="B33" s="70"/>
      <c r="C33" s="66">
        <f>SUM(B34:B45)</f>
        <v>226634432</v>
      </c>
      <c r="D33" s="67">
        <v>154981</v>
      </c>
      <c r="E33" s="67">
        <v>226634</v>
      </c>
      <c r="F33" s="66">
        <v>226634</v>
      </c>
      <c r="G33" s="68">
        <f t="shared" si="0"/>
        <v>1</v>
      </c>
    </row>
    <row r="34" spans="1:7" s="77" customFormat="1" ht="20.100000000000001" customHeight="1" x14ac:dyDescent="0.2">
      <c r="A34" s="69" t="s">
        <v>337</v>
      </c>
      <c r="B34" s="79">
        <v>14700000</v>
      </c>
      <c r="C34" s="66"/>
      <c r="D34" s="67"/>
      <c r="E34" s="67"/>
      <c r="F34" s="66"/>
      <c r="G34" s="68"/>
    </row>
    <row r="35" spans="1:7" s="77" customFormat="1" ht="20.100000000000001" customHeight="1" x14ac:dyDescent="0.2">
      <c r="A35" s="69" t="s">
        <v>338</v>
      </c>
      <c r="B35" s="79">
        <v>22500000</v>
      </c>
      <c r="C35" s="66"/>
      <c r="D35" s="67"/>
      <c r="E35" s="67"/>
      <c r="F35" s="66"/>
      <c r="G35" s="68"/>
    </row>
    <row r="36" spans="1:7" s="77" customFormat="1" ht="20.100000000000001" customHeight="1" x14ac:dyDescent="0.2">
      <c r="A36" s="69" t="s">
        <v>339</v>
      </c>
      <c r="B36" s="79">
        <v>31300544</v>
      </c>
      <c r="C36" s="66"/>
      <c r="D36" s="67"/>
      <c r="E36" s="67"/>
      <c r="F36" s="66"/>
      <c r="G36" s="68"/>
    </row>
    <row r="37" spans="1:7" s="77" customFormat="1" ht="20.100000000000001" customHeight="1" x14ac:dyDescent="0.2">
      <c r="A37" s="69" t="s">
        <v>340</v>
      </c>
      <c r="B37" s="79">
        <v>16399500</v>
      </c>
      <c r="C37" s="66"/>
      <c r="D37" s="67"/>
      <c r="E37" s="67"/>
      <c r="F37" s="66"/>
      <c r="G37" s="68"/>
    </row>
    <row r="38" spans="1:7" s="77" customFormat="1" ht="20.100000000000001" customHeight="1" x14ac:dyDescent="0.2">
      <c r="A38" s="69" t="s">
        <v>341</v>
      </c>
      <c r="B38" s="79">
        <v>2500000</v>
      </c>
      <c r="C38" s="66"/>
      <c r="D38" s="67"/>
      <c r="E38" s="67"/>
      <c r="F38" s="66"/>
      <c r="G38" s="68"/>
    </row>
    <row r="39" spans="1:7" s="77" customFormat="1" ht="20.100000000000001" customHeight="1" x14ac:dyDescent="0.2">
      <c r="A39" s="69" t="s">
        <v>342</v>
      </c>
      <c r="B39" s="79">
        <v>8502000</v>
      </c>
      <c r="C39" s="66"/>
      <c r="D39" s="67"/>
      <c r="E39" s="67"/>
      <c r="F39" s="66"/>
      <c r="G39" s="68"/>
    </row>
    <row r="40" spans="1:7" s="77" customFormat="1" ht="20.100000000000001" customHeight="1" x14ac:dyDescent="0.2">
      <c r="A40" s="69" t="s">
        <v>343</v>
      </c>
      <c r="B40" s="79">
        <v>5500000</v>
      </c>
      <c r="C40" s="66"/>
      <c r="D40" s="67"/>
      <c r="E40" s="67"/>
      <c r="F40" s="66"/>
      <c r="G40" s="68"/>
    </row>
    <row r="41" spans="1:7" s="77" customFormat="1" ht="20.100000000000001" customHeight="1" x14ac:dyDescent="0.2">
      <c r="A41" s="69" t="s">
        <v>344</v>
      </c>
      <c r="B41" s="79">
        <v>2976000</v>
      </c>
      <c r="C41" s="66"/>
      <c r="D41" s="67"/>
      <c r="E41" s="67"/>
      <c r="F41" s="66"/>
      <c r="G41" s="68"/>
    </row>
    <row r="42" spans="1:7" s="77" customFormat="1" ht="20.100000000000001" customHeight="1" x14ac:dyDescent="0.2">
      <c r="A42" s="69" t="s">
        <v>345</v>
      </c>
      <c r="B42" s="79">
        <v>2232000</v>
      </c>
      <c r="C42" s="66"/>
      <c r="D42" s="67"/>
      <c r="E42" s="67"/>
      <c r="F42" s="66"/>
      <c r="G42" s="68"/>
    </row>
    <row r="43" spans="1:7" s="77" customFormat="1" ht="20.100000000000001" customHeight="1" x14ac:dyDescent="0.2">
      <c r="A43" s="69" t="s">
        <v>346</v>
      </c>
      <c r="B43" s="79">
        <v>48322980</v>
      </c>
      <c r="C43" s="66"/>
      <c r="D43" s="67"/>
      <c r="E43" s="67"/>
      <c r="F43" s="66"/>
      <c r="G43" s="68"/>
    </row>
    <row r="44" spans="1:7" s="77" customFormat="1" ht="20.100000000000001" customHeight="1" x14ac:dyDescent="0.2">
      <c r="A44" s="80" t="s">
        <v>347</v>
      </c>
      <c r="B44" s="79">
        <v>35074932</v>
      </c>
      <c r="C44" s="66"/>
      <c r="D44" s="67"/>
      <c r="E44" s="67"/>
      <c r="F44" s="66"/>
      <c r="G44" s="68"/>
    </row>
    <row r="45" spans="1:7" s="77" customFormat="1" ht="20.100000000000001" customHeight="1" x14ac:dyDescent="0.2">
      <c r="A45" s="69" t="s">
        <v>348</v>
      </c>
      <c r="B45" s="79">
        <v>36626476</v>
      </c>
      <c r="C45" s="66"/>
      <c r="D45" s="67"/>
      <c r="E45" s="67"/>
      <c r="F45" s="66"/>
      <c r="G45" s="68"/>
    </row>
    <row r="46" spans="1:7" s="77" customFormat="1" ht="20.100000000000001" customHeight="1" x14ac:dyDescent="0.2">
      <c r="A46" s="69" t="s">
        <v>349</v>
      </c>
      <c r="B46" s="70"/>
      <c r="C46" s="66">
        <f>SUM(B48:B49)</f>
        <v>317217160</v>
      </c>
      <c r="D46" s="67">
        <v>316274</v>
      </c>
      <c r="E46" s="67">
        <v>317217</v>
      </c>
      <c r="F46" s="66">
        <v>317217</v>
      </c>
      <c r="G46" s="68">
        <f t="shared" ref="G46" si="1">SUM(F46/E46)</f>
        <v>1</v>
      </c>
    </row>
    <row r="47" spans="1:7" s="77" customFormat="1" ht="20.100000000000001" customHeight="1" x14ac:dyDescent="0.2">
      <c r="A47" s="69" t="s">
        <v>350</v>
      </c>
      <c r="B47" s="70"/>
      <c r="C47" s="66"/>
      <c r="D47" s="67"/>
      <c r="E47" s="67"/>
      <c r="F47" s="66"/>
      <c r="G47" s="68"/>
    </row>
    <row r="48" spans="1:7" s="77" customFormat="1" ht="20.100000000000001" customHeight="1" x14ac:dyDescent="0.2">
      <c r="A48" s="69" t="s">
        <v>351</v>
      </c>
      <c r="B48" s="81">
        <v>205877160</v>
      </c>
      <c r="C48" s="66"/>
      <c r="D48" s="67"/>
      <c r="E48" s="67"/>
      <c r="F48" s="66"/>
      <c r="G48" s="68"/>
    </row>
    <row r="49" spans="1:7" s="77" customFormat="1" ht="20.100000000000001" customHeight="1" x14ac:dyDescent="0.2">
      <c r="A49" s="69" t="s">
        <v>352</v>
      </c>
      <c r="B49" s="81">
        <v>111340000</v>
      </c>
      <c r="C49" s="66"/>
      <c r="D49" s="67"/>
      <c r="E49" s="67"/>
      <c r="F49" s="66"/>
      <c r="G49" s="68"/>
    </row>
    <row r="50" spans="1:7" s="77" customFormat="1" ht="20.100000000000001" customHeight="1" x14ac:dyDescent="0.2">
      <c r="A50" s="69" t="s">
        <v>353</v>
      </c>
      <c r="B50" s="81"/>
      <c r="C50" s="66">
        <f>SUM(B51:B53)</f>
        <v>180437889</v>
      </c>
      <c r="D50" s="67">
        <v>189691</v>
      </c>
      <c r="E50" s="67">
        <v>180438</v>
      </c>
      <c r="F50" s="66">
        <v>180438</v>
      </c>
      <c r="G50" s="68">
        <f t="shared" ref="G50" si="2">SUM(F50/E50)</f>
        <v>1</v>
      </c>
    </row>
    <row r="51" spans="1:7" s="77" customFormat="1" ht="20.100000000000001" customHeight="1" x14ac:dyDescent="0.2">
      <c r="A51" s="69" t="s">
        <v>354</v>
      </c>
      <c r="B51" s="81">
        <v>44635200</v>
      </c>
      <c r="C51" s="66"/>
      <c r="D51" s="67"/>
      <c r="E51" s="67"/>
      <c r="F51" s="66"/>
      <c r="G51" s="68"/>
    </row>
    <row r="52" spans="1:7" s="77" customFormat="1" ht="20.100000000000001" customHeight="1" x14ac:dyDescent="0.2">
      <c r="A52" s="69" t="s">
        <v>355</v>
      </c>
      <c r="B52" s="81">
        <v>117497181</v>
      </c>
      <c r="C52" s="66"/>
      <c r="D52" s="67"/>
      <c r="E52" s="67"/>
      <c r="F52" s="66"/>
      <c r="G52" s="68"/>
    </row>
    <row r="53" spans="1:7" s="77" customFormat="1" ht="20.100000000000001" customHeight="1" x14ac:dyDescent="0.2">
      <c r="A53" s="69" t="s">
        <v>356</v>
      </c>
      <c r="B53" s="81">
        <v>18305508</v>
      </c>
      <c r="C53" s="66"/>
      <c r="D53" s="67"/>
      <c r="E53" s="67"/>
      <c r="F53" s="66"/>
      <c r="G53" s="68"/>
    </row>
    <row r="54" spans="1:7" s="77" customFormat="1" ht="20.100000000000001" customHeight="1" x14ac:dyDescent="0.2">
      <c r="A54" s="80" t="s">
        <v>357</v>
      </c>
      <c r="B54" s="82"/>
      <c r="C54" s="83">
        <v>4526280</v>
      </c>
      <c r="D54" s="67">
        <v>3017</v>
      </c>
      <c r="E54" s="67">
        <v>4526</v>
      </c>
      <c r="F54" s="66">
        <v>4526</v>
      </c>
      <c r="G54" s="68">
        <f t="shared" ref="G54" si="3">SUM(F54/E54)</f>
        <v>1</v>
      </c>
    </row>
    <row r="55" spans="1:7" s="77" customFormat="1" ht="20.100000000000001" customHeight="1" x14ac:dyDescent="0.2">
      <c r="A55" s="80" t="s">
        <v>358</v>
      </c>
      <c r="B55" s="82"/>
      <c r="C55" s="83"/>
      <c r="D55" s="67"/>
      <c r="E55" s="67"/>
      <c r="F55" s="66"/>
      <c r="G55" s="68"/>
    </row>
    <row r="56" spans="1:7" s="77" customFormat="1" ht="20.100000000000001" customHeight="1" x14ac:dyDescent="0.2">
      <c r="A56" s="80" t="s">
        <v>359</v>
      </c>
      <c r="B56" s="84"/>
      <c r="C56" s="85">
        <v>0</v>
      </c>
      <c r="D56" s="86"/>
      <c r="E56" s="86">
        <v>0</v>
      </c>
      <c r="F56" s="86"/>
      <c r="G56" s="68"/>
    </row>
    <row r="57" spans="1:7" s="78" customFormat="1" ht="21" customHeight="1" x14ac:dyDescent="0.2">
      <c r="A57" s="804" t="s">
        <v>360</v>
      </c>
      <c r="B57" s="805"/>
      <c r="C57" s="87">
        <f>SUM(C32:C56)</f>
        <v>807782310</v>
      </c>
      <c r="D57" s="88">
        <f>SUM(D32:D56)</f>
        <v>742930</v>
      </c>
      <c r="E57" s="88">
        <f>SUM(E32:E56)</f>
        <v>807782</v>
      </c>
      <c r="F57" s="88">
        <f>SUM(F32:F56)</f>
        <v>807782</v>
      </c>
      <c r="G57" s="89">
        <f>F57/E57</f>
        <v>1</v>
      </c>
    </row>
    <row r="58" spans="1:7" s="78" customFormat="1" ht="20.100000000000001" customHeight="1" x14ac:dyDescent="0.2">
      <c r="A58" s="90" t="s">
        <v>361</v>
      </c>
      <c r="B58" s="91"/>
      <c r="C58" s="92"/>
      <c r="D58" s="93"/>
      <c r="E58" s="93"/>
      <c r="F58" s="93"/>
      <c r="G58" s="94"/>
    </row>
    <row r="59" spans="1:7" ht="20.100000000000001" customHeight="1" x14ac:dyDescent="0.25">
      <c r="A59" s="69" t="s">
        <v>362</v>
      </c>
      <c r="B59" s="95">
        <v>23536440</v>
      </c>
      <c r="C59" s="66"/>
      <c r="D59" s="67">
        <v>23536</v>
      </c>
      <c r="E59" s="67">
        <v>23536</v>
      </c>
      <c r="F59" s="67">
        <v>23536</v>
      </c>
      <c r="G59" s="68">
        <f t="shared" ref="G59" si="4">SUM(F59/E59)</f>
        <v>1</v>
      </c>
    </row>
    <row r="60" spans="1:7" ht="20.100000000000001" customHeight="1" x14ac:dyDescent="0.25">
      <c r="A60" s="69" t="s">
        <v>363</v>
      </c>
      <c r="B60" s="95"/>
      <c r="C60" s="66"/>
      <c r="D60" s="67"/>
      <c r="E60" s="67"/>
      <c r="F60" s="67"/>
      <c r="G60" s="96"/>
    </row>
    <row r="61" spans="1:7" ht="20.100000000000001" customHeight="1" x14ac:dyDescent="0.25">
      <c r="A61" s="69" t="s">
        <v>364</v>
      </c>
      <c r="B61" s="97">
        <v>15369000</v>
      </c>
      <c r="C61" s="66"/>
      <c r="D61" s="67">
        <v>15369</v>
      </c>
      <c r="E61" s="67">
        <v>15369</v>
      </c>
      <c r="F61" s="67">
        <v>15369</v>
      </c>
      <c r="G61" s="68">
        <f t="shared" ref="G61" si="5">SUM(F61/E61)</f>
        <v>1</v>
      </c>
    </row>
    <row r="62" spans="1:7" ht="19.5" customHeight="1" x14ac:dyDescent="0.25">
      <c r="A62" s="69" t="s">
        <v>365</v>
      </c>
      <c r="B62" s="98"/>
      <c r="C62" s="66"/>
      <c r="D62" s="67"/>
      <c r="E62" s="67"/>
      <c r="F62" s="67"/>
      <c r="G62" s="68"/>
    </row>
    <row r="63" spans="1:7" ht="19.5" customHeight="1" x14ac:dyDescent="0.25">
      <c r="A63" s="99" t="s">
        <v>366</v>
      </c>
      <c r="B63" s="100"/>
      <c r="C63" s="123"/>
      <c r="D63" s="101"/>
      <c r="E63" s="101"/>
      <c r="F63" s="101"/>
      <c r="G63" s="165"/>
    </row>
    <row r="64" spans="1:7" ht="23.25" customHeight="1" x14ac:dyDescent="0.25">
      <c r="A64" s="806" t="s">
        <v>367</v>
      </c>
      <c r="B64" s="807"/>
      <c r="C64" s="107">
        <f>SUM(B59:B62)</f>
        <v>38905440</v>
      </c>
      <c r="D64" s="106">
        <f>SUM(D59:D62)</f>
        <v>38905</v>
      </c>
      <c r="E64" s="106">
        <f>SUM(E59:E62)</f>
        <v>38905</v>
      </c>
      <c r="F64" s="106">
        <f>SUM(F59:F62)</f>
        <v>38905</v>
      </c>
      <c r="G64" s="75">
        <f>F64/E64</f>
        <v>1</v>
      </c>
    </row>
    <row r="65" spans="1:7" ht="20.100000000000001" customHeight="1" x14ac:dyDescent="0.25">
      <c r="A65" s="69" t="s">
        <v>368</v>
      </c>
      <c r="B65" s="95"/>
      <c r="C65" s="66">
        <v>17216120</v>
      </c>
      <c r="D65" s="67"/>
      <c r="E65" s="67">
        <v>17217</v>
      </c>
      <c r="F65" s="67">
        <v>17217</v>
      </c>
      <c r="G65" s="68">
        <f t="shared" ref="G65" si="6">SUM(F65/E65)</f>
        <v>1</v>
      </c>
    </row>
    <row r="66" spans="1:7" ht="20.100000000000001" customHeight="1" x14ac:dyDescent="0.25">
      <c r="A66" s="69" t="s">
        <v>369</v>
      </c>
      <c r="B66" s="97"/>
      <c r="C66" s="66">
        <v>0</v>
      </c>
      <c r="D66" s="67"/>
      <c r="E66" s="67">
        <v>0</v>
      </c>
      <c r="F66" s="67"/>
      <c r="G66" s="96"/>
    </row>
    <row r="67" spans="1:7" ht="20.100000000000001" customHeight="1" x14ac:dyDescent="0.25">
      <c r="A67" s="791" t="s">
        <v>403</v>
      </c>
      <c r="B67" s="792"/>
      <c r="C67" s="66">
        <v>0</v>
      </c>
      <c r="D67" s="67"/>
      <c r="E67" s="67">
        <v>0</v>
      </c>
      <c r="F67" s="67"/>
      <c r="G67" s="96"/>
    </row>
    <row r="68" spans="1:7" ht="20.100000000000001" customHeight="1" x14ac:dyDescent="0.25">
      <c r="A68" s="791" t="s">
        <v>370</v>
      </c>
      <c r="B68" s="792"/>
      <c r="C68" s="66">
        <v>532000</v>
      </c>
      <c r="D68" s="67"/>
      <c r="E68" s="67">
        <v>532</v>
      </c>
      <c r="F68" s="67">
        <v>532</v>
      </c>
      <c r="G68" s="68">
        <f t="shared" ref="G68" si="7">SUM(F68/E68)</f>
        <v>1</v>
      </c>
    </row>
    <row r="69" spans="1:7" ht="19.5" customHeight="1" x14ac:dyDescent="0.25">
      <c r="A69" s="791" t="s">
        <v>404</v>
      </c>
      <c r="B69" s="792"/>
      <c r="C69" s="66">
        <v>35000000</v>
      </c>
      <c r="D69" s="67"/>
      <c r="E69" s="67">
        <v>35000</v>
      </c>
      <c r="F69" s="67">
        <v>35000</v>
      </c>
      <c r="G69" s="68">
        <f t="shared" ref="G69" si="8">SUM(F69/E69)</f>
        <v>1</v>
      </c>
    </row>
    <row r="70" spans="1:7" ht="23.25" customHeight="1" x14ac:dyDescent="0.25">
      <c r="A70" s="808" t="s">
        <v>371</v>
      </c>
      <c r="B70" s="809"/>
      <c r="C70" s="103">
        <f>SUM(C65:C69)</f>
        <v>52748120</v>
      </c>
      <c r="D70" s="104">
        <f>SUM(D65:D69)</f>
        <v>0</v>
      </c>
      <c r="E70" s="104">
        <f>SUM(E65:E69)</f>
        <v>52749</v>
      </c>
      <c r="F70" s="169">
        <f>SUM(F65:F69)</f>
        <v>52749</v>
      </c>
      <c r="G70" s="170">
        <f>F70/E70</f>
        <v>1</v>
      </c>
    </row>
    <row r="71" spans="1:7" ht="20.100000000000001" customHeight="1" x14ac:dyDescent="0.25">
      <c r="A71" s="791" t="s">
        <v>405</v>
      </c>
      <c r="B71" s="792"/>
      <c r="C71" s="66">
        <v>4817380</v>
      </c>
      <c r="D71" s="66"/>
      <c r="E71" s="67">
        <f>4817</f>
        <v>4817</v>
      </c>
      <c r="F71" s="67">
        <v>4817</v>
      </c>
      <c r="G71" s="68">
        <f t="shared" ref="G71:G72" si="9">SUM(F71/E71)</f>
        <v>1</v>
      </c>
    </row>
    <row r="72" spans="1:7" ht="19.5" customHeight="1" x14ac:dyDescent="0.25">
      <c r="A72" s="791" t="s">
        <v>406</v>
      </c>
      <c r="B72" s="792"/>
      <c r="C72" s="66">
        <v>17777000</v>
      </c>
      <c r="D72" s="66"/>
      <c r="E72" s="67">
        <v>17777</v>
      </c>
      <c r="F72" s="67">
        <v>17777</v>
      </c>
      <c r="G72" s="68">
        <f t="shared" si="9"/>
        <v>1</v>
      </c>
    </row>
    <row r="73" spans="1:7" s="168" customFormat="1" ht="19.5" customHeight="1" x14ac:dyDescent="0.25">
      <c r="A73" s="793" t="s">
        <v>407</v>
      </c>
      <c r="B73" s="794"/>
      <c r="C73" s="166">
        <f>SUM(C71:C72)</f>
        <v>22594380</v>
      </c>
      <c r="D73" s="166">
        <f>SUM(D71:D72)</f>
        <v>0</v>
      </c>
      <c r="E73" s="167">
        <f>SUM(E71:E72)</f>
        <v>22594</v>
      </c>
      <c r="F73" s="167">
        <f>SUM(F71:F72)</f>
        <v>22594</v>
      </c>
      <c r="G73" s="170">
        <f>F73/E73</f>
        <v>1</v>
      </c>
    </row>
    <row r="74" spans="1:7" ht="23.25" customHeight="1" x14ac:dyDescent="0.25">
      <c r="A74" s="800" t="s">
        <v>372</v>
      </c>
      <c r="B74" s="801"/>
      <c r="C74" s="105"/>
      <c r="D74" s="106">
        <f>D24+D31+D57+D64+D70+D73</f>
        <v>1438329</v>
      </c>
      <c r="E74" s="106">
        <f>E24+E31+E57+E64+E70+E73</f>
        <v>1623083</v>
      </c>
      <c r="F74" s="106">
        <f t="shared" ref="F74" si="10">F24+F31+F57+F64+F70+F73</f>
        <v>1623084</v>
      </c>
      <c r="G74" s="75">
        <f t="shared" ref="G74:G78" si="11">F74/E74</f>
        <v>1.0000006161114372</v>
      </c>
    </row>
    <row r="75" spans="1:7" ht="23.25" customHeight="1" x14ac:dyDescent="0.25">
      <c r="A75" s="800" t="s">
        <v>373</v>
      </c>
      <c r="B75" s="801"/>
      <c r="C75" s="108"/>
      <c r="D75" s="102">
        <f>5000+100+16877+465</f>
        <v>22442</v>
      </c>
      <c r="E75" s="102">
        <v>555708</v>
      </c>
      <c r="F75" s="109">
        <v>549959</v>
      </c>
      <c r="G75" s="75">
        <f t="shared" si="11"/>
        <v>0.98965463876712234</v>
      </c>
    </row>
    <row r="76" spans="1:7" ht="23.25" customHeight="1" thickBot="1" x14ac:dyDescent="0.3">
      <c r="A76" s="800" t="s">
        <v>374</v>
      </c>
      <c r="B76" s="801"/>
      <c r="C76" s="110"/>
      <c r="D76" s="111"/>
      <c r="E76" s="111">
        <v>12742</v>
      </c>
      <c r="F76" s="112">
        <v>12742</v>
      </c>
      <c r="G76" s="75">
        <f t="shared" si="11"/>
        <v>1</v>
      </c>
    </row>
    <row r="77" spans="1:7" ht="23.25" customHeight="1" thickBot="1" x14ac:dyDescent="0.3">
      <c r="A77" s="113" t="s">
        <v>375</v>
      </c>
      <c r="B77" s="114"/>
      <c r="C77" s="115"/>
      <c r="D77" s="116">
        <f>SUM(D74:D76)</f>
        <v>1460771</v>
      </c>
      <c r="E77" s="116">
        <f>SUM(E74:E76)</f>
        <v>2191533</v>
      </c>
      <c r="F77" s="117">
        <f>SUM(F74:F76)</f>
        <v>2185785</v>
      </c>
      <c r="G77" s="118">
        <f t="shared" si="11"/>
        <v>0.99737717844084484</v>
      </c>
    </row>
    <row r="78" spans="1:7" ht="23.25" customHeight="1" thickBot="1" x14ac:dyDescent="0.3">
      <c r="A78" s="812" t="s">
        <v>376</v>
      </c>
      <c r="B78" s="813"/>
      <c r="C78" s="119"/>
      <c r="D78" s="120"/>
      <c r="E78" s="120">
        <v>146204</v>
      </c>
      <c r="F78" s="121">
        <v>144703</v>
      </c>
      <c r="G78" s="118">
        <f t="shared" si="11"/>
        <v>0.98973352302262596</v>
      </c>
    </row>
    <row r="79" spans="1:7" ht="20.100000000000001" customHeight="1" x14ac:dyDescent="0.25">
      <c r="A79" s="814" t="s">
        <v>377</v>
      </c>
      <c r="B79" s="815"/>
      <c r="C79" s="122"/>
      <c r="D79" s="101"/>
      <c r="E79" s="101"/>
      <c r="F79" s="123"/>
      <c r="G79" s="124"/>
    </row>
    <row r="80" spans="1:7" ht="20.100000000000001" customHeight="1" x14ac:dyDescent="0.25">
      <c r="A80" s="816" t="s">
        <v>378</v>
      </c>
      <c r="B80" s="817"/>
      <c r="C80" s="125"/>
      <c r="D80" s="67"/>
      <c r="E80" s="67"/>
      <c r="F80" s="126"/>
      <c r="G80" s="68"/>
    </row>
    <row r="81" spans="1:7" ht="20.100000000000001" customHeight="1" x14ac:dyDescent="0.25">
      <c r="A81" s="789" t="s">
        <v>379</v>
      </c>
      <c r="B81" s="790"/>
      <c r="C81" s="66"/>
      <c r="D81" s="67">
        <v>537000</v>
      </c>
      <c r="E81" s="67">
        <f>SUM(C82+C85)</f>
        <v>574980</v>
      </c>
      <c r="F81" s="66">
        <v>575033</v>
      </c>
      <c r="G81" s="68">
        <f t="shared" ref="G81" si="12">SUM(F81/E81)</f>
        <v>1.0000921771192042</v>
      </c>
    </row>
    <row r="82" spans="1:7" ht="20.100000000000001" customHeight="1" x14ac:dyDescent="0.25">
      <c r="A82" s="789" t="s">
        <v>380</v>
      </c>
      <c r="B82" s="790"/>
      <c r="C82" s="66">
        <f>B83+B84</f>
        <v>570980</v>
      </c>
      <c r="D82" s="67"/>
      <c r="E82" s="67"/>
      <c r="F82" s="66"/>
      <c r="G82" s="68"/>
    </row>
    <row r="83" spans="1:7" ht="20.100000000000001" customHeight="1" x14ac:dyDescent="0.25">
      <c r="A83" s="69" t="s">
        <v>381</v>
      </c>
      <c r="B83" s="127">
        <v>570900</v>
      </c>
      <c r="C83" s="66"/>
      <c r="D83" s="67"/>
      <c r="E83" s="67"/>
      <c r="F83" s="66"/>
      <c r="G83" s="68"/>
    </row>
    <row r="84" spans="1:7" ht="20.100000000000001" customHeight="1" x14ac:dyDescent="0.25">
      <c r="A84" s="69" t="s">
        <v>382</v>
      </c>
      <c r="B84" s="127">
        <v>80</v>
      </c>
      <c r="C84" s="66"/>
      <c r="D84" s="67"/>
      <c r="E84" s="67"/>
      <c r="F84" s="66"/>
      <c r="G84" s="68"/>
    </row>
    <row r="85" spans="1:7" ht="20.100000000000001" customHeight="1" x14ac:dyDescent="0.25">
      <c r="A85" s="789" t="s">
        <v>383</v>
      </c>
      <c r="B85" s="790"/>
      <c r="C85" s="66">
        <v>4000</v>
      </c>
      <c r="D85" s="67"/>
      <c r="E85" s="67"/>
      <c r="F85" s="66"/>
      <c r="G85" s="68"/>
    </row>
    <row r="86" spans="1:7" ht="20.100000000000001" customHeight="1" x14ac:dyDescent="0.25">
      <c r="A86" s="69" t="s">
        <v>384</v>
      </c>
      <c r="B86" s="128"/>
      <c r="C86" s="66"/>
      <c r="D86" s="67">
        <v>40200</v>
      </c>
      <c r="E86" s="67">
        <f>SUM(C87+C88)</f>
        <v>40272</v>
      </c>
      <c r="F86" s="66">
        <v>40009</v>
      </c>
      <c r="G86" s="68">
        <f t="shared" ref="G86" si="13">SUM(F86/E86)</f>
        <v>0.99346940802542705</v>
      </c>
    </row>
    <row r="87" spans="1:7" ht="20.100000000000001" customHeight="1" x14ac:dyDescent="0.25">
      <c r="A87" s="818" t="s">
        <v>385</v>
      </c>
      <c r="B87" s="819"/>
      <c r="C87" s="66">
        <v>40000</v>
      </c>
      <c r="D87" s="129"/>
      <c r="E87" s="129"/>
      <c r="F87" s="126"/>
      <c r="G87" s="130"/>
    </row>
    <row r="88" spans="1:7" ht="20.100000000000001" customHeight="1" x14ac:dyDescent="0.25">
      <c r="A88" s="818" t="s">
        <v>386</v>
      </c>
      <c r="B88" s="819"/>
      <c r="C88" s="66">
        <v>272</v>
      </c>
      <c r="D88" s="129"/>
      <c r="E88" s="129"/>
      <c r="F88" s="126"/>
      <c r="G88" s="130"/>
    </row>
    <row r="89" spans="1:7" ht="20.100000000000001" customHeight="1" x14ac:dyDescent="0.25">
      <c r="A89" s="789" t="s">
        <v>387</v>
      </c>
      <c r="B89" s="790"/>
      <c r="C89" s="66"/>
      <c r="D89" s="67">
        <v>3000</v>
      </c>
      <c r="E89" s="67">
        <f>SUM(C90+C91)</f>
        <v>3940</v>
      </c>
      <c r="F89" s="66">
        <v>4210</v>
      </c>
      <c r="G89" s="68">
        <f t="shared" ref="G89" si="14">SUM(F89/E89)</f>
        <v>1.0685279187817258</v>
      </c>
    </row>
    <row r="90" spans="1:7" ht="20.100000000000001" customHeight="1" x14ac:dyDescent="0.25">
      <c r="A90" s="69" t="s">
        <v>388</v>
      </c>
      <c r="B90" s="70"/>
      <c r="C90" s="66">
        <v>2940</v>
      </c>
      <c r="D90" s="67"/>
      <c r="E90" s="67"/>
      <c r="F90" s="66"/>
      <c r="G90" s="68"/>
    </row>
    <row r="91" spans="1:7" ht="20.100000000000001" customHeight="1" x14ac:dyDescent="0.25">
      <c r="A91" s="69" t="s">
        <v>389</v>
      </c>
      <c r="B91" s="70"/>
      <c r="C91" s="66">
        <v>1000</v>
      </c>
      <c r="D91" s="67"/>
      <c r="E91" s="67"/>
      <c r="F91" s="66"/>
      <c r="G91" s="68"/>
    </row>
    <row r="92" spans="1:7" ht="20.100000000000001" customHeight="1" thickBot="1" x14ac:dyDescent="0.3">
      <c r="A92" s="99" t="s">
        <v>390</v>
      </c>
      <c r="B92" s="131"/>
      <c r="C92" s="132">
        <v>9542</v>
      </c>
      <c r="D92" s="101">
        <v>8100</v>
      </c>
      <c r="E92" s="101">
        <f>SUM(C92)</f>
        <v>9542</v>
      </c>
      <c r="F92" s="123">
        <v>9423</v>
      </c>
      <c r="G92" s="68">
        <f t="shared" ref="G92" si="15">SUM(F92/E92)</f>
        <v>0.98752881995388808</v>
      </c>
    </row>
    <row r="93" spans="1:7" s="135" customFormat="1" ht="24" customHeight="1" thickBot="1" x14ac:dyDescent="0.3">
      <c r="A93" s="810" t="s">
        <v>391</v>
      </c>
      <c r="B93" s="811"/>
      <c r="C93" s="133"/>
      <c r="D93" s="120">
        <f>SUM(D80:D92)</f>
        <v>588300</v>
      </c>
      <c r="E93" s="120">
        <f>SUM(E80:E92)</f>
        <v>628734</v>
      </c>
      <c r="F93" s="134">
        <f>SUM(F80:F92)</f>
        <v>628675</v>
      </c>
      <c r="G93" s="118">
        <f>F93/E93</f>
        <v>0.9999061606339088</v>
      </c>
    </row>
    <row r="94" spans="1:7" s="135" customFormat="1" ht="24" customHeight="1" thickBot="1" x14ac:dyDescent="0.3">
      <c r="A94" s="136" t="s">
        <v>392</v>
      </c>
      <c r="B94" s="137"/>
      <c r="C94" s="133"/>
      <c r="D94" s="120">
        <f>402029+109577</f>
        <v>511606</v>
      </c>
      <c r="E94" s="120">
        <v>460905</v>
      </c>
      <c r="F94" s="134">
        <v>385284</v>
      </c>
      <c r="G94" s="118">
        <f>F94/E94</f>
        <v>0.83592931298206785</v>
      </c>
    </row>
    <row r="95" spans="1:7" ht="20.100000000000001" customHeight="1" x14ac:dyDescent="0.25">
      <c r="A95" s="826" t="s">
        <v>393</v>
      </c>
      <c r="B95" s="827"/>
      <c r="C95" s="138"/>
      <c r="D95" s="139"/>
      <c r="E95" s="139"/>
      <c r="F95" s="140"/>
      <c r="G95" s="141"/>
    </row>
    <row r="96" spans="1:7" ht="20.100000000000001" customHeight="1" x14ac:dyDescent="0.25">
      <c r="A96" s="828" t="s">
        <v>394</v>
      </c>
      <c r="B96" s="829"/>
      <c r="C96" s="79"/>
      <c r="D96" s="142">
        <v>11214</v>
      </c>
      <c r="E96" s="142">
        <v>11214</v>
      </c>
      <c r="F96" s="143">
        <v>4211</v>
      </c>
      <c r="G96" s="68">
        <f t="shared" ref="G96" si="16">SUM(F96/E96)</f>
        <v>0.37551275191724631</v>
      </c>
    </row>
    <row r="97" spans="1:7" ht="19.5" customHeight="1" thickBot="1" x14ac:dyDescent="0.3">
      <c r="A97" s="828" t="s">
        <v>408</v>
      </c>
      <c r="B97" s="829"/>
      <c r="C97" s="66"/>
      <c r="D97" s="142"/>
      <c r="E97" s="142"/>
      <c r="F97" s="143">
        <v>200</v>
      </c>
      <c r="G97" s="144">
        <v>0</v>
      </c>
    </row>
    <row r="98" spans="1:7" ht="25.5" customHeight="1" thickBot="1" x14ac:dyDescent="0.3">
      <c r="A98" s="824" t="s">
        <v>395</v>
      </c>
      <c r="B98" s="825"/>
      <c r="C98" s="145"/>
      <c r="D98" s="146">
        <f>SUM(D96:D97)</f>
        <v>11214</v>
      </c>
      <c r="E98" s="146">
        <f t="shared" ref="E98:F98" si="17">SUM(E96:E97)</f>
        <v>11214</v>
      </c>
      <c r="F98" s="146">
        <f t="shared" si="17"/>
        <v>4411</v>
      </c>
      <c r="G98" s="118">
        <f>F98/E98</f>
        <v>0.39334760121276974</v>
      </c>
    </row>
    <row r="99" spans="1:7" s="150" customFormat="1" ht="25.5" customHeight="1" thickBot="1" x14ac:dyDescent="0.3">
      <c r="A99" s="820" t="s">
        <v>396</v>
      </c>
      <c r="B99" s="821"/>
      <c r="C99" s="147"/>
      <c r="D99" s="148">
        <v>0</v>
      </c>
      <c r="E99" s="148">
        <v>3920</v>
      </c>
      <c r="F99" s="149">
        <v>3850</v>
      </c>
      <c r="G99" s="118">
        <f t="shared" ref="G99:G100" si="18">F99/E99</f>
        <v>0.9821428571428571</v>
      </c>
    </row>
    <row r="100" spans="1:7" s="150" customFormat="1" ht="25.5" customHeight="1" thickBot="1" x14ac:dyDescent="0.3">
      <c r="A100" s="822" t="s">
        <v>397</v>
      </c>
      <c r="B100" s="823"/>
      <c r="C100" s="151"/>
      <c r="D100" s="152">
        <v>0</v>
      </c>
      <c r="E100" s="152">
        <v>7042</v>
      </c>
      <c r="F100" s="153">
        <v>7974</v>
      </c>
      <c r="G100" s="118">
        <f t="shared" si="18"/>
        <v>1.1323487645555239</v>
      </c>
    </row>
    <row r="101" spans="1:7" ht="25.5" customHeight="1" thickBot="1" x14ac:dyDescent="0.3">
      <c r="A101" s="824" t="s">
        <v>398</v>
      </c>
      <c r="B101" s="825"/>
      <c r="C101" s="145"/>
      <c r="D101" s="146">
        <f>SUM(D77+D78+D93+D94+D98+D99+D100)</f>
        <v>2571891</v>
      </c>
      <c r="E101" s="146">
        <f>SUM(E77+E78+E93+E94+E98+E99+E100)</f>
        <v>3449552</v>
      </c>
      <c r="F101" s="146">
        <f>SUM(F77+F78+F93+F94+F98+F99+F100)</f>
        <v>3360682</v>
      </c>
      <c r="G101" s="118">
        <f>F101/E101</f>
        <v>0.97423723428433606</v>
      </c>
    </row>
    <row r="102" spans="1:7" ht="20.100000000000001" customHeight="1" x14ac:dyDescent="0.25">
      <c r="A102" s="154" t="s">
        <v>399</v>
      </c>
      <c r="B102" s="155"/>
      <c r="C102" s="64"/>
      <c r="D102" s="58"/>
      <c r="E102" s="58"/>
      <c r="F102" s="64"/>
      <c r="G102" s="65"/>
    </row>
    <row r="103" spans="1:7" ht="20.100000000000001" customHeight="1" x14ac:dyDescent="0.25">
      <c r="A103" s="156" t="s">
        <v>400</v>
      </c>
      <c r="B103" s="157"/>
      <c r="C103" s="123"/>
      <c r="D103" s="158">
        <f>251219+37781</f>
        <v>289000</v>
      </c>
      <c r="E103" s="158">
        <f>D103+123472</f>
        <v>412472</v>
      </c>
      <c r="F103" s="132">
        <v>412472</v>
      </c>
      <c r="G103" s="141">
        <f t="shared" ref="G103" si="19">SUM(F103/E103)</f>
        <v>1</v>
      </c>
    </row>
    <row r="104" spans="1:7" ht="20.100000000000001" customHeight="1" thickBot="1" x14ac:dyDescent="0.3">
      <c r="A104" s="156" t="s">
        <v>579</v>
      </c>
      <c r="B104" s="157"/>
      <c r="C104" s="123"/>
      <c r="D104" s="132"/>
      <c r="E104" s="158"/>
      <c r="F104" s="132">
        <v>52044</v>
      </c>
      <c r="G104" s="159">
        <v>0</v>
      </c>
    </row>
    <row r="105" spans="1:7" ht="24" customHeight="1" thickBot="1" x14ac:dyDescent="0.3">
      <c r="A105" s="160" t="s">
        <v>401</v>
      </c>
      <c r="B105" s="161"/>
      <c r="C105" s="145"/>
      <c r="D105" s="146">
        <f>SUM(D103:D103)</f>
        <v>289000</v>
      </c>
      <c r="E105" s="146">
        <f>SUM(E103:E103)</f>
        <v>412472</v>
      </c>
      <c r="F105" s="162">
        <f>SUM(F103:F104)</f>
        <v>464516</v>
      </c>
      <c r="G105" s="118">
        <f>F105/E105</f>
        <v>1.1261758373901745</v>
      </c>
    </row>
    <row r="106" spans="1:7" ht="24" customHeight="1" thickBot="1" x14ac:dyDescent="0.3">
      <c r="A106" s="824" t="s">
        <v>402</v>
      </c>
      <c r="B106" s="825"/>
      <c r="C106" s="145"/>
      <c r="D106" s="146">
        <f>D101+D105</f>
        <v>2860891</v>
      </c>
      <c r="E106" s="146">
        <f>E101+E105</f>
        <v>3862024</v>
      </c>
      <c r="F106" s="162">
        <f>F101+F105</f>
        <v>3825198</v>
      </c>
      <c r="G106" s="118">
        <f>F106/E106</f>
        <v>0.99046458540910154</v>
      </c>
    </row>
  </sheetData>
  <mergeCells count="42">
    <mergeCell ref="A99:B99"/>
    <mergeCell ref="A100:B100"/>
    <mergeCell ref="A101:B101"/>
    <mergeCell ref="A106:B106"/>
    <mergeCell ref="A95:B95"/>
    <mergeCell ref="A96:B96"/>
    <mergeCell ref="A97:B97"/>
    <mergeCell ref="A98:B98"/>
    <mergeCell ref="A93:B93"/>
    <mergeCell ref="A75:B75"/>
    <mergeCell ref="A76:B76"/>
    <mergeCell ref="A78:B78"/>
    <mergeCell ref="A79:B79"/>
    <mergeCell ref="A80:B80"/>
    <mergeCell ref="A81:B81"/>
    <mergeCell ref="A82:B82"/>
    <mergeCell ref="A85:B85"/>
    <mergeCell ref="A87:B87"/>
    <mergeCell ref="A88:B88"/>
    <mergeCell ref="A89:B89"/>
    <mergeCell ref="A74:B74"/>
    <mergeCell ref="A13:B13"/>
    <mergeCell ref="A17:B17"/>
    <mergeCell ref="A19:B19"/>
    <mergeCell ref="A21:B21"/>
    <mergeCell ref="A24:B24"/>
    <mergeCell ref="A31:B31"/>
    <mergeCell ref="A57:B57"/>
    <mergeCell ref="A64:B64"/>
    <mergeCell ref="A67:B67"/>
    <mergeCell ref="A69:B69"/>
    <mergeCell ref="A70:B70"/>
    <mergeCell ref="A1:D1"/>
    <mergeCell ref="A3:G3"/>
    <mergeCell ref="A6:B6"/>
    <mergeCell ref="A9:B9"/>
    <mergeCell ref="A10:B10"/>
    <mergeCell ref="A11:B11"/>
    <mergeCell ref="A68:B68"/>
    <mergeCell ref="A71:B71"/>
    <mergeCell ref="A72:B72"/>
    <mergeCell ref="A73:B73"/>
  </mergeCells>
  <pageMargins left="0.7" right="0.7" top="0.75" bottom="0.75" header="0.3" footer="0.3"/>
  <pageSetup paperSize="9" scale="50" orientation="portrait" r:id="rId1"/>
  <rowBreaks count="1" manualBreakCount="1"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view="pageBreakPreview" zoomScale="60" zoomScaleNormal="100" workbookViewId="0">
      <selection sqref="A1:D1"/>
    </sheetView>
  </sheetViews>
  <sheetFormatPr defaultRowHeight="15.75" x14ac:dyDescent="0.25"/>
  <cols>
    <col min="1" max="1" width="74.5703125" style="42" customWidth="1"/>
    <col min="2" max="2" width="17.85546875" style="42" customWidth="1"/>
    <col min="3" max="3" width="16.7109375" style="163" customWidth="1"/>
    <col min="4" max="4" width="17" style="163" customWidth="1"/>
    <col min="5" max="5" width="15.5703125" style="163" customWidth="1"/>
    <col min="6" max="6" width="15.140625" style="42" customWidth="1"/>
    <col min="7" max="7" width="12.5703125" style="42" customWidth="1"/>
    <col min="8" max="16384" width="9.140625" style="42"/>
  </cols>
  <sheetData>
    <row r="1" spans="1:7" ht="20.100000000000001" customHeight="1" x14ac:dyDescent="0.25">
      <c r="A1" s="795" t="s">
        <v>965</v>
      </c>
      <c r="B1" s="795"/>
      <c r="C1" s="795"/>
      <c r="D1" s="795"/>
      <c r="E1" s="42"/>
    </row>
    <row r="2" spans="1:7" ht="20.100000000000001" customHeight="1" x14ac:dyDescent="0.25">
      <c r="A2" s="44"/>
      <c r="B2" s="45"/>
      <c r="C2" s="46"/>
      <c r="D2" s="46"/>
      <c r="E2" s="46"/>
    </row>
    <row r="3" spans="1:7" ht="38.25" customHeight="1" x14ac:dyDescent="0.25">
      <c r="A3" s="797" t="s">
        <v>414</v>
      </c>
      <c r="B3" s="797"/>
      <c r="C3" s="797"/>
      <c r="D3" s="797"/>
      <c r="E3" s="797"/>
      <c r="F3" s="797"/>
      <c r="G3" s="797"/>
    </row>
    <row r="4" spans="1:7" ht="20.100000000000001" customHeight="1" x14ac:dyDescent="0.25">
      <c r="A4" s="44"/>
      <c r="B4" s="45"/>
      <c r="C4" s="46"/>
      <c r="D4" s="46"/>
      <c r="E4" s="46"/>
    </row>
    <row r="5" spans="1:7" ht="20.100000000000001" customHeight="1" thickBot="1" x14ac:dyDescent="0.3">
      <c r="A5" s="48"/>
      <c r="B5" s="49"/>
      <c r="C5" s="49"/>
      <c r="D5" s="50"/>
      <c r="E5" s="50"/>
      <c r="G5" s="50" t="s">
        <v>308</v>
      </c>
    </row>
    <row r="6" spans="1:7" ht="51" customHeight="1" thickBot="1" x14ac:dyDescent="0.3">
      <c r="A6" s="798" t="s">
        <v>309</v>
      </c>
      <c r="B6" s="799"/>
      <c r="C6" s="52"/>
      <c r="D6" s="53" t="s">
        <v>310</v>
      </c>
      <c r="E6" s="53" t="s">
        <v>311</v>
      </c>
      <c r="F6" s="53" t="s">
        <v>312</v>
      </c>
      <c r="G6" s="54" t="s">
        <v>313</v>
      </c>
    </row>
    <row r="7" spans="1:7" ht="20.100000000000001" customHeight="1" x14ac:dyDescent="0.25">
      <c r="A7" s="55" t="s">
        <v>314</v>
      </c>
      <c r="B7" s="56"/>
      <c r="C7" s="57"/>
      <c r="D7" s="57"/>
      <c r="E7" s="57"/>
      <c r="F7" s="57"/>
      <c r="G7" s="59"/>
    </row>
    <row r="8" spans="1:7" ht="20.100000000000001" customHeight="1" x14ac:dyDescent="0.25">
      <c r="A8" s="156" t="s">
        <v>315</v>
      </c>
      <c r="B8" s="171" t="s">
        <v>8</v>
      </c>
      <c r="C8" s="172" t="s">
        <v>8</v>
      </c>
      <c r="D8" s="64"/>
      <c r="E8" s="64"/>
      <c r="F8" s="64"/>
      <c r="G8" s="65"/>
    </row>
    <row r="9" spans="1:7" ht="20.100000000000001" customHeight="1" x14ac:dyDescent="0.25">
      <c r="A9" s="789" t="s">
        <v>316</v>
      </c>
      <c r="B9" s="790"/>
      <c r="C9" s="66">
        <v>195932400</v>
      </c>
      <c r="D9" s="66">
        <v>195933</v>
      </c>
      <c r="E9" s="66">
        <v>195933</v>
      </c>
      <c r="F9" s="66">
        <v>195933</v>
      </c>
      <c r="G9" s="68">
        <f>SUM(F9/E9)</f>
        <v>1</v>
      </c>
    </row>
    <row r="10" spans="1:7" ht="20.100000000000001" customHeight="1" x14ac:dyDescent="0.25">
      <c r="A10" s="789" t="s">
        <v>317</v>
      </c>
      <c r="B10" s="790"/>
      <c r="C10" s="66">
        <v>29491750</v>
      </c>
      <c r="D10" s="66">
        <v>0</v>
      </c>
      <c r="E10" s="66">
        <v>0</v>
      </c>
      <c r="F10" s="66"/>
      <c r="G10" s="68"/>
    </row>
    <row r="11" spans="1:7" ht="20.100000000000001" customHeight="1" x14ac:dyDescent="0.25">
      <c r="A11" s="789" t="s">
        <v>318</v>
      </c>
      <c r="B11" s="790"/>
      <c r="C11" s="66">
        <v>0</v>
      </c>
      <c r="D11" s="66"/>
      <c r="E11" s="66"/>
      <c r="F11" s="66"/>
      <c r="G11" s="68"/>
    </row>
    <row r="12" spans="1:7" ht="20.100000000000001" customHeight="1" x14ac:dyDescent="0.25">
      <c r="A12" s="69" t="s">
        <v>319</v>
      </c>
      <c r="B12" s="70"/>
      <c r="C12" s="66">
        <v>54560000</v>
      </c>
      <c r="D12" s="66">
        <v>15087</v>
      </c>
      <c r="E12" s="66">
        <v>52174</v>
      </c>
      <c r="F12" s="66">
        <v>52174</v>
      </c>
      <c r="G12" s="68">
        <f>SUM(F12/E12)</f>
        <v>1</v>
      </c>
    </row>
    <row r="13" spans="1:7" ht="20.100000000000001" customHeight="1" x14ac:dyDescent="0.25">
      <c r="A13" s="789" t="s">
        <v>318</v>
      </c>
      <c r="B13" s="790"/>
      <c r="C13" s="66">
        <v>52174293</v>
      </c>
      <c r="D13" s="66"/>
      <c r="E13" s="66"/>
      <c r="F13" s="66"/>
      <c r="G13" s="68"/>
    </row>
    <row r="14" spans="1:7" ht="20.100000000000001" customHeight="1" x14ac:dyDescent="0.25">
      <c r="A14" s="69" t="s">
        <v>320</v>
      </c>
      <c r="B14" s="70"/>
      <c r="C14" s="66">
        <v>0</v>
      </c>
      <c r="D14" s="66">
        <v>0</v>
      </c>
      <c r="E14" s="66">
        <v>0</v>
      </c>
      <c r="F14" s="66"/>
      <c r="G14" s="68"/>
    </row>
    <row r="15" spans="1:7" ht="20.100000000000001" customHeight="1" x14ac:dyDescent="0.25">
      <c r="A15" s="69" t="s">
        <v>321</v>
      </c>
      <c r="B15" s="70"/>
      <c r="C15" s="66">
        <v>32733200</v>
      </c>
      <c r="D15" s="66">
        <v>32733</v>
      </c>
      <c r="E15" s="66">
        <v>32733</v>
      </c>
      <c r="F15" s="66">
        <v>32733</v>
      </c>
      <c r="G15" s="68">
        <f>SUM(F15/E15)</f>
        <v>1</v>
      </c>
    </row>
    <row r="16" spans="1:7" ht="20.100000000000001" customHeight="1" x14ac:dyDescent="0.25">
      <c r="A16" s="69" t="s">
        <v>322</v>
      </c>
      <c r="B16" s="70"/>
      <c r="C16" s="66">
        <v>55744200</v>
      </c>
      <c r="D16" s="66">
        <v>0</v>
      </c>
      <c r="E16" s="66">
        <v>0</v>
      </c>
      <c r="F16" s="66"/>
      <c r="G16" s="68"/>
    </row>
    <row r="17" spans="1:7" ht="20.100000000000001" customHeight="1" x14ac:dyDescent="0.25">
      <c r="A17" s="789" t="s">
        <v>318</v>
      </c>
      <c r="B17" s="790"/>
      <c r="C17" s="66">
        <v>0</v>
      </c>
      <c r="D17" s="66"/>
      <c r="E17" s="66"/>
      <c r="F17" s="66"/>
      <c r="G17" s="68"/>
    </row>
    <row r="18" spans="1:7" ht="20.100000000000001" customHeight="1" x14ac:dyDescent="0.25">
      <c r="A18" s="69" t="s">
        <v>323</v>
      </c>
      <c r="B18" s="70"/>
      <c r="C18" s="66">
        <v>1387200</v>
      </c>
      <c r="D18" s="66">
        <v>0</v>
      </c>
      <c r="E18" s="66">
        <v>0</v>
      </c>
      <c r="F18" s="66"/>
      <c r="G18" s="68"/>
    </row>
    <row r="19" spans="1:7" ht="20.100000000000001" customHeight="1" x14ac:dyDescent="0.25">
      <c r="A19" s="789" t="s">
        <v>318</v>
      </c>
      <c r="B19" s="790"/>
      <c r="C19" s="66">
        <v>0</v>
      </c>
      <c r="D19" s="66"/>
      <c r="E19" s="66"/>
      <c r="F19" s="66"/>
      <c r="G19" s="68"/>
    </row>
    <row r="20" spans="1:7" ht="20.100000000000001" customHeight="1" x14ac:dyDescent="0.25">
      <c r="A20" s="69" t="s">
        <v>324</v>
      </c>
      <c r="B20" s="70"/>
      <c r="C20" s="66">
        <v>5469950</v>
      </c>
      <c r="D20" s="66">
        <v>5470</v>
      </c>
      <c r="E20" s="66">
        <v>5470</v>
      </c>
      <c r="F20" s="66">
        <v>5470</v>
      </c>
      <c r="G20" s="68">
        <f>SUM(F20/E20)</f>
        <v>1</v>
      </c>
    </row>
    <row r="21" spans="1:7" ht="20.100000000000001" customHeight="1" x14ac:dyDescent="0.25">
      <c r="A21" s="789" t="s">
        <v>318</v>
      </c>
      <c r="B21" s="790"/>
      <c r="C21" s="66">
        <v>5469950</v>
      </c>
      <c r="D21" s="66"/>
      <c r="E21" s="66"/>
      <c r="F21" s="66"/>
      <c r="G21" s="68"/>
    </row>
    <row r="22" spans="1:7" ht="20.100000000000001" customHeight="1" x14ac:dyDescent="0.25">
      <c r="A22" s="69" t="s">
        <v>325</v>
      </c>
      <c r="B22" s="71">
        <f>C10+C12-C13+C16+C18</f>
        <v>89008857</v>
      </c>
      <c r="C22" s="66"/>
      <c r="D22" s="66"/>
      <c r="E22" s="66"/>
      <c r="F22" s="66"/>
      <c r="G22" s="68"/>
    </row>
    <row r="23" spans="1:7" ht="20.100000000000001" customHeight="1" x14ac:dyDescent="0.25">
      <c r="A23" s="69" t="s">
        <v>326</v>
      </c>
      <c r="B23" s="71"/>
      <c r="C23" s="66">
        <v>1779524</v>
      </c>
      <c r="D23" s="66">
        <v>1779</v>
      </c>
      <c r="E23" s="66">
        <v>1779</v>
      </c>
      <c r="F23" s="66">
        <v>1780</v>
      </c>
      <c r="G23" s="68">
        <f>SUM(F23/E23)</f>
        <v>1.0005621135469365</v>
      </c>
    </row>
    <row r="24" spans="1:7" s="76" customFormat="1" ht="20.100000000000001" customHeight="1" x14ac:dyDescent="0.25">
      <c r="A24" s="842" t="s">
        <v>327</v>
      </c>
      <c r="B24" s="843"/>
      <c r="C24" s="74">
        <f>C9+C11+C13+C14+C15+C17+C19+C21+C23</f>
        <v>288089367</v>
      </c>
      <c r="D24" s="74">
        <f>SUM(D9:D23)</f>
        <v>251002</v>
      </c>
      <c r="E24" s="74">
        <f>SUM(E9:E23)</f>
        <v>288089</v>
      </c>
      <c r="F24" s="74">
        <f>SUM(F9:F23)</f>
        <v>288090</v>
      </c>
      <c r="G24" s="75">
        <f>F24/E24</f>
        <v>1.0000034711495407</v>
      </c>
    </row>
    <row r="25" spans="1:7" s="77" customFormat="1" ht="20.100000000000001" customHeight="1" x14ac:dyDescent="0.2">
      <c r="A25" s="69" t="s">
        <v>328</v>
      </c>
      <c r="B25" s="70"/>
      <c r="C25" s="66">
        <v>342701700</v>
      </c>
      <c r="D25" s="66">
        <v>336376</v>
      </c>
      <c r="E25" s="66">
        <v>342702</v>
      </c>
      <c r="F25" s="66">
        <v>342702</v>
      </c>
      <c r="G25" s="68">
        <f>SUM(F25/E25)</f>
        <v>1</v>
      </c>
    </row>
    <row r="26" spans="1:7" s="77" customFormat="1" ht="20.100000000000001" customHeight="1" x14ac:dyDescent="0.2">
      <c r="A26" s="69" t="s">
        <v>329</v>
      </c>
      <c r="B26" s="70"/>
      <c r="C26" s="66"/>
      <c r="D26" s="66"/>
      <c r="E26" s="66"/>
      <c r="F26" s="66"/>
      <c r="G26" s="68"/>
    </row>
    <row r="27" spans="1:7" s="77" customFormat="1" ht="20.100000000000001" customHeight="1" x14ac:dyDescent="0.2">
      <c r="A27" s="69" t="s">
        <v>330</v>
      </c>
      <c r="B27" s="70"/>
      <c r="C27" s="66">
        <v>54346667</v>
      </c>
      <c r="D27" s="66">
        <v>53200</v>
      </c>
      <c r="E27" s="66">
        <v>54346</v>
      </c>
      <c r="F27" s="66">
        <v>54346</v>
      </c>
      <c r="G27" s="68">
        <f>SUM(F27/E27)</f>
        <v>1</v>
      </c>
    </row>
    <row r="28" spans="1:7" s="77" customFormat="1" ht="20.100000000000001" customHeight="1" x14ac:dyDescent="0.2">
      <c r="A28" s="69" t="s">
        <v>331</v>
      </c>
      <c r="B28" s="70"/>
      <c r="C28" s="66">
        <v>9493820</v>
      </c>
      <c r="D28" s="66">
        <v>9494</v>
      </c>
      <c r="E28" s="66">
        <v>9494</v>
      </c>
      <c r="F28" s="66">
        <v>9494</v>
      </c>
      <c r="G28" s="68">
        <f>SUM(F28/E28)</f>
        <v>1</v>
      </c>
    </row>
    <row r="29" spans="1:7" s="77" customFormat="1" ht="20.100000000000001" customHeight="1" x14ac:dyDescent="0.2">
      <c r="A29" s="69" t="s">
        <v>332</v>
      </c>
      <c r="B29" s="70"/>
      <c r="C29" s="66"/>
      <c r="D29" s="66"/>
      <c r="E29" s="66"/>
      <c r="F29" s="66"/>
      <c r="G29" s="68"/>
    </row>
    <row r="30" spans="1:7" s="77" customFormat="1" ht="20.100000000000001" customHeight="1" x14ac:dyDescent="0.2">
      <c r="A30" s="69" t="s">
        <v>333</v>
      </c>
      <c r="B30" s="70"/>
      <c r="C30" s="66">
        <v>6422000</v>
      </c>
      <c r="D30" s="66">
        <v>6422</v>
      </c>
      <c r="E30" s="66">
        <v>6422</v>
      </c>
      <c r="F30" s="66">
        <v>6422</v>
      </c>
      <c r="G30" s="68">
        <f>SUM(F30/E30)</f>
        <v>1</v>
      </c>
    </row>
    <row r="31" spans="1:7" s="78" customFormat="1" ht="20.100000000000001" customHeight="1" x14ac:dyDescent="0.2">
      <c r="A31" s="842" t="s">
        <v>334</v>
      </c>
      <c r="B31" s="843"/>
      <c r="C31" s="74">
        <f>SUM(C25:C30)</f>
        <v>412964187</v>
      </c>
      <c r="D31" s="74">
        <f>SUM(D25:D30)</f>
        <v>405492</v>
      </c>
      <c r="E31" s="74">
        <f>SUM(E25:E30)</f>
        <v>412964</v>
      </c>
      <c r="F31" s="74">
        <f>SUM(F25:F30)</f>
        <v>412964</v>
      </c>
      <c r="G31" s="75">
        <f>F31/E31</f>
        <v>1</v>
      </c>
    </row>
    <row r="32" spans="1:7" s="77" customFormat="1" ht="20.100000000000001" customHeight="1" x14ac:dyDescent="0.2">
      <c r="A32" s="69" t="s">
        <v>335</v>
      </c>
      <c r="B32" s="70"/>
      <c r="C32" s="66">
        <v>78966549</v>
      </c>
      <c r="D32" s="66">
        <v>78967</v>
      </c>
      <c r="E32" s="66">
        <v>78967</v>
      </c>
      <c r="F32" s="66">
        <v>78967</v>
      </c>
      <c r="G32" s="68">
        <f t="shared" ref="G32:G33" si="0">SUM(F32/E32)</f>
        <v>1</v>
      </c>
    </row>
    <row r="33" spans="1:7" s="77" customFormat="1" ht="20.100000000000001" customHeight="1" x14ac:dyDescent="0.2">
      <c r="A33" s="69" t="s">
        <v>336</v>
      </c>
      <c r="B33" s="70"/>
      <c r="C33" s="66">
        <f>SUM(B34:B45)</f>
        <v>226634432</v>
      </c>
      <c r="D33" s="66">
        <v>154981</v>
      </c>
      <c r="E33" s="66">
        <f>225390+1323-79</f>
        <v>226634</v>
      </c>
      <c r="F33" s="66">
        <v>226634</v>
      </c>
      <c r="G33" s="68">
        <f t="shared" si="0"/>
        <v>1</v>
      </c>
    </row>
    <row r="34" spans="1:7" s="77" customFormat="1" ht="20.100000000000001" customHeight="1" x14ac:dyDescent="0.2">
      <c r="A34" s="69" t="s">
        <v>337</v>
      </c>
      <c r="B34" s="79">
        <v>14700000</v>
      </c>
      <c r="C34" s="66"/>
      <c r="D34" s="66"/>
      <c r="E34" s="66"/>
      <c r="F34" s="66"/>
      <c r="G34" s="68"/>
    </row>
    <row r="35" spans="1:7" s="77" customFormat="1" ht="20.100000000000001" customHeight="1" x14ac:dyDescent="0.2">
      <c r="A35" s="69" t="s">
        <v>338</v>
      </c>
      <c r="B35" s="79">
        <v>22500000</v>
      </c>
      <c r="C35" s="66"/>
      <c r="D35" s="66"/>
      <c r="E35" s="66"/>
      <c r="F35" s="66"/>
      <c r="G35" s="68"/>
    </row>
    <row r="36" spans="1:7" s="77" customFormat="1" ht="20.100000000000001" customHeight="1" x14ac:dyDescent="0.2">
      <c r="A36" s="69" t="s">
        <v>339</v>
      </c>
      <c r="B36" s="79">
        <v>31300544</v>
      </c>
      <c r="C36" s="66"/>
      <c r="D36" s="66"/>
      <c r="E36" s="66"/>
      <c r="F36" s="66"/>
      <c r="G36" s="68"/>
    </row>
    <row r="37" spans="1:7" s="77" customFormat="1" ht="20.100000000000001" customHeight="1" x14ac:dyDescent="0.2">
      <c r="A37" s="69" t="s">
        <v>340</v>
      </c>
      <c r="B37" s="79">
        <v>16399500</v>
      </c>
      <c r="C37" s="66"/>
      <c r="D37" s="66"/>
      <c r="E37" s="66"/>
      <c r="F37" s="66"/>
      <c r="G37" s="68"/>
    </row>
    <row r="38" spans="1:7" s="77" customFormat="1" ht="20.100000000000001" customHeight="1" x14ac:dyDescent="0.2">
      <c r="A38" s="69" t="s">
        <v>341</v>
      </c>
      <c r="B38" s="79">
        <v>2500000</v>
      </c>
      <c r="C38" s="66"/>
      <c r="D38" s="66"/>
      <c r="E38" s="66"/>
      <c r="F38" s="66"/>
      <c r="G38" s="68"/>
    </row>
    <row r="39" spans="1:7" s="77" customFormat="1" ht="20.100000000000001" customHeight="1" x14ac:dyDescent="0.2">
      <c r="A39" s="69" t="s">
        <v>342</v>
      </c>
      <c r="B39" s="79">
        <v>8502000</v>
      </c>
      <c r="C39" s="66"/>
      <c r="D39" s="66"/>
      <c r="E39" s="66"/>
      <c r="F39" s="66"/>
      <c r="G39" s="68"/>
    </row>
    <row r="40" spans="1:7" s="77" customFormat="1" ht="20.100000000000001" customHeight="1" x14ac:dyDescent="0.2">
      <c r="A40" s="69" t="s">
        <v>343</v>
      </c>
      <c r="B40" s="79">
        <v>5500000</v>
      </c>
      <c r="C40" s="66"/>
      <c r="D40" s="66"/>
      <c r="E40" s="66"/>
      <c r="F40" s="66"/>
      <c r="G40" s="68"/>
    </row>
    <row r="41" spans="1:7" s="77" customFormat="1" ht="20.100000000000001" customHeight="1" x14ac:dyDescent="0.2">
      <c r="A41" s="69" t="s">
        <v>344</v>
      </c>
      <c r="B41" s="79">
        <v>2976000</v>
      </c>
      <c r="C41" s="66"/>
      <c r="D41" s="66"/>
      <c r="E41" s="66"/>
      <c r="F41" s="66"/>
      <c r="G41" s="68"/>
    </row>
    <row r="42" spans="1:7" s="77" customFormat="1" ht="20.100000000000001" customHeight="1" x14ac:dyDescent="0.2">
      <c r="A42" s="69" t="s">
        <v>345</v>
      </c>
      <c r="B42" s="79">
        <v>2232000</v>
      </c>
      <c r="C42" s="66"/>
      <c r="D42" s="66"/>
      <c r="E42" s="66"/>
      <c r="F42" s="66"/>
      <c r="G42" s="68"/>
    </row>
    <row r="43" spans="1:7" s="77" customFormat="1" ht="20.100000000000001" customHeight="1" x14ac:dyDescent="0.2">
      <c r="A43" s="69" t="s">
        <v>346</v>
      </c>
      <c r="B43" s="79">
        <v>48322980</v>
      </c>
      <c r="C43" s="66"/>
      <c r="D43" s="66"/>
      <c r="E43" s="66"/>
      <c r="F43" s="66"/>
      <c r="G43" s="68"/>
    </row>
    <row r="44" spans="1:7" s="77" customFormat="1" ht="20.100000000000001" customHeight="1" x14ac:dyDescent="0.2">
      <c r="A44" s="80" t="s">
        <v>347</v>
      </c>
      <c r="B44" s="79">
        <f>33751659+1323273</f>
        <v>35074932</v>
      </c>
      <c r="C44" s="66"/>
      <c r="D44" s="67"/>
      <c r="E44" s="67"/>
      <c r="F44" s="66"/>
      <c r="G44" s="68"/>
    </row>
    <row r="45" spans="1:7" s="77" customFormat="1" ht="20.100000000000001" customHeight="1" x14ac:dyDescent="0.2">
      <c r="A45" s="69" t="s">
        <v>348</v>
      </c>
      <c r="B45" s="79">
        <f>36705643-79167</f>
        <v>36626476</v>
      </c>
      <c r="C45" s="66"/>
      <c r="D45" s="67"/>
      <c r="E45" s="67"/>
      <c r="F45" s="66"/>
      <c r="G45" s="68"/>
    </row>
    <row r="46" spans="1:7" s="77" customFormat="1" ht="20.100000000000001" customHeight="1" x14ac:dyDescent="0.2">
      <c r="A46" s="69" t="s">
        <v>349</v>
      </c>
      <c r="B46" s="70"/>
      <c r="C46" s="66">
        <f>SUM(B48:B49)</f>
        <v>317217160</v>
      </c>
      <c r="D46" s="66">
        <v>316274</v>
      </c>
      <c r="E46" s="66">
        <f>316274+943</f>
        <v>317217</v>
      </c>
      <c r="F46" s="66">
        <v>317217</v>
      </c>
      <c r="G46" s="68">
        <f t="shared" ref="G46" si="1">SUM(F46/E46)</f>
        <v>1</v>
      </c>
    </row>
    <row r="47" spans="1:7" s="77" customFormat="1" ht="20.100000000000001" customHeight="1" x14ac:dyDescent="0.2">
      <c r="A47" s="69" t="s">
        <v>350</v>
      </c>
      <c r="B47" s="70"/>
      <c r="C47" s="66"/>
      <c r="D47" s="66"/>
      <c r="E47" s="66"/>
      <c r="F47" s="66"/>
      <c r="G47" s="68"/>
    </row>
    <row r="48" spans="1:7" s="77" customFormat="1" ht="20.100000000000001" customHeight="1" x14ac:dyDescent="0.2">
      <c r="A48" s="69" t="s">
        <v>351</v>
      </c>
      <c r="B48" s="81">
        <v>205877160</v>
      </c>
      <c r="C48" s="66"/>
      <c r="D48" s="66"/>
      <c r="E48" s="66"/>
      <c r="F48" s="66"/>
      <c r="G48" s="68"/>
    </row>
    <row r="49" spans="1:7" s="77" customFormat="1" ht="20.100000000000001" customHeight="1" x14ac:dyDescent="0.2">
      <c r="A49" s="69" t="s">
        <v>352</v>
      </c>
      <c r="B49" s="81">
        <f>110397000+943000</f>
        <v>111340000</v>
      </c>
      <c r="C49" s="66"/>
      <c r="D49" s="66"/>
      <c r="E49" s="66"/>
      <c r="F49" s="66"/>
      <c r="G49" s="68"/>
    </row>
    <row r="50" spans="1:7" s="77" customFormat="1" ht="20.100000000000001" customHeight="1" x14ac:dyDescent="0.2">
      <c r="A50" s="69" t="s">
        <v>353</v>
      </c>
      <c r="B50" s="81"/>
      <c r="C50" s="66">
        <f>SUM(B51:B53)</f>
        <v>180437889</v>
      </c>
      <c r="D50" s="66">
        <v>189691</v>
      </c>
      <c r="E50" s="66">
        <f>176705+3733</f>
        <v>180438</v>
      </c>
      <c r="F50" s="66">
        <v>180438</v>
      </c>
      <c r="G50" s="68">
        <f t="shared" ref="G50" si="2">SUM(F50/E50)</f>
        <v>1</v>
      </c>
    </row>
    <row r="51" spans="1:7" s="77" customFormat="1" ht="20.100000000000001" customHeight="1" x14ac:dyDescent="0.2">
      <c r="A51" s="69" t="s">
        <v>354</v>
      </c>
      <c r="B51" s="81">
        <v>44635200</v>
      </c>
      <c r="C51" s="66"/>
      <c r="D51" s="66"/>
      <c r="E51" s="66"/>
      <c r="F51" s="66"/>
      <c r="G51" s="68"/>
    </row>
    <row r="52" spans="1:7" s="77" customFormat="1" ht="20.100000000000001" customHeight="1" x14ac:dyDescent="0.2">
      <c r="A52" s="69" t="s">
        <v>355</v>
      </c>
      <c r="B52" s="81">
        <f>113763844+3733337</f>
        <v>117497181</v>
      </c>
      <c r="C52" s="66"/>
      <c r="D52" s="66"/>
      <c r="E52" s="66"/>
      <c r="F52" s="66"/>
      <c r="G52" s="68"/>
    </row>
    <row r="53" spans="1:7" s="77" customFormat="1" ht="20.100000000000001" customHeight="1" x14ac:dyDescent="0.2">
      <c r="A53" s="69" t="s">
        <v>356</v>
      </c>
      <c r="B53" s="81">
        <v>18305508</v>
      </c>
      <c r="C53" s="66"/>
      <c r="D53" s="66"/>
      <c r="E53" s="66"/>
      <c r="F53" s="66"/>
      <c r="G53" s="68"/>
    </row>
    <row r="54" spans="1:7" s="77" customFormat="1" ht="20.100000000000001" customHeight="1" x14ac:dyDescent="0.2">
      <c r="A54" s="80" t="s">
        <v>409</v>
      </c>
      <c r="B54" s="82"/>
      <c r="C54" s="83">
        <v>4526280</v>
      </c>
      <c r="D54" s="66">
        <v>3017</v>
      </c>
      <c r="E54" s="66">
        <v>4526</v>
      </c>
      <c r="F54" s="66">
        <v>4526</v>
      </c>
      <c r="G54" s="68">
        <f t="shared" ref="G54" si="3">SUM(F54/E54)</f>
        <v>1</v>
      </c>
    </row>
    <row r="55" spans="1:7" s="77" customFormat="1" ht="20.100000000000001" customHeight="1" x14ac:dyDescent="0.2">
      <c r="A55" s="80" t="s">
        <v>410</v>
      </c>
      <c r="B55" s="82"/>
      <c r="C55" s="83"/>
      <c r="D55" s="66"/>
      <c r="E55" s="66"/>
      <c r="F55" s="66"/>
      <c r="G55" s="68"/>
    </row>
    <row r="56" spans="1:7" s="77" customFormat="1" ht="20.100000000000001" customHeight="1" x14ac:dyDescent="0.2">
      <c r="A56" s="80" t="s">
        <v>359</v>
      </c>
      <c r="B56" s="84"/>
      <c r="C56" s="85">
        <v>0</v>
      </c>
      <c r="D56" s="86"/>
      <c r="E56" s="86">
        <v>0</v>
      </c>
      <c r="F56" s="86"/>
      <c r="G56" s="68"/>
    </row>
    <row r="57" spans="1:7" s="78" customFormat="1" ht="21" customHeight="1" x14ac:dyDescent="0.2">
      <c r="A57" s="804" t="s">
        <v>360</v>
      </c>
      <c r="B57" s="805"/>
      <c r="C57" s="87">
        <f>SUM(C32:C56)</f>
        <v>807782310</v>
      </c>
      <c r="D57" s="87">
        <f>SUM(D32:D56)</f>
        <v>742930</v>
      </c>
      <c r="E57" s="87">
        <f>SUM(E32:E56)</f>
        <v>807782</v>
      </c>
      <c r="F57" s="88">
        <f>SUM(F32:F56)</f>
        <v>807782</v>
      </c>
      <c r="G57" s="89">
        <f>F57/E57</f>
        <v>1</v>
      </c>
    </row>
    <row r="58" spans="1:7" s="78" customFormat="1" ht="20.100000000000001" customHeight="1" x14ac:dyDescent="0.2">
      <c r="A58" s="90" t="s">
        <v>361</v>
      </c>
      <c r="B58" s="91"/>
      <c r="C58" s="92"/>
      <c r="D58" s="92"/>
      <c r="E58" s="92"/>
      <c r="F58" s="93"/>
      <c r="G58" s="94"/>
    </row>
    <row r="59" spans="1:7" ht="20.100000000000001" customHeight="1" x14ac:dyDescent="0.25">
      <c r="A59" s="69" t="s">
        <v>362</v>
      </c>
      <c r="B59" s="95">
        <v>23536440</v>
      </c>
      <c r="C59" s="66"/>
      <c r="D59" s="66">
        <v>23536</v>
      </c>
      <c r="E59" s="66">
        <v>23536</v>
      </c>
      <c r="F59" s="67">
        <v>23536</v>
      </c>
      <c r="G59" s="68">
        <f t="shared" ref="G59" si="4">SUM(F59/E59)</f>
        <v>1</v>
      </c>
    </row>
    <row r="60" spans="1:7" ht="20.100000000000001" customHeight="1" x14ac:dyDescent="0.25">
      <c r="A60" s="69" t="s">
        <v>363</v>
      </c>
      <c r="B60" s="95"/>
      <c r="C60" s="66"/>
      <c r="D60" s="66"/>
      <c r="E60" s="66"/>
      <c r="F60" s="67"/>
      <c r="G60" s="96"/>
    </row>
    <row r="61" spans="1:7" ht="20.100000000000001" customHeight="1" x14ac:dyDescent="0.25">
      <c r="A61" s="69" t="s">
        <v>364</v>
      </c>
      <c r="B61" s="97">
        <v>15369000</v>
      </c>
      <c r="C61" s="66"/>
      <c r="D61" s="66">
        <v>15369</v>
      </c>
      <c r="E61" s="66">
        <v>15369</v>
      </c>
      <c r="F61" s="67">
        <v>15369</v>
      </c>
      <c r="G61" s="68">
        <f t="shared" ref="G61" si="5">SUM(F61/E61)</f>
        <v>1</v>
      </c>
    </row>
    <row r="62" spans="1:7" ht="19.5" customHeight="1" x14ac:dyDescent="0.25">
      <c r="A62" s="69" t="s">
        <v>365</v>
      </c>
      <c r="B62" s="98">
        <v>0</v>
      </c>
      <c r="C62" s="66"/>
      <c r="D62" s="66"/>
      <c r="E62" s="66">
        <v>0</v>
      </c>
      <c r="F62" s="67"/>
      <c r="G62" s="68"/>
    </row>
    <row r="63" spans="1:7" ht="19.5" customHeight="1" x14ac:dyDescent="0.25">
      <c r="A63" s="99" t="s">
        <v>366</v>
      </c>
      <c r="B63" s="100"/>
      <c r="C63" s="123"/>
      <c r="D63" s="123"/>
      <c r="E63" s="123"/>
      <c r="F63" s="101"/>
      <c r="G63" s="165"/>
    </row>
    <row r="64" spans="1:7" ht="23.25" customHeight="1" x14ac:dyDescent="0.25">
      <c r="A64" s="806" t="s">
        <v>367</v>
      </c>
      <c r="B64" s="807"/>
      <c r="C64" s="107">
        <f>SUM(B59:B62)</f>
        <v>38905440</v>
      </c>
      <c r="D64" s="107">
        <f>SUM(D59:D63)</f>
        <v>38905</v>
      </c>
      <c r="E64" s="107">
        <f>SUM(E59:E63)</f>
        <v>38905</v>
      </c>
      <c r="F64" s="106">
        <f>SUM(F59:F62)</f>
        <v>38905</v>
      </c>
      <c r="G64" s="75">
        <f>F64/E64</f>
        <v>1</v>
      </c>
    </row>
    <row r="65" spans="1:7" ht="20.100000000000001" customHeight="1" x14ac:dyDescent="0.25">
      <c r="A65" s="69" t="s">
        <v>368</v>
      </c>
      <c r="B65" s="95"/>
      <c r="C65" s="66">
        <f>16701694+514426</f>
        <v>17216120</v>
      </c>
      <c r="D65" s="66"/>
      <c r="E65" s="66">
        <f>16701+514+1+1</f>
        <v>17217</v>
      </c>
      <c r="F65" s="67">
        <v>17217</v>
      </c>
      <c r="G65" s="68">
        <f t="shared" ref="G65" si="6">SUM(F65/E65)</f>
        <v>1</v>
      </c>
    </row>
    <row r="66" spans="1:7" ht="20.100000000000001" customHeight="1" x14ac:dyDescent="0.25">
      <c r="A66" s="69" t="s">
        <v>369</v>
      </c>
      <c r="B66" s="97"/>
      <c r="C66" s="66">
        <v>0</v>
      </c>
      <c r="D66" s="66"/>
      <c r="E66" s="66">
        <v>0</v>
      </c>
      <c r="F66" s="67"/>
      <c r="G66" s="96"/>
    </row>
    <row r="67" spans="1:7" ht="19.5" customHeight="1" x14ac:dyDescent="0.25">
      <c r="A67" s="791" t="s">
        <v>403</v>
      </c>
      <c r="B67" s="792"/>
      <c r="C67" s="66">
        <f>4817380-4817380</f>
        <v>0</v>
      </c>
      <c r="D67" s="66"/>
      <c r="E67" s="66">
        <f>4817-4817</f>
        <v>0</v>
      </c>
      <c r="F67" s="67"/>
      <c r="G67" s="96"/>
    </row>
    <row r="68" spans="1:7" ht="19.5" customHeight="1" x14ac:dyDescent="0.25">
      <c r="A68" s="173" t="s">
        <v>370</v>
      </c>
      <c r="B68" s="174"/>
      <c r="C68" s="123">
        <v>532000</v>
      </c>
      <c r="D68" s="123"/>
      <c r="E68" s="123">
        <v>532</v>
      </c>
      <c r="F68" s="67">
        <v>532</v>
      </c>
      <c r="G68" s="68">
        <f t="shared" ref="G68:G69" si="7">SUM(F68/E68)</f>
        <v>1</v>
      </c>
    </row>
    <row r="69" spans="1:7" ht="20.100000000000001" customHeight="1" x14ac:dyDescent="0.25">
      <c r="A69" s="69" t="s">
        <v>411</v>
      </c>
      <c r="B69" s="95"/>
      <c r="C69" s="66">
        <v>35000000</v>
      </c>
      <c r="D69" s="66"/>
      <c r="E69" s="66">
        <v>35000</v>
      </c>
      <c r="F69" s="67">
        <v>35000</v>
      </c>
      <c r="G69" s="68">
        <f t="shared" si="7"/>
        <v>1</v>
      </c>
    </row>
    <row r="70" spans="1:7" ht="23.25" customHeight="1" x14ac:dyDescent="0.25">
      <c r="A70" s="802" t="s">
        <v>412</v>
      </c>
      <c r="B70" s="803"/>
      <c r="C70" s="74">
        <f>SUM(C65:C69)</f>
        <v>52748120</v>
      </c>
      <c r="D70" s="74">
        <f t="shared" ref="D70:E70" si="8">SUM(D65:D69)</f>
        <v>0</v>
      </c>
      <c r="E70" s="74">
        <f t="shared" si="8"/>
        <v>52749</v>
      </c>
      <c r="F70" s="169">
        <f>SUM(F65:F69)</f>
        <v>52749</v>
      </c>
      <c r="G70" s="170">
        <f>F70/E70</f>
        <v>1</v>
      </c>
    </row>
    <row r="71" spans="1:7" ht="20.100000000000001" customHeight="1" x14ac:dyDescent="0.25">
      <c r="A71" s="791" t="s">
        <v>405</v>
      </c>
      <c r="B71" s="792"/>
      <c r="C71" s="66">
        <v>4817380</v>
      </c>
      <c r="D71" s="66"/>
      <c r="E71" s="66">
        <f>4817</f>
        <v>4817</v>
      </c>
      <c r="F71" s="67">
        <v>4817</v>
      </c>
      <c r="G71" s="68">
        <f t="shared" ref="G71:G72" si="9">SUM(F71/E71)</f>
        <v>1</v>
      </c>
    </row>
    <row r="72" spans="1:7" ht="19.5" customHeight="1" x14ac:dyDescent="0.25">
      <c r="A72" s="791" t="s">
        <v>406</v>
      </c>
      <c r="B72" s="792"/>
      <c r="C72" s="66">
        <v>17777000</v>
      </c>
      <c r="D72" s="66"/>
      <c r="E72" s="66">
        <v>17777</v>
      </c>
      <c r="F72" s="67">
        <v>17777</v>
      </c>
      <c r="G72" s="68">
        <f t="shared" si="9"/>
        <v>1</v>
      </c>
    </row>
    <row r="73" spans="1:7" s="168" customFormat="1" ht="19.5" customHeight="1" x14ac:dyDescent="0.25">
      <c r="A73" s="793" t="s">
        <v>407</v>
      </c>
      <c r="B73" s="794"/>
      <c r="C73" s="166">
        <f>SUM(C71:C72)</f>
        <v>22594380</v>
      </c>
      <c r="D73" s="166">
        <f>SUM(D71:D72)</f>
        <v>0</v>
      </c>
      <c r="E73" s="166">
        <f>SUM(E71:E72)</f>
        <v>22594</v>
      </c>
      <c r="F73" s="167">
        <f>SUM(F71:F72)</f>
        <v>22594</v>
      </c>
      <c r="G73" s="170">
        <f>F73/E73</f>
        <v>1</v>
      </c>
    </row>
    <row r="74" spans="1:7" ht="23.25" customHeight="1" x14ac:dyDescent="0.25">
      <c r="A74" s="802" t="s">
        <v>372</v>
      </c>
      <c r="B74" s="803"/>
      <c r="C74" s="175"/>
      <c r="D74" s="74">
        <f>D24+D31+D57+D64+D70+D73</f>
        <v>1438329</v>
      </c>
      <c r="E74" s="74">
        <f>E24+E31+E57+E64+E70+E73</f>
        <v>1623083</v>
      </c>
      <c r="F74" s="106">
        <f t="shared" ref="F74" si="10">F24+F31+F57+F64+F70+F73</f>
        <v>1623084</v>
      </c>
      <c r="G74" s="75">
        <f t="shared" ref="G74:G78" si="11">F74/E74</f>
        <v>1.0000006161114372</v>
      </c>
    </row>
    <row r="75" spans="1:7" s="76" customFormat="1" ht="20.100000000000001" customHeight="1" x14ac:dyDescent="0.25">
      <c r="A75" s="802" t="s">
        <v>373</v>
      </c>
      <c r="B75" s="803"/>
      <c r="C75" s="176"/>
      <c r="D75" s="177">
        <f>5000+100+16877</f>
        <v>21977</v>
      </c>
      <c r="E75" s="177">
        <f>5000+100+16877+2050+3100</f>
        <v>27127</v>
      </c>
      <c r="F75" s="109">
        <v>27084</v>
      </c>
      <c r="G75" s="75">
        <f t="shared" si="11"/>
        <v>0.99841486342020869</v>
      </c>
    </row>
    <row r="76" spans="1:7" ht="18.75" customHeight="1" thickBot="1" x14ac:dyDescent="0.3">
      <c r="A76" s="840" t="s">
        <v>413</v>
      </c>
      <c r="B76" s="841"/>
      <c r="C76" s="178"/>
      <c r="D76" s="179"/>
      <c r="E76" s="179">
        <v>12742</v>
      </c>
      <c r="F76" s="112">
        <v>12742</v>
      </c>
      <c r="G76" s="75">
        <f t="shared" si="11"/>
        <v>1</v>
      </c>
    </row>
    <row r="77" spans="1:7" s="76" customFormat="1" ht="20.100000000000001" customHeight="1" thickBot="1" x14ac:dyDescent="0.3">
      <c r="A77" s="180" t="s">
        <v>375</v>
      </c>
      <c r="B77" s="181"/>
      <c r="C77" s="182"/>
      <c r="D77" s="162">
        <f>SUM(D74+D75+D76)</f>
        <v>1460306</v>
      </c>
      <c r="E77" s="162">
        <f>SUM(E74+E75+E76)</f>
        <v>1662952</v>
      </c>
      <c r="F77" s="162">
        <f>SUM(F74+F75+F76)</f>
        <v>1662910</v>
      </c>
      <c r="G77" s="118">
        <f>F77/E77</f>
        <v>0.99997474370877815</v>
      </c>
    </row>
    <row r="78" spans="1:7" s="76" customFormat="1" ht="20.100000000000001" customHeight="1" thickBot="1" x14ac:dyDescent="0.3">
      <c r="A78" s="834" t="s">
        <v>376</v>
      </c>
      <c r="B78" s="835"/>
      <c r="C78" s="183"/>
      <c r="D78" s="134"/>
      <c r="E78" s="134">
        <f>60000+3600+458+28000+20606+2000-2000</f>
        <v>112664</v>
      </c>
      <c r="F78" s="121">
        <v>112664</v>
      </c>
      <c r="G78" s="118">
        <f t="shared" si="11"/>
        <v>1</v>
      </c>
    </row>
    <row r="79" spans="1:7" ht="20.100000000000001" customHeight="1" x14ac:dyDescent="0.25">
      <c r="A79" s="814" t="s">
        <v>377</v>
      </c>
      <c r="B79" s="815"/>
      <c r="C79" s="122"/>
      <c r="D79" s="123"/>
      <c r="E79" s="123"/>
      <c r="F79" s="123"/>
      <c r="G79" s="124"/>
    </row>
    <row r="80" spans="1:7" ht="20.100000000000001" customHeight="1" x14ac:dyDescent="0.25">
      <c r="A80" s="816" t="s">
        <v>378</v>
      </c>
      <c r="B80" s="817"/>
      <c r="C80" s="125"/>
      <c r="D80" s="66"/>
      <c r="E80" s="66"/>
      <c r="F80" s="126"/>
      <c r="G80" s="68"/>
    </row>
    <row r="81" spans="1:7" ht="20.100000000000001" customHeight="1" x14ac:dyDescent="0.25">
      <c r="A81" s="789" t="s">
        <v>379</v>
      </c>
      <c r="B81" s="790"/>
      <c r="C81" s="66"/>
      <c r="D81" s="66">
        <v>537000</v>
      </c>
      <c r="E81" s="66">
        <f>SUM(C82+C85)</f>
        <v>574980</v>
      </c>
      <c r="F81" s="66">
        <v>575033</v>
      </c>
      <c r="G81" s="68">
        <f t="shared" ref="G81" si="12">SUM(F81/E81)</f>
        <v>1.0000921771192042</v>
      </c>
    </row>
    <row r="82" spans="1:7" ht="20.100000000000001" customHeight="1" x14ac:dyDescent="0.25">
      <c r="A82" s="789" t="s">
        <v>380</v>
      </c>
      <c r="B82" s="790"/>
      <c r="C82" s="66">
        <f>B83+B84</f>
        <v>570980</v>
      </c>
      <c r="D82" s="66"/>
      <c r="E82" s="66"/>
      <c r="F82" s="66"/>
      <c r="G82" s="68"/>
    </row>
    <row r="83" spans="1:7" ht="20.100000000000001" customHeight="1" x14ac:dyDescent="0.25">
      <c r="A83" s="69" t="s">
        <v>381</v>
      </c>
      <c r="B83" s="127">
        <f>530000+40900</f>
        <v>570900</v>
      </c>
      <c r="C83" s="66"/>
      <c r="D83" s="66"/>
      <c r="E83" s="66"/>
      <c r="F83" s="66"/>
      <c r="G83" s="68"/>
    </row>
    <row r="84" spans="1:7" ht="20.100000000000001" customHeight="1" x14ac:dyDescent="0.25">
      <c r="A84" s="69" t="s">
        <v>382</v>
      </c>
      <c r="B84" s="127">
        <f>3000-2920</f>
        <v>80</v>
      </c>
      <c r="C84" s="66"/>
      <c r="D84" s="66"/>
      <c r="E84" s="66"/>
      <c r="F84" s="66"/>
      <c r="G84" s="68"/>
    </row>
    <row r="85" spans="1:7" ht="20.100000000000001" customHeight="1" x14ac:dyDescent="0.25">
      <c r="A85" s="789" t="s">
        <v>383</v>
      </c>
      <c r="B85" s="790"/>
      <c r="C85" s="66">
        <v>4000</v>
      </c>
      <c r="D85" s="66"/>
      <c r="E85" s="66"/>
      <c r="F85" s="66"/>
      <c r="G85" s="68"/>
    </row>
    <row r="86" spans="1:7" ht="20.100000000000001" customHeight="1" x14ac:dyDescent="0.25">
      <c r="A86" s="69" t="s">
        <v>384</v>
      </c>
      <c r="B86" s="128"/>
      <c r="C86" s="66"/>
      <c r="D86" s="66">
        <v>40200</v>
      </c>
      <c r="E86" s="66">
        <f>SUM(C87:C88)</f>
        <v>40272</v>
      </c>
      <c r="F86" s="66">
        <v>40009</v>
      </c>
      <c r="G86" s="68">
        <f t="shared" ref="G86" si="13">SUM(F86/E86)</f>
        <v>0.99346940802542705</v>
      </c>
    </row>
    <row r="87" spans="1:7" ht="20.100000000000001" customHeight="1" x14ac:dyDescent="0.25">
      <c r="A87" s="818" t="s">
        <v>385</v>
      </c>
      <c r="B87" s="819"/>
      <c r="C87" s="66">
        <v>40000</v>
      </c>
      <c r="D87" s="126"/>
      <c r="E87" s="126"/>
      <c r="F87" s="126"/>
      <c r="G87" s="130"/>
    </row>
    <row r="88" spans="1:7" ht="20.100000000000001" customHeight="1" x14ac:dyDescent="0.25">
      <c r="A88" s="818" t="s">
        <v>386</v>
      </c>
      <c r="B88" s="819"/>
      <c r="C88" s="66">
        <f>200+72</f>
        <v>272</v>
      </c>
      <c r="D88" s="126"/>
      <c r="E88" s="126"/>
      <c r="F88" s="126"/>
      <c r="G88" s="130"/>
    </row>
    <row r="89" spans="1:7" ht="20.100000000000001" customHeight="1" x14ac:dyDescent="0.25">
      <c r="A89" s="789" t="s">
        <v>387</v>
      </c>
      <c r="B89" s="790"/>
      <c r="C89" s="66"/>
      <c r="D89" s="66">
        <v>3000</v>
      </c>
      <c r="E89" s="66">
        <f>SUM(C90:C91)</f>
        <v>3940</v>
      </c>
      <c r="F89" s="66">
        <v>4170</v>
      </c>
      <c r="G89" s="68">
        <f t="shared" ref="G89" si="14">SUM(F89/E89)</f>
        <v>1.0583756345177664</v>
      </c>
    </row>
    <row r="90" spans="1:7" ht="20.100000000000001" customHeight="1" x14ac:dyDescent="0.25">
      <c r="A90" s="69" t="s">
        <v>388</v>
      </c>
      <c r="B90" s="70"/>
      <c r="C90" s="66">
        <f>2000+940</f>
        <v>2940</v>
      </c>
      <c r="D90" s="66"/>
      <c r="E90" s="66"/>
      <c r="F90" s="66"/>
      <c r="G90" s="68"/>
    </row>
    <row r="91" spans="1:7" ht="20.100000000000001" customHeight="1" x14ac:dyDescent="0.25">
      <c r="A91" s="69" t="s">
        <v>389</v>
      </c>
      <c r="B91" s="70"/>
      <c r="C91" s="66">
        <v>1000</v>
      </c>
      <c r="D91" s="66"/>
      <c r="E91" s="66"/>
      <c r="F91" s="66"/>
      <c r="G91" s="68"/>
    </row>
    <row r="92" spans="1:7" ht="20.100000000000001" customHeight="1" thickBot="1" x14ac:dyDescent="0.3">
      <c r="A92" s="99" t="s">
        <v>390</v>
      </c>
      <c r="B92" s="131"/>
      <c r="C92" s="132">
        <f>8000+1442</f>
        <v>9442</v>
      </c>
      <c r="D92" s="123">
        <v>8000</v>
      </c>
      <c r="E92" s="123">
        <f>SUM(C92)</f>
        <v>9442</v>
      </c>
      <c r="F92" s="123">
        <v>9423</v>
      </c>
      <c r="G92" s="68">
        <f t="shared" ref="G92" si="15">SUM(F92/E92)</f>
        <v>0.99798771446727386</v>
      </c>
    </row>
    <row r="93" spans="1:7" s="76" customFormat="1" ht="20.100000000000001" customHeight="1" thickBot="1" x14ac:dyDescent="0.3">
      <c r="A93" s="836" t="s">
        <v>391</v>
      </c>
      <c r="B93" s="837"/>
      <c r="C93" s="134"/>
      <c r="D93" s="134">
        <f>SUM(D80:D92)</f>
        <v>588200</v>
      </c>
      <c r="E93" s="134">
        <f>SUM(E80:E92)</f>
        <v>628634</v>
      </c>
      <c r="F93" s="134">
        <f>SUM(F80:F92)</f>
        <v>628635</v>
      </c>
      <c r="G93" s="118">
        <f>F93/E93</f>
        <v>1.0000015907507389</v>
      </c>
    </row>
    <row r="94" spans="1:7" s="76" customFormat="1" ht="20.100000000000001" customHeight="1" thickBot="1" x14ac:dyDescent="0.3">
      <c r="A94" s="184" t="s">
        <v>392</v>
      </c>
      <c r="B94" s="185"/>
      <c r="C94" s="134"/>
      <c r="D94" s="134">
        <v>402029</v>
      </c>
      <c r="E94" s="134">
        <f>402029-37087-4675-46226</f>
        <v>314041</v>
      </c>
      <c r="F94" s="134">
        <v>260676</v>
      </c>
      <c r="G94" s="118">
        <f>F94/E94</f>
        <v>0.83006995901809</v>
      </c>
    </row>
    <row r="95" spans="1:7" ht="20.100000000000001" customHeight="1" x14ac:dyDescent="0.25">
      <c r="A95" s="826" t="s">
        <v>393</v>
      </c>
      <c r="B95" s="827"/>
      <c r="C95" s="138"/>
      <c r="D95" s="140"/>
      <c r="E95" s="140"/>
      <c r="F95" s="140"/>
      <c r="G95" s="141"/>
    </row>
    <row r="96" spans="1:7" ht="20.100000000000001" customHeight="1" x14ac:dyDescent="0.25">
      <c r="A96" s="828" t="s">
        <v>394</v>
      </c>
      <c r="B96" s="829"/>
      <c r="C96" s="79"/>
      <c r="D96" s="143">
        <v>11214</v>
      </c>
      <c r="E96" s="143">
        <v>11214</v>
      </c>
      <c r="F96" s="143">
        <v>4211</v>
      </c>
      <c r="G96" s="68">
        <f t="shared" ref="G96" si="16">SUM(F96/E96)</f>
        <v>0.37551275191724631</v>
      </c>
    </row>
    <row r="97" spans="1:7" ht="19.5" customHeight="1" thickBot="1" x14ac:dyDescent="0.3">
      <c r="A97" s="838" t="s">
        <v>408</v>
      </c>
      <c r="B97" s="839"/>
      <c r="C97" s="191"/>
      <c r="D97" s="192"/>
      <c r="E97" s="192"/>
      <c r="F97" s="143">
        <v>200</v>
      </c>
      <c r="G97" s="144">
        <v>0</v>
      </c>
    </row>
    <row r="98" spans="1:7" s="76" customFormat="1" ht="20.100000000000001" customHeight="1" thickBot="1" x14ac:dyDescent="0.3">
      <c r="A98" s="830" t="s">
        <v>395</v>
      </c>
      <c r="B98" s="831"/>
      <c r="C98" s="186"/>
      <c r="D98" s="162">
        <f>SUM(D96:D96)</f>
        <v>11214</v>
      </c>
      <c r="E98" s="162">
        <f>SUM(E96:E96)</f>
        <v>11214</v>
      </c>
      <c r="F98" s="146">
        <f t="shared" ref="F98" si="17">SUM(F96:F97)</f>
        <v>4411</v>
      </c>
      <c r="G98" s="118">
        <f>F98/E98</f>
        <v>0.39334760121276974</v>
      </c>
    </row>
    <row r="99" spans="1:7" s="188" customFormat="1" ht="20.100000000000001" customHeight="1" thickBot="1" x14ac:dyDescent="0.3">
      <c r="A99" s="832" t="s">
        <v>396</v>
      </c>
      <c r="B99" s="833"/>
      <c r="C99" s="187"/>
      <c r="D99" s="193">
        <v>0</v>
      </c>
      <c r="E99" s="193">
        <v>0</v>
      </c>
      <c r="F99" s="193">
        <v>0</v>
      </c>
      <c r="G99" s="118">
        <v>0</v>
      </c>
    </row>
    <row r="100" spans="1:7" s="188" customFormat="1" ht="20.100000000000001" customHeight="1" thickBot="1" x14ac:dyDescent="0.3">
      <c r="A100" s="834" t="s">
        <v>397</v>
      </c>
      <c r="B100" s="835"/>
      <c r="C100" s="194"/>
      <c r="D100" s="162">
        <v>0</v>
      </c>
      <c r="E100" s="162">
        <f>367+4675+2000</f>
        <v>7042</v>
      </c>
      <c r="F100" s="162">
        <v>7379</v>
      </c>
      <c r="G100" s="118">
        <f>F100/E100</f>
        <v>1.047855722806021</v>
      </c>
    </row>
    <row r="101" spans="1:7" s="76" customFormat="1" ht="20.100000000000001" customHeight="1" thickBot="1" x14ac:dyDescent="0.3">
      <c r="A101" s="830" t="s">
        <v>398</v>
      </c>
      <c r="B101" s="831"/>
      <c r="C101" s="186"/>
      <c r="D101" s="162">
        <f>SUM(D77+D78+D93+D94+D98)</f>
        <v>2461749</v>
      </c>
      <c r="E101" s="162">
        <f>SUM(E77+E78+E93+E94+E98+E99+E100)</f>
        <v>2736547</v>
      </c>
      <c r="F101" s="146">
        <f>SUM(F77+F78+F93+F94+F98+F99+F100)</f>
        <v>2676675</v>
      </c>
      <c r="G101" s="118">
        <f>F101/E101</f>
        <v>0.97812133319837002</v>
      </c>
    </row>
    <row r="102" spans="1:7" ht="20.100000000000001" customHeight="1" x14ac:dyDescent="0.25">
      <c r="A102" s="154" t="s">
        <v>399</v>
      </c>
      <c r="B102" s="155"/>
      <c r="C102" s="64"/>
      <c r="D102" s="64"/>
      <c r="E102" s="64"/>
      <c r="F102" s="64"/>
      <c r="G102" s="65"/>
    </row>
    <row r="103" spans="1:7" ht="20.100000000000001" customHeight="1" x14ac:dyDescent="0.25">
      <c r="A103" s="156" t="s">
        <v>400</v>
      </c>
      <c r="B103" s="157"/>
      <c r="C103" s="123"/>
      <c r="D103" s="132">
        <v>251219</v>
      </c>
      <c r="E103" s="132">
        <f>251219+93378</f>
        <v>344597</v>
      </c>
      <c r="F103" s="132">
        <v>344597</v>
      </c>
      <c r="G103" s="141">
        <f t="shared" ref="G103" si="18">SUM(F103/E103)</f>
        <v>1</v>
      </c>
    </row>
    <row r="104" spans="1:7" ht="20.100000000000001" customHeight="1" thickBot="1" x14ac:dyDescent="0.3">
      <c r="A104" s="156" t="s">
        <v>579</v>
      </c>
      <c r="B104" s="157"/>
      <c r="C104" s="123"/>
      <c r="D104" s="132"/>
      <c r="E104" s="158"/>
      <c r="F104" s="132">
        <v>52044</v>
      </c>
      <c r="G104" s="159">
        <v>0</v>
      </c>
    </row>
    <row r="105" spans="1:7" s="76" customFormat="1" ht="20.100000000000001" customHeight="1" thickBot="1" x14ac:dyDescent="0.3">
      <c r="A105" s="189" t="s">
        <v>401</v>
      </c>
      <c r="B105" s="190"/>
      <c r="C105" s="186"/>
      <c r="D105" s="162">
        <f>SUM(D103:D104)</f>
        <v>251219</v>
      </c>
      <c r="E105" s="162">
        <f t="shared" ref="E105:F105" si="19">SUM(E103:E104)</f>
        <v>344597</v>
      </c>
      <c r="F105" s="162">
        <f t="shared" si="19"/>
        <v>396641</v>
      </c>
      <c r="G105" s="118">
        <f>F105/E105</f>
        <v>1.1510285928200188</v>
      </c>
    </row>
    <row r="106" spans="1:7" s="76" customFormat="1" ht="20.100000000000001" customHeight="1" thickBot="1" x14ac:dyDescent="0.3">
      <c r="A106" s="830" t="s">
        <v>402</v>
      </c>
      <c r="B106" s="831"/>
      <c r="C106" s="186"/>
      <c r="D106" s="162">
        <f>D101+D105</f>
        <v>2712968</v>
      </c>
      <c r="E106" s="162">
        <f>E101+E105</f>
        <v>3081144</v>
      </c>
      <c r="F106" s="162">
        <f>F101+F105</f>
        <v>3073316</v>
      </c>
      <c r="G106" s="118">
        <f>F106/E106</f>
        <v>0.99745938521536159</v>
      </c>
    </row>
  </sheetData>
  <mergeCells count="40">
    <mergeCell ref="A1:D1"/>
    <mergeCell ref="A6:B6"/>
    <mergeCell ref="A9:B9"/>
    <mergeCell ref="A10:B10"/>
    <mergeCell ref="A11:B11"/>
    <mergeCell ref="A3:G3"/>
    <mergeCell ref="A72:B72"/>
    <mergeCell ref="A13:B13"/>
    <mergeCell ref="A17:B17"/>
    <mergeCell ref="A19:B19"/>
    <mergeCell ref="A21:B21"/>
    <mergeCell ref="A24:B24"/>
    <mergeCell ref="A31:B31"/>
    <mergeCell ref="A57:B57"/>
    <mergeCell ref="A64:B64"/>
    <mergeCell ref="A67:B67"/>
    <mergeCell ref="A70:B70"/>
    <mergeCell ref="A71:B71"/>
    <mergeCell ref="A88:B88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A85:B85"/>
    <mergeCell ref="A87:B87"/>
    <mergeCell ref="A89:B89"/>
    <mergeCell ref="A93:B93"/>
    <mergeCell ref="A95:B95"/>
    <mergeCell ref="A96:B96"/>
    <mergeCell ref="A97:B97"/>
    <mergeCell ref="A98:B98"/>
    <mergeCell ref="A99:B99"/>
    <mergeCell ref="A100:B100"/>
    <mergeCell ref="A101:B101"/>
    <mergeCell ref="A106:B106"/>
  </mergeCells>
  <pageMargins left="0.7" right="0.7" top="0.75" bottom="0.75" header="0.3" footer="0.3"/>
  <pageSetup paperSize="9" scale="51" orientation="portrait" r:id="rId1"/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55"/>
  <sheetViews>
    <sheetView view="pageBreakPreview" topLeftCell="AN1" zoomScale="60" zoomScaleNormal="100" workbookViewId="0">
      <selection activeCell="AQ1" sqref="AQ1:BC1048576"/>
    </sheetView>
  </sheetViews>
  <sheetFormatPr defaultRowHeight="20.25" x14ac:dyDescent="0.3"/>
  <cols>
    <col min="1" max="1" width="69.85546875" style="195" customWidth="1"/>
    <col min="2" max="4" width="19.140625" style="196" customWidth="1"/>
    <col min="5" max="5" width="19.140625" style="197" customWidth="1"/>
    <col min="6" max="7" width="19.140625" style="195" customWidth="1"/>
    <col min="8" max="8" width="19.140625" style="196" customWidth="1"/>
    <col min="9" max="9" width="19.140625" style="197" customWidth="1"/>
    <col min="10" max="11" width="19.140625" style="195" customWidth="1"/>
    <col min="12" max="12" width="19.140625" style="196" customWidth="1"/>
    <col min="13" max="13" width="19.140625" style="197" customWidth="1"/>
    <col min="14" max="15" width="19.140625" style="195" customWidth="1"/>
    <col min="16" max="16" width="19.140625" style="196" customWidth="1"/>
    <col min="17" max="17" width="19.140625" style="197" customWidth="1"/>
    <col min="18" max="19" width="19.140625" style="195" customWidth="1"/>
    <col min="20" max="20" width="19.140625" style="196" customWidth="1"/>
    <col min="21" max="21" width="19.140625" style="197" customWidth="1"/>
    <col min="22" max="22" width="69.85546875" style="195" customWidth="1"/>
    <col min="23" max="24" width="19.140625" style="195" customWidth="1"/>
    <col min="25" max="25" width="19.140625" style="196" customWidth="1"/>
    <col min="26" max="26" width="19.140625" style="197" customWidth="1"/>
    <col min="27" max="28" width="19.140625" style="195" customWidth="1"/>
    <col min="29" max="29" width="19.140625" style="196" customWidth="1"/>
    <col min="30" max="30" width="19.140625" style="197" customWidth="1"/>
    <col min="31" max="32" width="19.140625" style="195" customWidth="1"/>
    <col min="33" max="33" width="19.140625" style="196" customWidth="1"/>
    <col min="34" max="34" width="19.140625" style="197" customWidth="1"/>
    <col min="35" max="36" width="19.140625" style="195" customWidth="1"/>
    <col min="37" max="37" width="19.140625" style="196" customWidth="1"/>
    <col min="38" max="38" width="19.140625" style="197" customWidth="1"/>
    <col min="39" max="40" width="19.140625" style="195" customWidth="1"/>
    <col min="41" max="41" width="19.140625" style="196" customWidth="1"/>
    <col min="42" max="42" width="19.140625" style="197" customWidth="1"/>
    <col min="43" max="43" width="69.85546875" style="195" customWidth="1"/>
    <col min="44" max="45" width="19.140625" style="195" customWidth="1"/>
    <col min="46" max="46" width="19.140625" style="196" customWidth="1"/>
    <col min="47" max="47" width="19.140625" style="197" customWidth="1"/>
    <col min="48" max="49" width="19.140625" style="195" customWidth="1"/>
    <col min="50" max="50" width="19.140625" style="196" customWidth="1"/>
    <col min="51" max="51" width="19.140625" style="197" customWidth="1"/>
    <col min="52" max="53" width="19.140625" style="195" customWidth="1"/>
    <col min="54" max="54" width="19.140625" style="196" customWidth="1"/>
    <col min="55" max="55" width="19.140625" style="197" customWidth="1"/>
    <col min="56" max="56" width="10.42578125" style="195" bestFit="1" customWidth="1"/>
    <col min="57" max="16384" width="9.140625" style="195"/>
  </cols>
  <sheetData>
    <row r="2" spans="1:63" x14ac:dyDescent="0.3">
      <c r="AB2" s="198"/>
      <c r="BA2" s="198"/>
    </row>
    <row r="3" spans="1:63" s="202" customFormat="1" ht="26.25" x14ac:dyDescent="0.4">
      <c r="A3" s="199" t="s">
        <v>966</v>
      </c>
      <c r="B3" s="200"/>
      <c r="C3" s="200"/>
      <c r="D3" s="200"/>
      <c r="E3" s="201"/>
      <c r="H3" s="200"/>
      <c r="I3" s="201"/>
      <c r="L3" s="200"/>
      <c r="M3" s="201"/>
      <c r="P3" s="200"/>
      <c r="Q3" s="201"/>
      <c r="T3" s="200"/>
      <c r="U3" s="203" t="s">
        <v>416</v>
      </c>
      <c r="V3" s="199"/>
      <c r="Y3" s="200"/>
      <c r="Z3" s="201"/>
      <c r="AC3" s="200"/>
      <c r="AD3" s="201"/>
      <c r="AG3" s="200"/>
      <c r="AH3" s="201"/>
      <c r="AK3" s="200"/>
      <c r="AL3" s="201"/>
      <c r="AO3" s="200"/>
      <c r="AP3" s="203" t="s">
        <v>417</v>
      </c>
      <c r="AQ3" s="199"/>
      <c r="AT3" s="200"/>
      <c r="AU3" s="201"/>
      <c r="AX3" s="200"/>
      <c r="AY3" s="201"/>
      <c r="BB3" s="200"/>
      <c r="BC3" s="203" t="s">
        <v>418</v>
      </c>
    </row>
    <row r="4" spans="1:63" s="202" customFormat="1" ht="26.25" x14ac:dyDescent="0.4">
      <c r="A4" s="204"/>
      <c r="B4" s="200"/>
      <c r="C4" s="200"/>
      <c r="D4" s="200"/>
      <c r="E4" s="201"/>
      <c r="H4" s="200"/>
      <c r="I4" s="201"/>
      <c r="L4" s="200"/>
      <c r="M4" s="201"/>
      <c r="P4" s="200"/>
      <c r="Q4" s="201"/>
      <c r="T4" s="200"/>
      <c r="U4" s="201"/>
      <c r="V4" s="204"/>
      <c r="Y4" s="200"/>
      <c r="Z4" s="201"/>
      <c r="AC4" s="200"/>
      <c r="AD4" s="201"/>
      <c r="AG4" s="200"/>
      <c r="AH4" s="201"/>
      <c r="AK4" s="200"/>
      <c r="AL4" s="201"/>
      <c r="AO4" s="200"/>
      <c r="AP4" s="201"/>
      <c r="AQ4" s="204"/>
      <c r="AT4" s="200"/>
      <c r="AU4" s="201"/>
      <c r="AX4" s="200"/>
      <c r="AY4" s="201"/>
      <c r="BB4" s="200"/>
      <c r="BC4" s="201"/>
    </row>
    <row r="5" spans="1:63" s="202" customFormat="1" ht="26.25" x14ac:dyDescent="0.4">
      <c r="A5" s="844" t="s">
        <v>474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 t="s">
        <v>474</v>
      </c>
      <c r="W5" s="844"/>
      <c r="X5" s="844"/>
      <c r="Y5" s="844"/>
      <c r="Z5" s="844"/>
      <c r="AA5" s="844"/>
      <c r="AB5" s="844"/>
      <c r="AC5" s="844"/>
      <c r="AD5" s="844"/>
      <c r="AE5" s="844"/>
      <c r="AF5" s="844"/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 t="s">
        <v>474</v>
      </c>
      <c r="AR5" s="844"/>
      <c r="AS5" s="844"/>
      <c r="AT5" s="844"/>
      <c r="AU5" s="844"/>
      <c r="AV5" s="844"/>
      <c r="AW5" s="844"/>
      <c r="AX5" s="844"/>
      <c r="AY5" s="844"/>
      <c r="AZ5" s="844"/>
      <c r="BA5" s="844"/>
      <c r="BB5" s="844"/>
      <c r="BC5" s="844"/>
      <c r="BD5" s="205"/>
      <c r="BE5" s="205"/>
      <c r="BF5" s="205"/>
      <c r="BG5" s="205"/>
      <c r="BH5" s="205"/>
      <c r="BI5" s="205"/>
      <c r="BJ5" s="205"/>
      <c r="BK5" s="205"/>
    </row>
    <row r="6" spans="1:63" s="202" customFormat="1" ht="26.25" x14ac:dyDescent="0.4">
      <c r="A6" s="844" t="s">
        <v>419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 t="s">
        <v>419</v>
      </c>
      <c r="W6" s="844"/>
      <c r="X6" s="844"/>
      <c r="Y6" s="844"/>
      <c r="Z6" s="844"/>
      <c r="AA6" s="844"/>
      <c r="AB6" s="844"/>
      <c r="AC6" s="844"/>
      <c r="AD6" s="844"/>
      <c r="AE6" s="844"/>
      <c r="AF6" s="844"/>
      <c r="AG6" s="844"/>
      <c r="AH6" s="844"/>
      <c r="AI6" s="844"/>
      <c r="AJ6" s="844"/>
      <c r="AK6" s="844"/>
      <c r="AL6" s="844"/>
      <c r="AM6" s="844"/>
      <c r="AN6" s="844"/>
      <c r="AO6" s="844"/>
      <c r="AP6" s="844"/>
      <c r="AQ6" s="844" t="s">
        <v>419</v>
      </c>
      <c r="AR6" s="844"/>
      <c r="AS6" s="844"/>
      <c r="AT6" s="844"/>
      <c r="AU6" s="844"/>
      <c r="AV6" s="844"/>
      <c r="AW6" s="844"/>
      <c r="AX6" s="844"/>
      <c r="AY6" s="844"/>
      <c r="AZ6" s="844"/>
      <c r="BA6" s="844"/>
      <c r="BB6" s="844"/>
      <c r="BC6" s="844"/>
      <c r="BD6" s="205"/>
      <c r="BE6" s="205"/>
      <c r="BF6" s="205"/>
      <c r="BG6" s="205"/>
      <c r="BH6" s="205"/>
      <c r="BI6" s="205"/>
      <c r="BJ6" s="205"/>
      <c r="BK6" s="205"/>
    </row>
    <row r="7" spans="1:63" x14ac:dyDescent="0.3">
      <c r="A7" s="206"/>
      <c r="B7" s="206"/>
      <c r="C7" s="206"/>
      <c r="D7" s="206"/>
      <c r="E7" s="207"/>
      <c r="H7" s="206"/>
      <c r="I7" s="207"/>
      <c r="L7" s="206"/>
      <c r="M7" s="207"/>
      <c r="P7" s="206"/>
      <c r="Q7" s="207"/>
      <c r="T7" s="206"/>
      <c r="U7" s="207"/>
      <c r="V7" s="206"/>
      <c r="Y7" s="206"/>
      <c r="Z7" s="207"/>
      <c r="AC7" s="206"/>
      <c r="AD7" s="207"/>
      <c r="AG7" s="206"/>
      <c r="AH7" s="207"/>
      <c r="AK7" s="206"/>
      <c r="AL7" s="207"/>
      <c r="AO7" s="206"/>
      <c r="AP7" s="207"/>
      <c r="AQ7" s="206"/>
      <c r="AT7" s="206"/>
      <c r="AU7" s="207"/>
      <c r="AX7" s="206"/>
      <c r="AY7" s="207"/>
      <c r="BB7" s="206"/>
      <c r="BC7" s="207"/>
    </row>
    <row r="8" spans="1:63" ht="21" thickBot="1" x14ac:dyDescent="0.35">
      <c r="A8" s="208"/>
      <c r="V8" s="208"/>
      <c r="AQ8" s="208"/>
      <c r="AV8" s="845"/>
      <c r="AW8" s="845"/>
      <c r="AX8" s="845"/>
      <c r="AY8" s="845"/>
      <c r="AZ8" s="845"/>
      <c r="BA8" s="209"/>
      <c r="BB8" s="209"/>
      <c r="BC8" s="209" t="s">
        <v>420</v>
      </c>
    </row>
    <row r="9" spans="1:63" s="211" customFormat="1" ht="21" thickBot="1" x14ac:dyDescent="0.35">
      <c r="A9" s="846" t="s">
        <v>0</v>
      </c>
      <c r="B9" s="849" t="s">
        <v>421</v>
      </c>
      <c r="C9" s="850"/>
      <c r="D9" s="850"/>
      <c r="E9" s="851"/>
      <c r="F9" s="849" t="s">
        <v>422</v>
      </c>
      <c r="G9" s="850"/>
      <c r="H9" s="850"/>
      <c r="I9" s="851"/>
      <c r="J9" s="849" t="s">
        <v>423</v>
      </c>
      <c r="K9" s="850"/>
      <c r="L9" s="850"/>
      <c r="M9" s="851"/>
      <c r="N9" s="849" t="s">
        <v>424</v>
      </c>
      <c r="O9" s="850"/>
      <c r="P9" s="850"/>
      <c r="Q9" s="851"/>
      <c r="R9" s="849" t="s">
        <v>425</v>
      </c>
      <c r="S9" s="850"/>
      <c r="T9" s="850"/>
      <c r="U9" s="851"/>
      <c r="V9" s="846" t="s">
        <v>0</v>
      </c>
      <c r="W9" s="849" t="s">
        <v>426</v>
      </c>
      <c r="X9" s="850"/>
      <c r="Y9" s="850"/>
      <c r="Z9" s="851"/>
      <c r="AA9" s="852" t="s">
        <v>427</v>
      </c>
      <c r="AB9" s="853"/>
      <c r="AC9" s="853"/>
      <c r="AD9" s="854"/>
      <c r="AE9" s="855" t="s">
        <v>428</v>
      </c>
      <c r="AF9" s="856"/>
      <c r="AG9" s="856"/>
      <c r="AH9" s="856"/>
      <c r="AI9" s="856"/>
      <c r="AJ9" s="856"/>
      <c r="AK9" s="856"/>
      <c r="AL9" s="856"/>
      <c r="AM9" s="856"/>
      <c r="AN9" s="856"/>
      <c r="AO9" s="210"/>
      <c r="AP9" s="210"/>
      <c r="AQ9" s="846" t="s">
        <v>0</v>
      </c>
      <c r="AR9" s="857" t="s">
        <v>429</v>
      </c>
      <c r="AS9" s="857"/>
      <c r="AT9" s="857"/>
      <c r="AU9" s="857"/>
      <c r="AV9" s="857"/>
      <c r="AW9" s="857"/>
      <c r="AX9" s="857"/>
      <c r="AY9" s="857"/>
      <c r="AZ9" s="857"/>
      <c r="BA9" s="857"/>
      <c r="BB9" s="857"/>
      <c r="BC9" s="857"/>
    </row>
    <row r="10" spans="1:63" s="211" customFormat="1" ht="21" thickBot="1" x14ac:dyDescent="0.35">
      <c r="A10" s="847"/>
      <c r="B10" s="858" t="s">
        <v>430</v>
      </c>
      <c r="C10" s="859"/>
      <c r="D10" s="859"/>
      <c r="E10" s="860"/>
      <c r="F10" s="858" t="s">
        <v>431</v>
      </c>
      <c r="G10" s="859"/>
      <c r="H10" s="859"/>
      <c r="I10" s="860"/>
      <c r="J10" s="858" t="s">
        <v>432</v>
      </c>
      <c r="K10" s="859"/>
      <c r="L10" s="859"/>
      <c r="M10" s="860"/>
      <c r="N10" s="858" t="s">
        <v>433</v>
      </c>
      <c r="O10" s="859"/>
      <c r="P10" s="859"/>
      <c r="Q10" s="860"/>
      <c r="R10" s="858" t="s">
        <v>434</v>
      </c>
      <c r="S10" s="859"/>
      <c r="T10" s="859"/>
      <c r="U10" s="860"/>
      <c r="V10" s="847"/>
      <c r="W10" s="858" t="s">
        <v>435</v>
      </c>
      <c r="X10" s="859"/>
      <c r="Y10" s="859"/>
      <c r="Z10" s="860"/>
      <c r="AA10" s="858" t="s">
        <v>436</v>
      </c>
      <c r="AB10" s="859"/>
      <c r="AC10" s="859"/>
      <c r="AD10" s="860"/>
      <c r="AE10" s="864" t="s">
        <v>437</v>
      </c>
      <c r="AF10" s="865"/>
      <c r="AG10" s="865"/>
      <c r="AH10" s="865"/>
      <c r="AI10" s="865"/>
      <c r="AJ10" s="865"/>
      <c r="AK10" s="865"/>
      <c r="AL10" s="865"/>
      <c r="AM10" s="865"/>
      <c r="AN10" s="865"/>
      <c r="AO10" s="865"/>
      <c r="AP10" s="866"/>
      <c r="AQ10" s="847"/>
      <c r="AR10" s="867" t="s">
        <v>438</v>
      </c>
      <c r="AS10" s="867"/>
      <c r="AT10" s="867"/>
      <c r="AU10" s="867"/>
      <c r="AV10" s="867"/>
      <c r="AW10" s="867"/>
      <c r="AX10" s="867"/>
      <c r="AY10" s="867"/>
      <c r="AZ10" s="867"/>
      <c r="BA10" s="867"/>
      <c r="BB10" s="867"/>
      <c r="BC10" s="867"/>
    </row>
    <row r="11" spans="1:63" s="211" customFormat="1" ht="21" thickBot="1" x14ac:dyDescent="0.35">
      <c r="A11" s="847"/>
      <c r="B11" s="861"/>
      <c r="C11" s="862"/>
      <c r="D11" s="862"/>
      <c r="E11" s="863"/>
      <c r="F11" s="861"/>
      <c r="G11" s="862"/>
      <c r="H11" s="862"/>
      <c r="I11" s="863"/>
      <c r="J11" s="861"/>
      <c r="K11" s="862"/>
      <c r="L11" s="862"/>
      <c r="M11" s="863"/>
      <c r="N11" s="861"/>
      <c r="O11" s="862"/>
      <c r="P11" s="862"/>
      <c r="Q11" s="863"/>
      <c r="R11" s="861"/>
      <c r="S11" s="862"/>
      <c r="T11" s="862"/>
      <c r="U11" s="863"/>
      <c r="V11" s="847"/>
      <c r="W11" s="861"/>
      <c r="X11" s="862"/>
      <c r="Y11" s="862"/>
      <c r="Z11" s="863"/>
      <c r="AA11" s="861"/>
      <c r="AB11" s="862"/>
      <c r="AC11" s="862"/>
      <c r="AD11" s="863"/>
      <c r="AE11" s="864" t="s">
        <v>439</v>
      </c>
      <c r="AF11" s="865"/>
      <c r="AG11" s="865"/>
      <c r="AH11" s="866"/>
      <c r="AI11" s="864" t="s">
        <v>440</v>
      </c>
      <c r="AJ11" s="865"/>
      <c r="AK11" s="865"/>
      <c r="AL11" s="866"/>
      <c r="AM11" s="864" t="s">
        <v>581</v>
      </c>
      <c r="AN11" s="865"/>
      <c r="AO11" s="865"/>
      <c r="AP11" s="866"/>
      <c r="AQ11" s="847"/>
      <c r="AR11" s="867" t="s">
        <v>441</v>
      </c>
      <c r="AS11" s="867"/>
      <c r="AT11" s="867"/>
      <c r="AU11" s="867"/>
      <c r="AV11" s="867" t="s">
        <v>442</v>
      </c>
      <c r="AW11" s="867"/>
      <c r="AX11" s="867"/>
      <c r="AY11" s="867"/>
      <c r="AZ11" s="867" t="s">
        <v>438</v>
      </c>
      <c r="BA11" s="867"/>
      <c r="BB11" s="867"/>
      <c r="BC11" s="867"/>
    </row>
    <row r="12" spans="1:63" s="211" customFormat="1" ht="41.25" thickBot="1" x14ac:dyDescent="0.35">
      <c r="A12" s="848"/>
      <c r="B12" s="212" t="s">
        <v>443</v>
      </c>
      <c r="C12" s="212" t="s">
        <v>444</v>
      </c>
      <c r="D12" s="212" t="s">
        <v>312</v>
      </c>
      <c r="E12" s="213" t="s">
        <v>313</v>
      </c>
      <c r="F12" s="212" t="s">
        <v>443</v>
      </c>
      <c r="G12" s="212" t="s">
        <v>444</v>
      </c>
      <c r="H12" s="212" t="s">
        <v>312</v>
      </c>
      <c r="I12" s="213" t="s">
        <v>313</v>
      </c>
      <c r="J12" s="212" t="s">
        <v>443</v>
      </c>
      <c r="K12" s="212" t="s">
        <v>444</v>
      </c>
      <c r="L12" s="212" t="s">
        <v>312</v>
      </c>
      <c r="M12" s="213" t="s">
        <v>313</v>
      </c>
      <c r="N12" s="212" t="s">
        <v>443</v>
      </c>
      <c r="O12" s="212" t="s">
        <v>444</v>
      </c>
      <c r="P12" s="212" t="s">
        <v>312</v>
      </c>
      <c r="Q12" s="213" t="s">
        <v>313</v>
      </c>
      <c r="R12" s="212" t="s">
        <v>443</v>
      </c>
      <c r="S12" s="212" t="s">
        <v>444</v>
      </c>
      <c r="T12" s="212" t="s">
        <v>312</v>
      </c>
      <c r="U12" s="213" t="s">
        <v>313</v>
      </c>
      <c r="V12" s="848"/>
      <c r="W12" s="212" t="s">
        <v>443</v>
      </c>
      <c r="X12" s="212" t="s">
        <v>444</v>
      </c>
      <c r="Y12" s="212" t="s">
        <v>312</v>
      </c>
      <c r="Z12" s="213" t="s">
        <v>313</v>
      </c>
      <c r="AA12" s="212" t="s">
        <v>443</v>
      </c>
      <c r="AB12" s="212" t="s">
        <v>444</v>
      </c>
      <c r="AC12" s="212" t="s">
        <v>312</v>
      </c>
      <c r="AD12" s="213" t="s">
        <v>313</v>
      </c>
      <c r="AE12" s="212" t="s">
        <v>443</v>
      </c>
      <c r="AF12" s="212" t="s">
        <v>444</v>
      </c>
      <c r="AG12" s="212" t="s">
        <v>312</v>
      </c>
      <c r="AH12" s="213" t="s">
        <v>313</v>
      </c>
      <c r="AI12" s="212" t="s">
        <v>443</v>
      </c>
      <c r="AJ12" s="212" t="s">
        <v>444</v>
      </c>
      <c r="AK12" s="212" t="s">
        <v>312</v>
      </c>
      <c r="AL12" s="213" t="s">
        <v>313</v>
      </c>
      <c r="AM12" s="212" t="s">
        <v>443</v>
      </c>
      <c r="AN12" s="212" t="s">
        <v>444</v>
      </c>
      <c r="AO12" s="212" t="s">
        <v>312</v>
      </c>
      <c r="AP12" s="213" t="s">
        <v>313</v>
      </c>
      <c r="AQ12" s="848"/>
      <c r="AR12" s="212" t="s">
        <v>443</v>
      </c>
      <c r="AS12" s="212" t="s">
        <v>444</v>
      </c>
      <c r="AT12" s="212" t="s">
        <v>312</v>
      </c>
      <c r="AU12" s="213" t="s">
        <v>313</v>
      </c>
      <c r="AV12" s="212" t="s">
        <v>443</v>
      </c>
      <c r="AW12" s="212" t="s">
        <v>444</v>
      </c>
      <c r="AX12" s="212" t="s">
        <v>312</v>
      </c>
      <c r="AY12" s="213" t="s">
        <v>313</v>
      </c>
      <c r="AZ12" s="212" t="s">
        <v>443</v>
      </c>
      <c r="BA12" s="212" t="s">
        <v>444</v>
      </c>
      <c r="BB12" s="212" t="s">
        <v>312</v>
      </c>
      <c r="BC12" s="213" t="s">
        <v>313</v>
      </c>
    </row>
    <row r="13" spans="1:63" x14ac:dyDescent="0.3">
      <c r="A13" s="214" t="s">
        <v>445</v>
      </c>
      <c r="B13" s="215"/>
      <c r="C13" s="215"/>
      <c r="D13" s="215"/>
      <c r="E13" s="216"/>
      <c r="F13" s="215"/>
      <c r="G13" s="215"/>
      <c r="H13" s="215"/>
      <c r="I13" s="216"/>
      <c r="J13" s="215"/>
      <c r="K13" s="215"/>
      <c r="L13" s="215"/>
      <c r="M13" s="216"/>
      <c r="N13" s="215"/>
      <c r="O13" s="215"/>
      <c r="P13" s="215"/>
      <c r="Q13" s="216"/>
      <c r="R13" s="215"/>
      <c r="S13" s="215"/>
      <c r="T13" s="215"/>
      <c r="U13" s="216"/>
      <c r="V13" s="214" t="s">
        <v>445</v>
      </c>
      <c r="W13" s="215"/>
      <c r="X13" s="215"/>
      <c r="Y13" s="215"/>
      <c r="Z13" s="216"/>
      <c r="AA13" s="215"/>
      <c r="AB13" s="215"/>
      <c r="AC13" s="215"/>
      <c r="AD13" s="216"/>
      <c r="AE13" s="215"/>
      <c r="AF13" s="215"/>
      <c r="AG13" s="215"/>
      <c r="AH13" s="216"/>
      <c r="AI13" s="215"/>
      <c r="AJ13" s="215"/>
      <c r="AK13" s="215"/>
      <c r="AL13" s="216"/>
      <c r="AM13" s="215"/>
      <c r="AN13" s="215"/>
      <c r="AO13" s="215"/>
      <c r="AP13" s="216"/>
      <c r="AQ13" s="214" t="s">
        <v>445</v>
      </c>
      <c r="AR13" s="215"/>
      <c r="AS13" s="215"/>
      <c r="AT13" s="215"/>
      <c r="AU13" s="216"/>
      <c r="AV13" s="215"/>
      <c r="AW13" s="215"/>
      <c r="AX13" s="215"/>
      <c r="AY13" s="216"/>
      <c r="AZ13" s="215"/>
      <c r="BA13" s="215"/>
      <c r="BB13" s="215"/>
      <c r="BC13" s="216"/>
    </row>
    <row r="14" spans="1:63" ht="40.5" x14ac:dyDescent="0.3">
      <c r="A14" s="217" t="s">
        <v>446</v>
      </c>
      <c r="B14" s="218">
        <v>1438329</v>
      </c>
      <c r="C14" s="218">
        <v>1623083</v>
      </c>
      <c r="D14" s="218">
        <v>1623084</v>
      </c>
      <c r="E14" s="219">
        <f>SUM(D14/C14)</f>
        <v>1.0000006161114372</v>
      </c>
      <c r="F14" s="220"/>
      <c r="G14" s="220"/>
      <c r="H14" s="218"/>
      <c r="I14" s="219"/>
      <c r="J14" s="220"/>
      <c r="K14" s="220"/>
      <c r="L14" s="218"/>
      <c r="M14" s="219"/>
      <c r="N14" s="220"/>
      <c r="O14" s="220"/>
      <c r="P14" s="218"/>
      <c r="Q14" s="219"/>
      <c r="R14" s="220"/>
      <c r="S14" s="220"/>
      <c r="T14" s="218"/>
      <c r="U14" s="219"/>
      <c r="V14" s="217" t="s">
        <v>446</v>
      </c>
      <c r="W14" s="220"/>
      <c r="X14" s="220"/>
      <c r="Y14" s="218"/>
      <c r="Z14" s="219"/>
      <c r="AA14" s="220"/>
      <c r="AB14" s="220"/>
      <c r="AC14" s="218"/>
      <c r="AD14" s="219"/>
      <c r="AE14" s="220"/>
      <c r="AF14" s="220"/>
      <c r="AG14" s="218"/>
      <c r="AH14" s="219"/>
      <c r="AI14" s="220"/>
      <c r="AJ14" s="220"/>
      <c r="AK14" s="218"/>
      <c r="AL14" s="219"/>
      <c r="AM14" s="220"/>
      <c r="AN14" s="220"/>
      <c r="AO14" s="218"/>
      <c r="AP14" s="219"/>
      <c r="AQ14" s="217" t="s">
        <v>446</v>
      </c>
      <c r="AR14" s="218">
        <f t="shared" ref="AR14:AR29" si="0">SUM(B14+J14+N14+W14+AE14+AM14)</f>
        <v>1438329</v>
      </c>
      <c r="AS14" s="218">
        <f t="shared" ref="AS14:AT29" si="1">SUM(C14+K14+O14+X14+AF14+AN14)</f>
        <v>1623083</v>
      </c>
      <c r="AT14" s="218">
        <f t="shared" si="1"/>
        <v>1623084</v>
      </c>
      <c r="AU14" s="219">
        <f>AT14/AS14</f>
        <v>1.0000006161114372</v>
      </c>
      <c r="AV14" s="218">
        <f t="shared" ref="AV14:AX29" si="2">SUM(F14+R14+AA14+AI14)</f>
        <v>0</v>
      </c>
      <c r="AW14" s="218">
        <f t="shared" si="2"/>
        <v>0</v>
      </c>
      <c r="AX14" s="218">
        <f t="shared" si="2"/>
        <v>0</v>
      </c>
      <c r="AY14" s="219"/>
      <c r="AZ14" s="220">
        <f t="shared" ref="AZ14:BB29" si="3">SUM(B14+F14+J14+N14+R14+W14+AA14+AE14+AI14+AM14)</f>
        <v>1438329</v>
      </c>
      <c r="BA14" s="220">
        <f t="shared" si="3"/>
        <v>1623083</v>
      </c>
      <c r="BB14" s="220">
        <f t="shared" si="3"/>
        <v>1623084</v>
      </c>
      <c r="BC14" s="221">
        <f>BB14/BA14</f>
        <v>1.0000006161114372</v>
      </c>
      <c r="BD14" s="222"/>
    </row>
    <row r="15" spans="1:63" x14ac:dyDescent="0.3">
      <c r="A15" s="217" t="s">
        <v>447</v>
      </c>
      <c r="B15" s="218">
        <v>5000</v>
      </c>
      <c r="C15" s="218">
        <v>8100</v>
      </c>
      <c r="D15" s="218">
        <v>6741</v>
      </c>
      <c r="E15" s="219">
        <f t="shared" ref="E15:E16" si="4">SUM(D15/C15)</f>
        <v>0.8322222222222222</v>
      </c>
      <c r="F15" s="220"/>
      <c r="G15" s="220"/>
      <c r="H15" s="218"/>
      <c r="I15" s="219"/>
      <c r="J15" s="220"/>
      <c r="K15" s="220"/>
      <c r="L15" s="218"/>
      <c r="M15" s="219"/>
      <c r="N15" s="220"/>
      <c r="O15" s="220"/>
      <c r="P15" s="218"/>
      <c r="Q15" s="219"/>
      <c r="R15" s="220"/>
      <c r="S15" s="220"/>
      <c r="T15" s="218"/>
      <c r="U15" s="219"/>
      <c r="V15" s="217" t="s">
        <v>447</v>
      </c>
      <c r="W15" s="220"/>
      <c r="X15" s="220"/>
      <c r="Y15" s="218"/>
      <c r="Z15" s="219"/>
      <c r="AA15" s="220"/>
      <c r="AB15" s="220"/>
      <c r="AC15" s="218"/>
      <c r="AD15" s="219"/>
      <c r="AE15" s="220"/>
      <c r="AF15" s="220"/>
      <c r="AG15" s="218"/>
      <c r="AH15" s="219"/>
      <c r="AI15" s="220"/>
      <c r="AJ15" s="220"/>
      <c r="AK15" s="218"/>
      <c r="AL15" s="219"/>
      <c r="AM15" s="220"/>
      <c r="AN15" s="220"/>
      <c r="AO15" s="218"/>
      <c r="AP15" s="219"/>
      <c r="AQ15" s="217" t="s">
        <v>447</v>
      </c>
      <c r="AR15" s="218">
        <f t="shared" si="0"/>
        <v>5000</v>
      </c>
      <c r="AS15" s="218">
        <f t="shared" si="1"/>
        <v>8100</v>
      </c>
      <c r="AT15" s="218">
        <f t="shared" si="1"/>
        <v>6741</v>
      </c>
      <c r="AU15" s="219">
        <f t="shared" ref="AU15:AU51" si="5">AT15/AS15</f>
        <v>0.8322222222222222</v>
      </c>
      <c r="AV15" s="218">
        <f t="shared" si="2"/>
        <v>0</v>
      </c>
      <c r="AW15" s="218">
        <f t="shared" si="2"/>
        <v>0</v>
      </c>
      <c r="AX15" s="218">
        <f t="shared" si="2"/>
        <v>0</v>
      </c>
      <c r="AY15" s="219"/>
      <c r="AZ15" s="220">
        <f t="shared" si="3"/>
        <v>5000</v>
      </c>
      <c r="BA15" s="220">
        <f t="shared" si="3"/>
        <v>8100</v>
      </c>
      <c r="BB15" s="220">
        <f t="shared" si="3"/>
        <v>6741</v>
      </c>
      <c r="BC15" s="221">
        <f t="shared" ref="BC15:BC51" si="6">BB15/BA15</f>
        <v>0.8322222222222222</v>
      </c>
      <c r="BD15" s="222"/>
    </row>
    <row r="16" spans="1:63" x14ac:dyDescent="0.3">
      <c r="A16" s="217" t="s">
        <v>448</v>
      </c>
      <c r="B16" s="223">
        <v>100</v>
      </c>
      <c r="C16" s="223">
        <v>100</v>
      </c>
      <c r="D16" s="223">
        <v>1454</v>
      </c>
      <c r="E16" s="219">
        <f t="shared" si="4"/>
        <v>14.54</v>
      </c>
      <c r="F16" s="220"/>
      <c r="G16" s="220"/>
      <c r="H16" s="223"/>
      <c r="I16" s="219"/>
      <c r="J16" s="220"/>
      <c r="K16" s="220"/>
      <c r="L16" s="223"/>
      <c r="M16" s="219"/>
      <c r="N16" s="218"/>
      <c r="O16" s="218"/>
      <c r="P16" s="223"/>
      <c r="Q16" s="219"/>
      <c r="R16" s="220"/>
      <c r="S16" s="220"/>
      <c r="T16" s="223"/>
      <c r="U16" s="219"/>
      <c r="V16" s="217" t="s">
        <v>448</v>
      </c>
      <c r="W16" s="220"/>
      <c r="X16" s="220"/>
      <c r="Y16" s="223"/>
      <c r="Z16" s="219"/>
      <c r="AA16" s="220"/>
      <c r="AB16" s="220"/>
      <c r="AC16" s="223"/>
      <c r="AD16" s="219"/>
      <c r="AE16" s="220"/>
      <c r="AF16" s="220"/>
      <c r="AG16" s="223"/>
      <c r="AH16" s="219"/>
      <c r="AI16" s="220"/>
      <c r="AJ16" s="220"/>
      <c r="AK16" s="223"/>
      <c r="AL16" s="219"/>
      <c r="AM16" s="220"/>
      <c r="AN16" s="220"/>
      <c r="AO16" s="223"/>
      <c r="AP16" s="219"/>
      <c r="AQ16" s="217" t="s">
        <v>448</v>
      </c>
      <c r="AR16" s="218">
        <f t="shared" si="0"/>
        <v>100</v>
      </c>
      <c r="AS16" s="218">
        <f t="shared" si="1"/>
        <v>100</v>
      </c>
      <c r="AT16" s="218">
        <f t="shared" si="1"/>
        <v>1454</v>
      </c>
      <c r="AU16" s="219">
        <f t="shared" si="5"/>
        <v>14.54</v>
      </c>
      <c r="AV16" s="218">
        <f t="shared" si="2"/>
        <v>0</v>
      </c>
      <c r="AW16" s="218">
        <f t="shared" si="2"/>
        <v>0</v>
      </c>
      <c r="AX16" s="218">
        <f t="shared" si="2"/>
        <v>0</v>
      </c>
      <c r="AY16" s="219"/>
      <c r="AZ16" s="220">
        <f t="shared" si="3"/>
        <v>100</v>
      </c>
      <c r="BA16" s="220">
        <f t="shared" si="3"/>
        <v>100</v>
      </c>
      <c r="BB16" s="220">
        <f t="shared" si="3"/>
        <v>1454</v>
      </c>
      <c r="BC16" s="221">
        <f t="shared" si="6"/>
        <v>14.54</v>
      </c>
      <c r="BD16" s="222"/>
    </row>
    <row r="17" spans="1:56" x14ac:dyDescent="0.3">
      <c r="A17" s="217" t="s">
        <v>449</v>
      </c>
      <c r="B17" s="223"/>
      <c r="C17" s="223"/>
      <c r="D17" s="223"/>
      <c r="E17" s="224"/>
      <c r="F17" s="220"/>
      <c r="G17" s="218">
        <v>60000</v>
      </c>
      <c r="H17" s="225">
        <v>60000</v>
      </c>
      <c r="I17" s="219">
        <f>SUM(H17/G17)</f>
        <v>1</v>
      </c>
      <c r="J17" s="220"/>
      <c r="K17" s="220"/>
      <c r="L17" s="223"/>
      <c r="M17" s="224"/>
      <c r="N17" s="218"/>
      <c r="O17" s="218"/>
      <c r="P17" s="223"/>
      <c r="Q17" s="224"/>
      <c r="R17" s="220"/>
      <c r="S17" s="220"/>
      <c r="T17" s="223"/>
      <c r="U17" s="224"/>
      <c r="V17" s="217" t="s">
        <v>449</v>
      </c>
      <c r="W17" s="220"/>
      <c r="X17" s="220"/>
      <c r="Y17" s="223"/>
      <c r="Z17" s="224"/>
      <c r="AA17" s="220"/>
      <c r="AB17" s="220"/>
      <c r="AC17" s="223"/>
      <c r="AD17" s="224"/>
      <c r="AE17" s="220"/>
      <c r="AF17" s="220"/>
      <c r="AG17" s="223"/>
      <c r="AH17" s="224"/>
      <c r="AI17" s="220"/>
      <c r="AJ17" s="220"/>
      <c r="AK17" s="223"/>
      <c r="AL17" s="224"/>
      <c r="AM17" s="220"/>
      <c r="AN17" s="220"/>
      <c r="AO17" s="223"/>
      <c r="AP17" s="224"/>
      <c r="AQ17" s="217" t="s">
        <v>449</v>
      </c>
      <c r="AR17" s="218">
        <f t="shared" si="0"/>
        <v>0</v>
      </c>
      <c r="AS17" s="218">
        <f t="shared" si="1"/>
        <v>0</v>
      </c>
      <c r="AT17" s="218">
        <f t="shared" si="1"/>
        <v>0</v>
      </c>
      <c r="AU17" s="219">
        <v>0</v>
      </c>
      <c r="AV17" s="218">
        <f t="shared" si="2"/>
        <v>0</v>
      </c>
      <c r="AW17" s="218">
        <f t="shared" si="2"/>
        <v>60000</v>
      </c>
      <c r="AX17" s="218">
        <f t="shared" si="2"/>
        <v>60000</v>
      </c>
      <c r="AY17" s="219">
        <f t="shared" ref="AY17:AY19" si="7">AX17/AW17</f>
        <v>1</v>
      </c>
      <c r="AZ17" s="220">
        <f t="shared" si="3"/>
        <v>0</v>
      </c>
      <c r="BA17" s="220">
        <f t="shared" si="3"/>
        <v>60000</v>
      </c>
      <c r="BB17" s="220">
        <f t="shared" si="3"/>
        <v>60000</v>
      </c>
      <c r="BC17" s="221">
        <f t="shared" si="6"/>
        <v>1</v>
      </c>
      <c r="BD17" s="222"/>
    </row>
    <row r="18" spans="1:56" ht="40.5" x14ac:dyDescent="0.3">
      <c r="A18" s="217" t="s">
        <v>450</v>
      </c>
      <c r="B18" s="223"/>
      <c r="C18" s="223"/>
      <c r="D18" s="223"/>
      <c r="E18" s="224"/>
      <c r="F18" s="220"/>
      <c r="G18" s="218">
        <v>1100</v>
      </c>
      <c r="H18" s="225">
        <v>1100</v>
      </c>
      <c r="I18" s="219">
        <f t="shared" ref="I18:I20" si="8">SUM(H18/G18)</f>
        <v>1</v>
      </c>
      <c r="J18" s="220"/>
      <c r="K18" s="220"/>
      <c r="L18" s="223"/>
      <c r="M18" s="224"/>
      <c r="N18" s="218"/>
      <c r="O18" s="218"/>
      <c r="P18" s="223"/>
      <c r="Q18" s="224"/>
      <c r="R18" s="220"/>
      <c r="S18" s="220"/>
      <c r="T18" s="223"/>
      <c r="U18" s="224"/>
      <c r="V18" s="217" t="s">
        <v>450</v>
      </c>
      <c r="W18" s="220"/>
      <c r="X18" s="220"/>
      <c r="Y18" s="223"/>
      <c r="Z18" s="224"/>
      <c r="AA18" s="220"/>
      <c r="AB18" s="220"/>
      <c r="AC18" s="223"/>
      <c r="AD18" s="224"/>
      <c r="AE18" s="220"/>
      <c r="AF18" s="220"/>
      <c r="AG18" s="223"/>
      <c r="AH18" s="224"/>
      <c r="AI18" s="220"/>
      <c r="AJ18" s="220"/>
      <c r="AK18" s="223"/>
      <c r="AL18" s="224"/>
      <c r="AM18" s="220"/>
      <c r="AN18" s="220"/>
      <c r="AO18" s="223"/>
      <c r="AP18" s="224"/>
      <c r="AQ18" s="217" t="s">
        <v>450</v>
      </c>
      <c r="AR18" s="218">
        <f t="shared" ref="AR18:AR19" si="9">SUM(B18+J18+N18+W18+AE18+AM18)</f>
        <v>0</v>
      </c>
      <c r="AS18" s="218">
        <f t="shared" si="1"/>
        <v>0</v>
      </c>
      <c r="AT18" s="218">
        <f t="shared" si="1"/>
        <v>0</v>
      </c>
      <c r="AU18" s="219">
        <v>1</v>
      </c>
      <c r="AV18" s="218">
        <f t="shared" si="2"/>
        <v>0</v>
      </c>
      <c r="AW18" s="218">
        <f t="shared" si="2"/>
        <v>1100</v>
      </c>
      <c r="AX18" s="218">
        <f t="shared" si="2"/>
        <v>1100</v>
      </c>
      <c r="AY18" s="219">
        <f t="shared" si="7"/>
        <v>1</v>
      </c>
      <c r="AZ18" s="220">
        <f t="shared" si="3"/>
        <v>0</v>
      </c>
      <c r="BA18" s="220">
        <f t="shared" si="3"/>
        <v>1100</v>
      </c>
      <c r="BB18" s="220">
        <f t="shared" si="3"/>
        <v>1100</v>
      </c>
      <c r="BC18" s="221">
        <f t="shared" si="6"/>
        <v>1</v>
      </c>
      <c r="BD18" s="222"/>
    </row>
    <row r="19" spans="1:56" x14ac:dyDescent="0.3">
      <c r="A19" s="217" t="s">
        <v>451</v>
      </c>
      <c r="B19" s="223"/>
      <c r="C19" s="223"/>
      <c r="D19" s="223"/>
      <c r="E19" s="224"/>
      <c r="F19" s="220"/>
      <c r="G19" s="218">
        <v>2500</v>
      </c>
      <c r="H19" s="225">
        <v>2500</v>
      </c>
      <c r="I19" s="219">
        <f t="shared" si="8"/>
        <v>1</v>
      </c>
      <c r="J19" s="220"/>
      <c r="K19" s="220"/>
      <c r="L19" s="223"/>
      <c r="M19" s="224"/>
      <c r="N19" s="218"/>
      <c r="O19" s="218"/>
      <c r="P19" s="223"/>
      <c r="Q19" s="224"/>
      <c r="R19" s="220"/>
      <c r="S19" s="220"/>
      <c r="T19" s="223"/>
      <c r="U19" s="224"/>
      <c r="V19" s="217" t="s">
        <v>451</v>
      </c>
      <c r="W19" s="220"/>
      <c r="X19" s="220"/>
      <c r="Y19" s="223"/>
      <c r="Z19" s="224"/>
      <c r="AA19" s="220"/>
      <c r="AB19" s="220"/>
      <c r="AC19" s="223"/>
      <c r="AD19" s="224"/>
      <c r="AE19" s="220"/>
      <c r="AF19" s="220"/>
      <c r="AG19" s="223"/>
      <c r="AH19" s="224"/>
      <c r="AI19" s="220"/>
      <c r="AJ19" s="220"/>
      <c r="AK19" s="223"/>
      <c r="AL19" s="224"/>
      <c r="AM19" s="220"/>
      <c r="AN19" s="220"/>
      <c r="AO19" s="223"/>
      <c r="AP19" s="224"/>
      <c r="AQ19" s="217" t="s">
        <v>451</v>
      </c>
      <c r="AR19" s="218">
        <f t="shared" si="9"/>
        <v>0</v>
      </c>
      <c r="AS19" s="218">
        <f t="shared" si="1"/>
        <v>0</v>
      </c>
      <c r="AT19" s="218">
        <f t="shared" si="1"/>
        <v>0</v>
      </c>
      <c r="AU19" s="219">
        <v>2</v>
      </c>
      <c r="AV19" s="218">
        <f t="shared" si="2"/>
        <v>0</v>
      </c>
      <c r="AW19" s="218">
        <f t="shared" si="2"/>
        <v>2500</v>
      </c>
      <c r="AX19" s="218">
        <f t="shared" si="2"/>
        <v>2500</v>
      </c>
      <c r="AY19" s="219">
        <f t="shared" si="7"/>
        <v>1</v>
      </c>
      <c r="AZ19" s="220">
        <f t="shared" si="3"/>
        <v>0</v>
      </c>
      <c r="BA19" s="220">
        <f t="shared" si="3"/>
        <v>2500</v>
      </c>
      <c r="BB19" s="220">
        <f t="shared" si="3"/>
        <v>2500</v>
      </c>
      <c r="BC19" s="221">
        <f t="shared" si="6"/>
        <v>1</v>
      </c>
      <c r="BD19" s="222"/>
    </row>
    <row r="20" spans="1:56" ht="40.5" x14ac:dyDescent="0.3">
      <c r="A20" s="217" t="s">
        <v>475</v>
      </c>
      <c r="B20" s="223"/>
      <c r="C20" s="223"/>
      <c r="D20" s="223"/>
      <c r="E20" s="224"/>
      <c r="F20" s="220"/>
      <c r="G20" s="218">
        <v>458</v>
      </c>
      <c r="H20" s="225">
        <v>458</v>
      </c>
      <c r="I20" s="219">
        <f t="shared" si="8"/>
        <v>1</v>
      </c>
      <c r="J20" s="220"/>
      <c r="K20" s="220"/>
      <c r="L20" s="223"/>
      <c r="M20" s="224"/>
      <c r="N20" s="218"/>
      <c r="O20" s="218"/>
      <c r="P20" s="223"/>
      <c r="Q20" s="224"/>
      <c r="R20" s="220"/>
      <c r="S20" s="220"/>
      <c r="T20" s="223"/>
      <c r="U20" s="224"/>
      <c r="V20" s="217" t="s">
        <v>475</v>
      </c>
      <c r="W20" s="220"/>
      <c r="X20" s="220"/>
      <c r="Y20" s="223"/>
      <c r="Z20" s="224"/>
      <c r="AA20" s="220"/>
      <c r="AB20" s="220"/>
      <c r="AC20" s="223"/>
      <c r="AD20" s="224"/>
      <c r="AE20" s="220"/>
      <c r="AF20" s="220"/>
      <c r="AG20" s="223"/>
      <c r="AH20" s="224"/>
      <c r="AI20" s="220"/>
      <c r="AJ20" s="220"/>
      <c r="AK20" s="223"/>
      <c r="AL20" s="224"/>
      <c r="AM20" s="220"/>
      <c r="AN20" s="220"/>
      <c r="AO20" s="223"/>
      <c r="AP20" s="224"/>
      <c r="AQ20" s="217" t="s">
        <v>475</v>
      </c>
      <c r="AR20" s="218"/>
      <c r="AS20" s="218"/>
      <c r="AT20" s="218"/>
      <c r="AU20" s="219"/>
      <c r="AV20" s="218"/>
      <c r="AW20" s="218">
        <f t="shared" si="2"/>
        <v>458</v>
      </c>
      <c r="AX20" s="218">
        <f t="shared" si="2"/>
        <v>458</v>
      </c>
      <c r="AY20" s="219"/>
      <c r="AZ20" s="220"/>
      <c r="BA20" s="220">
        <f t="shared" si="3"/>
        <v>458</v>
      </c>
      <c r="BB20" s="220">
        <f t="shared" si="3"/>
        <v>458</v>
      </c>
      <c r="BC20" s="221">
        <f t="shared" si="6"/>
        <v>1</v>
      </c>
      <c r="BD20" s="222"/>
    </row>
    <row r="21" spans="1:56" x14ac:dyDescent="0.3">
      <c r="A21" s="217" t="s">
        <v>452</v>
      </c>
      <c r="B21" s="223"/>
      <c r="C21" s="223"/>
      <c r="D21" s="223"/>
      <c r="E21" s="224"/>
      <c r="F21" s="225"/>
      <c r="G21" s="225"/>
      <c r="H21" s="223"/>
      <c r="I21" s="224"/>
      <c r="J21" s="223">
        <v>8000</v>
      </c>
      <c r="K21" s="223">
        <v>9442</v>
      </c>
      <c r="L21" s="223">
        <v>9423</v>
      </c>
      <c r="M21" s="219">
        <f t="shared" ref="M21:M27" si="10">SUM(L21/K21)</f>
        <v>0.99798771446727386</v>
      </c>
      <c r="N21" s="218"/>
      <c r="O21" s="218"/>
      <c r="P21" s="223"/>
      <c r="Q21" s="219"/>
      <c r="R21" s="223"/>
      <c r="S21" s="223"/>
      <c r="T21" s="223"/>
      <c r="U21" s="219"/>
      <c r="V21" s="217" t="s">
        <v>452</v>
      </c>
      <c r="W21" s="223"/>
      <c r="X21" s="223"/>
      <c r="Y21" s="223"/>
      <c r="Z21" s="219"/>
      <c r="AA21" s="223"/>
      <c r="AB21" s="223"/>
      <c r="AC21" s="223"/>
      <c r="AD21" s="219"/>
      <c r="AE21" s="223"/>
      <c r="AF21" s="223"/>
      <c r="AG21" s="223"/>
      <c r="AH21" s="219"/>
      <c r="AI21" s="223"/>
      <c r="AJ21" s="223"/>
      <c r="AK21" s="223"/>
      <c r="AL21" s="219"/>
      <c r="AM21" s="223"/>
      <c r="AN21" s="223"/>
      <c r="AO21" s="223"/>
      <c r="AP21" s="219"/>
      <c r="AQ21" s="217" t="s">
        <v>452</v>
      </c>
      <c r="AR21" s="218">
        <f t="shared" si="0"/>
        <v>8000</v>
      </c>
      <c r="AS21" s="218">
        <f t="shared" si="1"/>
        <v>9442</v>
      </c>
      <c r="AT21" s="218">
        <f t="shared" si="1"/>
        <v>9423</v>
      </c>
      <c r="AU21" s="219">
        <f t="shared" si="5"/>
        <v>0.99798771446727386</v>
      </c>
      <c r="AV21" s="218">
        <f t="shared" si="2"/>
        <v>0</v>
      </c>
      <c r="AW21" s="218">
        <f t="shared" si="2"/>
        <v>0</v>
      </c>
      <c r="AX21" s="218">
        <f t="shared" si="2"/>
        <v>0</v>
      </c>
      <c r="AY21" s="219"/>
      <c r="AZ21" s="220">
        <f t="shared" si="3"/>
        <v>8000</v>
      </c>
      <c r="BA21" s="220">
        <f t="shared" si="3"/>
        <v>9442</v>
      </c>
      <c r="BB21" s="220">
        <f t="shared" si="3"/>
        <v>9423</v>
      </c>
      <c r="BC21" s="221">
        <f t="shared" si="6"/>
        <v>0.99798771446727386</v>
      </c>
      <c r="BD21" s="222"/>
    </row>
    <row r="22" spans="1:56" x14ac:dyDescent="0.3">
      <c r="A22" s="217" t="s">
        <v>453</v>
      </c>
      <c r="B22" s="223"/>
      <c r="C22" s="223"/>
      <c r="D22" s="223"/>
      <c r="E22" s="224"/>
      <c r="F22" s="225"/>
      <c r="G22" s="225"/>
      <c r="H22" s="223"/>
      <c r="I22" s="224"/>
      <c r="J22" s="223"/>
      <c r="K22" s="223"/>
      <c r="L22" s="223"/>
      <c r="M22" s="219"/>
      <c r="N22" s="218">
        <v>1000</v>
      </c>
      <c r="O22" s="218">
        <v>1000</v>
      </c>
      <c r="P22" s="225">
        <v>986</v>
      </c>
      <c r="Q22" s="219">
        <f>P22/O22</f>
        <v>0.98599999999999999</v>
      </c>
      <c r="R22" s="223"/>
      <c r="S22" s="223"/>
      <c r="T22" s="223"/>
      <c r="U22" s="219"/>
      <c r="V22" s="217" t="s">
        <v>453</v>
      </c>
      <c r="W22" s="223"/>
      <c r="X22" s="223"/>
      <c r="Y22" s="223"/>
      <c r="Z22" s="219"/>
      <c r="AA22" s="223"/>
      <c r="AB22" s="223"/>
      <c r="AC22" s="223"/>
      <c r="AD22" s="219"/>
      <c r="AE22" s="223"/>
      <c r="AF22" s="223"/>
      <c r="AG22" s="223"/>
      <c r="AH22" s="219"/>
      <c r="AI22" s="223"/>
      <c r="AJ22" s="223"/>
      <c r="AK22" s="223"/>
      <c r="AL22" s="219"/>
      <c r="AM22" s="223"/>
      <c r="AN22" s="223"/>
      <c r="AO22" s="223"/>
      <c r="AP22" s="219"/>
      <c r="AQ22" s="217" t="s">
        <v>453</v>
      </c>
      <c r="AR22" s="218">
        <f t="shared" si="0"/>
        <v>1000</v>
      </c>
      <c r="AS22" s="218">
        <f t="shared" si="1"/>
        <v>1000</v>
      </c>
      <c r="AT22" s="218">
        <f t="shared" si="1"/>
        <v>986</v>
      </c>
      <c r="AU22" s="219">
        <f t="shared" si="5"/>
        <v>0.98599999999999999</v>
      </c>
      <c r="AV22" s="218">
        <f t="shared" si="2"/>
        <v>0</v>
      </c>
      <c r="AW22" s="218">
        <f t="shared" si="2"/>
        <v>0</v>
      </c>
      <c r="AX22" s="218">
        <f t="shared" si="2"/>
        <v>0</v>
      </c>
      <c r="AY22" s="219"/>
      <c r="AZ22" s="220">
        <f t="shared" si="3"/>
        <v>1000</v>
      </c>
      <c r="BA22" s="220">
        <f t="shared" si="3"/>
        <v>1000</v>
      </c>
      <c r="BB22" s="220">
        <f t="shared" si="3"/>
        <v>986</v>
      </c>
      <c r="BC22" s="221">
        <f t="shared" si="6"/>
        <v>0.98599999999999999</v>
      </c>
      <c r="BD22" s="222"/>
    </row>
    <row r="23" spans="1:56" x14ac:dyDescent="0.3">
      <c r="A23" s="217" t="s">
        <v>454</v>
      </c>
      <c r="B23" s="223"/>
      <c r="C23" s="223"/>
      <c r="D23" s="223"/>
      <c r="E23" s="224"/>
      <c r="F23" s="225"/>
      <c r="G23" s="225"/>
      <c r="H23" s="223"/>
      <c r="I23" s="224"/>
      <c r="J23" s="223">
        <v>533000</v>
      </c>
      <c r="K23" s="223">
        <v>570980</v>
      </c>
      <c r="L23" s="223">
        <v>570979</v>
      </c>
      <c r="M23" s="219">
        <f t="shared" si="10"/>
        <v>0.99999824862517073</v>
      </c>
      <c r="N23" s="218"/>
      <c r="O23" s="218"/>
      <c r="P23" s="223"/>
      <c r="Q23" s="219"/>
      <c r="R23" s="223"/>
      <c r="S23" s="223"/>
      <c r="T23" s="223"/>
      <c r="U23" s="219"/>
      <c r="V23" s="217" t="s">
        <v>454</v>
      </c>
      <c r="W23" s="223"/>
      <c r="X23" s="223"/>
      <c r="Y23" s="223"/>
      <c r="Z23" s="219"/>
      <c r="AA23" s="223"/>
      <c r="AB23" s="223"/>
      <c r="AC23" s="223"/>
      <c r="AD23" s="219"/>
      <c r="AE23" s="223"/>
      <c r="AF23" s="223"/>
      <c r="AG23" s="223"/>
      <c r="AH23" s="219"/>
      <c r="AI23" s="223"/>
      <c r="AJ23" s="223"/>
      <c r="AK23" s="223"/>
      <c r="AL23" s="219"/>
      <c r="AM23" s="223"/>
      <c r="AN23" s="223"/>
      <c r="AO23" s="223"/>
      <c r="AP23" s="219"/>
      <c r="AQ23" s="217" t="s">
        <v>454</v>
      </c>
      <c r="AR23" s="218">
        <f t="shared" si="0"/>
        <v>533000</v>
      </c>
      <c r="AS23" s="218">
        <f t="shared" si="1"/>
        <v>570980</v>
      </c>
      <c r="AT23" s="218">
        <f t="shared" si="1"/>
        <v>570979</v>
      </c>
      <c r="AU23" s="219">
        <f t="shared" si="5"/>
        <v>0.99999824862517073</v>
      </c>
      <c r="AV23" s="218">
        <f t="shared" si="2"/>
        <v>0</v>
      </c>
      <c r="AW23" s="218">
        <f t="shared" si="2"/>
        <v>0</v>
      </c>
      <c r="AX23" s="218">
        <f t="shared" si="2"/>
        <v>0</v>
      </c>
      <c r="AY23" s="219"/>
      <c r="AZ23" s="220">
        <f t="shared" si="3"/>
        <v>533000</v>
      </c>
      <c r="BA23" s="220">
        <f t="shared" si="3"/>
        <v>570980</v>
      </c>
      <c r="BB23" s="220">
        <f t="shared" si="3"/>
        <v>570979</v>
      </c>
      <c r="BC23" s="221">
        <f t="shared" si="6"/>
        <v>0.99999824862517073</v>
      </c>
      <c r="BD23" s="222"/>
    </row>
    <row r="24" spans="1:56" x14ac:dyDescent="0.3">
      <c r="A24" s="217" t="s">
        <v>455</v>
      </c>
      <c r="B24" s="223"/>
      <c r="C24" s="223"/>
      <c r="D24" s="223"/>
      <c r="E24" s="224"/>
      <c r="F24" s="225"/>
      <c r="G24" s="225"/>
      <c r="H24" s="223"/>
      <c r="I24" s="224"/>
      <c r="J24" s="223">
        <v>4000</v>
      </c>
      <c r="K24" s="223">
        <v>4000</v>
      </c>
      <c r="L24" s="223">
        <v>4054</v>
      </c>
      <c r="M24" s="219">
        <f t="shared" si="10"/>
        <v>1.0135000000000001</v>
      </c>
      <c r="N24" s="218"/>
      <c r="O24" s="218"/>
      <c r="P24" s="223"/>
      <c r="Q24" s="219"/>
      <c r="R24" s="223"/>
      <c r="S24" s="223"/>
      <c r="T24" s="223"/>
      <c r="U24" s="219"/>
      <c r="V24" s="217" t="s">
        <v>455</v>
      </c>
      <c r="W24" s="223"/>
      <c r="X24" s="223"/>
      <c r="Y24" s="223"/>
      <c r="Z24" s="219"/>
      <c r="AA24" s="223"/>
      <c r="AB24" s="223"/>
      <c r="AC24" s="223"/>
      <c r="AD24" s="219"/>
      <c r="AE24" s="223"/>
      <c r="AF24" s="223"/>
      <c r="AG24" s="223"/>
      <c r="AH24" s="219"/>
      <c r="AI24" s="223"/>
      <c r="AJ24" s="223"/>
      <c r="AK24" s="223"/>
      <c r="AL24" s="219"/>
      <c r="AM24" s="223"/>
      <c r="AN24" s="223"/>
      <c r="AO24" s="223"/>
      <c r="AP24" s="219"/>
      <c r="AQ24" s="217" t="s">
        <v>455</v>
      </c>
      <c r="AR24" s="218">
        <f t="shared" si="0"/>
        <v>4000</v>
      </c>
      <c r="AS24" s="218">
        <f t="shared" si="1"/>
        <v>4000</v>
      </c>
      <c r="AT24" s="218">
        <f t="shared" si="1"/>
        <v>4054</v>
      </c>
      <c r="AU24" s="219">
        <f t="shared" si="5"/>
        <v>1.0135000000000001</v>
      </c>
      <c r="AV24" s="218">
        <f t="shared" si="2"/>
        <v>0</v>
      </c>
      <c r="AW24" s="218">
        <f t="shared" si="2"/>
        <v>0</v>
      </c>
      <c r="AX24" s="218">
        <f t="shared" si="2"/>
        <v>0</v>
      </c>
      <c r="AY24" s="219"/>
      <c r="AZ24" s="220">
        <f t="shared" si="3"/>
        <v>4000</v>
      </c>
      <c r="BA24" s="220">
        <f t="shared" si="3"/>
        <v>4000</v>
      </c>
      <c r="BB24" s="220">
        <f t="shared" si="3"/>
        <v>4054</v>
      </c>
      <c r="BC24" s="221">
        <f t="shared" si="6"/>
        <v>1.0135000000000001</v>
      </c>
      <c r="BD24" s="222"/>
    </row>
    <row r="25" spans="1:56" x14ac:dyDescent="0.3">
      <c r="A25" s="217" t="s">
        <v>456</v>
      </c>
      <c r="B25" s="223"/>
      <c r="C25" s="223"/>
      <c r="D25" s="223"/>
      <c r="E25" s="224"/>
      <c r="F25" s="225"/>
      <c r="G25" s="225"/>
      <c r="H25" s="223"/>
      <c r="I25" s="224"/>
      <c r="J25" s="223">
        <v>40000</v>
      </c>
      <c r="K25" s="223">
        <v>40000</v>
      </c>
      <c r="L25" s="223">
        <v>39737</v>
      </c>
      <c r="M25" s="219">
        <f t="shared" si="10"/>
        <v>0.993425</v>
      </c>
      <c r="N25" s="218"/>
      <c r="O25" s="218"/>
      <c r="P25" s="223"/>
      <c r="Q25" s="219"/>
      <c r="R25" s="223"/>
      <c r="S25" s="223"/>
      <c r="T25" s="223"/>
      <c r="U25" s="219"/>
      <c r="V25" s="217" t="s">
        <v>456</v>
      </c>
      <c r="W25" s="223"/>
      <c r="X25" s="223"/>
      <c r="Y25" s="223"/>
      <c r="Z25" s="219"/>
      <c r="AA25" s="223"/>
      <c r="AB25" s="223"/>
      <c r="AC25" s="223"/>
      <c r="AD25" s="219"/>
      <c r="AE25" s="223"/>
      <c r="AF25" s="223"/>
      <c r="AG25" s="223"/>
      <c r="AH25" s="219"/>
      <c r="AI25" s="223"/>
      <c r="AJ25" s="223"/>
      <c r="AK25" s="223"/>
      <c r="AL25" s="219"/>
      <c r="AM25" s="223"/>
      <c r="AN25" s="223"/>
      <c r="AO25" s="223"/>
      <c r="AP25" s="219"/>
      <c r="AQ25" s="217" t="s">
        <v>456</v>
      </c>
      <c r="AR25" s="218">
        <f t="shared" si="0"/>
        <v>40000</v>
      </c>
      <c r="AS25" s="218">
        <f t="shared" si="1"/>
        <v>40000</v>
      </c>
      <c r="AT25" s="218">
        <f t="shared" si="1"/>
        <v>39737</v>
      </c>
      <c r="AU25" s="219">
        <f t="shared" si="5"/>
        <v>0.993425</v>
      </c>
      <c r="AV25" s="218">
        <f t="shared" si="2"/>
        <v>0</v>
      </c>
      <c r="AW25" s="218">
        <f t="shared" si="2"/>
        <v>0</v>
      </c>
      <c r="AX25" s="218">
        <f t="shared" si="2"/>
        <v>0</v>
      </c>
      <c r="AY25" s="219"/>
      <c r="AZ25" s="220">
        <f t="shared" si="3"/>
        <v>40000</v>
      </c>
      <c r="BA25" s="220">
        <f t="shared" si="3"/>
        <v>40000</v>
      </c>
      <c r="BB25" s="220">
        <f t="shared" si="3"/>
        <v>39737</v>
      </c>
      <c r="BC25" s="221">
        <f t="shared" si="6"/>
        <v>0.993425</v>
      </c>
      <c r="BD25" s="222"/>
    </row>
    <row r="26" spans="1:56" x14ac:dyDescent="0.3">
      <c r="A26" s="217" t="s">
        <v>457</v>
      </c>
      <c r="B26" s="223"/>
      <c r="C26" s="223"/>
      <c r="D26" s="223"/>
      <c r="E26" s="224"/>
      <c r="F26" s="225"/>
      <c r="G26" s="225"/>
      <c r="H26" s="223"/>
      <c r="I26" s="224"/>
      <c r="J26" s="223">
        <v>200</v>
      </c>
      <c r="K26" s="223">
        <v>272</v>
      </c>
      <c r="L26" s="223">
        <v>272</v>
      </c>
      <c r="M26" s="219">
        <f t="shared" si="10"/>
        <v>1</v>
      </c>
      <c r="N26" s="218"/>
      <c r="O26" s="218"/>
      <c r="P26" s="223"/>
      <c r="Q26" s="219"/>
      <c r="R26" s="223"/>
      <c r="S26" s="223"/>
      <c r="T26" s="223"/>
      <c r="U26" s="219"/>
      <c r="V26" s="217" t="s">
        <v>457</v>
      </c>
      <c r="W26" s="223"/>
      <c r="X26" s="223"/>
      <c r="Y26" s="223"/>
      <c r="Z26" s="219"/>
      <c r="AA26" s="223"/>
      <c r="AB26" s="223"/>
      <c r="AC26" s="223"/>
      <c r="AD26" s="219"/>
      <c r="AE26" s="223"/>
      <c r="AF26" s="223"/>
      <c r="AG26" s="223"/>
      <c r="AH26" s="219"/>
      <c r="AI26" s="223"/>
      <c r="AJ26" s="223"/>
      <c r="AK26" s="223"/>
      <c r="AL26" s="219"/>
      <c r="AM26" s="223"/>
      <c r="AN26" s="223"/>
      <c r="AO26" s="223"/>
      <c r="AP26" s="219"/>
      <c r="AQ26" s="217" t="s">
        <v>457</v>
      </c>
      <c r="AR26" s="218">
        <f t="shared" si="0"/>
        <v>200</v>
      </c>
      <c r="AS26" s="218">
        <f t="shared" si="1"/>
        <v>272</v>
      </c>
      <c r="AT26" s="218">
        <f t="shared" si="1"/>
        <v>272</v>
      </c>
      <c r="AU26" s="219">
        <f t="shared" si="5"/>
        <v>1</v>
      </c>
      <c r="AV26" s="218">
        <f t="shared" si="2"/>
        <v>0</v>
      </c>
      <c r="AW26" s="218">
        <f t="shared" si="2"/>
        <v>0</v>
      </c>
      <c r="AX26" s="218">
        <f t="shared" si="2"/>
        <v>0</v>
      </c>
      <c r="AY26" s="219"/>
      <c r="AZ26" s="220">
        <f t="shared" si="3"/>
        <v>200</v>
      </c>
      <c r="BA26" s="220">
        <f t="shared" si="3"/>
        <v>272</v>
      </c>
      <c r="BB26" s="220">
        <f t="shared" si="3"/>
        <v>272</v>
      </c>
      <c r="BC26" s="221">
        <f t="shared" si="6"/>
        <v>1</v>
      </c>
      <c r="BD26" s="222"/>
    </row>
    <row r="27" spans="1:56" x14ac:dyDescent="0.3">
      <c r="A27" s="217" t="s">
        <v>458</v>
      </c>
      <c r="B27" s="223"/>
      <c r="C27" s="223"/>
      <c r="D27" s="223"/>
      <c r="E27" s="224"/>
      <c r="F27" s="225"/>
      <c r="G27" s="225"/>
      <c r="H27" s="223"/>
      <c r="I27" s="224"/>
      <c r="J27" s="223">
        <v>3000</v>
      </c>
      <c r="K27" s="223">
        <v>3940</v>
      </c>
      <c r="L27" s="223">
        <v>4170</v>
      </c>
      <c r="M27" s="219">
        <f t="shared" si="10"/>
        <v>1.0583756345177664</v>
      </c>
      <c r="N27" s="218"/>
      <c r="O27" s="218"/>
      <c r="P27" s="223"/>
      <c r="Q27" s="219"/>
      <c r="R27" s="223"/>
      <c r="S27" s="223"/>
      <c r="T27" s="223"/>
      <c r="U27" s="219"/>
      <c r="V27" s="217" t="s">
        <v>458</v>
      </c>
      <c r="W27" s="223"/>
      <c r="X27" s="223"/>
      <c r="Y27" s="223"/>
      <c r="Z27" s="219"/>
      <c r="AA27" s="223"/>
      <c r="AB27" s="223"/>
      <c r="AC27" s="223"/>
      <c r="AD27" s="219"/>
      <c r="AE27" s="223"/>
      <c r="AF27" s="223"/>
      <c r="AG27" s="223"/>
      <c r="AH27" s="219"/>
      <c r="AI27" s="223"/>
      <c r="AJ27" s="223"/>
      <c r="AK27" s="223"/>
      <c r="AL27" s="219"/>
      <c r="AM27" s="223"/>
      <c r="AN27" s="223"/>
      <c r="AO27" s="223"/>
      <c r="AP27" s="219"/>
      <c r="AQ27" s="217" t="s">
        <v>458</v>
      </c>
      <c r="AR27" s="218">
        <f t="shared" si="0"/>
        <v>3000</v>
      </c>
      <c r="AS27" s="218">
        <f t="shared" si="1"/>
        <v>3940</v>
      </c>
      <c r="AT27" s="218">
        <f t="shared" si="1"/>
        <v>4170</v>
      </c>
      <c r="AU27" s="219">
        <f t="shared" si="5"/>
        <v>1.0583756345177664</v>
      </c>
      <c r="AV27" s="218">
        <f t="shared" si="2"/>
        <v>0</v>
      </c>
      <c r="AW27" s="218">
        <f t="shared" si="2"/>
        <v>0</v>
      </c>
      <c r="AX27" s="218">
        <f t="shared" si="2"/>
        <v>0</v>
      </c>
      <c r="AY27" s="219"/>
      <c r="AZ27" s="220">
        <f t="shared" si="3"/>
        <v>3000</v>
      </c>
      <c r="BA27" s="220">
        <f t="shared" si="3"/>
        <v>3940</v>
      </c>
      <c r="BB27" s="220">
        <f t="shared" si="3"/>
        <v>4170</v>
      </c>
      <c r="BC27" s="221">
        <f t="shared" si="6"/>
        <v>1.0583756345177664</v>
      </c>
      <c r="BD27" s="222"/>
    </row>
    <row r="28" spans="1:56" x14ac:dyDescent="0.3">
      <c r="A28" s="424" t="s">
        <v>580</v>
      </c>
      <c r="B28" s="425"/>
      <c r="C28" s="425"/>
      <c r="D28" s="425"/>
      <c r="E28" s="224"/>
      <c r="F28" s="426"/>
      <c r="G28" s="426"/>
      <c r="H28" s="425"/>
      <c r="I28" s="224"/>
      <c r="J28" s="425"/>
      <c r="K28" s="425"/>
      <c r="L28" s="425"/>
      <c r="M28" s="219"/>
      <c r="N28" s="427"/>
      <c r="O28" s="427"/>
      <c r="P28" s="425"/>
      <c r="Q28" s="219"/>
      <c r="R28" s="425"/>
      <c r="S28" s="425"/>
      <c r="T28" s="425"/>
      <c r="U28" s="219"/>
      <c r="V28" s="424" t="s">
        <v>580</v>
      </c>
      <c r="W28" s="425"/>
      <c r="X28" s="425"/>
      <c r="Y28" s="425"/>
      <c r="Z28" s="219"/>
      <c r="AA28" s="425"/>
      <c r="AB28" s="425"/>
      <c r="AC28" s="425"/>
      <c r="AD28" s="219"/>
      <c r="AE28" s="425"/>
      <c r="AF28" s="425"/>
      <c r="AG28" s="425"/>
      <c r="AH28" s="219"/>
      <c r="AI28" s="425"/>
      <c r="AJ28" s="425"/>
      <c r="AK28" s="425"/>
      <c r="AL28" s="219"/>
      <c r="AM28" s="425"/>
      <c r="AN28" s="425"/>
      <c r="AO28" s="425">
        <v>52044</v>
      </c>
      <c r="AP28" s="219">
        <v>0</v>
      </c>
      <c r="AQ28" s="424" t="s">
        <v>580</v>
      </c>
      <c r="AR28" s="218">
        <f t="shared" ref="AR28" si="11">SUM(B28+J28+N28+W28+AE28+AM28)</f>
        <v>0</v>
      </c>
      <c r="AS28" s="218">
        <f t="shared" ref="AS28" si="12">SUM(C28+K28+O28+X28+AF28+AN28)</f>
        <v>0</v>
      </c>
      <c r="AT28" s="218">
        <f t="shared" ref="AT28" si="13">SUM(D28+L28+P28+Y28+AG28+AO28)</f>
        <v>52044</v>
      </c>
      <c r="AU28" s="219">
        <v>0</v>
      </c>
      <c r="AV28" s="218">
        <f t="shared" ref="AV28" si="14">SUM(F28+R28+AA28+AI28)</f>
        <v>0</v>
      </c>
      <c r="AW28" s="218">
        <f t="shared" ref="AW28" si="15">SUM(G28+S28+AB28+AJ28)</f>
        <v>0</v>
      </c>
      <c r="AX28" s="218">
        <f t="shared" ref="AX28" si="16">SUM(H28+T28+AC28+AK28)</f>
        <v>0</v>
      </c>
      <c r="AY28" s="219"/>
      <c r="AZ28" s="220">
        <f t="shared" ref="AZ28" si="17">SUM(B28+F28+J28+N28+R28+W28+AA28+AE28+AI28+AM28)</f>
        <v>0</v>
      </c>
      <c r="BA28" s="220">
        <f t="shared" ref="BA28" si="18">SUM(C28+G28+K28+O28+S28+X28+AB28+AF28+AJ28+AN28)</f>
        <v>0</v>
      </c>
      <c r="BB28" s="220">
        <f t="shared" ref="BB28" si="19">SUM(D28+H28+L28+P28+T28+Y28+AC28+AG28+AK28+AO28)</f>
        <v>52044</v>
      </c>
      <c r="BC28" s="221">
        <v>0</v>
      </c>
      <c r="BD28" s="222"/>
    </row>
    <row r="29" spans="1:56" s="231" customFormat="1" ht="21" thickBot="1" x14ac:dyDescent="0.35">
      <c r="A29" s="226" t="s">
        <v>459</v>
      </c>
      <c r="B29" s="227"/>
      <c r="C29" s="227">
        <v>12742</v>
      </c>
      <c r="D29" s="227">
        <v>12742</v>
      </c>
      <c r="E29" s="219">
        <f t="shared" ref="E29" si="20">SUM(D29/C29)</f>
        <v>1</v>
      </c>
      <c r="F29" s="228"/>
      <c r="G29" s="228"/>
      <c r="H29" s="227"/>
      <c r="I29" s="219"/>
      <c r="J29" s="228"/>
      <c r="K29" s="228"/>
      <c r="L29" s="227"/>
      <c r="M29" s="219"/>
      <c r="N29" s="229"/>
      <c r="O29" s="229"/>
      <c r="P29" s="227"/>
      <c r="Q29" s="219"/>
      <c r="R29" s="229"/>
      <c r="S29" s="229"/>
      <c r="T29" s="227"/>
      <c r="U29" s="219"/>
      <c r="V29" s="226" t="s">
        <v>459</v>
      </c>
      <c r="W29" s="229"/>
      <c r="X29" s="229"/>
      <c r="Y29" s="227"/>
      <c r="Z29" s="219"/>
      <c r="AA29" s="229"/>
      <c r="AB29" s="229"/>
      <c r="AC29" s="227"/>
      <c r="AD29" s="219"/>
      <c r="AE29" s="229">
        <v>183739</v>
      </c>
      <c r="AF29" s="229">
        <f>183739+414+2494+33+254+571+1410+86846-1742</f>
        <v>274019</v>
      </c>
      <c r="AG29" s="227">
        <v>274019</v>
      </c>
      <c r="AH29" s="219">
        <f>AF29/AE29</f>
        <v>1.4913491419894525</v>
      </c>
      <c r="AI29" s="229"/>
      <c r="AJ29" s="229"/>
      <c r="AK29" s="227"/>
      <c r="AL29" s="219"/>
      <c r="AM29" s="229"/>
      <c r="AN29" s="229"/>
      <c r="AO29" s="227"/>
      <c r="AP29" s="219"/>
      <c r="AQ29" s="226" t="s">
        <v>459</v>
      </c>
      <c r="AR29" s="227">
        <f t="shared" si="0"/>
        <v>183739</v>
      </c>
      <c r="AS29" s="227">
        <f t="shared" si="1"/>
        <v>286761</v>
      </c>
      <c r="AT29" s="227">
        <f t="shared" si="1"/>
        <v>286761</v>
      </c>
      <c r="AU29" s="219">
        <f t="shared" si="5"/>
        <v>1</v>
      </c>
      <c r="AV29" s="227">
        <f t="shared" si="2"/>
        <v>0</v>
      </c>
      <c r="AW29" s="227">
        <f t="shared" si="2"/>
        <v>0</v>
      </c>
      <c r="AX29" s="227">
        <f t="shared" si="2"/>
        <v>0</v>
      </c>
      <c r="AY29" s="219"/>
      <c r="AZ29" s="220">
        <f t="shared" si="3"/>
        <v>183739</v>
      </c>
      <c r="BA29" s="220">
        <f t="shared" si="3"/>
        <v>286761</v>
      </c>
      <c r="BB29" s="220">
        <f t="shared" si="3"/>
        <v>286761</v>
      </c>
      <c r="BC29" s="221">
        <f t="shared" si="6"/>
        <v>1</v>
      </c>
      <c r="BD29" s="230"/>
    </row>
    <row r="30" spans="1:56" s="236" customFormat="1" ht="21" thickBot="1" x14ac:dyDescent="0.35">
      <c r="A30" s="232" t="s">
        <v>460</v>
      </c>
      <c r="B30" s="233">
        <f>SUM(B14:B29)</f>
        <v>1443429</v>
      </c>
      <c r="C30" s="233">
        <f>SUM(C14:C29)</f>
        <v>1644025</v>
      </c>
      <c r="D30" s="233">
        <f>SUM(D14:D29)</f>
        <v>1644021</v>
      </c>
      <c r="E30" s="234">
        <f>D30/C30</f>
        <v>0.99999756694697461</v>
      </c>
      <c r="F30" s="233">
        <f>SUM(F14:F29)</f>
        <v>0</v>
      </c>
      <c r="G30" s="233">
        <f>SUM(G14:G29)</f>
        <v>64058</v>
      </c>
      <c r="H30" s="233">
        <f>SUM(H14:H29)</f>
        <v>64058</v>
      </c>
      <c r="I30" s="234">
        <f>H30/G30</f>
        <v>1</v>
      </c>
      <c r="J30" s="233">
        <f>SUM(J14:J29)</f>
        <v>588200</v>
      </c>
      <c r="K30" s="233">
        <f>SUM(K14:K29)</f>
        <v>628634</v>
      </c>
      <c r="L30" s="233">
        <f>SUM(L14:L29)</f>
        <v>628635</v>
      </c>
      <c r="M30" s="234">
        <f>L30/K30</f>
        <v>1.0000015907507389</v>
      </c>
      <c r="N30" s="233">
        <f>SUM(N14:N29)</f>
        <v>1000</v>
      </c>
      <c r="O30" s="233">
        <f>SUM(O14:O29)</f>
        <v>1000</v>
      </c>
      <c r="P30" s="233">
        <f>SUM(P14:P29)</f>
        <v>986</v>
      </c>
      <c r="Q30" s="234">
        <f>P30/O30</f>
        <v>0.98599999999999999</v>
      </c>
      <c r="R30" s="233">
        <f>SUM(R14:R29)</f>
        <v>0</v>
      </c>
      <c r="S30" s="233">
        <f>SUM(S14:S29)</f>
        <v>0</v>
      </c>
      <c r="T30" s="233">
        <f>SUM(T14:T29)</f>
        <v>0</v>
      </c>
      <c r="U30" s="234">
        <v>0</v>
      </c>
      <c r="V30" s="232" t="s">
        <v>460</v>
      </c>
      <c r="W30" s="233">
        <f>SUM(W14:W29)</f>
        <v>0</v>
      </c>
      <c r="X30" s="233">
        <f>SUM(X14:X29)</f>
        <v>0</v>
      </c>
      <c r="Y30" s="233">
        <f>SUM(Y14:Y29)</f>
        <v>0</v>
      </c>
      <c r="Z30" s="234">
        <v>0</v>
      </c>
      <c r="AA30" s="233">
        <f>SUM(AA14:AA29)</f>
        <v>0</v>
      </c>
      <c r="AB30" s="233">
        <f>SUM(AB14:AB29)</f>
        <v>0</v>
      </c>
      <c r="AC30" s="233">
        <f>SUM(AC14:AC29)</f>
        <v>0</v>
      </c>
      <c r="AD30" s="234">
        <v>0</v>
      </c>
      <c r="AE30" s="233">
        <f>SUM(AE14:AE29)</f>
        <v>183739</v>
      </c>
      <c r="AF30" s="233">
        <f>SUM(AF14:AF29)</f>
        <v>274019</v>
      </c>
      <c r="AG30" s="233">
        <f>SUM(AG14:AG29)</f>
        <v>274019</v>
      </c>
      <c r="AH30" s="234">
        <v>0</v>
      </c>
      <c r="AI30" s="233">
        <f>SUM(AI14:AI29)</f>
        <v>0</v>
      </c>
      <c r="AJ30" s="233">
        <f>SUM(AJ14:AJ29)</f>
        <v>0</v>
      </c>
      <c r="AK30" s="233">
        <f>SUM(AK14:AK29)</f>
        <v>0</v>
      </c>
      <c r="AL30" s="234">
        <v>0</v>
      </c>
      <c r="AM30" s="233">
        <f>SUM(AM14:AM29)</f>
        <v>0</v>
      </c>
      <c r="AN30" s="233">
        <f>SUM(AN14:AN29)</f>
        <v>0</v>
      </c>
      <c r="AO30" s="233">
        <f>SUM(AO14:AO29)</f>
        <v>52044</v>
      </c>
      <c r="AP30" s="234">
        <v>0</v>
      </c>
      <c r="AQ30" s="232" t="s">
        <v>460</v>
      </c>
      <c r="AR30" s="233">
        <f>SUM(AR14:AR29)</f>
        <v>2216368</v>
      </c>
      <c r="AS30" s="233">
        <f>SUM(AS14:AS29)</f>
        <v>2547678</v>
      </c>
      <c r="AT30" s="233">
        <f>SUM(AT14:AT29)</f>
        <v>2599705</v>
      </c>
      <c r="AU30" s="234">
        <f>AT30/AS30</f>
        <v>1.0204213405304752</v>
      </c>
      <c r="AV30" s="233">
        <f>SUM(AV14:AV29)</f>
        <v>0</v>
      </c>
      <c r="AW30" s="233">
        <f>SUM(AW14:AW29)</f>
        <v>64058</v>
      </c>
      <c r="AX30" s="233">
        <f>SUM(AX14:AX29)</f>
        <v>64058</v>
      </c>
      <c r="AY30" s="234">
        <f>AX30/AW30</f>
        <v>1</v>
      </c>
      <c r="AZ30" s="233">
        <f>SUM(AZ14:AZ29)</f>
        <v>2216368</v>
      </c>
      <c r="BA30" s="233">
        <f>SUM(BA14:BA29)</f>
        <v>2611736</v>
      </c>
      <c r="BB30" s="233">
        <f>SUM(BB14:BB29)</f>
        <v>2663763</v>
      </c>
      <c r="BC30" s="234">
        <v>0</v>
      </c>
      <c r="BD30" s="235"/>
    </row>
    <row r="31" spans="1:56" x14ac:dyDescent="0.3">
      <c r="A31" s="237" t="s">
        <v>461</v>
      </c>
      <c r="B31" s="238"/>
      <c r="C31" s="238"/>
      <c r="D31" s="238"/>
      <c r="E31" s="239"/>
      <c r="F31" s="240"/>
      <c r="G31" s="240"/>
      <c r="H31" s="238"/>
      <c r="I31" s="239"/>
      <c r="J31" s="240"/>
      <c r="K31" s="240"/>
      <c r="L31" s="238"/>
      <c r="M31" s="239"/>
      <c r="N31" s="241"/>
      <c r="O31" s="241"/>
      <c r="P31" s="238"/>
      <c r="Q31" s="239"/>
      <c r="R31" s="241"/>
      <c r="S31" s="241"/>
      <c r="T31" s="238"/>
      <c r="U31" s="239"/>
      <c r="V31" s="237" t="s">
        <v>461</v>
      </c>
      <c r="W31" s="241"/>
      <c r="X31" s="241"/>
      <c r="Y31" s="238"/>
      <c r="Z31" s="239"/>
      <c r="AA31" s="241"/>
      <c r="AB31" s="241"/>
      <c r="AC31" s="238"/>
      <c r="AD31" s="239"/>
      <c r="AE31" s="241"/>
      <c r="AF31" s="241"/>
      <c r="AG31" s="238"/>
      <c r="AH31" s="239"/>
      <c r="AI31" s="241"/>
      <c r="AJ31" s="241"/>
      <c r="AK31" s="238"/>
      <c r="AL31" s="239"/>
      <c r="AM31" s="241"/>
      <c r="AN31" s="241"/>
      <c r="AO31" s="238"/>
      <c r="AP31" s="239"/>
      <c r="AQ31" s="237" t="s">
        <v>461</v>
      </c>
      <c r="AR31" s="238">
        <f t="shared" ref="AR31:AT47" si="21">SUM(B31+J31+N31+W31+AE31+AM31)</f>
        <v>0</v>
      </c>
      <c r="AS31" s="238">
        <f t="shared" si="21"/>
        <v>0</v>
      </c>
      <c r="AT31" s="238">
        <f t="shared" si="21"/>
        <v>0</v>
      </c>
      <c r="AU31" s="219"/>
      <c r="AV31" s="238">
        <f t="shared" ref="AV31:AX34" si="22">SUM(F31+R31+AA31+AI31)</f>
        <v>0</v>
      </c>
      <c r="AW31" s="238">
        <f t="shared" si="22"/>
        <v>0</v>
      </c>
      <c r="AX31" s="238">
        <f t="shared" si="22"/>
        <v>0</v>
      </c>
      <c r="AY31" s="239"/>
      <c r="AZ31" s="220">
        <f t="shared" ref="AZ31:BB49" si="23">SUM(B31+F31+J31+N31+R31+W31+AA31+AE31+AI31+AM31)</f>
        <v>0</v>
      </c>
      <c r="BA31" s="220">
        <f t="shared" si="23"/>
        <v>0</v>
      </c>
      <c r="BB31" s="220">
        <f t="shared" si="23"/>
        <v>0</v>
      </c>
      <c r="BC31" s="221">
        <v>0</v>
      </c>
      <c r="BD31" s="222"/>
    </row>
    <row r="32" spans="1:56" x14ac:dyDescent="0.3">
      <c r="A32" s="217" t="s">
        <v>462</v>
      </c>
      <c r="B32" s="223"/>
      <c r="C32" s="223"/>
      <c r="D32" s="223"/>
      <c r="E32" s="224"/>
      <c r="F32" s="225"/>
      <c r="G32" s="225"/>
      <c r="H32" s="223"/>
      <c r="I32" s="224"/>
      <c r="J32" s="223"/>
      <c r="K32" s="223"/>
      <c r="L32" s="223"/>
      <c r="M32" s="224"/>
      <c r="N32" s="218">
        <v>46000</v>
      </c>
      <c r="O32" s="218">
        <v>46000</v>
      </c>
      <c r="P32" s="225">
        <v>19727</v>
      </c>
      <c r="Q32" s="219">
        <f>P32/O32</f>
        <v>0.42884782608695654</v>
      </c>
      <c r="R32" s="223"/>
      <c r="S32" s="223"/>
      <c r="T32" s="223"/>
      <c r="U32" s="219"/>
      <c r="V32" s="217" t="s">
        <v>462</v>
      </c>
      <c r="W32" s="223"/>
      <c r="X32" s="223"/>
      <c r="Y32" s="223"/>
      <c r="Z32" s="219"/>
      <c r="AA32" s="223"/>
      <c r="AB32" s="223"/>
      <c r="AC32" s="223"/>
      <c r="AD32" s="219"/>
      <c r="AE32" s="223"/>
      <c r="AF32" s="223"/>
      <c r="AG32" s="223"/>
      <c r="AH32" s="219"/>
      <c r="AI32" s="223"/>
      <c r="AJ32" s="223"/>
      <c r="AK32" s="223"/>
      <c r="AL32" s="219"/>
      <c r="AM32" s="223"/>
      <c r="AN32" s="223"/>
      <c r="AO32" s="223"/>
      <c r="AP32" s="219"/>
      <c r="AQ32" s="217" t="s">
        <v>462</v>
      </c>
      <c r="AR32" s="218">
        <f t="shared" si="21"/>
        <v>46000</v>
      </c>
      <c r="AS32" s="218">
        <f t="shared" si="21"/>
        <v>46000</v>
      </c>
      <c r="AT32" s="218">
        <f t="shared" si="21"/>
        <v>19727</v>
      </c>
      <c r="AU32" s="219">
        <f t="shared" si="5"/>
        <v>0.42884782608695654</v>
      </c>
      <c r="AV32" s="218">
        <f t="shared" si="22"/>
        <v>0</v>
      </c>
      <c r="AW32" s="218">
        <f t="shared" si="22"/>
        <v>0</v>
      </c>
      <c r="AX32" s="218">
        <f t="shared" si="22"/>
        <v>0</v>
      </c>
      <c r="AY32" s="219"/>
      <c r="AZ32" s="220">
        <f t="shared" si="23"/>
        <v>46000</v>
      </c>
      <c r="BA32" s="220">
        <f t="shared" si="23"/>
        <v>46000</v>
      </c>
      <c r="BB32" s="220">
        <f t="shared" si="23"/>
        <v>19727</v>
      </c>
      <c r="BC32" s="221">
        <f t="shared" si="6"/>
        <v>0.42884782608695654</v>
      </c>
      <c r="BD32" s="222"/>
    </row>
    <row r="33" spans="1:56" x14ac:dyDescent="0.3">
      <c r="A33" s="217" t="s">
        <v>463</v>
      </c>
      <c r="B33" s="223"/>
      <c r="C33" s="223"/>
      <c r="D33" s="223"/>
      <c r="E33" s="224"/>
      <c r="F33" s="225"/>
      <c r="G33" s="225"/>
      <c r="H33" s="223"/>
      <c r="I33" s="224"/>
      <c r="J33" s="223"/>
      <c r="K33" s="223"/>
      <c r="L33" s="223"/>
      <c r="M33" s="224"/>
      <c r="N33" s="218">
        <v>3000</v>
      </c>
      <c r="O33" s="218">
        <v>3000</v>
      </c>
      <c r="P33" s="225">
        <v>3302</v>
      </c>
      <c r="Q33" s="219">
        <f t="shared" ref="Q33:Q36" si="24">P33/O33</f>
        <v>1.1006666666666667</v>
      </c>
      <c r="R33" s="223"/>
      <c r="S33" s="223"/>
      <c r="T33" s="223"/>
      <c r="U33" s="219"/>
      <c r="V33" s="217" t="s">
        <v>463</v>
      </c>
      <c r="W33" s="223"/>
      <c r="X33" s="223"/>
      <c r="Y33" s="223"/>
      <c r="Z33" s="219"/>
      <c r="AA33" s="223"/>
      <c r="AB33" s="223"/>
      <c r="AC33" s="223"/>
      <c r="AD33" s="219"/>
      <c r="AE33" s="223"/>
      <c r="AF33" s="223"/>
      <c r="AG33" s="223"/>
      <c r="AH33" s="219"/>
      <c r="AI33" s="223"/>
      <c r="AJ33" s="223"/>
      <c r="AK33" s="223"/>
      <c r="AL33" s="219"/>
      <c r="AM33" s="223"/>
      <c r="AN33" s="223"/>
      <c r="AO33" s="223"/>
      <c r="AP33" s="219"/>
      <c r="AQ33" s="217" t="s">
        <v>463</v>
      </c>
      <c r="AR33" s="218">
        <f t="shared" si="21"/>
        <v>3000</v>
      </c>
      <c r="AS33" s="218">
        <f t="shared" si="21"/>
        <v>3000</v>
      </c>
      <c r="AT33" s="218">
        <f t="shared" si="21"/>
        <v>3302</v>
      </c>
      <c r="AU33" s="219">
        <f t="shared" si="5"/>
        <v>1.1006666666666667</v>
      </c>
      <c r="AV33" s="218">
        <f t="shared" si="22"/>
        <v>0</v>
      </c>
      <c r="AW33" s="218">
        <f t="shared" si="22"/>
        <v>0</v>
      </c>
      <c r="AX33" s="218">
        <f t="shared" si="22"/>
        <v>0</v>
      </c>
      <c r="AY33" s="219"/>
      <c r="AZ33" s="220">
        <f t="shared" si="23"/>
        <v>3000</v>
      </c>
      <c r="BA33" s="220">
        <f t="shared" si="23"/>
        <v>3000</v>
      </c>
      <c r="BB33" s="220">
        <f t="shared" si="23"/>
        <v>3302</v>
      </c>
      <c r="BC33" s="221">
        <f t="shared" si="6"/>
        <v>1.1006666666666667</v>
      </c>
      <c r="BD33" s="222"/>
    </row>
    <row r="34" spans="1:56" x14ac:dyDescent="0.3">
      <c r="A34" s="217" t="s">
        <v>464</v>
      </c>
      <c r="B34" s="223"/>
      <c r="C34" s="223"/>
      <c r="D34" s="223"/>
      <c r="E34" s="224"/>
      <c r="F34" s="225"/>
      <c r="G34" s="225"/>
      <c r="H34" s="223"/>
      <c r="I34" s="224"/>
      <c r="J34" s="223"/>
      <c r="K34" s="223"/>
      <c r="L34" s="223"/>
      <c r="M34" s="224"/>
      <c r="N34" s="218">
        <v>140970</v>
      </c>
      <c r="O34" s="218">
        <v>140970</v>
      </c>
      <c r="P34" s="225">
        <v>187960</v>
      </c>
      <c r="Q34" s="219">
        <f t="shared" si="24"/>
        <v>1.3333333333333333</v>
      </c>
      <c r="R34" s="223"/>
      <c r="S34" s="223"/>
      <c r="T34" s="223"/>
      <c r="U34" s="219"/>
      <c r="V34" s="217" t="s">
        <v>464</v>
      </c>
      <c r="W34" s="223"/>
      <c r="X34" s="223"/>
      <c r="Y34" s="223"/>
      <c r="Z34" s="219"/>
      <c r="AA34" s="223"/>
      <c r="AB34" s="223"/>
      <c r="AC34" s="223"/>
      <c r="AD34" s="219"/>
      <c r="AE34" s="223"/>
      <c r="AF34" s="223"/>
      <c r="AG34" s="223"/>
      <c r="AH34" s="219"/>
      <c r="AI34" s="223"/>
      <c r="AJ34" s="223"/>
      <c r="AK34" s="223"/>
      <c r="AL34" s="219"/>
      <c r="AM34" s="223"/>
      <c r="AN34" s="223"/>
      <c r="AO34" s="223"/>
      <c r="AP34" s="219"/>
      <c r="AQ34" s="217" t="s">
        <v>464</v>
      </c>
      <c r="AR34" s="218">
        <f t="shared" si="21"/>
        <v>140970</v>
      </c>
      <c r="AS34" s="218">
        <f t="shared" si="21"/>
        <v>140970</v>
      </c>
      <c r="AT34" s="218">
        <f t="shared" si="21"/>
        <v>187960</v>
      </c>
      <c r="AU34" s="219">
        <f t="shared" si="5"/>
        <v>1.3333333333333333</v>
      </c>
      <c r="AV34" s="218">
        <f t="shared" si="22"/>
        <v>0</v>
      </c>
      <c r="AW34" s="218">
        <f t="shared" si="22"/>
        <v>0</v>
      </c>
      <c r="AX34" s="218">
        <f t="shared" si="22"/>
        <v>0</v>
      </c>
      <c r="AY34" s="219"/>
      <c r="AZ34" s="220">
        <f t="shared" si="23"/>
        <v>140970</v>
      </c>
      <c r="BA34" s="220">
        <f t="shared" si="23"/>
        <v>140970</v>
      </c>
      <c r="BB34" s="220">
        <f t="shared" si="23"/>
        <v>187960</v>
      </c>
      <c r="BC34" s="221">
        <f t="shared" si="6"/>
        <v>1.3333333333333333</v>
      </c>
      <c r="BD34" s="222"/>
    </row>
    <row r="35" spans="1:56" x14ac:dyDescent="0.3">
      <c r="A35" s="217" t="s">
        <v>480</v>
      </c>
      <c r="B35" s="223"/>
      <c r="C35" s="223"/>
      <c r="D35" s="223"/>
      <c r="E35" s="224"/>
      <c r="F35" s="225"/>
      <c r="G35" s="225"/>
      <c r="H35" s="223"/>
      <c r="I35" s="224"/>
      <c r="J35" s="223"/>
      <c r="K35" s="223"/>
      <c r="L35" s="223"/>
      <c r="M35" s="224"/>
      <c r="N35" s="218">
        <v>201904</v>
      </c>
      <c r="O35" s="218">
        <v>113916</v>
      </c>
      <c r="P35" s="225">
        <v>36041</v>
      </c>
      <c r="Q35" s="219">
        <f t="shared" si="24"/>
        <v>0.31638224656764635</v>
      </c>
      <c r="R35" s="223"/>
      <c r="S35" s="223"/>
      <c r="T35" s="223"/>
      <c r="U35" s="219"/>
      <c r="V35" s="217" t="s">
        <v>480</v>
      </c>
      <c r="W35" s="223"/>
      <c r="X35" s="223"/>
      <c r="Y35" s="223"/>
      <c r="Z35" s="219"/>
      <c r="AA35" s="223"/>
      <c r="AB35" s="223"/>
      <c r="AC35" s="223"/>
      <c r="AD35" s="219"/>
      <c r="AE35" s="223"/>
      <c r="AF35" s="223"/>
      <c r="AG35" s="223"/>
      <c r="AH35" s="219"/>
      <c r="AI35" s="223"/>
      <c r="AJ35" s="223"/>
      <c r="AK35" s="223"/>
      <c r="AL35" s="219"/>
      <c r="AM35" s="223"/>
      <c r="AN35" s="223"/>
      <c r="AO35" s="223"/>
      <c r="AP35" s="219"/>
      <c r="AQ35" s="217" t="s">
        <v>480</v>
      </c>
      <c r="AR35" s="218">
        <f t="shared" si="21"/>
        <v>201904</v>
      </c>
      <c r="AS35" s="218">
        <f t="shared" si="21"/>
        <v>113916</v>
      </c>
      <c r="AT35" s="218">
        <f t="shared" si="21"/>
        <v>36041</v>
      </c>
      <c r="AU35" s="219">
        <f t="shared" si="5"/>
        <v>0.31638224656764635</v>
      </c>
      <c r="AV35" s="218"/>
      <c r="AW35" s="218"/>
      <c r="AX35" s="218"/>
      <c r="AY35" s="219"/>
      <c r="AZ35" s="220">
        <f t="shared" si="23"/>
        <v>201904</v>
      </c>
      <c r="BA35" s="220">
        <f t="shared" si="23"/>
        <v>113916</v>
      </c>
      <c r="BB35" s="220">
        <f t="shared" si="23"/>
        <v>36041</v>
      </c>
      <c r="BC35" s="221">
        <f t="shared" si="6"/>
        <v>0.31638224656764635</v>
      </c>
      <c r="BD35" s="222"/>
    </row>
    <row r="36" spans="1:56" x14ac:dyDescent="0.3">
      <c r="A36" s="217" t="s">
        <v>465</v>
      </c>
      <c r="B36" s="223"/>
      <c r="C36" s="223"/>
      <c r="D36" s="223"/>
      <c r="E36" s="224"/>
      <c r="F36" s="225"/>
      <c r="G36" s="225"/>
      <c r="H36" s="223"/>
      <c r="I36" s="224"/>
      <c r="J36" s="223"/>
      <c r="K36" s="223"/>
      <c r="L36" s="223"/>
      <c r="M36" s="224"/>
      <c r="N36" s="218">
        <v>8310</v>
      </c>
      <c r="O36" s="218">
        <v>8310</v>
      </c>
      <c r="P36" s="225">
        <v>11919</v>
      </c>
      <c r="Q36" s="219">
        <f t="shared" si="24"/>
        <v>1.4342960288808664</v>
      </c>
      <c r="R36" s="223"/>
      <c r="S36" s="223"/>
      <c r="T36" s="223"/>
      <c r="U36" s="219"/>
      <c r="V36" s="217" t="s">
        <v>465</v>
      </c>
      <c r="W36" s="223"/>
      <c r="X36" s="223"/>
      <c r="Y36" s="223"/>
      <c r="Z36" s="219"/>
      <c r="AA36" s="223"/>
      <c r="AB36" s="223"/>
      <c r="AC36" s="223"/>
      <c r="AD36" s="219"/>
      <c r="AE36" s="223"/>
      <c r="AF36" s="223"/>
      <c r="AG36" s="223"/>
      <c r="AH36" s="219"/>
      <c r="AI36" s="223"/>
      <c r="AJ36" s="223"/>
      <c r="AK36" s="223"/>
      <c r="AL36" s="219"/>
      <c r="AM36" s="223"/>
      <c r="AN36" s="223"/>
      <c r="AO36" s="223"/>
      <c r="AP36" s="219"/>
      <c r="AQ36" s="217" t="s">
        <v>465</v>
      </c>
      <c r="AR36" s="218">
        <f t="shared" si="21"/>
        <v>8310</v>
      </c>
      <c r="AS36" s="218">
        <f t="shared" si="21"/>
        <v>8310</v>
      </c>
      <c r="AT36" s="218">
        <f t="shared" si="21"/>
        <v>11919</v>
      </c>
      <c r="AU36" s="219">
        <f t="shared" si="5"/>
        <v>1.4342960288808664</v>
      </c>
      <c r="AV36" s="218">
        <f t="shared" ref="AV36:AX49" si="25">SUM(F36+R36+AA36+AI36)</f>
        <v>0</v>
      </c>
      <c r="AW36" s="218">
        <f t="shared" si="25"/>
        <v>0</v>
      </c>
      <c r="AX36" s="218">
        <f t="shared" si="25"/>
        <v>0</v>
      </c>
      <c r="AY36" s="219"/>
      <c r="AZ36" s="220">
        <f t="shared" si="23"/>
        <v>8310</v>
      </c>
      <c r="BA36" s="220">
        <f t="shared" si="23"/>
        <v>8310</v>
      </c>
      <c r="BB36" s="220">
        <f t="shared" si="23"/>
        <v>11919</v>
      </c>
      <c r="BC36" s="221">
        <f t="shared" si="6"/>
        <v>1.4342960288808664</v>
      </c>
      <c r="BD36" s="222"/>
    </row>
    <row r="37" spans="1:56" ht="40.5" x14ac:dyDescent="0.3">
      <c r="A37" s="242" t="s">
        <v>466</v>
      </c>
      <c r="B37" s="218">
        <v>16877</v>
      </c>
      <c r="C37" s="218">
        <v>16877</v>
      </c>
      <c r="D37" s="218">
        <v>16877</v>
      </c>
      <c r="E37" s="219">
        <v>0</v>
      </c>
      <c r="F37" s="218"/>
      <c r="G37" s="218"/>
      <c r="H37" s="218"/>
      <c r="I37" s="219"/>
      <c r="J37" s="225"/>
      <c r="K37" s="225"/>
      <c r="L37" s="218"/>
      <c r="M37" s="219"/>
      <c r="N37" s="223"/>
      <c r="O37" s="223"/>
      <c r="P37" s="218"/>
      <c r="Q37" s="219"/>
      <c r="R37" s="223"/>
      <c r="S37" s="223"/>
      <c r="T37" s="218"/>
      <c r="U37" s="219"/>
      <c r="V37" s="242" t="s">
        <v>466</v>
      </c>
      <c r="W37" s="223"/>
      <c r="X37" s="223"/>
      <c r="Y37" s="218"/>
      <c r="Z37" s="219"/>
      <c r="AA37" s="223"/>
      <c r="AB37" s="223"/>
      <c r="AC37" s="218"/>
      <c r="AD37" s="219"/>
      <c r="AE37" s="223"/>
      <c r="AF37" s="223"/>
      <c r="AG37" s="218"/>
      <c r="AH37" s="219"/>
      <c r="AI37" s="223"/>
      <c r="AJ37" s="223"/>
      <c r="AK37" s="218"/>
      <c r="AL37" s="219"/>
      <c r="AM37" s="223"/>
      <c r="AN37" s="223"/>
      <c r="AO37" s="218"/>
      <c r="AP37" s="219"/>
      <c r="AQ37" s="242" t="s">
        <v>466</v>
      </c>
      <c r="AR37" s="218">
        <f t="shared" si="21"/>
        <v>16877</v>
      </c>
      <c r="AS37" s="218">
        <f t="shared" si="21"/>
        <v>16877</v>
      </c>
      <c r="AT37" s="218">
        <f t="shared" si="21"/>
        <v>16877</v>
      </c>
      <c r="AU37" s="219">
        <f t="shared" si="5"/>
        <v>1</v>
      </c>
      <c r="AV37" s="218">
        <f t="shared" si="25"/>
        <v>0</v>
      </c>
      <c r="AW37" s="218">
        <f t="shared" si="25"/>
        <v>0</v>
      </c>
      <c r="AX37" s="218">
        <f t="shared" si="25"/>
        <v>0</v>
      </c>
      <c r="AY37" s="219">
        <v>0</v>
      </c>
      <c r="AZ37" s="220">
        <f t="shared" si="23"/>
        <v>16877</v>
      </c>
      <c r="BA37" s="220">
        <f t="shared" si="23"/>
        <v>16877</v>
      </c>
      <c r="BB37" s="220">
        <f t="shared" si="23"/>
        <v>16877</v>
      </c>
      <c r="BC37" s="221">
        <f t="shared" si="6"/>
        <v>1</v>
      </c>
      <c r="BD37" s="222"/>
    </row>
    <row r="38" spans="1:56" ht="162" x14ac:dyDescent="0.3">
      <c r="A38" s="242" t="s">
        <v>481</v>
      </c>
      <c r="B38" s="218"/>
      <c r="C38" s="218"/>
      <c r="D38" s="218"/>
      <c r="E38" s="219"/>
      <c r="F38" s="218"/>
      <c r="G38" s="218"/>
      <c r="H38" s="218"/>
      <c r="I38" s="219"/>
      <c r="J38" s="225"/>
      <c r="K38" s="225"/>
      <c r="L38" s="218"/>
      <c r="M38" s="219"/>
      <c r="N38" s="223"/>
      <c r="O38" s="223"/>
      <c r="P38" s="218"/>
      <c r="Q38" s="219"/>
      <c r="R38" s="225">
        <v>11214</v>
      </c>
      <c r="S38" s="225">
        <v>11214</v>
      </c>
      <c r="T38" s="218">
        <v>4211</v>
      </c>
      <c r="U38" s="219">
        <f t="shared" ref="U38" si="26">T38/S38</f>
        <v>0.37551275191724631</v>
      </c>
      <c r="V38" s="242" t="s">
        <v>467</v>
      </c>
      <c r="W38" s="223"/>
      <c r="X38" s="223"/>
      <c r="Y38" s="218"/>
      <c r="Z38" s="219"/>
      <c r="AA38" s="223"/>
      <c r="AB38" s="223"/>
      <c r="AC38" s="218"/>
      <c r="AD38" s="219"/>
      <c r="AE38" s="223"/>
      <c r="AF38" s="223"/>
      <c r="AG38" s="218"/>
      <c r="AH38" s="219"/>
      <c r="AI38" s="223"/>
      <c r="AJ38" s="223"/>
      <c r="AK38" s="218"/>
      <c r="AL38" s="219"/>
      <c r="AM38" s="223"/>
      <c r="AN38" s="223"/>
      <c r="AO38" s="218"/>
      <c r="AP38" s="219"/>
      <c r="AQ38" s="242" t="s">
        <v>467</v>
      </c>
      <c r="AR38" s="218">
        <f t="shared" si="21"/>
        <v>0</v>
      </c>
      <c r="AS38" s="218">
        <f t="shared" si="21"/>
        <v>0</v>
      </c>
      <c r="AT38" s="218">
        <f t="shared" si="21"/>
        <v>0</v>
      </c>
      <c r="AU38" s="219">
        <v>0</v>
      </c>
      <c r="AV38" s="218">
        <f t="shared" si="25"/>
        <v>11214</v>
      </c>
      <c r="AW38" s="218">
        <f t="shared" si="25"/>
        <v>11214</v>
      </c>
      <c r="AX38" s="218">
        <f t="shared" si="25"/>
        <v>4211</v>
      </c>
      <c r="AY38" s="219">
        <f t="shared" ref="AY38" si="27">AX38/AW38</f>
        <v>0.37551275191724631</v>
      </c>
      <c r="AZ38" s="220">
        <f t="shared" si="23"/>
        <v>11214</v>
      </c>
      <c r="BA38" s="220">
        <f t="shared" si="23"/>
        <v>11214</v>
      </c>
      <c r="BB38" s="220">
        <f t="shared" si="23"/>
        <v>4211</v>
      </c>
      <c r="BC38" s="221">
        <f t="shared" si="6"/>
        <v>0.37551275191724631</v>
      </c>
      <c r="BD38" s="222"/>
    </row>
    <row r="39" spans="1:56" x14ac:dyDescent="0.3">
      <c r="A39" s="242" t="s">
        <v>482</v>
      </c>
      <c r="B39" s="218"/>
      <c r="C39" s="218"/>
      <c r="D39" s="218"/>
      <c r="E39" s="219"/>
      <c r="F39" s="218"/>
      <c r="G39" s="218"/>
      <c r="H39" s="218"/>
      <c r="I39" s="219"/>
      <c r="J39" s="225"/>
      <c r="K39" s="225"/>
      <c r="L39" s="218"/>
      <c r="M39" s="219"/>
      <c r="N39" s="223"/>
      <c r="O39" s="223"/>
      <c r="P39" s="218"/>
      <c r="Q39" s="219"/>
      <c r="R39" s="225"/>
      <c r="S39" s="225"/>
      <c r="T39" s="218">
        <v>200</v>
      </c>
      <c r="U39" s="219">
        <v>0</v>
      </c>
      <c r="V39" s="242" t="s">
        <v>482</v>
      </c>
      <c r="W39" s="223"/>
      <c r="X39" s="223"/>
      <c r="Y39" s="218"/>
      <c r="Z39" s="219"/>
      <c r="AA39" s="223"/>
      <c r="AB39" s="223"/>
      <c r="AC39" s="218"/>
      <c r="AD39" s="219"/>
      <c r="AE39" s="223"/>
      <c r="AF39" s="223"/>
      <c r="AG39" s="218"/>
      <c r="AH39" s="219"/>
      <c r="AI39" s="223"/>
      <c r="AJ39" s="223"/>
      <c r="AK39" s="218"/>
      <c r="AL39" s="219"/>
      <c r="AM39" s="223"/>
      <c r="AN39" s="223"/>
      <c r="AO39" s="218"/>
      <c r="AP39" s="219"/>
      <c r="AQ39" s="242" t="s">
        <v>482</v>
      </c>
      <c r="AR39" s="218">
        <f t="shared" ref="AR39" si="28">SUM(B39+J39+N39+W39+AE39+AM39)</f>
        <v>0</v>
      </c>
      <c r="AS39" s="218">
        <f t="shared" ref="AS39" si="29">SUM(C39+K39+O39+X39+AF39+AN39)</f>
        <v>0</v>
      </c>
      <c r="AT39" s="218">
        <f t="shared" ref="AT39" si="30">SUM(D39+L39+P39+Y39+AG39+AO39)</f>
        <v>0</v>
      </c>
      <c r="AU39" s="219">
        <v>1</v>
      </c>
      <c r="AV39" s="218">
        <f t="shared" ref="AV39" si="31">SUM(F39+R39+AA39+AI39)</f>
        <v>0</v>
      </c>
      <c r="AW39" s="218">
        <f t="shared" ref="AW39" si="32">SUM(G39+S39+AB39+AJ39)</f>
        <v>0</v>
      </c>
      <c r="AX39" s="218">
        <f t="shared" ref="AX39" si="33">SUM(H39+T39+AC39+AK39)</f>
        <v>200</v>
      </c>
      <c r="AY39" s="219">
        <v>0</v>
      </c>
      <c r="AZ39" s="220">
        <f t="shared" ref="AZ39" si="34">SUM(B39+F39+J39+N39+R39+W39+AA39+AE39+AI39+AM39)</f>
        <v>0</v>
      </c>
      <c r="BA39" s="220">
        <f t="shared" ref="BA39" si="35">SUM(C39+G39+K39+O39+S39+X39+AB39+AF39+AJ39+AN39)</f>
        <v>0</v>
      </c>
      <c r="BB39" s="220">
        <f t="shared" ref="BB39" si="36">SUM(D39+H39+L39+P39+T39+Y39+AC39+AG39+AK39+AO39)</f>
        <v>200</v>
      </c>
      <c r="BC39" s="221">
        <v>0</v>
      </c>
      <c r="BD39" s="222"/>
    </row>
    <row r="40" spans="1:56" x14ac:dyDescent="0.3">
      <c r="A40" s="242" t="s">
        <v>468</v>
      </c>
      <c r="B40" s="218"/>
      <c r="C40" s="218"/>
      <c r="D40" s="218"/>
      <c r="E40" s="219"/>
      <c r="F40" s="218"/>
      <c r="G40" s="218"/>
      <c r="H40" s="218"/>
      <c r="I40" s="219"/>
      <c r="J40" s="225"/>
      <c r="K40" s="225"/>
      <c r="L40" s="218"/>
      <c r="M40" s="219"/>
      <c r="N40" s="225">
        <v>845</v>
      </c>
      <c r="O40" s="225">
        <v>845</v>
      </c>
      <c r="P40" s="218">
        <v>741</v>
      </c>
      <c r="Q40" s="219">
        <f t="shared" ref="Q40" si="37">P40/O40</f>
        <v>0.87692307692307692</v>
      </c>
      <c r="R40" s="223"/>
      <c r="S40" s="223"/>
      <c r="T40" s="218"/>
      <c r="U40" s="219"/>
      <c r="V40" s="242" t="s">
        <v>468</v>
      </c>
      <c r="W40" s="223"/>
      <c r="X40" s="223"/>
      <c r="Y40" s="218"/>
      <c r="Z40" s="219"/>
      <c r="AA40" s="223"/>
      <c r="AB40" s="223"/>
      <c r="AC40" s="218"/>
      <c r="AD40" s="219"/>
      <c r="AE40" s="223"/>
      <c r="AF40" s="223"/>
      <c r="AG40" s="218"/>
      <c r="AH40" s="219"/>
      <c r="AI40" s="223"/>
      <c r="AJ40" s="223"/>
      <c r="AK40" s="218"/>
      <c r="AL40" s="219"/>
      <c r="AM40" s="223"/>
      <c r="AN40" s="223"/>
      <c r="AO40" s="218"/>
      <c r="AP40" s="219"/>
      <c r="AQ40" s="242" t="s">
        <v>468</v>
      </c>
      <c r="AR40" s="218">
        <f t="shared" si="21"/>
        <v>845</v>
      </c>
      <c r="AS40" s="218">
        <f t="shared" si="21"/>
        <v>845</v>
      </c>
      <c r="AT40" s="218">
        <f t="shared" si="21"/>
        <v>741</v>
      </c>
      <c r="AU40" s="219">
        <f t="shared" si="5"/>
        <v>0.87692307692307692</v>
      </c>
      <c r="AV40" s="218">
        <f t="shared" si="25"/>
        <v>0</v>
      </c>
      <c r="AW40" s="218">
        <f t="shared" si="25"/>
        <v>0</v>
      </c>
      <c r="AX40" s="218">
        <f t="shared" si="25"/>
        <v>0</v>
      </c>
      <c r="AY40" s="219">
        <v>0</v>
      </c>
      <c r="AZ40" s="220">
        <f t="shared" si="23"/>
        <v>845</v>
      </c>
      <c r="BA40" s="220">
        <f t="shared" si="23"/>
        <v>845</v>
      </c>
      <c r="BB40" s="220">
        <f t="shared" si="23"/>
        <v>741</v>
      </c>
      <c r="BC40" s="221">
        <f t="shared" si="6"/>
        <v>0.87692307692307692</v>
      </c>
      <c r="BD40" s="222"/>
    </row>
    <row r="41" spans="1:56" x14ac:dyDescent="0.3">
      <c r="A41" s="242" t="s">
        <v>469</v>
      </c>
      <c r="B41" s="218"/>
      <c r="C41" s="218">
        <v>2000</v>
      </c>
      <c r="D41" s="218">
        <v>1962</v>
      </c>
      <c r="E41" s="219">
        <f t="shared" ref="E41:E42" si="38">SUM(D41/C41)</f>
        <v>0.98099999999999998</v>
      </c>
      <c r="F41" s="218"/>
      <c r="G41" s="218"/>
      <c r="H41" s="218"/>
      <c r="I41" s="219"/>
      <c r="J41" s="225"/>
      <c r="K41" s="225"/>
      <c r="L41" s="218"/>
      <c r="M41" s="219"/>
      <c r="N41" s="223"/>
      <c r="O41" s="223"/>
      <c r="P41" s="218"/>
      <c r="Q41" s="219"/>
      <c r="R41" s="223"/>
      <c r="S41" s="223"/>
      <c r="T41" s="218"/>
      <c r="U41" s="219"/>
      <c r="V41" s="242" t="s">
        <v>469</v>
      </c>
      <c r="W41" s="223"/>
      <c r="X41" s="223"/>
      <c r="Y41" s="218"/>
      <c r="Z41" s="219"/>
      <c r="AA41" s="223"/>
      <c r="AB41" s="223"/>
      <c r="AC41" s="218"/>
      <c r="AD41" s="219"/>
      <c r="AE41" s="223"/>
      <c r="AF41" s="223"/>
      <c r="AG41" s="218"/>
      <c r="AH41" s="219"/>
      <c r="AI41" s="223"/>
      <c r="AJ41" s="223"/>
      <c r="AK41" s="218"/>
      <c r="AL41" s="219"/>
      <c r="AM41" s="223"/>
      <c r="AN41" s="223"/>
      <c r="AO41" s="218"/>
      <c r="AP41" s="219"/>
      <c r="AQ41" s="242" t="s">
        <v>469</v>
      </c>
      <c r="AR41" s="218">
        <f t="shared" si="21"/>
        <v>0</v>
      </c>
      <c r="AS41" s="218">
        <f t="shared" si="21"/>
        <v>2000</v>
      </c>
      <c r="AT41" s="218">
        <f t="shared" si="21"/>
        <v>1962</v>
      </c>
      <c r="AU41" s="219">
        <f t="shared" si="5"/>
        <v>0.98099999999999998</v>
      </c>
      <c r="AV41" s="218">
        <f t="shared" si="25"/>
        <v>0</v>
      </c>
      <c r="AW41" s="218">
        <f t="shared" si="25"/>
        <v>0</v>
      </c>
      <c r="AX41" s="218">
        <f t="shared" si="25"/>
        <v>0</v>
      </c>
      <c r="AY41" s="219">
        <v>1</v>
      </c>
      <c r="AZ41" s="220">
        <f t="shared" si="23"/>
        <v>0</v>
      </c>
      <c r="BA41" s="220">
        <f t="shared" si="23"/>
        <v>2000</v>
      </c>
      <c r="BB41" s="220">
        <f t="shared" si="23"/>
        <v>1962</v>
      </c>
      <c r="BC41" s="221">
        <f t="shared" si="6"/>
        <v>0.98099999999999998</v>
      </c>
      <c r="BD41" s="222"/>
    </row>
    <row r="42" spans="1:56" x14ac:dyDescent="0.3">
      <c r="A42" s="242" t="s">
        <v>470</v>
      </c>
      <c r="B42" s="218"/>
      <c r="C42" s="218">
        <v>50</v>
      </c>
      <c r="D42" s="218">
        <v>50</v>
      </c>
      <c r="E42" s="219">
        <f t="shared" si="38"/>
        <v>1</v>
      </c>
      <c r="F42" s="218"/>
      <c r="G42" s="218"/>
      <c r="H42" s="218"/>
      <c r="I42" s="219"/>
      <c r="J42" s="225"/>
      <c r="K42" s="225"/>
      <c r="L42" s="218"/>
      <c r="M42" s="219"/>
      <c r="N42" s="223"/>
      <c r="O42" s="223"/>
      <c r="P42" s="218"/>
      <c r="Q42" s="219"/>
      <c r="R42" s="223"/>
      <c r="S42" s="223"/>
      <c r="T42" s="218"/>
      <c r="U42" s="219"/>
      <c r="V42" s="242" t="s">
        <v>470</v>
      </c>
      <c r="W42" s="223"/>
      <c r="X42" s="223"/>
      <c r="Y42" s="218"/>
      <c r="Z42" s="219"/>
      <c r="AA42" s="223"/>
      <c r="AB42" s="223"/>
      <c r="AC42" s="218"/>
      <c r="AD42" s="219"/>
      <c r="AE42" s="223"/>
      <c r="AF42" s="223"/>
      <c r="AG42" s="218"/>
      <c r="AH42" s="219"/>
      <c r="AI42" s="223"/>
      <c r="AJ42" s="223"/>
      <c r="AK42" s="218"/>
      <c r="AL42" s="219"/>
      <c r="AM42" s="223"/>
      <c r="AN42" s="223"/>
      <c r="AO42" s="218"/>
      <c r="AP42" s="219"/>
      <c r="AQ42" s="242" t="s">
        <v>470</v>
      </c>
      <c r="AR42" s="218">
        <f t="shared" si="21"/>
        <v>0</v>
      </c>
      <c r="AS42" s="218">
        <f t="shared" si="21"/>
        <v>50</v>
      </c>
      <c r="AT42" s="218">
        <f t="shared" si="21"/>
        <v>50</v>
      </c>
      <c r="AU42" s="219">
        <f t="shared" si="5"/>
        <v>1</v>
      </c>
      <c r="AV42" s="218">
        <f t="shared" si="25"/>
        <v>0</v>
      </c>
      <c r="AW42" s="218">
        <f t="shared" si="25"/>
        <v>0</v>
      </c>
      <c r="AX42" s="218">
        <f t="shared" si="25"/>
        <v>0</v>
      </c>
      <c r="AY42" s="219">
        <v>2</v>
      </c>
      <c r="AZ42" s="220">
        <f t="shared" si="23"/>
        <v>0</v>
      </c>
      <c r="BA42" s="220">
        <f t="shared" si="23"/>
        <v>50</v>
      </c>
      <c r="BB42" s="220">
        <f t="shared" si="23"/>
        <v>50</v>
      </c>
      <c r="BC42" s="221">
        <f t="shared" si="6"/>
        <v>1</v>
      </c>
      <c r="BD42" s="222"/>
    </row>
    <row r="43" spans="1:56" ht="40.5" x14ac:dyDescent="0.3">
      <c r="A43" s="217" t="s">
        <v>476</v>
      </c>
      <c r="B43" s="218"/>
      <c r="C43" s="218"/>
      <c r="D43" s="218"/>
      <c r="E43" s="219"/>
      <c r="F43" s="218"/>
      <c r="G43" s="218">
        <v>28000</v>
      </c>
      <c r="H43" s="218">
        <v>28000</v>
      </c>
      <c r="I43" s="219">
        <f t="shared" ref="I43:I44" si="39">SUM(H43/G43)</f>
        <v>1</v>
      </c>
      <c r="J43" s="225"/>
      <c r="K43" s="225"/>
      <c r="L43" s="218"/>
      <c r="M43" s="219"/>
      <c r="N43" s="223"/>
      <c r="O43" s="223"/>
      <c r="P43" s="218"/>
      <c r="Q43" s="219"/>
      <c r="R43" s="223"/>
      <c r="S43" s="223"/>
      <c r="T43" s="218"/>
      <c r="U43" s="219"/>
      <c r="V43" s="217" t="s">
        <v>476</v>
      </c>
      <c r="W43" s="223"/>
      <c r="X43" s="223"/>
      <c r="Y43" s="218"/>
      <c r="Z43" s="219"/>
      <c r="AA43" s="223"/>
      <c r="AB43" s="223"/>
      <c r="AC43" s="218"/>
      <c r="AD43" s="219"/>
      <c r="AE43" s="223"/>
      <c r="AF43" s="223"/>
      <c r="AG43" s="218"/>
      <c r="AH43" s="219"/>
      <c r="AI43" s="223"/>
      <c r="AJ43" s="223"/>
      <c r="AK43" s="218"/>
      <c r="AL43" s="219"/>
      <c r="AM43" s="223"/>
      <c r="AN43" s="223"/>
      <c r="AO43" s="218"/>
      <c r="AP43" s="219"/>
      <c r="AQ43" s="217" t="s">
        <v>476</v>
      </c>
      <c r="AR43" s="218">
        <f t="shared" ref="AR43:AR45" si="40">SUM(B43+J43+N43+W43+AE43+AM43)</f>
        <v>0</v>
      </c>
      <c r="AS43" s="218">
        <f t="shared" ref="AS43:AS45" si="41">SUM(C43+K43+O43+X43+AF43+AN43)</f>
        <v>0</v>
      </c>
      <c r="AT43" s="218">
        <f t="shared" ref="AT43:AT45" si="42">SUM(D43+L43+P43+Y43+AG43+AO43)</f>
        <v>0</v>
      </c>
      <c r="AU43" s="219">
        <v>0</v>
      </c>
      <c r="AV43" s="218">
        <f t="shared" ref="AV43:AV45" si="43">SUM(F43+R43+AA43+AI43)</f>
        <v>0</v>
      </c>
      <c r="AW43" s="218">
        <f t="shared" ref="AW43:AW45" si="44">SUM(G43+S43+AB43+AJ43)</f>
        <v>28000</v>
      </c>
      <c r="AX43" s="218">
        <f t="shared" ref="AX43:AX45" si="45">SUM(H43+T43+AC43+AK43)</f>
        <v>28000</v>
      </c>
      <c r="AY43" s="219">
        <v>3</v>
      </c>
      <c r="AZ43" s="220">
        <f t="shared" ref="AZ43:AZ45" si="46">SUM(B43+F43+J43+N43+R43+W43+AA43+AE43+AI43+AM43)</f>
        <v>0</v>
      </c>
      <c r="BA43" s="220">
        <f t="shared" ref="BA43:BA45" si="47">SUM(C43+G43+K43+O43+S43+X43+AB43+AF43+AJ43+AN43)</f>
        <v>28000</v>
      </c>
      <c r="BB43" s="220">
        <f t="shared" ref="BB43:BB45" si="48">SUM(D43+H43+L43+P43+T43+Y43+AC43+AG43+AK43+AO43)</f>
        <v>28000</v>
      </c>
      <c r="BC43" s="221">
        <f t="shared" ref="BC43:BC45" si="49">BB43/BA43</f>
        <v>1</v>
      </c>
      <c r="BD43" s="222"/>
    </row>
    <row r="44" spans="1:56" ht="40.5" x14ac:dyDescent="0.3">
      <c r="A44" s="217" t="s">
        <v>477</v>
      </c>
      <c r="B44" s="218"/>
      <c r="C44" s="218"/>
      <c r="D44" s="218"/>
      <c r="E44" s="219"/>
      <c r="F44" s="218"/>
      <c r="G44" s="218">
        <v>20606</v>
      </c>
      <c r="H44" s="218">
        <v>20606</v>
      </c>
      <c r="I44" s="219">
        <f t="shared" si="39"/>
        <v>1</v>
      </c>
      <c r="J44" s="225"/>
      <c r="K44" s="225"/>
      <c r="L44" s="218"/>
      <c r="M44" s="219"/>
      <c r="N44" s="223"/>
      <c r="O44" s="223"/>
      <c r="P44" s="218"/>
      <c r="Q44" s="219"/>
      <c r="R44" s="223"/>
      <c r="S44" s="223"/>
      <c r="T44" s="218"/>
      <c r="U44" s="219"/>
      <c r="V44" s="217" t="s">
        <v>477</v>
      </c>
      <c r="W44" s="223"/>
      <c r="X44" s="223"/>
      <c r="Y44" s="218"/>
      <c r="Z44" s="219"/>
      <c r="AA44" s="223"/>
      <c r="AB44" s="223"/>
      <c r="AC44" s="218"/>
      <c r="AD44" s="219"/>
      <c r="AE44" s="223"/>
      <c r="AF44" s="223"/>
      <c r="AG44" s="218"/>
      <c r="AH44" s="219"/>
      <c r="AI44" s="223"/>
      <c r="AJ44" s="223"/>
      <c r="AK44" s="218"/>
      <c r="AL44" s="219"/>
      <c r="AM44" s="223"/>
      <c r="AN44" s="223"/>
      <c r="AO44" s="218"/>
      <c r="AP44" s="219"/>
      <c r="AQ44" s="217" t="s">
        <v>477</v>
      </c>
      <c r="AR44" s="218">
        <f t="shared" si="40"/>
        <v>0</v>
      </c>
      <c r="AS44" s="218">
        <f t="shared" si="41"/>
        <v>0</v>
      </c>
      <c r="AT44" s="218">
        <f t="shared" si="42"/>
        <v>0</v>
      </c>
      <c r="AU44" s="219">
        <v>0</v>
      </c>
      <c r="AV44" s="218">
        <f t="shared" si="43"/>
        <v>0</v>
      </c>
      <c r="AW44" s="218">
        <f t="shared" si="44"/>
        <v>20606</v>
      </c>
      <c r="AX44" s="218">
        <f t="shared" si="45"/>
        <v>20606</v>
      </c>
      <c r="AY44" s="219">
        <v>4</v>
      </c>
      <c r="AZ44" s="220">
        <f t="shared" si="46"/>
        <v>0</v>
      </c>
      <c r="BA44" s="220">
        <f t="shared" si="47"/>
        <v>20606</v>
      </c>
      <c r="BB44" s="220">
        <f t="shared" si="48"/>
        <v>20606</v>
      </c>
      <c r="BC44" s="221">
        <f t="shared" si="49"/>
        <v>1</v>
      </c>
      <c r="BD44" s="222"/>
    </row>
    <row r="45" spans="1:56" ht="40.5" x14ac:dyDescent="0.3">
      <c r="A45" s="217" t="s">
        <v>478</v>
      </c>
      <c r="B45" s="218"/>
      <c r="C45" s="218"/>
      <c r="D45" s="218"/>
      <c r="E45" s="219"/>
      <c r="F45" s="218"/>
      <c r="G45" s="218"/>
      <c r="H45" s="218"/>
      <c r="I45" s="219"/>
      <c r="J45" s="225"/>
      <c r="K45" s="225"/>
      <c r="L45" s="218"/>
      <c r="M45" s="219"/>
      <c r="N45" s="223"/>
      <c r="O45" s="223"/>
      <c r="P45" s="218"/>
      <c r="Q45" s="219"/>
      <c r="R45" s="223"/>
      <c r="S45" s="223"/>
      <c r="T45" s="218"/>
      <c r="U45" s="219"/>
      <c r="V45" s="217" t="s">
        <v>478</v>
      </c>
      <c r="W45" s="223"/>
      <c r="X45" s="223"/>
      <c r="Y45" s="218"/>
      <c r="Z45" s="219"/>
      <c r="AA45" s="223"/>
      <c r="AB45" s="223">
        <v>2000</v>
      </c>
      <c r="AC45" s="251">
        <v>2000</v>
      </c>
      <c r="AD45" s="252">
        <f t="shared" ref="AD45:AD47" si="50">AC45/AB45</f>
        <v>1</v>
      </c>
      <c r="AE45" s="223"/>
      <c r="AF45" s="223"/>
      <c r="AG45" s="218"/>
      <c r="AH45" s="219"/>
      <c r="AI45" s="223"/>
      <c r="AJ45" s="223"/>
      <c r="AK45" s="218"/>
      <c r="AL45" s="219"/>
      <c r="AM45" s="223"/>
      <c r="AN45" s="223"/>
      <c r="AO45" s="218"/>
      <c r="AP45" s="219"/>
      <c r="AQ45" s="217" t="s">
        <v>478</v>
      </c>
      <c r="AR45" s="218">
        <f t="shared" si="40"/>
        <v>0</v>
      </c>
      <c r="AS45" s="218">
        <f t="shared" si="41"/>
        <v>0</v>
      </c>
      <c r="AT45" s="218">
        <f t="shared" si="42"/>
        <v>0</v>
      </c>
      <c r="AU45" s="219">
        <v>0</v>
      </c>
      <c r="AV45" s="218">
        <f t="shared" si="43"/>
        <v>0</v>
      </c>
      <c r="AW45" s="218">
        <f t="shared" si="44"/>
        <v>2000</v>
      </c>
      <c r="AX45" s="218">
        <f t="shared" si="45"/>
        <v>2000</v>
      </c>
      <c r="AY45" s="219">
        <v>5</v>
      </c>
      <c r="AZ45" s="220">
        <f t="shared" si="46"/>
        <v>0</v>
      </c>
      <c r="BA45" s="220">
        <f t="shared" si="47"/>
        <v>2000</v>
      </c>
      <c r="BB45" s="220">
        <f t="shared" si="48"/>
        <v>2000</v>
      </c>
      <c r="BC45" s="221">
        <f t="shared" si="49"/>
        <v>1</v>
      </c>
      <c r="BD45" s="222"/>
    </row>
    <row r="46" spans="1:56" x14ac:dyDescent="0.3">
      <c r="A46" s="242" t="s">
        <v>471</v>
      </c>
      <c r="B46" s="218"/>
      <c r="C46" s="218"/>
      <c r="D46" s="218"/>
      <c r="E46" s="219"/>
      <c r="F46" s="218"/>
      <c r="G46" s="218"/>
      <c r="H46" s="218"/>
      <c r="I46" s="219"/>
      <c r="J46" s="225"/>
      <c r="K46" s="225"/>
      <c r="L46" s="218"/>
      <c r="M46" s="219"/>
      <c r="N46" s="223"/>
      <c r="O46" s="223"/>
      <c r="P46" s="218"/>
      <c r="Q46" s="219"/>
      <c r="R46" s="223"/>
      <c r="S46" s="223"/>
      <c r="T46" s="218"/>
      <c r="U46" s="219"/>
      <c r="V46" s="242" t="s">
        <v>471</v>
      </c>
      <c r="W46" s="223"/>
      <c r="X46" s="223"/>
      <c r="Y46" s="218"/>
      <c r="Z46" s="219"/>
      <c r="AA46" s="223"/>
      <c r="AB46" s="225">
        <v>367</v>
      </c>
      <c r="AC46" s="218">
        <v>372</v>
      </c>
      <c r="AD46" s="219">
        <f t="shared" si="50"/>
        <v>1.013623978201635</v>
      </c>
      <c r="AE46" s="223"/>
      <c r="AF46" s="223"/>
      <c r="AG46" s="218"/>
      <c r="AH46" s="219"/>
      <c r="AI46" s="223"/>
      <c r="AJ46" s="223"/>
      <c r="AK46" s="218"/>
      <c r="AL46" s="219"/>
      <c r="AM46" s="223"/>
      <c r="AN46" s="223"/>
      <c r="AO46" s="218"/>
      <c r="AP46" s="219"/>
      <c r="AQ46" s="242" t="s">
        <v>471</v>
      </c>
      <c r="AR46" s="218">
        <f t="shared" si="21"/>
        <v>0</v>
      </c>
      <c r="AS46" s="218">
        <f t="shared" si="21"/>
        <v>0</v>
      </c>
      <c r="AT46" s="218">
        <f t="shared" si="21"/>
        <v>0</v>
      </c>
      <c r="AU46" s="219">
        <v>0</v>
      </c>
      <c r="AV46" s="218">
        <f t="shared" si="25"/>
        <v>0</v>
      </c>
      <c r="AW46" s="218">
        <f t="shared" si="25"/>
        <v>367</v>
      </c>
      <c r="AX46" s="218">
        <f t="shared" si="25"/>
        <v>372</v>
      </c>
      <c r="AY46" s="219">
        <v>3</v>
      </c>
      <c r="AZ46" s="220">
        <f t="shared" si="23"/>
        <v>0</v>
      </c>
      <c r="BA46" s="220">
        <f t="shared" si="23"/>
        <v>367</v>
      </c>
      <c r="BB46" s="220">
        <f t="shared" si="23"/>
        <v>372</v>
      </c>
      <c r="BC46" s="221">
        <f t="shared" si="6"/>
        <v>1.013623978201635</v>
      </c>
      <c r="BD46" s="222"/>
    </row>
    <row r="47" spans="1:56" x14ac:dyDescent="0.3">
      <c r="A47" s="245" t="s">
        <v>479</v>
      </c>
      <c r="B47" s="218"/>
      <c r="C47" s="218"/>
      <c r="D47" s="218"/>
      <c r="E47" s="219"/>
      <c r="F47" s="218"/>
      <c r="G47" s="218"/>
      <c r="H47" s="218"/>
      <c r="I47" s="219"/>
      <c r="J47" s="225"/>
      <c r="K47" s="225"/>
      <c r="L47" s="218"/>
      <c r="M47" s="219"/>
      <c r="N47" s="223"/>
      <c r="O47" s="223"/>
      <c r="P47" s="218"/>
      <c r="Q47" s="219"/>
      <c r="R47" s="223"/>
      <c r="S47" s="223"/>
      <c r="T47" s="218"/>
      <c r="U47" s="219"/>
      <c r="V47" s="245" t="s">
        <v>479</v>
      </c>
      <c r="W47" s="223"/>
      <c r="X47" s="223"/>
      <c r="Y47" s="218"/>
      <c r="Z47" s="219"/>
      <c r="AA47" s="223"/>
      <c r="AB47" s="223">
        <v>4675</v>
      </c>
      <c r="AC47" s="218">
        <v>5002</v>
      </c>
      <c r="AD47" s="219">
        <f t="shared" si="50"/>
        <v>1.0699465240641712</v>
      </c>
      <c r="AE47" s="223"/>
      <c r="AF47" s="223"/>
      <c r="AG47" s="218"/>
      <c r="AH47" s="219"/>
      <c r="AI47" s="223"/>
      <c r="AJ47" s="223"/>
      <c r="AK47" s="218"/>
      <c r="AL47" s="219"/>
      <c r="AM47" s="223"/>
      <c r="AN47" s="223"/>
      <c r="AO47" s="218"/>
      <c r="AP47" s="219"/>
      <c r="AQ47" s="245" t="s">
        <v>479</v>
      </c>
      <c r="AR47" s="218">
        <f t="shared" si="21"/>
        <v>0</v>
      </c>
      <c r="AS47" s="218">
        <f t="shared" si="21"/>
        <v>0</v>
      </c>
      <c r="AT47" s="218">
        <f t="shared" si="21"/>
        <v>0</v>
      </c>
      <c r="AU47" s="219">
        <v>0</v>
      </c>
      <c r="AV47" s="218">
        <f t="shared" si="25"/>
        <v>0</v>
      </c>
      <c r="AW47" s="218">
        <f t="shared" si="25"/>
        <v>4675</v>
      </c>
      <c r="AX47" s="218">
        <f t="shared" si="25"/>
        <v>5002</v>
      </c>
      <c r="AY47" s="219">
        <v>1</v>
      </c>
      <c r="AZ47" s="220">
        <f t="shared" si="23"/>
        <v>0</v>
      </c>
      <c r="BA47" s="220">
        <f t="shared" si="23"/>
        <v>4675</v>
      </c>
      <c r="BB47" s="220">
        <f t="shared" si="23"/>
        <v>5002</v>
      </c>
      <c r="BC47" s="221">
        <v>0</v>
      </c>
      <c r="BD47" s="222"/>
    </row>
    <row r="48" spans="1:56" x14ac:dyDescent="0.3">
      <c r="A48" s="246" t="s">
        <v>483</v>
      </c>
      <c r="B48" s="247"/>
      <c r="C48" s="247"/>
      <c r="D48" s="247"/>
      <c r="E48" s="248"/>
      <c r="F48" s="247"/>
      <c r="G48" s="247"/>
      <c r="H48" s="247"/>
      <c r="I48" s="248"/>
      <c r="J48" s="249"/>
      <c r="K48" s="249"/>
      <c r="L48" s="247"/>
      <c r="M48" s="248"/>
      <c r="N48" s="250"/>
      <c r="O48" s="250"/>
      <c r="P48" s="247"/>
      <c r="Q48" s="248"/>
      <c r="R48" s="250"/>
      <c r="S48" s="250"/>
      <c r="T48" s="247"/>
      <c r="U48" s="248"/>
      <c r="V48" s="246" t="s">
        <v>483</v>
      </c>
      <c r="W48" s="250"/>
      <c r="X48" s="250"/>
      <c r="Y48" s="247"/>
      <c r="Z48" s="248"/>
      <c r="AA48" s="250"/>
      <c r="AB48" s="250"/>
      <c r="AC48" s="247">
        <v>5</v>
      </c>
      <c r="AD48" s="248">
        <v>0</v>
      </c>
      <c r="AE48" s="250"/>
      <c r="AF48" s="250"/>
      <c r="AG48" s="247"/>
      <c r="AH48" s="253"/>
      <c r="AI48" s="250"/>
      <c r="AJ48" s="250"/>
      <c r="AK48" s="247"/>
      <c r="AL48" s="253"/>
      <c r="AM48" s="250"/>
      <c r="AN48" s="250"/>
      <c r="AO48" s="247"/>
      <c r="AP48" s="248"/>
      <c r="AQ48" s="246" t="s">
        <v>483</v>
      </c>
      <c r="AR48" s="218">
        <f t="shared" ref="AR48" si="51">SUM(B48+J48+N48+W48+AE48+AM48)</f>
        <v>0</v>
      </c>
      <c r="AS48" s="218">
        <f t="shared" ref="AS48" si="52">SUM(C48+K48+O48+X48+AF48+AN48)</f>
        <v>0</v>
      </c>
      <c r="AT48" s="218">
        <f t="shared" ref="AT48" si="53">SUM(D48+L48+P48+Y48+AG48+AO48)</f>
        <v>0</v>
      </c>
      <c r="AU48" s="219">
        <v>0</v>
      </c>
      <c r="AV48" s="218">
        <f t="shared" ref="AV48" si="54">SUM(F48+R48+AA48+AI48)</f>
        <v>0</v>
      </c>
      <c r="AW48" s="218">
        <f t="shared" ref="AW48" si="55">SUM(G48+S48+AB48+AJ48)</f>
        <v>0</v>
      </c>
      <c r="AX48" s="218">
        <f t="shared" ref="AX48" si="56">SUM(H48+T48+AC48+AK48)</f>
        <v>5</v>
      </c>
      <c r="AY48" s="219">
        <v>0</v>
      </c>
      <c r="AZ48" s="220">
        <f t="shared" ref="AZ48" si="57">SUM(B48+F48+J48+N48+R48+W48+AA48+AE48+AI48+AM48)</f>
        <v>0</v>
      </c>
      <c r="BA48" s="220">
        <f t="shared" ref="BA48" si="58">SUM(C48+G48+K48+O48+S48+X48+AB48+AF48+AJ48+AN48)</f>
        <v>0</v>
      </c>
      <c r="BB48" s="220">
        <f t="shared" ref="BB48" si="59">SUM(D48+H48+L48+P48+T48+Y48+AC48+AG48+AK48+AO48)</f>
        <v>5</v>
      </c>
      <c r="BC48" s="221">
        <v>0</v>
      </c>
      <c r="BD48" s="222"/>
    </row>
    <row r="49" spans="1:56" s="231" customFormat="1" ht="21" thickBot="1" x14ac:dyDescent="0.35">
      <c r="A49" s="254" t="s">
        <v>459</v>
      </c>
      <c r="B49" s="255"/>
      <c r="C49" s="255"/>
      <c r="D49" s="255"/>
      <c r="E49" s="256"/>
      <c r="F49" s="257"/>
      <c r="G49" s="257"/>
      <c r="H49" s="255"/>
      <c r="I49" s="256"/>
      <c r="J49" s="257"/>
      <c r="K49" s="257"/>
      <c r="L49" s="255"/>
      <c r="M49" s="256"/>
      <c r="N49" s="258"/>
      <c r="O49" s="258"/>
      <c r="P49" s="255"/>
      <c r="Q49" s="256"/>
      <c r="R49" s="258"/>
      <c r="S49" s="258"/>
      <c r="T49" s="255"/>
      <c r="U49" s="256"/>
      <c r="V49" s="254" t="s">
        <v>459</v>
      </c>
      <c r="W49" s="258"/>
      <c r="X49" s="258"/>
      <c r="Y49" s="255"/>
      <c r="Z49" s="256"/>
      <c r="AA49" s="258"/>
      <c r="AB49" s="258"/>
      <c r="AC49" s="255"/>
      <c r="AD49" s="256"/>
      <c r="AE49" s="258">
        <v>133</v>
      </c>
      <c r="AF49" s="258">
        <v>133</v>
      </c>
      <c r="AG49" s="255">
        <v>133</v>
      </c>
      <c r="AH49" s="259">
        <f>AG49/AF49</f>
        <v>1</v>
      </c>
      <c r="AI49" s="258">
        <v>67347</v>
      </c>
      <c r="AJ49" s="258">
        <f>67347+3000+98</f>
        <v>70445</v>
      </c>
      <c r="AK49" s="255">
        <v>70445</v>
      </c>
      <c r="AL49" s="259">
        <f>AK49/AJ49</f>
        <v>1</v>
      </c>
      <c r="AM49" s="258"/>
      <c r="AN49" s="258"/>
      <c r="AO49" s="255"/>
      <c r="AP49" s="256"/>
      <c r="AQ49" s="254" t="s">
        <v>459</v>
      </c>
      <c r="AR49" s="255">
        <f>SUM(B49+J49+N49+W49+AE49+AM49)</f>
        <v>133</v>
      </c>
      <c r="AS49" s="255">
        <f>SUM(C49+K49+O49+X49+AF49+AN49)</f>
        <v>133</v>
      </c>
      <c r="AT49" s="255">
        <f>SUM(D49+L49+P49+Y49+AG49+AO49)</f>
        <v>133</v>
      </c>
      <c r="AU49" s="259">
        <f t="shared" si="5"/>
        <v>1</v>
      </c>
      <c r="AV49" s="255">
        <f t="shared" si="25"/>
        <v>67347</v>
      </c>
      <c r="AW49" s="255">
        <f t="shared" si="25"/>
        <v>70445</v>
      </c>
      <c r="AX49" s="255">
        <f t="shared" si="25"/>
        <v>70445</v>
      </c>
      <c r="AY49" s="259">
        <f t="shared" ref="AY49:AY51" si="60">AX49/AW49</f>
        <v>1</v>
      </c>
      <c r="AZ49" s="260">
        <f t="shared" si="23"/>
        <v>67480</v>
      </c>
      <c r="BA49" s="260">
        <f>SUM(C49+G49+K49+O49+S49+X49+AB49+AF49+AJ49+AN49)</f>
        <v>70578</v>
      </c>
      <c r="BB49" s="260">
        <f t="shared" si="23"/>
        <v>70578</v>
      </c>
      <c r="BC49" s="261">
        <f t="shared" si="6"/>
        <v>1</v>
      </c>
      <c r="BD49" s="230"/>
    </row>
    <row r="50" spans="1:56" s="236" customFormat="1" ht="21" thickBot="1" x14ac:dyDescent="0.35">
      <c r="A50" s="243" t="s">
        <v>472</v>
      </c>
      <c r="B50" s="233">
        <f>SUM(B32:B49)</f>
        <v>16877</v>
      </c>
      <c r="C50" s="233">
        <f>SUM(C32:C49)</f>
        <v>18927</v>
      </c>
      <c r="D50" s="233">
        <f>SUM(D32:D49)</f>
        <v>18889</v>
      </c>
      <c r="E50" s="234">
        <f t="shared" ref="E50:E51" si="61">D50/C50</f>
        <v>0.99799228615205793</v>
      </c>
      <c r="F50" s="233">
        <f>SUM(F32:F49)</f>
        <v>0</v>
      </c>
      <c r="G50" s="233">
        <f>SUM(G32:G49)</f>
        <v>48606</v>
      </c>
      <c r="H50" s="233">
        <f>SUM(H32:H49)</f>
        <v>48606</v>
      </c>
      <c r="I50" s="234">
        <v>0</v>
      </c>
      <c r="J50" s="233">
        <f>SUM(J32:J49)</f>
        <v>0</v>
      </c>
      <c r="K50" s="233">
        <f>SUM(K32:K49)</f>
        <v>0</v>
      </c>
      <c r="L50" s="233">
        <f>SUM(L32:L49)</f>
        <v>0</v>
      </c>
      <c r="M50" s="234">
        <v>0</v>
      </c>
      <c r="N50" s="233">
        <f>SUM(N32:N49)</f>
        <v>401029</v>
      </c>
      <c r="O50" s="233">
        <f>SUM(O32:O49)</f>
        <v>313041</v>
      </c>
      <c r="P50" s="233">
        <f>SUM(P32:P49)</f>
        <v>259690</v>
      </c>
      <c r="Q50" s="234">
        <f>P50/O50</f>
        <v>0.82957184522155247</v>
      </c>
      <c r="R50" s="233">
        <f>SUM(R32:R49)</f>
        <v>11214</v>
      </c>
      <c r="S50" s="233">
        <f>SUM(S32:S49)</f>
        <v>11214</v>
      </c>
      <c r="T50" s="233">
        <f>SUM(T32:T49)</f>
        <v>4411</v>
      </c>
      <c r="U50" s="234">
        <f>T50/S50</f>
        <v>0.39334760121276974</v>
      </c>
      <c r="V50" s="243" t="s">
        <v>472</v>
      </c>
      <c r="W50" s="233">
        <f>SUM(W32:W49)</f>
        <v>0</v>
      </c>
      <c r="X50" s="233">
        <f>SUM(X32:X49)</f>
        <v>0</v>
      </c>
      <c r="Y50" s="233">
        <f>SUM(Y32:Y49)</f>
        <v>0</v>
      </c>
      <c r="Z50" s="234">
        <v>0</v>
      </c>
      <c r="AA50" s="233">
        <f>SUM(AA32:AA49)</f>
        <v>0</v>
      </c>
      <c r="AB50" s="233">
        <f>SUM(AB32:AB49)</f>
        <v>7042</v>
      </c>
      <c r="AC50" s="233">
        <f>SUM(AC32:AC49)</f>
        <v>7379</v>
      </c>
      <c r="AD50" s="234">
        <v>0</v>
      </c>
      <c r="AE50" s="233">
        <f>SUM(AE32:AE49)</f>
        <v>133</v>
      </c>
      <c r="AF50" s="233">
        <f>SUM(AF32:AF49)</f>
        <v>133</v>
      </c>
      <c r="AG50" s="233">
        <f>SUM(AG32:AG49)</f>
        <v>133</v>
      </c>
      <c r="AH50" s="234">
        <f>AG50/AF50</f>
        <v>1</v>
      </c>
      <c r="AI50" s="233">
        <f>SUM(AI32:AI49)</f>
        <v>67347</v>
      </c>
      <c r="AJ50" s="233">
        <f>SUM(AJ32:AJ49)</f>
        <v>70445</v>
      </c>
      <c r="AK50" s="233">
        <f>SUM(AK32:AK49)</f>
        <v>70445</v>
      </c>
      <c r="AL50" s="234">
        <v>0</v>
      </c>
      <c r="AM50" s="233">
        <f>SUM(AM32:AM49)</f>
        <v>0</v>
      </c>
      <c r="AN50" s="233">
        <f>SUM(AN32:AN49)</f>
        <v>0</v>
      </c>
      <c r="AO50" s="233">
        <f>SUM(AO32:AO49)</f>
        <v>0</v>
      </c>
      <c r="AP50" s="234">
        <v>0</v>
      </c>
      <c r="AQ50" s="243" t="s">
        <v>472</v>
      </c>
      <c r="AR50" s="233">
        <f>SUM(AR32:AR49)</f>
        <v>418039</v>
      </c>
      <c r="AS50" s="233">
        <f>SUM(AS32:AS49)</f>
        <v>332101</v>
      </c>
      <c r="AT50" s="233">
        <f>SUM(AT32:AT49)</f>
        <v>278712</v>
      </c>
      <c r="AU50" s="234">
        <f t="shared" si="5"/>
        <v>0.8392386653457834</v>
      </c>
      <c r="AV50" s="233">
        <f>SUM(AV32:AV49)</f>
        <v>78561</v>
      </c>
      <c r="AW50" s="233">
        <f>SUM(AW32:AW49)</f>
        <v>137307</v>
      </c>
      <c r="AX50" s="233">
        <f>SUM(AX32:AX49)</f>
        <v>130841</v>
      </c>
      <c r="AY50" s="234">
        <f t="shared" si="60"/>
        <v>0.95290844603698277</v>
      </c>
      <c r="AZ50" s="233">
        <f>SUM(AZ32:AZ49)</f>
        <v>496600</v>
      </c>
      <c r="BA50" s="233">
        <f>SUM(BA32:BA49)</f>
        <v>469408</v>
      </c>
      <c r="BB50" s="233">
        <f>SUM(BB32:BB49)</f>
        <v>409553</v>
      </c>
      <c r="BC50" s="234">
        <f t="shared" si="6"/>
        <v>0.87248832572090806</v>
      </c>
    </row>
    <row r="51" spans="1:56" s="236" customFormat="1" ht="21" thickBot="1" x14ac:dyDescent="0.35">
      <c r="A51" s="244" t="s">
        <v>473</v>
      </c>
      <c r="B51" s="233">
        <f>SUM(B30+B50)</f>
        <v>1460306</v>
      </c>
      <c r="C51" s="233">
        <f>SUM(C30+C50)</f>
        <v>1662952</v>
      </c>
      <c r="D51" s="233">
        <f>SUM(D30+D50)</f>
        <v>1662910</v>
      </c>
      <c r="E51" s="234">
        <f t="shared" si="61"/>
        <v>0.99997474370877815</v>
      </c>
      <c r="F51" s="233">
        <f>SUM(F30+F50)</f>
        <v>0</v>
      </c>
      <c r="G51" s="233">
        <f>SUM(G30+G50)</f>
        <v>112664</v>
      </c>
      <c r="H51" s="233">
        <f>SUM(H30+H50)</f>
        <v>112664</v>
      </c>
      <c r="I51" s="234">
        <f t="shared" ref="I51" si="62">H51/G51</f>
        <v>1</v>
      </c>
      <c r="J51" s="233">
        <f>SUM(J30+J50)</f>
        <v>588200</v>
      </c>
      <c r="K51" s="233">
        <f>SUM(K30+K50)</f>
        <v>628634</v>
      </c>
      <c r="L51" s="233">
        <f>SUM(L30+L50)</f>
        <v>628635</v>
      </c>
      <c r="M51" s="234">
        <f t="shared" ref="M51" si="63">L51/K51</f>
        <v>1.0000015907507389</v>
      </c>
      <c r="N51" s="233">
        <f>SUM(N30+N50)</f>
        <v>402029</v>
      </c>
      <c r="O51" s="233">
        <f>SUM(O30+O50)</f>
        <v>314041</v>
      </c>
      <c r="P51" s="233">
        <f>SUM(P30+P50)</f>
        <v>260676</v>
      </c>
      <c r="Q51" s="234">
        <f>P51/O51</f>
        <v>0.83006995901809</v>
      </c>
      <c r="R51" s="233">
        <f>SUM(R30+R50)</f>
        <v>11214</v>
      </c>
      <c r="S51" s="233">
        <f>SUM(S30+S50)</f>
        <v>11214</v>
      </c>
      <c r="T51" s="233">
        <f>SUM(T30+T50)</f>
        <v>4411</v>
      </c>
      <c r="U51" s="234">
        <f>T51/S51</f>
        <v>0.39334760121276974</v>
      </c>
      <c r="V51" s="244" t="s">
        <v>473</v>
      </c>
      <c r="W51" s="233">
        <f>SUM(W30+W50)</f>
        <v>0</v>
      </c>
      <c r="X51" s="233">
        <f>SUM(X30+X50)</f>
        <v>0</v>
      </c>
      <c r="Y51" s="233">
        <f>SUM(Y30+Y50)</f>
        <v>0</v>
      </c>
      <c r="Z51" s="234">
        <v>0</v>
      </c>
      <c r="AA51" s="233">
        <f>SUM(AA30+AA50)</f>
        <v>0</v>
      </c>
      <c r="AB51" s="233">
        <f>SUM(AB30+AB50)</f>
        <v>7042</v>
      </c>
      <c r="AC51" s="233">
        <f>SUM(AC30+AC50)</f>
        <v>7379</v>
      </c>
      <c r="AD51" s="234">
        <v>0</v>
      </c>
      <c r="AE51" s="233">
        <f>SUM(AE30+AE50)</f>
        <v>183872</v>
      </c>
      <c r="AF51" s="233">
        <f>SUM(AF30+AF50)</f>
        <v>274152</v>
      </c>
      <c r="AG51" s="233">
        <f>SUM(AG30+AG50)</f>
        <v>274152</v>
      </c>
      <c r="AH51" s="234">
        <f>AG51/AF51</f>
        <v>1</v>
      </c>
      <c r="AI51" s="233">
        <f>SUM(AI30+AI50)</f>
        <v>67347</v>
      </c>
      <c r="AJ51" s="233">
        <f>SUM(AJ30+AJ50)</f>
        <v>70445</v>
      </c>
      <c r="AK51" s="233">
        <f>SUM(AK30+AK50)</f>
        <v>70445</v>
      </c>
      <c r="AL51" s="234">
        <v>0</v>
      </c>
      <c r="AM51" s="233">
        <f>SUM(AM30+AM50)</f>
        <v>0</v>
      </c>
      <c r="AN51" s="233">
        <f>SUM(AN30+AN50)</f>
        <v>0</v>
      </c>
      <c r="AO51" s="233">
        <f>SUM(AO30+AO50)</f>
        <v>52044</v>
      </c>
      <c r="AP51" s="234">
        <v>0</v>
      </c>
      <c r="AQ51" s="244" t="s">
        <v>473</v>
      </c>
      <c r="AR51" s="233">
        <f>SUM(AR30+AR50)</f>
        <v>2634407</v>
      </c>
      <c r="AS51" s="233">
        <f>SUM(AS30+AS50)</f>
        <v>2879779</v>
      </c>
      <c r="AT51" s="233">
        <f>SUM(AT30+AT50)</f>
        <v>2878417</v>
      </c>
      <c r="AU51" s="234">
        <f t="shared" si="5"/>
        <v>0.99952704704076245</v>
      </c>
      <c r="AV51" s="233">
        <f>SUM(AV30+AV50)</f>
        <v>78561</v>
      </c>
      <c r="AW51" s="233">
        <f>SUM(AW30+AW50)</f>
        <v>201365</v>
      </c>
      <c r="AX51" s="233">
        <f>SUM(AX30+AX50)</f>
        <v>194899</v>
      </c>
      <c r="AY51" s="234">
        <f t="shared" si="60"/>
        <v>0.96788915650684082</v>
      </c>
      <c r="AZ51" s="233">
        <f>SUM(AZ30+AZ50)</f>
        <v>2712968</v>
      </c>
      <c r="BA51" s="233">
        <f>SUM(BA30+BA50)</f>
        <v>3081144</v>
      </c>
      <c r="BB51" s="233">
        <f>SUM(BB30+BB50)</f>
        <v>3073316</v>
      </c>
      <c r="BC51" s="234">
        <f t="shared" si="6"/>
        <v>0.99745938521536159</v>
      </c>
    </row>
    <row r="53" spans="1:56" x14ac:dyDescent="0.3">
      <c r="AI53" s="222"/>
      <c r="AJ53" s="222"/>
      <c r="AS53" s="222"/>
      <c r="AW53" s="222"/>
      <c r="BA53" s="222"/>
    </row>
    <row r="54" spans="1:56" x14ac:dyDescent="0.3">
      <c r="BA54" s="222"/>
    </row>
    <row r="55" spans="1:56" x14ac:dyDescent="0.3">
      <c r="R55" s="222"/>
      <c r="S55" s="222"/>
    </row>
  </sheetData>
  <mergeCells count="34">
    <mergeCell ref="AR10:BC10"/>
    <mergeCell ref="AE11:AH11"/>
    <mergeCell ref="AI11:AL11"/>
    <mergeCell ref="AM11:AP11"/>
    <mergeCell ref="AR11:AU11"/>
    <mergeCell ref="AV11:AY11"/>
    <mergeCell ref="AZ11:BC11"/>
    <mergeCell ref="N10:Q11"/>
    <mergeCell ref="R10:U11"/>
    <mergeCell ref="W10:Z11"/>
    <mergeCell ref="AA10:AD11"/>
    <mergeCell ref="AE10:AP10"/>
    <mergeCell ref="AV8:AZ8"/>
    <mergeCell ref="A9:A12"/>
    <mergeCell ref="B9:E9"/>
    <mergeCell ref="F9:I9"/>
    <mergeCell ref="J9:M9"/>
    <mergeCell ref="N9:Q9"/>
    <mergeCell ref="R9:U9"/>
    <mergeCell ref="V9:V12"/>
    <mergeCell ref="W9:Z9"/>
    <mergeCell ref="AA9:AD9"/>
    <mergeCell ref="AE9:AN9"/>
    <mergeCell ref="AQ9:AQ12"/>
    <mergeCell ref="AR9:BC9"/>
    <mergeCell ref="B10:E11"/>
    <mergeCell ref="F10:I11"/>
    <mergeCell ref="J10:M11"/>
    <mergeCell ref="A5:U5"/>
    <mergeCell ref="V5:AP5"/>
    <mergeCell ref="AQ5:BC5"/>
    <mergeCell ref="A6:U6"/>
    <mergeCell ref="V6:AP6"/>
    <mergeCell ref="AQ6:BC6"/>
  </mergeCells>
  <pageMargins left="0.7" right="0.7" top="0.75" bottom="0.75" header="0.3" footer="0.3"/>
  <pageSetup paperSize="9" scale="25" orientation="landscape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0"/>
  <sheetViews>
    <sheetView view="pageBreakPreview" topLeftCell="AA1" zoomScale="60" zoomScaleNormal="100" workbookViewId="0">
      <selection sqref="A1:BA1"/>
    </sheetView>
  </sheetViews>
  <sheetFormatPr defaultRowHeight="15" x14ac:dyDescent="0.25"/>
  <cols>
    <col min="1" max="1" width="55.7109375" customWidth="1"/>
    <col min="2" max="21" width="11.28515625" style="328" customWidth="1"/>
    <col min="22" max="22" width="55.7109375" customWidth="1"/>
    <col min="23" max="30" width="11.28515625" style="328" customWidth="1"/>
    <col min="31" max="32" width="13.28515625" style="328" customWidth="1"/>
    <col min="33" max="33" width="11.28515625" style="328" customWidth="1"/>
    <col min="34" max="36" width="13.28515625" style="328" customWidth="1"/>
    <col min="37" max="37" width="11.28515625" style="328" customWidth="1"/>
    <col min="38" max="38" width="13.28515625" style="328" customWidth="1"/>
    <col min="39" max="39" width="55.7109375" customWidth="1"/>
    <col min="40" max="47" width="13.28515625" style="328" customWidth="1"/>
    <col min="48" max="49" width="13.28515625" style="329" customWidth="1"/>
    <col min="50" max="52" width="13.28515625" style="328" customWidth="1"/>
    <col min="53" max="53" width="14.140625" style="328" customWidth="1"/>
    <col min="54" max="54" width="13.5703125" customWidth="1"/>
    <col min="55" max="55" width="11.5703125" customWidth="1"/>
    <col min="56" max="57" width="13" customWidth="1"/>
    <col min="58" max="58" width="15.140625" customWidth="1"/>
  </cols>
  <sheetData>
    <row r="1" spans="1:79" s="77" customFormat="1" ht="15.75" x14ac:dyDescent="0.25">
      <c r="A1" s="795" t="s">
        <v>967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  <c r="AI1" s="795"/>
      <c r="AJ1" s="795"/>
      <c r="AK1" s="795"/>
      <c r="AL1" s="795"/>
      <c r="AM1" s="795"/>
      <c r="AN1" s="795"/>
      <c r="AO1" s="795"/>
      <c r="AP1" s="795"/>
      <c r="AQ1" s="795"/>
      <c r="AR1" s="795"/>
      <c r="AS1" s="795"/>
      <c r="AT1" s="795"/>
      <c r="AU1" s="795"/>
      <c r="AV1" s="795"/>
      <c r="AW1" s="795"/>
      <c r="AX1" s="795"/>
      <c r="AY1" s="795"/>
      <c r="AZ1" s="795"/>
      <c r="BA1" s="795"/>
      <c r="BB1" s="262"/>
      <c r="BC1" s="262"/>
      <c r="BD1" s="262"/>
      <c r="BE1" s="262"/>
      <c r="BF1" s="262"/>
    </row>
    <row r="2" spans="1:79" x14ac:dyDescent="0.2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4" t="s">
        <v>416</v>
      </c>
      <c r="V2" s="263"/>
      <c r="W2" s="263"/>
      <c r="X2" s="263"/>
      <c r="Y2" s="263"/>
      <c r="Z2" s="263"/>
      <c r="AA2" s="263"/>
      <c r="AB2" s="264"/>
      <c r="AC2" s="263"/>
      <c r="AD2" s="263"/>
      <c r="AE2" s="263"/>
      <c r="AF2" s="263"/>
      <c r="AG2" s="263"/>
      <c r="AH2" s="263"/>
      <c r="AI2" s="263"/>
      <c r="AJ2" s="263"/>
      <c r="AK2" s="263"/>
      <c r="AL2" s="264" t="s">
        <v>417</v>
      </c>
      <c r="AM2" s="263"/>
      <c r="AN2" s="263"/>
      <c r="AO2" s="263"/>
      <c r="AP2" s="263"/>
      <c r="AQ2" s="263"/>
      <c r="AR2" s="263"/>
      <c r="AS2" s="263"/>
      <c r="AT2" s="263"/>
      <c r="AU2" s="263"/>
      <c r="AV2" s="265"/>
      <c r="AW2" s="264"/>
      <c r="AX2" s="263"/>
      <c r="AY2" s="264" t="s">
        <v>418</v>
      </c>
      <c r="AZ2" s="263"/>
      <c r="BA2" s="263"/>
      <c r="BB2" s="20"/>
      <c r="BC2" s="20"/>
      <c r="BD2" s="20"/>
      <c r="BE2" s="20"/>
      <c r="BF2" s="20"/>
    </row>
    <row r="3" spans="1:79" x14ac:dyDescent="0.2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5"/>
      <c r="AW3" s="265"/>
      <c r="AX3" s="263"/>
      <c r="AY3" s="263"/>
      <c r="AZ3" s="263"/>
      <c r="BA3" s="263"/>
      <c r="BB3" s="20"/>
      <c r="BC3" s="20"/>
      <c r="BD3" s="20"/>
      <c r="BE3" s="20"/>
      <c r="BF3" s="20"/>
    </row>
    <row r="4" spans="1:79" x14ac:dyDescent="0.25">
      <c r="A4" s="263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3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3"/>
      <c r="AN4" s="266"/>
      <c r="AO4" s="266"/>
      <c r="AP4" s="266"/>
      <c r="AQ4" s="266"/>
      <c r="AR4" s="266"/>
      <c r="AS4" s="266"/>
      <c r="AT4" s="266"/>
      <c r="AU4" s="266"/>
      <c r="AV4" s="267"/>
      <c r="AW4" s="267"/>
      <c r="AX4" s="266"/>
      <c r="AY4" s="266"/>
      <c r="AZ4" s="266"/>
      <c r="BA4" s="266"/>
      <c r="BB4" s="20"/>
      <c r="BC4" s="20"/>
      <c r="BD4" s="20"/>
      <c r="BE4" s="20"/>
      <c r="BF4" s="20"/>
    </row>
    <row r="5" spans="1:79" s="269" customFormat="1" ht="44.25" customHeight="1" x14ac:dyDescent="0.25">
      <c r="A5" s="874" t="s">
        <v>509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 t="s">
        <v>509</v>
      </c>
      <c r="W5" s="874"/>
      <c r="X5" s="874"/>
      <c r="Y5" s="874"/>
      <c r="Z5" s="874"/>
      <c r="AA5" s="874"/>
      <c r="AB5" s="874"/>
      <c r="AC5" s="874"/>
      <c r="AD5" s="874"/>
      <c r="AE5" s="874"/>
      <c r="AF5" s="874"/>
      <c r="AG5" s="874"/>
      <c r="AH5" s="874"/>
      <c r="AI5" s="874"/>
      <c r="AJ5" s="874"/>
      <c r="AK5" s="874"/>
      <c r="AL5" s="874"/>
      <c r="AM5" s="874" t="s">
        <v>509</v>
      </c>
      <c r="AN5" s="874"/>
      <c r="AO5" s="874"/>
      <c r="AP5" s="874"/>
      <c r="AQ5" s="874"/>
      <c r="AR5" s="874"/>
      <c r="AS5" s="874"/>
      <c r="AT5" s="874"/>
      <c r="AU5" s="874"/>
      <c r="AV5" s="874"/>
      <c r="AW5" s="874"/>
      <c r="AX5" s="874"/>
      <c r="AY5" s="874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</row>
    <row r="6" spans="1:79" ht="15.75" x14ac:dyDescent="0.2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</row>
    <row r="7" spans="1:79" ht="16.5" thickBot="1" x14ac:dyDescent="0.3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875"/>
      <c r="AS7" s="875"/>
      <c r="AT7" s="875"/>
      <c r="AU7" s="875"/>
      <c r="AV7" s="875"/>
      <c r="AW7" s="272"/>
      <c r="AX7" s="272"/>
      <c r="AY7" s="272" t="s">
        <v>308</v>
      </c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</row>
    <row r="8" spans="1:79" s="274" customFormat="1" ht="13.5" thickBot="1" x14ac:dyDescent="0.25">
      <c r="A8" s="868" t="s">
        <v>484</v>
      </c>
      <c r="B8" s="871" t="s">
        <v>421</v>
      </c>
      <c r="C8" s="872"/>
      <c r="D8" s="872"/>
      <c r="E8" s="873"/>
      <c r="F8" s="871" t="s">
        <v>422</v>
      </c>
      <c r="G8" s="872"/>
      <c r="H8" s="872"/>
      <c r="I8" s="873"/>
      <c r="J8" s="871" t="s">
        <v>423</v>
      </c>
      <c r="K8" s="872"/>
      <c r="L8" s="872"/>
      <c r="M8" s="873"/>
      <c r="N8" s="871" t="s">
        <v>424</v>
      </c>
      <c r="O8" s="872"/>
      <c r="P8" s="872"/>
      <c r="Q8" s="873"/>
      <c r="R8" s="871" t="s">
        <v>425</v>
      </c>
      <c r="S8" s="872"/>
      <c r="T8" s="872"/>
      <c r="U8" s="873"/>
      <c r="V8" s="868" t="s">
        <v>484</v>
      </c>
      <c r="W8" s="871" t="s">
        <v>426</v>
      </c>
      <c r="X8" s="872"/>
      <c r="Y8" s="872"/>
      <c r="Z8" s="873"/>
      <c r="AA8" s="871" t="s">
        <v>427</v>
      </c>
      <c r="AB8" s="872"/>
      <c r="AC8" s="872"/>
      <c r="AD8" s="873"/>
      <c r="AE8" s="871" t="s">
        <v>485</v>
      </c>
      <c r="AF8" s="872"/>
      <c r="AG8" s="872"/>
      <c r="AH8" s="872"/>
      <c r="AI8" s="872"/>
      <c r="AJ8" s="872"/>
      <c r="AK8" s="872"/>
      <c r="AL8" s="873"/>
      <c r="AM8" s="868" t="s">
        <v>484</v>
      </c>
      <c r="AN8" s="880" t="s">
        <v>486</v>
      </c>
      <c r="AO8" s="880"/>
      <c r="AP8" s="880"/>
      <c r="AQ8" s="880"/>
      <c r="AR8" s="880"/>
      <c r="AS8" s="880"/>
      <c r="AT8" s="880"/>
      <c r="AU8" s="880"/>
      <c r="AV8" s="880"/>
      <c r="AW8" s="880"/>
      <c r="AX8" s="880"/>
      <c r="AY8" s="880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</row>
    <row r="9" spans="1:79" s="276" customFormat="1" ht="15.75" thickBot="1" x14ac:dyDescent="0.3">
      <c r="A9" s="869"/>
      <c r="B9" s="881" t="s">
        <v>430</v>
      </c>
      <c r="C9" s="882"/>
      <c r="D9" s="882"/>
      <c r="E9" s="883"/>
      <c r="F9" s="881" t="s">
        <v>431</v>
      </c>
      <c r="G9" s="882"/>
      <c r="H9" s="882"/>
      <c r="I9" s="883"/>
      <c r="J9" s="881" t="s">
        <v>432</v>
      </c>
      <c r="K9" s="882"/>
      <c r="L9" s="882"/>
      <c r="M9" s="883"/>
      <c r="N9" s="881" t="s">
        <v>433</v>
      </c>
      <c r="O9" s="882"/>
      <c r="P9" s="882"/>
      <c r="Q9" s="883"/>
      <c r="R9" s="881" t="s">
        <v>434</v>
      </c>
      <c r="S9" s="882"/>
      <c r="T9" s="882"/>
      <c r="U9" s="883"/>
      <c r="V9" s="869"/>
      <c r="W9" s="881" t="s">
        <v>435</v>
      </c>
      <c r="X9" s="882"/>
      <c r="Y9" s="882"/>
      <c r="Z9" s="883"/>
      <c r="AA9" s="881" t="s">
        <v>436</v>
      </c>
      <c r="AB9" s="882"/>
      <c r="AC9" s="882"/>
      <c r="AD9" s="883"/>
      <c r="AE9" s="876" t="s">
        <v>437</v>
      </c>
      <c r="AF9" s="877"/>
      <c r="AG9" s="877"/>
      <c r="AH9" s="877"/>
      <c r="AI9" s="877"/>
      <c r="AJ9" s="877"/>
      <c r="AK9" s="877"/>
      <c r="AL9" s="878"/>
      <c r="AM9" s="869"/>
      <c r="AN9" s="879" t="s">
        <v>438</v>
      </c>
      <c r="AO9" s="879"/>
      <c r="AP9" s="879"/>
      <c r="AQ9" s="879"/>
      <c r="AR9" s="879"/>
      <c r="AS9" s="879"/>
      <c r="AT9" s="879"/>
      <c r="AU9" s="879"/>
      <c r="AV9" s="879"/>
      <c r="AW9" s="879"/>
      <c r="AX9" s="879"/>
      <c r="AY9" s="879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</row>
    <row r="10" spans="1:79" s="276" customFormat="1" ht="15.75" thickBot="1" x14ac:dyDescent="0.3">
      <c r="A10" s="869"/>
      <c r="B10" s="884"/>
      <c r="C10" s="885"/>
      <c r="D10" s="885"/>
      <c r="E10" s="886"/>
      <c r="F10" s="884"/>
      <c r="G10" s="885"/>
      <c r="H10" s="885"/>
      <c r="I10" s="886"/>
      <c r="J10" s="884"/>
      <c r="K10" s="885"/>
      <c r="L10" s="885"/>
      <c r="M10" s="886"/>
      <c r="N10" s="884"/>
      <c r="O10" s="885"/>
      <c r="P10" s="885"/>
      <c r="Q10" s="886"/>
      <c r="R10" s="884"/>
      <c r="S10" s="885"/>
      <c r="T10" s="885"/>
      <c r="U10" s="886"/>
      <c r="V10" s="869"/>
      <c r="W10" s="884"/>
      <c r="X10" s="885"/>
      <c r="Y10" s="885"/>
      <c r="Z10" s="886"/>
      <c r="AA10" s="884"/>
      <c r="AB10" s="885"/>
      <c r="AC10" s="885"/>
      <c r="AD10" s="886"/>
      <c r="AE10" s="876" t="s">
        <v>487</v>
      </c>
      <c r="AF10" s="877"/>
      <c r="AG10" s="877"/>
      <c r="AH10" s="878"/>
      <c r="AI10" s="876" t="s">
        <v>488</v>
      </c>
      <c r="AJ10" s="877"/>
      <c r="AK10" s="877"/>
      <c r="AL10" s="878"/>
      <c r="AM10" s="869"/>
      <c r="AN10" s="879" t="s">
        <v>441</v>
      </c>
      <c r="AO10" s="879"/>
      <c r="AP10" s="879"/>
      <c r="AQ10" s="879"/>
      <c r="AR10" s="879" t="s">
        <v>442</v>
      </c>
      <c r="AS10" s="879"/>
      <c r="AT10" s="879"/>
      <c r="AU10" s="879"/>
      <c r="AV10" s="879" t="s">
        <v>438</v>
      </c>
      <c r="AW10" s="879"/>
      <c r="AX10" s="879"/>
      <c r="AY10" s="879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</row>
    <row r="11" spans="1:79" s="275" customFormat="1" ht="26.25" thickBot="1" x14ac:dyDescent="0.3">
      <c r="A11" s="870"/>
      <c r="B11" s="277" t="s">
        <v>443</v>
      </c>
      <c r="C11" s="277" t="s">
        <v>444</v>
      </c>
      <c r="D11" s="277" t="s">
        <v>312</v>
      </c>
      <c r="E11" s="277" t="s">
        <v>313</v>
      </c>
      <c r="F11" s="277" t="s">
        <v>443</v>
      </c>
      <c r="G11" s="277" t="s">
        <v>444</v>
      </c>
      <c r="H11" s="277" t="s">
        <v>312</v>
      </c>
      <c r="I11" s="277" t="s">
        <v>313</v>
      </c>
      <c r="J11" s="277" t="s">
        <v>443</v>
      </c>
      <c r="K11" s="277" t="s">
        <v>444</v>
      </c>
      <c r="L11" s="277" t="s">
        <v>312</v>
      </c>
      <c r="M11" s="277" t="s">
        <v>313</v>
      </c>
      <c r="N11" s="277" t="s">
        <v>443</v>
      </c>
      <c r="O11" s="277" t="s">
        <v>444</v>
      </c>
      <c r="P11" s="277" t="s">
        <v>312</v>
      </c>
      <c r="Q11" s="277" t="s">
        <v>313</v>
      </c>
      <c r="R11" s="277" t="s">
        <v>443</v>
      </c>
      <c r="S11" s="277" t="s">
        <v>444</v>
      </c>
      <c r="T11" s="277" t="s">
        <v>312</v>
      </c>
      <c r="U11" s="277" t="s">
        <v>313</v>
      </c>
      <c r="V11" s="870"/>
      <c r="W11" s="277" t="s">
        <v>443</v>
      </c>
      <c r="X11" s="277" t="s">
        <v>444</v>
      </c>
      <c r="Y11" s="277" t="s">
        <v>312</v>
      </c>
      <c r="Z11" s="277" t="s">
        <v>313</v>
      </c>
      <c r="AA11" s="277" t="s">
        <v>443</v>
      </c>
      <c r="AB11" s="277" t="s">
        <v>444</v>
      </c>
      <c r="AC11" s="277" t="s">
        <v>312</v>
      </c>
      <c r="AD11" s="277" t="s">
        <v>313</v>
      </c>
      <c r="AE11" s="277" t="s">
        <v>443</v>
      </c>
      <c r="AF11" s="277" t="s">
        <v>444</v>
      </c>
      <c r="AG11" s="277" t="s">
        <v>312</v>
      </c>
      <c r="AH11" s="277" t="s">
        <v>313</v>
      </c>
      <c r="AI11" s="277" t="s">
        <v>443</v>
      </c>
      <c r="AJ11" s="277" t="s">
        <v>444</v>
      </c>
      <c r="AK11" s="277" t="s">
        <v>312</v>
      </c>
      <c r="AL11" s="277" t="s">
        <v>313</v>
      </c>
      <c r="AM11" s="870"/>
      <c r="AN11" s="277" t="s">
        <v>443</v>
      </c>
      <c r="AO11" s="277" t="s">
        <v>444</v>
      </c>
      <c r="AP11" s="277" t="s">
        <v>312</v>
      </c>
      <c r="AQ11" s="277" t="s">
        <v>313</v>
      </c>
      <c r="AR11" s="277" t="s">
        <v>443</v>
      </c>
      <c r="AS11" s="277" t="s">
        <v>444</v>
      </c>
      <c r="AT11" s="277" t="s">
        <v>312</v>
      </c>
      <c r="AU11" s="277" t="s">
        <v>313</v>
      </c>
      <c r="AV11" s="277" t="s">
        <v>443</v>
      </c>
      <c r="AW11" s="277" t="s">
        <v>444</v>
      </c>
      <c r="AX11" s="277" t="s">
        <v>312</v>
      </c>
      <c r="AY11" s="277" t="s">
        <v>313</v>
      </c>
    </row>
    <row r="12" spans="1:79" s="282" customFormat="1" ht="15.75" x14ac:dyDescent="0.25">
      <c r="A12" s="278" t="s">
        <v>489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8" t="s">
        <v>489</v>
      </c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8" t="s">
        <v>489</v>
      </c>
      <c r="AN12" s="279"/>
      <c r="AO12" s="279"/>
      <c r="AP12" s="279"/>
      <c r="AQ12" s="279"/>
      <c r="AR12" s="279"/>
      <c r="AS12" s="279"/>
      <c r="AT12" s="279"/>
      <c r="AU12" s="279"/>
      <c r="AV12" s="280"/>
      <c r="AW12" s="280"/>
      <c r="AX12" s="279"/>
      <c r="AY12" s="279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</row>
    <row r="13" spans="1:79" s="282" customFormat="1" ht="15.75" x14ac:dyDescent="0.25">
      <c r="A13" s="283" t="s">
        <v>490</v>
      </c>
      <c r="B13" s="284"/>
      <c r="C13" s="284">
        <v>22791</v>
      </c>
      <c r="D13" s="284">
        <v>22791</v>
      </c>
      <c r="E13" s="285">
        <f>D13/C13</f>
        <v>1</v>
      </c>
      <c r="F13" s="284"/>
      <c r="G13" s="284"/>
      <c r="H13" s="284"/>
      <c r="I13" s="285"/>
      <c r="J13" s="284"/>
      <c r="K13" s="284"/>
      <c r="L13" s="284"/>
      <c r="M13" s="285"/>
      <c r="N13" s="284">
        <v>7295</v>
      </c>
      <c r="O13" s="284">
        <v>7295</v>
      </c>
      <c r="P13" s="284">
        <v>5696</v>
      </c>
      <c r="Q13" s="285">
        <f>P13/O13</f>
        <v>0.78080877313228236</v>
      </c>
      <c r="R13" s="284"/>
      <c r="S13" s="284"/>
      <c r="T13" s="284"/>
      <c r="U13" s="285"/>
      <c r="V13" s="283" t="s">
        <v>490</v>
      </c>
      <c r="W13" s="284"/>
      <c r="X13" s="284"/>
      <c r="Y13" s="284"/>
      <c r="Z13" s="285"/>
      <c r="AA13" s="284"/>
      <c r="AB13" s="284"/>
      <c r="AC13" s="284"/>
      <c r="AD13" s="285"/>
      <c r="AE13" s="284"/>
      <c r="AF13" s="284">
        <v>9733</v>
      </c>
      <c r="AG13" s="284">
        <v>9733</v>
      </c>
      <c r="AH13" s="285">
        <f>AG13/AF13</f>
        <v>1</v>
      </c>
      <c r="AI13" s="284">
        <v>519246</v>
      </c>
      <c r="AJ13" s="284">
        <v>534420</v>
      </c>
      <c r="AK13" s="284">
        <v>534420</v>
      </c>
      <c r="AL13" s="285">
        <f>AK13/AJ13</f>
        <v>1</v>
      </c>
      <c r="AM13" s="283" t="s">
        <v>490</v>
      </c>
      <c r="AN13" s="284">
        <f>SUM(B13+J13+N13+W13+AI13)</f>
        <v>526541</v>
      </c>
      <c r="AO13" s="284">
        <f>SUM(C13+K13+O13+X13+AJ13+AF13)</f>
        <v>574239</v>
      </c>
      <c r="AP13" s="284">
        <f>SUM(D13+L13+P13+Y13+AK13+AG13)</f>
        <v>572640</v>
      </c>
      <c r="AQ13" s="285">
        <f>AP13/AO13</f>
        <v>0.99721544513695515</v>
      </c>
      <c r="AR13" s="284">
        <f t="shared" ref="AR13:AT14" si="0">SUM(F13+R13+AA13)</f>
        <v>0</v>
      </c>
      <c r="AS13" s="284">
        <f t="shared" si="0"/>
        <v>0</v>
      </c>
      <c r="AT13" s="284">
        <f t="shared" si="0"/>
        <v>0</v>
      </c>
      <c r="AU13" s="285">
        <v>0</v>
      </c>
      <c r="AV13" s="286">
        <f t="shared" ref="AV13:AX14" si="1">SUM(AN13+AR13)</f>
        <v>526541</v>
      </c>
      <c r="AW13" s="286">
        <f t="shared" si="1"/>
        <v>574239</v>
      </c>
      <c r="AX13" s="286">
        <f t="shared" si="1"/>
        <v>572640</v>
      </c>
      <c r="AY13" s="285">
        <f>AX13/AW13</f>
        <v>0.99721544513695515</v>
      </c>
      <c r="AZ13" s="287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</row>
    <row r="14" spans="1:79" s="282" customFormat="1" ht="16.5" thickBot="1" x14ac:dyDescent="0.3">
      <c r="A14" s="288" t="s">
        <v>491</v>
      </c>
      <c r="B14" s="289"/>
      <c r="C14" s="289"/>
      <c r="D14" s="289"/>
      <c r="E14" s="285"/>
      <c r="F14" s="289"/>
      <c r="G14" s="289"/>
      <c r="H14" s="289"/>
      <c r="I14" s="285"/>
      <c r="J14" s="289"/>
      <c r="K14" s="289"/>
      <c r="L14" s="289"/>
      <c r="M14" s="285"/>
      <c r="N14" s="289"/>
      <c r="O14" s="289"/>
      <c r="P14" s="289"/>
      <c r="Q14" s="285"/>
      <c r="R14" s="289"/>
      <c r="S14" s="289"/>
      <c r="T14" s="289"/>
      <c r="U14" s="285"/>
      <c r="V14" s="288" t="s">
        <v>491</v>
      </c>
      <c r="W14" s="289"/>
      <c r="X14" s="289"/>
      <c r="Y14" s="289"/>
      <c r="Z14" s="285"/>
      <c r="AA14" s="289"/>
      <c r="AB14" s="289"/>
      <c r="AC14" s="289"/>
      <c r="AD14" s="285"/>
      <c r="AE14" s="289"/>
      <c r="AF14" s="289"/>
      <c r="AG14" s="289"/>
      <c r="AH14" s="285"/>
      <c r="AI14" s="289"/>
      <c r="AJ14" s="289"/>
      <c r="AK14" s="289"/>
      <c r="AL14" s="285"/>
      <c r="AM14" s="288" t="s">
        <v>491</v>
      </c>
      <c r="AN14" s="290">
        <f>SUM(B14+J14+N14+W14+AI14)</f>
        <v>0</v>
      </c>
      <c r="AO14" s="290">
        <f>SUM(C14+K14+O14+X14+AJ14)</f>
        <v>0</v>
      </c>
      <c r="AP14" s="290">
        <f>SUM(D14+L14+P14+Y14+AK14)</f>
        <v>0</v>
      </c>
      <c r="AQ14" s="285"/>
      <c r="AR14" s="290">
        <f t="shared" si="0"/>
        <v>0</v>
      </c>
      <c r="AS14" s="290">
        <f t="shared" si="0"/>
        <v>0</v>
      </c>
      <c r="AT14" s="290">
        <f t="shared" si="0"/>
        <v>0</v>
      </c>
      <c r="AU14" s="285">
        <v>0</v>
      </c>
      <c r="AV14" s="286">
        <f t="shared" si="1"/>
        <v>0</v>
      </c>
      <c r="AW14" s="286">
        <f t="shared" si="1"/>
        <v>0</v>
      </c>
      <c r="AX14" s="286">
        <f t="shared" si="1"/>
        <v>0</v>
      </c>
      <c r="AY14" s="285">
        <v>0</v>
      </c>
      <c r="AZ14" s="287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</row>
    <row r="15" spans="1:79" s="296" customFormat="1" ht="16.5" thickBot="1" x14ac:dyDescent="0.3">
      <c r="A15" s="291" t="s">
        <v>492</v>
      </c>
      <c r="B15" s="292">
        <f>B13+B14</f>
        <v>0</v>
      </c>
      <c r="C15" s="292">
        <f>C13+C14</f>
        <v>22791</v>
      </c>
      <c r="D15" s="292">
        <f t="shared" ref="D15" si="2">D13+D14</f>
        <v>22791</v>
      </c>
      <c r="E15" s="293">
        <f>D15/C15</f>
        <v>1</v>
      </c>
      <c r="F15" s="292">
        <f t="shared" ref="F15:AI15" si="3">F13+F14</f>
        <v>0</v>
      </c>
      <c r="G15" s="292">
        <f t="shared" si="3"/>
        <v>0</v>
      </c>
      <c r="H15" s="292">
        <f t="shared" si="3"/>
        <v>0</v>
      </c>
      <c r="I15" s="293">
        <v>0</v>
      </c>
      <c r="J15" s="292">
        <f t="shared" si="3"/>
        <v>0</v>
      </c>
      <c r="K15" s="292">
        <f t="shared" si="3"/>
        <v>0</v>
      </c>
      <c r="L15" s="292">
        <f t="shared" si="3"/>
        <v>0</v>
      </c>
      <c r="M15" s="293">
        <v>0</v>
      </c>
      <c r="N15" s="292">
        <f t="shared" si="3"/>
        <v>7295</v>
      </c>
      <c r="O15" s="292">
        <f t="shared" si="3"/>
        <v>7295</v>
      </c>
      <c r="P15" s="292">
        <f t="shared" si="3"/>
        <v>5696</v>
      </c>
      <c r="Q15" s="293">
        <f>P15/O15</f>
        <v>0.78080877313228236</v>
      </c>
      <c r="R15" s="292">
        <f t="shared" si="3"/>
        <v>0</v>
      </c>
      <c r="S15" s="292">
        <f t="shared" si="3"/>
        <v>0</v>
      </c>
      <c r="T15" s="292">
        <f t="shared" si="3"/>
        <v>0</v>
      </c>
      <c r="U15" s="293">
        <v>0</v>
      </c>
      <c r="V15" s="291" t="s">
        <v>492</v>
      </c>
      <c r="W15" s="292">
        <f t="shared" si="3"/>
        <v>0</v>
      </c>
      <c r="X15" s="292">
        <f t="shared" si="3"/>
        <v>0</v>
      </c>
      <c r="Y15" s="292">
        <f t="shared" si="3"/>
        <v>0</v>
      </c>
      <c r="Z15" s="293">
        <v>0</v>
      </c>
      <c r="AA15" s="292">
        <f t="shared" si="3"/>
        <v>0</v>
      </c>
      <c r="AB15" s="292">
        <f t="shared" si="3"/>
        <v>0</v>
      </c>
      <c r="AC15" s="292">
        <f t="shared" si="3"/>
        <v>0</v>
      </c>
      <c r="AD15" s="293">
        <v>0</v>
      </c>
      <c r="AE15" s="292">
        <f>AE13+AE14</f>
        <v>0</v>
      </c>
      <c r="AF15" s="292">
        <f>AF13+AF14</f>
        <v>9733</v>
      </c>
      <c r="AG15" s="292">
        <f t="shared" ref="AG15" si="4">AG13+AG14</f>
        <v>9733</v>
      </c>
      <c r="AH15" s="293">
        <f>AG15/AF15</f>
        <v>1</v>
      </c>
      <c r="AI15" s="292">
        <f t="shared" si="3"/>
        <v>519246</v>
      </c>
      <c r="AJ15" s="292">
        <f>AJ13+AJ14</f>
        <v>534420</v>
      </c>
      <c r="AK15" s="292">
        <f t="shared" ref="AK15" si="5">AK13+AK14</f>
        <v>534420</v>
      </c>
      <c r="AL15" s="293">
        <f>AK15/AJ15</f>
        <v>1</v>
      </c>
      <c r="AM15" s="291" t="s">
        <v>492</v>
      </c>
      <c r="AN15" s="292">
        <f t="shared" ref="AN15:AX15" si="6">AN13+AN14</f>
        <v>526541</v>
      </c>
      <c r="AO15" s="292">
        <f t="shared" si="6"/>
        <v>574239</v>
      </c>
      <c r="AP15" s="292">
        <f t="shared" si="6"/>
        <v>572640</v>
      </c>
      <c r="AQ15" s="293">
        <f>AP15/AO15</f>
        <v>0.99721544513695515</v>
      </c>
      <c r="AR15" s="292">
        <f t="shared" si="6"/>
        <v>0</v>
      </c>
      <c r="AS15" s="292">
        <f t="shared" si="6"/>
        <v>0</v>
      </c>
      <c r="AT15" s="292">
        <f t="shared" si="6"/>
        <v>0</v>
      </c>
      <c r="AU15" s="293">
        <v>0</v>
      </c>
      <c r="AV15" s="292">
        <f t="shared" si="6"/>
        <v>526541</v>
      </c>
      <c r="AW15" s="292">
        <f t="shared" si="6"/>
        <v>574239</v>
      </c>
      <c r="AX15" s="292">
        <f t="shared" si="6"/>
        <v>572640</v>
      </c>
      <c r="AY15" s="293">
        <f>AX15/AW15</f>
        <v>0.99721544513695515</v>
      </c>
      <c r="AZ15" s="294">
        <f>SUM(AG15+AK15)</f>
        <v>544153</v>
      </c>
      <c r="BA15" s="294">
        <f>SUM(AX15-AZ15)</f>
        <v>28487</v>
      </c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</row>
    <row r="16" spans="1:79" s="282" customFormat="1" ht="31.5" x14ac:dyDescent="0.25">
      <c r="A16" s="278" t="s">
        <v>493</v>
      </c>
      <c r="B16" s="290"/>
      <c r="C16" s="290"/>
      <c r="D16" s="290"/>
      <c r="E16" s="297"/>
      <c r="F16" s="290"/>
      <c r="G16" s="290"/>
      <c r="H16" s="290"/>
      <c r="I16" s="297"/>
      <c r="J16" s="290"/>
      <c r="K16" s="290"/>
      <c r="L16" s="290"/>
      <c r="M16" s="297"/>
      <c r="N16" s="290"/>
      <c r="O16" s="290"/>
      <c r="P16" s="290"/>
      <c r="Q16" s="297"/>
      <c r="R16" s="290"/>
      <c r="S16" s="290"/>
      <c r="T16" s="290"/>
      <c r="U16" s="297"/>
      <c r="V16" s="278" t="s">
        <v>493</v>
      </c>
      <c r="W16" s="290"/>
      <c r="X16" s="290"/>
      <c r="Y16" s="290"/>
      <c r="Z16" s="297"/>
      <c r="AA16" s="290"/>
      <c r="AB16" s="290"/>
      <c r="AC16" s="290"/>
      <c r="AD16" s="297"/>
      <c r="AE16" s="290"/>
      <c r="AF16" s="290"/>
      <c r="AG16" s="290"/>
      <c r="AH16" s="297"/>
      <c r="AI16" s="290"/>
      <c r="AJ16" s="290"/>
      <c r="AK16" s="290"/>
      <c r="AL16" s="297"/>
      <c r="AM16" s="278" t="s">
        <v>493</v>
      </c>
      <c r="AN16" s="290"/>
      <c r="AO16" s="290"/>
      <c r="AP16" s="290"/>
      <c r="AQ16" s="297"/>
      <c r="AR16" s="290"/>
      <c r="AS16" s="290"/>
      <c r="AT16" s="290"/>
      <c r="AU16" s="297">
        <v>0</v>
      </c>
      <c r="AV16" s="298"/>
      <c r="AW16" s="298"/>
      <c r="AX16" s="298"/>
      <c r="AY16" s="297"/>
      <c r="AZ16" s="287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</row>
    <row r="17" spans="1:79" s="282" customFormat="1" ht="15.75" x14ac:dyDescent="0.25">
      <c r="A17" s="283" t="s">
        <v>490</v>
      </c>
      <c r="B17" s="284"/>
      <c r="C17" s="284">
        <v>33728</v>
      </c>
      <c r="D17" s="284">
        <v>28023</v>
      </c>
      <c r="E17" s="285">
        <f>D17/C17</f>
        <v>0.8308527039848197</v>
      </c>
      <c r="F17" s="284"/>
      <c r="G17" s="284">
        <v>1500</v>
      </c>
      <c r="H17" s="284">
        <v>0</v>
      </c>
      <c r="I17" s="285">
        <v>0</v>
      </c>
      <c r="J17" s="284"/>
      <c r="K17" s="284"/>
      <c r="L17" s="284"/>
      <c r="M17" s="285"/>
      <c r="N17" s="284">
        <v>20599</v>
      </c>
      <c r="O17" s="284">
        <v>57079</v>
      </c>
      <c r="P17" s="284">
        <v>47439</v>
      </c>
      <c r="Q17" s="285">
        <f>P17/O17</f>
        <v>0.83111126684069447</v>
      </c>
      <c r="R17" s="284"/>
      <c r="S17" s="284"/>
      <c r="T17" s="284"/>
      <c r="U17" s="285"/>
      <c r="V17" s="283" t="s">
        <v>490</v>
      </c>
      <c r="W17" s="284"/>
      <c r="X17" s="284">
        <v>3150</v>
      </c>
      <c r="Y17" s="284">
        <v>3150</v>
      </c>
      <c r="Z17" s="285">
        <v>1</v>
      </c>
      <c r="AA17" s="284"/>
      <c r="AB17" s="284"/>
      <c r="AC17" s="284"/>
      <c r="AD17" s="285"/>
      <c r="AE17" s="284"/>
      <c r="AF17" s="284">
        <v>7174</v>
      </c>
      <c r="AG17" s="284">
        <v>7174</v>
      </c>
      <c r="AH17" s="285">
        <f>AG17/AF17</f>
        <v>1</v>
      </c>
      <c r="AI17" s="284">
        <v>104214</v>
      </c>
      <c r="AJ17" s="284">
        <v>85993</v>
      </c>
      <c r="AK17" s="284">
        <v>85993</v>
      </c>
      <c r="AL17" s="285">
        <f>AK17/AJ17</f>
        <v>1</v>
      </c>
      <c r="AM17" s="283" t="s">
        <v>490</v>
      </c>
      <c r="AN17" s="284">
        <f>SUM(B17+J17+N17+W17+AI17)</f>
        <v>124813</v>
      </c>
      <c r="AO17" s="284">
        <f>SUM(C17+K17+O17+X17+AJ17+AF17)</f>
        <v>187124</v>
      </c>
      <c r="AP17" s="284">
        <f>SUM(D17+L17+P17+Y17+AK17+AG17)</f>
        <v>171779</v>
      </c>
      <c r="AQ17" s="285">
        <f>AP17/AO17</f>
        <v>0.91799555375045427</v>
      </c>
      <c r="AR17" s="284">
        <f t="shared" ref="AR17:AT18" si="7">SUM(F17+R17+AA17)</f>
        <v>0</v>
      </c>
      <c r="AS17" s="284">
        <f t="shared" si="7"/>
        <v>1500</v>
      </c>
      <c r="AT17" s="284">
        <f t="shared" si="7"/>
        <v>0</v>
      </c>
      <c r="AU17" s="285">
        <v>0</v>
      </c>
      <c r="AV17" s="286">
        <f t="shared" ref="AV17:AV18" si="8">SUM(AN17+AR17)</f>
        <v>124813</v>
      </c>
      <c r="AW17" s="286">
        <f>SUM(AO17+AS17)</f>
        <v>188624</v>
      </c>
      <c r="AX17" s="286">
        <f>SUM(AP17+AT17)</f>
        <v>171779</v>
      </c>
      <c r="AY17" s="285">
        <f>AX17/AW17</f>
        <v>0.91069535159894821</v>
      </c>
      <c r="AZ17" s="287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</row>
    <row r="18" spans="1:79" s="282" customFormat="1" ht="16.5" thickBot="1" x14ac:dyDescent="0.3">
      <c r="A18" s="288" t="s">
        <v>491</v>
      </c>
      <c r="B18" s="289"/>
      <c r="C18" s="289"/>
      <c r="D18" s="289"/>
      <c r="E18" s="285"/>
      <c r="F18" s="289"/>
      <c r="G18" s="289"/>
      <c r="H18" s="289"/>
      <c r="I18" s="285"/>
      <c r="J18" s="289"/>
      <c r="K18" s="289"/>
      <c r="L18" s="289"/>
      <c r="M18" s="285"/>
      <c r="N18" s="289">
        <v>7430</v>
      </c>
      <c r="O18" s="289">
        <v>7430</v>
      </c>
      <c r="P18" s="289">
        <v>7430</v>
      </c>
      <c r="Q18" s="285">
        <f>P18/O18</f>
        <v>1</v>
      </c>
      <c r="R18" s="289"/>
      <c r="S18" s="289"/>
      <c r="T18" s="289"/>
      <c r="U18" s="285"/>
      <c r="V18" s="288" t="s">
        <v>491</v>
      </c>
      <c r="W18" s="289"/>
      <c r="X18" s="289"/>
      <c r="Y18" s="289"/>
      <c r="Z18" s="285"/>
      <c r="AA18" s="289"/>
      <c r="AB18" s="289"/>
      <c r="AC18" s="289"/>
      <c r="AD18" s="285"/>
      <c r="AE18" s="289"/>
      <c r="AF18" s="289"/>
      <c r="AG18" s="289"/>
      <c r="AH18" s="285"/>
      <c r="AI18" s="289">
        <v>8897</v>
      </c>
      <c r="AJ18" s="289">
        <v>8897</v>
      </c>
      <c r="AK18" s="289">
        <v>8897</v>
      </c>
      <c r="AL18" s="285">
        <f>AK18/AJ18</f>
        <v>1</v>
      </c>
      <c r="AM18" s="288" t="s">
        <v>491</v>
      </c>
      <c r="AN18" s="290">
        <f>SUM(B18+J18+N18+W18+AI18)</f>
        <v>16327</v>
      </c>
      <c r="AO18" s="290">
        <f>SUM(C18+K18+O18+X18+AJ18)</f>
        <v>16327</v>
      </c>
      <c r="AP18" s="290">
        <f>SUM(D18+L18+P18+Y18+AK18)</f>
        <v>16327</v>
      </c>
      <c r="AQ18" s="285"/>
      <c r="AR18" s="290">
        <f t="shared" si="7"/>
        <v>0</v>
      </c>
      <c r="AS18" s="290">
        <f t="shared" si="7"/>
        <v>0</v>
      </c>
      <c r="AT18" s="290">
        <f t="shared" si="7"/>
        <v>0</v>
      </c>
      <c r="AU18" s="285">
        <v>0</v>
      </c>
      <c r="AV18" s="286">
        <f t="shared" si="8"/>
        <v>16327</v>
      </c>
      <c r="AW18" s="286">
        <f>SUM(AO18+AS18)</f>
        <v>16327</v>
      </c>
      <c r="AX18" s="286">
        <f>SUM(AP18+AT18)</f>
        <v>16327</v>
      </c>
      <c r="AY18" s="285">
        <f>AX18/AW18</f>
        <v>1</v>
      </c>
      <c r="AZ18" s="287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</row>
    <row r="19" spans="1:79" s="282" customFormat="1" ht="32.25" thickBot="1" x14ac:dyDescent="0.3">
      <c r="A19" s="291" t="s">
        <v>494</v>
      </c>
      <c r="B19" s="292">
        <f>B17+B18</f>
        <v>0</v>
      </c>
      <c r="C19" s="292">
        <f>C17+C18</f>
        <v>33728</v>
      </c>
      <c r="D19" s="292">
        <f t="shared" ref="D19" si="9">D17+D18</f>
        <v>28023</v>
      </c>
      <c r="E19" s="293">
        <f>D19/C19</f>
        <v>0.8308527039848197</v>
      </c>
      <c r="F19" s="292">
        <f t="shared" ref="F19:AP19" si="10">F17+F18</f>
        <v>0</v>
      </c>
      <c r="G19" s="292">
        <f t="shared" si="10"/>
        <v>1500</v>
      </c>
      <c r="H19" s="292">
        <f t="shared" si="10"/>
        <v>0</v>
      </c>
      <c r="I19" s="293">
        <v>0</v>
      </c>
      <c r="J19" s="292">
        <f t="shared" si="10"/>
        <v>0</v>
      </c>
      <c r="K19" s="292">
        <f t="shared" si="10"/>
        <v>0</v>
      </c>
      <c r="L19" s="292">
        <f t="shared" si="10"/>
        <v>0</v>
      </c>
      <c r="M19" s="293">
        <v>0</v>
      </c>
      <c r="N19" s="292">
        <f t="shared" si="10"/>
        <v>28029</v>
      </c>
      <c r="O19" s="292">
        <f t="shared" si="10"/>
        <v>64509</v>
      </c>
      <c r="P19" s="292">
        <f t="shared" si="10"/>
        <v>54869</v>
      </c>
      <c r="Q19" s="293">
        <f>P19/O19</f>
        <v>0.85056348726534281</v>
      </c>
      <c r="R19" s="292">
        <f t="shared" si="10"/>
        <v>0</v>
      </c>
      <c r="S19" s="292">
        <f t="shared" si="10"/>
        <v>0</v>
      </c>
      <c r="T19" s="292">
        <f t="shared" si="10"/>
        <v>0</v>
      </c>
      <c r="U19" s="293">
        <v>0</v>
      </c>
      <c r="V19" s="291" t="s">
        <v>494</v>
      </c>
      <c r="W19" s="292">
        <f t="shared" si="10"/>
        <v>0</v>
      </c>
      <c r="X19" s="292">
        <f t="shared" si="10"/>
        <v>3150</v>
      </c>
      <c r="Y19" s="292">
        <f t="shared" si="10"/>
        <v>3150</v>
      </c>
      <c r="Z19" s="293">
        <v>0</v>
      </c>
      <c r="AA19" s="292">
        <f t="shared" si="10"/>
        <v>0</v>
      </c>
      <c r="AB19" s="292">
        <f t="shared" si="10"/>
        <v>0</v>
      </c>
      <c r="AC19" s="292">
        <f t="shared" si="10"/>
        <v>0</v>
      </c>
      <c r="AD19" s="293">
        <v>0</v>
      </c>
      <c r="AE19" s="292">
        <f>AE17+AE18</f>
        <v>0</v>
      </c>
      <c r="AF19" s="292">
        <f>AF17+AF18</f>
        <v>7174</v>
      </c>
      <c r="AG19" s="292">
        <f t="shared" ref="AG19" si="11">AG17+AG18</f>
        <v>7174</v>
      </c>
      <c r="AH19" s="293">
        <f>AG19/AF19</f>
        <v>1</v>
      </c>
      <c r="AI19" s="292">
        <f t="shared" si="10"/>
        <v>113111</v>
      </c>
      <c r="AJ19" s="292">
        <f t="shared" si="10"/>
        <v>94890</v>
      </c>
      <c r="AK19" s="292">
        <f t="shared" si="10"/>
        <v>94890</v>
      </c>
      <c r="AL19" s="293">
        <f>AK19/AJ19</f>
        <v>1</v>
      </c>
      <c r="AM19" s="291" t="s">
        <v>494</v>
      </c>
      <c r="AN19" s="292">
        <f t="shared" si="10"/>
        <v>141140</v>
      </c>
      <c r="AO19" s="292">
        <f t="shared" si="10"/>
        <v>203451</v>
      </c>
      <c r="AP19" s="292">
        <f t="shared" si="10"/>
        <v>188106</v>
      </c>
      <c r="AQ19" s="293">
        <f>AP19/AO19</f>
        <v>0.92457643363758346</v>
      </c>
      <c r="AR19" s="292">
        <f>AR17+AR18</f>
        <v>0</v>
      </c>
      <c r="AS19" s="292">
        <f>AS17+AS18</f>
        <v>1500</v>
      </c>
      <c r="AT19" s="292">
        <f>AT17+AT18</f>
        <v>0</v>
      </c>
      <c r="AU19" s="293">
        <v>0</v>
      </c>
      <c r="AV19" s="292">
        <f>AV17+AV18</f>
        <v>141140</v>
      </c>
      <c r="AW19" s="292">
        <f>AW17+AW18</f>
        <v>204951</v>
      </c>
      <c r="AX19" s="292">
        <f>AX17+AX18</f>
        <v>188106</v>
      </c>
      <c r="AY19" s="293">
        <f>AX19/AW19</f>
        <v>0.91780962278788591</v>
      </c>
      <c r="AZ19" s="294">
        <f>SUM(AG19+AK19)</f>
        <v>102064</v>
      </c>
      <c r="BA19" s="294">
        <f>SUM(AX19-AZ19)</f>
        <v>86042</v>
      </c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</row>
    <row r="20" spans="1:79" s="282" customFormat="1" ht="15.75" x14ac:dyDescent="0.25">
      <c r="A20" s="278" t="s">
        <v>495</v>
      </c>
      <c r="B20" s="290"/>
      <c r="C20" s="290"/>
      <c r="D20" s="290"/>
      <c r="E20" s="297"/>
      <c r="F20" s="290"/>
      <c r="G20" s="290"/>
      <c r="H20" s="290"/>
      <c r="I20" s="297"/>
      <c r="J20" s="290"/>
      <c r="K20" s="290"/>
      <c r="L20" s="290"/>
      <c r="M20" s="297"/>
      <c r="N20" s="290"/>
      <c r="O20" s="290"/>
      <c r="P20" s="290"/>
      <c r="Q20" s="297"/>
      <c r="R20" s="290"/>
      <c r="S20" s="290"/>
      <c r="T20" s="290"/>
      <c r="U20" s="297"/>
      <c r="V20" s="278" t="s">
        <v>495</v>
      </c>
      <c r="W20" s="290"/>
      <c r="X20" s="290"/>
      <c r="Y20" s="290"/>
      <c r="Z20" s="297"/>
      <c r="AA20" s="290"/>
      <c r="AB20" s="290"/>
      <c r="AC20" s="290"/>
      <c r="AD20" s="297"/>
      <c r="AE20" s="290"/>
      <c r="AF20" s="290"/>
      <c r="AG20" s="290"/>
      <c r="AH20" s="297"/>
      <c r="AI20" s="290"/>
      <c r="AJ20" s="290"/>
      <c r="AK20" s="290"/>
      <c r="AL20" s="297"/>
      <c r="AM20" s="278" t="s">
        <v>495</v>
      </c>
      <c r="AN20" s="290"/>
      <c r="AO20" s="290"/>
      <c r="AP20" s="290"/>
      <c r="AQ20" s="297"/>
      <c r="AR20" s="290"/>
      <c r="AS20" s="290"/>
      <c r="AT20" s="290"/>
      <c r="AU20" s="297">
        <v>0</v>
      </c>
      <c r="AV20" s="298"/>
      <c r="AW20" s="298"/>
      <c r="AX20" s="298"/>
      <c r="AY20" s="297"/>
      <c r="AZ20" s="287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</row>
    <row r="21" spans="1:79" s="282" customFormat="1" ht="15.75" x14ac:dyDescent="0.25">
      <c r="A21" s="283" t="s">
        <v>490</v>
      </c>
      <c r="B21" s="284">
        <v>465</v>
      </c>
      <c r="C21" s="284">
        <v>462634</v>
      </c>
      <c r="D21" s="284">
        <v>462635</v>
      </c>
      <c r="E21" s="285">
        <f>D21/C21</f>
        <v>1.0000021615359009</v>
      </c>
      <c r="F21" s="284"/>
      <c r="G21" s="284">
        <v>32040</v>
      </c>
      <c r="H21" s="284">
        <v>32039</v>
      </c>
      <c r="I21" s="285">
        <f>H21/G21</f>
        <v>0.99996878901373287</v>
      </c>
      <c r="J21" s="284"/>
      <c r="K21" s="284"/>
      <c r="L21" s="284"/>
      <c r="M21" s="285"/>
      <c r="N21" s="284">
        <v>61600</v>
      </c>
      <c r="O21" s="284">
        <v>61600</v>
      </c>
      <c r="P21" s="284">
        <v>48001</v>
      </c>
      <c r="Q21" s="285">
        <f>P21/O21</f>
        <v>0.77923701298701298</v>
      </c>
      <c r="R21" s="284"/>
      <c r="S21" s="284"/>
      <c r="T21" s="284"/>
      <c r="U21" s="285"/>
      <c r="V21" s="283" t="s">
        <v>490</v>
      </c>
      <c r="W21" s="284"/>
      <c r="X21" s="284">
        <v>70</v>
      </c>
      <c r="Y21" s="284"/>
      <c r="Z21" s="285">
        <v>0</v>
      </c>
      <c r="AA21" s="284"/>
      <c r="AB21" s="284"/>
      <c r="AC21" s="284">
        <v>595</v>
      </c>
      <c r="AD21" s="285">
        <v>0</v>
      </c>
      <c r="AE21" s="284">
        <v>37781</v>
      </c>
      <c r="AF21" s="284">
        <f>37781+3804</f>
        <v>41585</v>
      </c>
      <c r="AG21" s="284">
        <v>41585</v>
      </c>
      <c r="AH21" s="285">
        <f>AG21/AF21</f>
        <v>1</v>
      </c>
      <c r="AI21" s="284">
        <v>237961</v>
      </c>
      <c r="AJ21" s="284">
        <v>272811</v>
      </c>
      <c r="AK21" s="284">
        <v>272811</v>
      </c>
      <c r="AL21" s="285">
        <f>AK21/AJ21</f>
        <v>1</v>
      </c>
      <c r="AM21" s="283" t="s">
        <v>490</v>
      </c>
      <c r="AN21" s="284">
        <f>SUM(B21+J21+N21+W21+AI21+AE21-656)</f>
        <v>337151</v>
      </c>
      <c r="AO21" s="284">
        <f>SUM(C21+K21+O21+X21+AJ21+AF21)</f>
        <v>838700</v>
      </c>
      <c r="AP21" s="284">
        <f>SUM(D21+L21+P21+Y21+AK21+AG21)</f>
        <v>825032</v>
      </c>
      <c r="AQ21" s="285">
        <f>AP21/AO21</f>
        <v>0.98370335042327417</v>
      </c>
      <c r="AR21" s="284">
        <v>656</v>
      </c>
      <c r="AS21" s="284">
        <f>G21+S21+AB21</f>
        <v>32040</v>
      </c>
      <c r="AT21" s="284">
        <f>H21+T21+AC21</f>
        <v>32634</v>
      </c>
      <c r="AU21" s="285">
        <f>AT21/AS21</f>
        <v>1.0185393258426967</v>
      </c>
      <c r="AV21" s="286">
        <f t="shared" ref="AV21:AV22" si="12">SUM(AN21+AR21)</f>
        <v>337807</v>
      </c>
      <c r="AW21" s="286">
        <f>SUM(AO21+AS21)</f>
        <v>870740</v>
      </c>
      <c r="AX21" s="286">
        <f>SUM(AP21+AT21)</f>
        <v>857666</v>
      </c>
      <c r="AY21" s="285">
        <f>AX21/AW21</f>
        <v>0.98498518501504473</v>
      </c>
      <c r="AZ21" s="287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</row>
    <row r="22" spans="1:79" s="282" customFormat="1" ht="16.5" thickBot="1" x14ac:dyDescent="0.3">
      <c r="A22" s="288" t="s">
        <v>491</v>
      </c>
      <c r="B22" s="289"/>
      <c r="C22" s="289"/>
      <c r="D22" s="289"/>
      <c r="E22" s="285"/>
      <c r="F22" s="289"/>
      <c r="G22" s="289"/>
      <c r="H22" s="289"/>
      <c r="I22" s="285"/>
      <c r="J22" s="289"/>
      <c r="K22" s="289"/>
      <c r="L22" s="289"/>
      <c r="M22" s="285"/>
      <c r="N22" s="289"/>
      <c r="O22" s="289"/>
      <c r="P22" s="289"/>
      <c r="Q22" s="285"/>
      <c r="R22" s="289"/>
      <c r="S22" s="289"/>
      <c r="T22" s="289"/>
      <c r="U22" s="285">
        <v>0</v>
      </c>
      <c r="V22" s="288" t="s">
        <v>491</v>
      </c>
      <c r="W22" s="289"/>
      <c r="X22" s="289"/>
      <c r="Y22" s="289"/>
      <c r="Z22" s="285"/>
      <c r="AA22" s="289"/>
      <c r="AB22" s="289"/>
      <c r="AC22" s="289"/>
      <c r="AD22" s="285"/>
      <c r="AE22" s="289"/>
      <c r="AF22" s="289"/>
      <c r="AG22" s="289"/>
      <c r="AH22" s="285"/>
      <c r="AI22" s="289"/>
      <c r="AJ22" s="289"/>
      <c r="AK22" s="289"/>
      <c r="AL22" s="285"/>
      <c r="AM22" s="288" t="s">
        <v>491</v>
      </c>
      <c r="AN22" s="290">
        <f>SUM(B22+J22+N22+W22+AI22)</f>
        <v>0</v>
      </c>
      <c r="AO22" s="290">
        <f>SUM(C22+K22+O22+X22+AJ22)</f>
        <v>0</v>
      </c>
      <c r="AP22" s="290">
        <f>SUM(D22+L22+P22+Y22+AK22)</f>
        <v>0</v>
      </c>
      <c r="AQ22" s="285"/>
      <c r="AR22" s="290">
        <f>SUM(F22+R22+AA22)</f>
        <v>0</v>
      </c>
      <c r="AS22" s="290">
        <f>SUM(G22+S22+AB22)</f>
        <v>0</v>
      </c>
      <c r="AT22" s="290">
        <f>SUM(H22+T22+AC22)</f>
        <v>0</v>
      </c>
      <c r="AU22" s="285">
        <v>0</v>
      </c>
      <c r="AV22" s="286">
        <f t="shared" si="12"/>
        <v>0</v>
      </c>
      <c r="AW22" s="286">
        <f>SUM(AO22+AS22)</f>
        <v>0</v>
      </c>
      <c r="AX22" s="286">
        <f>SUM(AP22+AT22)</f>
        <v>0</v>
      </c>
      <c r="AY22" s="285">
        <v>0</v>
      </c>
      <c r="AZ22" s="287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</row>
    <row r="23" spans="1:79" s="300" customFormat="1" ht="16.5" thickBot="1" x14ac:dyDescent="0.3">
      <c r="A23" s="291" t="s">
        <v>496</v>
      </c>
      <c r="B23" s="292">
        <f>B21+B22</f>
        <v>465</v>
      </c>
      <c r="C23" s="292">
        <f>C21+C22</f>
        <v>462634</v>
      </c>
      <c r="D23" s="292">
        <f t="shared" ref="D23" si="13">D21+D22</f>
        <v>462635</v>
      </c>
      <c r="E23" s="293">
        <f>D23/C23</f>
        <v>1.0000021615359009</v>
      </c>
      <c r="F23" s="292">
        <f t="shared" ref="F23:AN23" si="14">F21+F22</f>
        <v>0</v>
      </c>
      <c r="G23" s="292">
        <f t="shared" si="14"/>
        <v>32040</v>
      </c>
      <c r="H23" s="292">
        <f t="shared" si="14"/>
        <v>32039</v>
      </c>
      <c r="I23" s="293">
        <f>H23/G23</f>
        <v>0.99996878901373287</v>
      </c>
      <c r="J23" s="292">
        <f t="shared" si="14"/>
        <v>0</v>
      </c>
      <c r="K23" s="292">
        <f t="shared" si="14"/>
        <v>0</v>
      </c>
      <c r="L23" s="292">
        <f t="shared" si="14"/>
        <v>0</v>
      </c>
      <c r="M23" s="293">
        <v>0</v>
      </c>
      <c r="N23" s="292">
        <f t="shared" si="14"/>
        <v>61600</v>
      </c>
      <c r="O23" s="292">
        <f t="shared" si="14"/>
        <v>61600</v>
      </c>
      <c r="P23" s="292">
        <f t="shared" si="14"/>
        <v>48001</v>
      </c>
      <c r="Q23" s="293">
        <f>P23/O23</f>
        <v>0.77923701298701298</v>
      </c>
      <c r="R23" s="292">
        <f t="shared" si="14"/>
        <v>0</v>
      </c>
      <c r="S23" s="292">
        <f t="shared" si="14"/>
        <v>0</v>
      </c>
      <c r="T23" s="292">
        <f t="shared" si="14"/>
        <v>0</v>
      </c>
      <c r="U23" s="293"/>
      <c r="V23" s="291" t="s">
        <v>496</v>
      </c>
      <c r="W23" s="292">
        <f t="shared" si="14"/>
        <v>0</v>
      </c>
      <c r="X23" s="292">
        <f t="shared" si="14"/>
        <v>70</v>
      </c>
      <c r="Y23" s="292">
        <f t="shared" si="14"/>
        <v>0</v>
      </c>
      <c r="Z23" s="293">
        <v>0</v>
      </c>
      <c r="AA23" s="292">
        <f t="shared" si="14"/>
        <v>0</v>
      </c>
      <c r="AB23" s="292">
        <f t="shared" si="14"/>
        <v>0</v>
      </c>
      <c r="AC23" s="292">
        <f t="shared" si="14"/>
        <v>595</v>
      </c>
      <c r="AD23" s="293">
        <v>0</v>
      </c>
      <c r="AE23" s="292">
        <f>AE21+AE22</f>
        <v>37781</v>
      </c>
      <c r="AF23" s="292">
        <f>AF21+AF22</f>
        <v>41585</v>
      </c>
      <c r="AG23" s="292">
        <f t="shared" ref="AG23" si="15">AG21+AG22</f>
        <v>41585</v>
      </c>
      <c r="AH23" s="293">
        <f>AG23/AF23</f>
        <v>1</v>
      </c>
      <c r="AI23" s="292">
        <f t="shared" si="14"/>
        <v>237961</v>
      </c>
      <c r="AJ23" s="292">
        <f t="shared" si="14"/>
        <v>272811</v>
      </c>
      <c r="AK23" s="292">
        <f t="shared" si="14"/>
        <v>272811</v>
      </c>
      <c r="AL23" s="293">
        <f>AK23/AJ23</f>
        <v>1</v>
      </c>
      <c r="AM23" s="291" t="s">
        <v>496</v>
      </c>
      <c r="AN23" s="292">
        <f t="shared" si="14"/>
        <v>337151</v>
      </c>
      <c r="AO23" s="292">
        <f>AO21+AO22</f>
        <v>838700</v>
      </c>
      <c r="AP23" s="292">
        <f>AP21+AP22</f>
        <v>825032</v>
      </c>
      <c r="AQ23" s="293">
        <f>AP23/AO23</f>
        <v>0.98370335042327417</v>
      </c>
      <c r="AR23" s="292">
        <f>AR21+AR22</f>
        <v>656</v>
      </c>
      <c r="AS23" s="292">
        <f>AS21+AS22</f>
        <v>32040</v>
      </c>
      <c r="AT23" s="292">
        <f>AT21+AT22</f>
        <v>32634</v>
      </c>
      <c r="AU23" s="293">
        <f>AT23/AS23</f>
        <v>1.0185393258426967</v>
      </c>
      <c r="AV23" s="292">
        <f>AV21+AV22</f>
        <v>337807</v>
      </c>
      <c r="AW23" s="292">
        <f>AW21+AW22</f>
        <v>870740</v>
      </c>
      <c r="AX23" s="292">
        <f>AX21+AX22</f>
        <v>857666</v>
      </c>
      <c r="AY23" s="293">
        <f>AX23/AW23</f>
        <v>0.98498518501504473</v>
      </c>
      <c r="AZ23" s="294">
        <f>SUM(AG23+AK23)</f>
        <v>314396</v>
      </c>
      <c r="BA23" s="294">
        <f>SUM(AX23-AZ23)</f>
        <v>543270</v>
      </c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</row>
    <row r="24" spans="1:79" s="308" customFormat="1" ht="15.75" x14ac:dyDescent="0.25">
      <c r="A24" s="330" t="s">
        <v>497</v>
      </c>
      <c r="B24" s="302"/>
      <c r="C24" s="302"/>
      <c r="D24" s="302"/>
      <c r="E24" s="331"/>
      <c r="F24" s="302"/>
      <c r="G24" s="302"/>
      <c r="H24" s="302"/>
      <c r="I24" s="331"/>
      <c r="J24" s="302"/>
      <c r="K24" s="302"/>
      <c r="L24" s="302"/>
      <c r="M24" s="331"/>
      <c r="N24" s="302"/>
      <c r="O24" s="302"/>
      <c r="P24" s="302"/>
      <c r="Q24" s="331"/>
      <c r="R24" s="302"/>
      <c r="S24" s="302"/>
      <c r="T24" s="302"/>
      <c r="U24" s="331"/>
      <c r="V24" s="330" t="s">
        <v>497</v>
      </c>
      <c r="W24" s="302"/>
      <c r="X24" s="302"/>
      <c r="Y24" s="302"/>
      <c r="Z24" s="331"/>
      <c r="AA24" s="302"/>
      <c r="AB24" s="302"/>
      <c r="AC24" s="302"/>
      <c r="AD24" s="331"/>
      <c r="AE24" s="302"/>
      <c r="AF24" s="302"/>
      <c r="AG24" s="302"/>
      <c r="AH24" s="331"/>
      <c r="AI24" s="302"/>
      <c r="AJ24" s="302"/>
      <c r="AK24" s="302"/>
      <c r="AL24" s="331"/>
      <c r="AM24" s="330" t="s">
        <v>497</v>
      </c>
      <c r="AN24" s="302"/>
      <c r="AO24" s="302"/>
      <c r="AP24" s="302"/>
      <c r="AQ24" s="331"/>
      <c r="AR24" s="302"/>
      <c r="AS24" s="302"/>
      <c r="AT24" s="302"/>
      <c r="AU24" s="331"/>
      <c r="AV24" s="332"/>
      <c r="AW24" s="332"/>
      <c r="AX24" s="332"/>
      <c r="AY24" s="331"/>
      <c r="AZ24" s="306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</row>
    <row r="25" spans="1:79" s="308" customFormat="1" ht="15.75" x14ac:dyDescent="0.25">
      <c r="A25" s="301" t="s">
        <v>490</v>
      </c>
      <c r="B25" s="302"/>
      <c r="C25" s="302">
        <v>1717</v>
      </c>
      <c r="D25" s="303">
        <v>1717</v>
      </c>
      <c r="E25" s="304">
        <f>D25/C25</f>
        <v>1</v>
      </c>
      <c r="F25" s="302"/>
      <c r="G25" s="302"/>
      <c r="H25" s="302"/>
      <c r="I25" s="304"/>
      <c r="J25" s="302"/>
      <c r="K25" s="302"/>
      <c r="L25" s="302"/>
      <c r="M25" s="304"/>
      <c r="N25" s="302">
        <v>600</v>
      </c>
      <c r="O25" s="302">
        <v>600</v>
      </c>
      <c r="P25" s="302">
        <v>427</v>
      </c>
      <c r="Q25" s="304">
        <f t="shared" ref="Q25:Q30" si="16">P25/O25</f>
        <v>0.71166666666666667</v>
      </c>
      <c r="R25" s="302"/>
      <c r="S25" s="302"/>
      <c r="T25" s="302"/>
      <c r="U25" s="304"/>
      <c r="V25" s="301" t="s">
        <v>490</v>
      </c>
      <c r="W25" s="302"/>
      <c r="X25" s="302"/>
      <c r="Y25" s="302"/>
      <c r="Z25" s="304"/>
      <c r="AA25" s="302"/>
      <c r="AB25" s="302"/>
      <c r="AC25" s="302"/>
      <c r="AD25" s="304"/>
      <c r="AE25" s="302"/>
      <c r="AF25" s="302">
        <v>212</v>
      </c>
      <c r="AG25" s="302">
        <v>212</v>
      </c>
      <c r="AH25" s="304">
        <f>AG25/AF25</f>
        <v>1</v>
      </c>
      <c r="AI25" s="302">
        <v>22569</v>
      </c>
      <c r="AJ25" s="302">
        <v>25260</v>
      </c>
      <c r="AK25" s="302">
        <v>25260</v>
      </c>
      <c r="AL25" s="304">
        <f t="shared" ref="AL25:AL30" si="17">AK25/AJ25</f>
        <v>1</v>
      </c>
      <c r="AM25" s="301" t="s">
        <v>490</v>
      </c>
      <c r="AN25" s="303">
        <f>SUM(B25+J25+N25+W25+AI25)</f>
        <v>23169</v>
      </c>
      <c r="AO25" s="303">
        <f>SUM(C25+K25+O25+X25+AJ25+AF25)</f>
        <v>27789</v>
      </c>
      <c r="AP25" s="303">
        <f>SUM(D25+L25+P25+Y25+AK25+AG25)</f>
        <v>27616</v>
      </c>
      <c r="AQ25" s="304">
        <f>AP25/AO25</f>
        <v>0.9937745150959012</v>
      </c>
      <c r="AR25" s="303">
        <f t="shared" ref="AR25:AT26" si="18">SUM(F25+R25+AA25)</f>
        <v>0</v>
      </c>
      <c r="AS25" s="303">
        <f t="shared" si="18"/>
        <v>0</v>
      </c>
      <c r="AT25" s="303">
        <f t="shared" si="18"/>
        <v>0</v>
      </c>
      <c r="AU25" s="304">
        <v>0</v>
      </c>
      <c r="AV25" s="305">
        <f t="shared" ref="AV25:AV26" si="19">SUM(AN25+AR25)</f>
        <v>23169</v>
      </c>
      <c r="AW25" s="305">
        <f>SUM(AO25+AS25)</f>
        <v>27789</v>
      </c>
      <c r="AX25" s="305">
        <f>SUM(AP25+AT25)</f>
        <v>27616</v>
      </c>
      <c r="AY25" s="304">
        <f t="shared" ref="AY25:AY30" si="20">AX25/AW25</f>
        <v>0.9937745150959012</v>
      </c>
      <c r="AZ25" s="306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</row>
    <row r="26" spans="1:79" s="308" customFormat="1" ht="16.5" thickBot="1" x14ac:dyDescent="0.3">
      <c r="A26" s="309" t="s">
        <v>491</v>
      </c>
      <c r="B26" s="310"/>
      <c r="C26" s="310"/>
      <c r="D26" s="310"/>
      <c r="E26" s="304"/>
      <c r="F26" s="310"/>
      <c r="G26" s="310"/>
      <c r="H26" s="310"/>
      <c r="I26" s="304"/>
      <c r="J26" s="310"/>
      <c r="K26" s="310"/>
      <c r="L26" s="310"/>
      <c r="M26" s="304"/>
      <c r="N26" s="310">
        <v>1553</v>
      </c>
      <c r="O26" s="310">
        <v>1553</v>
      </c>
      <c r="P26" s="310">
        <v>1432</v>
      </c>
      <c r="Q26" s="304">
        <f t="shared" si="16"/>
        <v>0.92208628461043141</v>
      </c>
      <c r="R26" s="310"/>
      <c r="S26" s="310"/>
      <c r="T26" s="310"/>
      <c r="U26" s="304"/>
      <c r="V26" s="309" t="s">
        <v>491</v>
      </c>
      <c r="W26" s="310"/>
      <c r="X26" s="310"/>
      <c r="Y26" s="310"/>
      <c r="Z26" s="304"/>
      <c r="AA26" s="310"/>
      <c r="AB26" s="310"/>
      <c r="AC26" s="310"/>
      <c r="AD26" s="304"/>
      <c r="AE26" s="310"/>
      <c r="AF26" s="310">
        <v>403</v>
      </c>
      <c r="AG26" s="310">
        <v>403</v>
      </c>
      <c r="AH26" s="304">
        <f>AG26/AF26</f>
        <v>1</v>
      </c>
      <c r="AI26" s="310">
        <v>19788</v>
      </c>
      <c r="AJ26" s="310">
        <v>18788</v>
      </c>
      <c r="AK26" s="310">
        <v>18788</v>
      </c>
      <c r="AL26" s="304">
        <f t="shared" si="17"/>
        <v>1</v>
      </c>
      <c r="AM26" s="309" t="s">
        <v>491</v>
      </c>
      <c r="AN26" s="302">
        <f>SUM(B26+J26+N26+W26+AI26)</f>
        <v>21341</v>
      </c>
      <c r="AO26" s="303">
        <f>SUM(C26+K26+O26+X26+AJ26+AF26)</f>
        <v>20744</v>
      </c>
      <c r="AP26" s="303">
        <f>SUM(D26+L26+P26+Y26+AK26+AG26)</f>
        <v>20623</v>
      </c>
      <c r="AQ26" s="304">
        <f>AP26/AO26</f>
        <v>0.9941669880447358</v>
      </c>
      <c r="AR26" s="302">
        <f t="shared" si="18"/>
        <v>0</v>
      </c>
      <c r="AS26" s="302">
        <f t="shared" si="18"/>
        <v>0</v>
      </c>
      <c r="AT26" s="302">
        <f t="shared" si="18"/>
        <v>0</v>
      </c>
      <c r="AU26" s="304">
        <v>0</v>
      </c>
      <c r="AV26" s="305">
        <f t="shared" si="19"/>
        <v>21341</v>
      </c>
      <c r="AW26" s="305">
        <f>SUM(AO26+AS26)</f>
        <v>20744</v>
      </c>
      <c r="AX26" s="305">
        <f>SUM(AP26+AT26)</f>
        <v>20623</v>
      </c>
      <c r="AY26" s="304">
        <f t="shared" si="20"/>
        <v>0.9941669880447358</v>
      </c>
      <c r="AZ26" s="306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</row>
    <row r="27" spans="1:79" s="282" customFormat="1" ht="16.5" thickBot="1" x14ac:dyDescent="0.3">
      <c r="A27" s="291" t="s">
        <v>498</v>
      </c>
      <c r="B27" s="292">
        <f>B25+B26</f>
        <v>0</v>
      </c>
      <c r="C27" s="292">
        <f>C25+C26</f>
        <v>1717</v>
      </c>
      <c r="D27" s="292">
        <f t="shared" ref="D27" si="21">D25+D26</f>
        <v>1717</v>
      </c>
      <c r="E27" s="293">
        <f>D27/C27</f>
        <v>1</v>
      </c>
      <c r="F27" s="292">
        <f t="shared" ref="F27:AP27" si="22">F25+F26</f>
        <v>0</v>
      </c>
      <c r="G27" s="292">
        <f t="shared" si="22"/>
        <v>0</v>
      </c>
      <c r="H27" s="292">
        <f t="shared" si="22"/>
        <v>0</v>
      </c>
      <c r="I27" s="293">
        <v>0</v>
      </c>
      <c r="J27" s="292">
        <f t="shared" si="22"/>
        <v>0</v>
      </c>
      <c r="K27" s="292">
        <f t="shared" si="22"/>
        <v>0</v>
      </c>
      <c r="L27" s="292">
        <f t="shared" si="22"/>
        <v>0</v>
      </c>
      <c r="M27" s="293">
        <v>0</v>
      </c>
      <c r="N27" s="292">
        <f t="shared" si="22"/>
        <v>2153</v>
      </c>
      <c r="O27" s="292">
        <f t="shared" si="22"/>
        <v>2153</v>
      </c>
      <c r="P27" s="292">
        <f t="shared" si="22"/>
        <v>1859</v>
      </c>
      <c r="Q27" s="293">
        <f t="shared" si="16"/>
        <v>0.8634463539247561</v>
      </c>
      <c r="R27" s="292">
        <f t="shared" si="22"/>
        <v>0</v>
      </c>
      <c r="S27" s="292">
        <f t="shared" si="22"/>
        <v>0</v>
      </c>
      <c r="T27" s="292">
        <f t="shared" si="22"/>
        <v>0</v>
      </c>
      <c r="U27" s="293">
        <v>0</v>
      </c>
      <c r="V27" s="291" t="s">
        <v>498</v>
      </c>
      <c r="W27" s="292">
        <f t="shared" si="22"/>
        <v>0</v>
      </c>
      <c r="X27" s="292">
        <f t="shared" si="22"/>
        <v>0</v>
      </c>
      <c r="Y27" s="292">
        <f t="shared" si="22"/>
        <v>0</v>
      </c>
      <c r="Z27" s="293">
        <v>0</v>
      </c>
      <c r="AA27" s="292">
        <f t="shared" si="22"/>
        <v>0</v>
      </c>
      <c r="AB27" s="292">
        <f t="shared" si="22"/>
        <v>0</v>
      </c>
      <c r="AC27" s="292">
        <f t="shared" si="22"/>
        <v>0</v>
      </c>
      <c r="AD27" s="293">
        <v>0</v>
      </c>
      <c r="AE27" s="292">
        <f>AE25+AE26</f>
        <v>0</v>
      </c>
      <c r="AF27" s="292">
        <f>AF25+AF26</f>
        <v>615</v>
      </c>
      <c r="AG27" s="292">
        <f t="shared" ref="AG27" si="23">AG25+AG26</f>
        <v>615</v>
      </c>
      <c r="AH27" s="293">
        <f>AG27/AF27</f>
        <v>1</v>
      </c>
      <c r="AI27" s="292">
        <f t="shared" si="22"/>
        <v>42357</v>
      </c>
      <c r="AJ27" s="292">
        <f t="shared" si="22"/>
        <v>44048</v>
      </c>
      <c r="AK27" s="292">
        <f t="shared" si="22"/>
        <v>44048</v>
      </c>
      <c r="AL27" s="293">
        <f t="shared" si="17"/>
        <v>1</v>
      </c>
      <c r="AM27" s="291" t="s">
        <v>498</v>
      </c>
      <c r="AN27" s="292">
        <f t="shared" si="22"/>
        <v>44510</v>
      </c>
      <c r="AO27" s="292">
        <f t="shared" si="22"/>
        <v>48533</v>
      </c>
      <c r="AP27" s="292">
        <f t="shared" si="22"/>
        <v>48239</v>
      </c>
      <c r="AQ27" s="293">
        <f>AP27/AO27</f>
        <v>0.99394226608699232</v>
      </c>
      <c r="AR27" s="292">
        <f>AR25+AR26</f>
        <v>0</v>
      </c>
      <c r="AS27" s="292">
        <f>AS25+AS26</f>
        <v>0</v>
      </c>
      <c r="AT27" s="292">
        <f>AT25+AT26</f>
        <v>0</v>
      </c>
      <c r="AU27" s="293">
        <v>0</v>
      </c>
      <c r="AV27" s="292">
        <f>AV25+AV26</f>
        <v>44510</v>
      </c>
      <c r="AW27" s="292">
        <f>AW25+AW26</f>
        <v>48533</v>
      </c>
      <c r="AX27" s="292">
        <f>AX25+AX26</f>
        <v>48239</v>
      </c>
      <c r="AY27" s="293">
        <f t="shared" si="20"/>
        <v>0.99394226608699232</v>
      </c>
      <c r="AZ27" s="294">
        <f>SUM(AG27+AK27)</f>
        <v>44663</v>
      </c>
      <c r="BA27" s="294">
        <f>SUM(AX27-AZ27)</f>
        <v>3576</v>
      </c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</row>
    <row r="28" spans="1:79" s="282" customFormat="1" ht="32.25" thickBot="1" x14ac:dyDescent="0.3">
      <c r="A28" s="311" t="s">
        <v>499</v>
      </c>
      <c r="B28" s="312">
        <f t="shared" ref="B28:D29" si="24">B13+B17+B21+B25</f>
        <v>465</v>
      </c>
      <c r="C28" s="312">
        <f t="shared" si="24"/>
        <v>520870</v>
      </c>
      <c r="D28" s="312">
        <f t="shared" si="24"/>
        <v>515166</v>
      </c>
      <c r="E28" s="313">
        <f>D28/C28</f>
        <v>0.98904909094399751</v>
      </c>
      <c r="F28" s="312">
        <f>F13+F17+F21+F25</f>
        <v>0</v>
      </c>
      <c r="G28" s="312">
        <f>G13+G17+G21+G25</f>
        <v>33540</v>
      </c>
      <c r="H28" s="312">
        <f>H13+H17+H21+H25</f>
        <v>32039</v>
      </c>
      <c r="I28" s="313">
        <f>H28/G28</f>
        <v>0.95524746571258201</v>
      </c>
      <c r="J28" s="312">
        <f>J13+J17+J21+J25</f>
        <v>0</v>
      </c>
      <c r="K28" s="312">
        <f>K13+K17+K21+K25</f>
        <v>0</v>
      </c>
      <c r="L28" s="312">
        <f>L13+L17+L21+L25</f>
        <v>0</v>
      </c>
      <c r="M28" s="313">
        <v>0</v>
      </c>
      <c r="N28" s="312">
        <f>N13+N17+N21+N25</f>
        <v>90094</v>
      </c>
      <c r="O28" s="312">
        <f>O13+O17+O21+O25</f>
        <v>126574</v>
      </c>
      <c r="P28" s="312">
        <f>P13+P17+P21+P25</f>
        <v>101563</v>
      </c>
      <c r="Q28" s="313">
        <f t="shared" si="16"/>
        <v>0.80240017697157395</v>
      </c>
      <c r="R28" s="312">
        <f>R13+R17+R21+R25</f>
        <v>0</v>
      </c>
      <c r="S28" s="312">
        <f>S13+S17+S21+S25</f>
        <v>0</v>
      </c>
      <c r="T28" s="312">
        <f>T13+T17+T21+T25</f>
        <v>0</v>
      </c>
      <c r="U28" s="313">
        <v>0</v>
      </c>
      <c r="V28" s="311" t="s">
        <v>499</v>
      </c>
      <c r="W28" s="312">
        <f>W13+W17+W21+W25</f>
        <v>0</v>
      </c>
      <c r="X28" s="312">
        <f>X13+X17+X21+X25</f>
        <v>3220</v>
      </c>
      <c r="Y28" s="312">
        <f>Y13+Y17+Y21+Y25</f>
        <v>3150</v>
      </c>
      <c r="Z28" s="313">
        <v>0</v>
      </c>
      <c r="AA28" s="312">
        <f>AA13+AA17+AA21+AA25</f>
        <v>0</v>
      </c>
      <c r="AB28" s="312">
        <f>AB13+AB17+AB21+AB25</f>
        <v>0</v>
      </c>
      <c r="AC28" s="312">
        <f>AC13+AC17+AC21+AC25</f>
        <v>595</v>
      </c>
      <c r="AD28" s="313">
        <v>0</v>
      </c>
      <c r="AE28" s="312">
        <f>AE13+AE17+AE21+AE25</f>
        <v>37781</v>
      </c>
      <c r="AF28" s="312">
        <f>AF13+AF17+AF21+AF25</f>
        <v>58704</v>
      </c>
      <c r="AG28" s="312">
        <f>AG13+AG17+AG21+AG25</f>
        <v>58704</v>
      </c>
      <c r="AH28" s="313">
        <f>AG28/AF28</f>
        <v>1</v>
      </c>
      <c r="AI28" s="312">
        <f>AI13+AI17+AI21+AI25</f>
        <v>883990</v>
      </c>
      <c r="AJ28" s="312">
        <f>AJ13+AJ17+AJ21+AJ25</f>
        <v>918484</v>
      </c>
      <c r="AK28" s="312">
        <f>AK13+AK17+AK21+AK25</f>
        <v>918484</v>
      </c>
      <c r="AL28" s="313">
        <f t="shared" si="17"/>
        <v>1</v>
      </c>
      <c r="AM28" s="311" t="s">
        <v>499</v>
      </c>
      <c r="AN28" s="312">
        <f>AN13+AN17+AN21+AN25</f>
        <v>1011674</v>
      </c>
      <c r="AO28" s="312">
        <f>AO13+AO17+AO21+AO25</f>
        <v>1627852</v>
      </c>
      <c r="AP28" s="312">
        <f>AP13+AP17+AP21+AP25</f>
        <v>1597067</v>
      </c>
      <c r="AQ28" s="313">
        <f>AP28/AO28</f>
        <v>0.9810885756198966</v>
      </c>
      <c r="AR28" s="312">
        <f t="shared" ref="AR28:AT28" si="25">AR13+AR17+AR21+AR25</f>
        <v>656</v>
      </c>
      <c r="AS28" s="312">
        <f t="shared" si="25"/>
        <v>33540</v>
      </c>
      <c r="AT28" s="312">
        <f t="shared" si="25"/>
        <v>32634</v>
      </c>
      <c r="AU28" s="313">
        <f>AT28/AS28</f>
        <v>0.97298747763864046</v>
      </c>
      <c r="AV28" s="314">
        <f>AV13+AV17+AV21+AV25</f>
        <v>1012330</v>
      </c>
      <c r="AW28" s="314">
        <f>AW13+AW17+AW21+AW25</f>
        <v>1661392</v>
      </c>
      <c r="AX28" s="314">
        <f>AX13+AX17+AX21+AX25</f>
        <v>1629701</v>
      </c>
      <c r="AY28" s="315">
        <f t="shared" si="20"/>
        <v>0.98092503153981725</v>
      </c>
      <c r="AZ28" s="287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</row>
    <row r="29" spans="1:79" s="282" customFormat="1" ht="48" thickBot="1" x14ac:dyDescent="0.3">
      <c r="A29" s="316" t="s">
        <v>500</v>
      </c>
      <c r="B29" s="290">
        <f t="shared" si="24"/>
        <v>0</v>
      </c>
      <c r="C29" s="290">
        <f t="shared" si="24"/>
        <v>0</v>
      </c>
      <c r="D29" s="290">
        <f t="shared" si="24"/>
        <v>0</v>
      </c>
      <c r="E29" s="285">
        <v>0</v>
      </c>
      <c r="F29" s="290">
        <f t="shared" ref="F29:H29" si="26">F14+F18+F22+F26</f>
        <v>0</v>
      </c>
      <c r="G29" s="290">
        <f t="shared" si="26"/>
        <v>0</v>
      </c>
      <c r="H29" s="290">
        <f t="shared" si="26"/>
        <v>0</v>
      </c>
      <c r="I29" s="285">
        <v>0</v>
      </c>
      <c r="J29" s="290">
        <f t="shared" ref="J29:L29" si="27">J14+J18+J22+J26</f>
        <v>0</v>
      </c>
      <c r="K29" s="290">
        <f t="shared" si="27"/>
        <v>0</v>
      </c>
      <c r="L29" s="290">
        <f t="shared" si="27"/>
        <v>0</v>
      </c>
      <c r="M29" s="285">
        <v>0</v>
      </c>
      <c r="N29" s="290">
        <f t="shared" ref="N29:P29" si="28">N14+N18+N22+N26</f>
        <v>8983</v>
      </c>
      <c r="O29" s="290">
        <f t="shared" si="28"/>
        <v>8983</v>
      </c>
      <c r="P29" s="290">
        <f t="shared" si="28"/>
        <v>8862</v>
      </c>
      <c r="Q29" s="313">
        <f t="shared" si="16"/>
        <v>0.98653011243459865</v>
      </c>
      <c r="R29" s="290">
        <f t="shared" ref="R29:T29" si="29">R14+R18+R22+R26</f>
        <v>0</v>
      </c>
      <c r="S29" s="290">
        <f t="shared" si="29"/>
        <v>0</v>
      </c>
      <c r="T29" s="290">
        <f t="shared" si="29"/>
        <v>0</v>
      </c>
      <c r="U29" s="285">
        <v>0</v>
      </c>
      <c r="V29" s="316" t="s">
        <v>500</v>
      </c>
      <c r="W29" s="290">
        <f t="shared" ref="W29:Y29" si="30">W14+W18+W22+W26</f>
        <v>0</v>
      </c>
      <c r="X29" s="290">
        <f t="shared" si="30"/>
        <v>0</v>
      </c>
      <c r="Y29" s="290">
        <f t="shared" si="30"/>
        <v>0</v>
      </c>
      <c r="Z29" s="285">
        <v>0</v>
      </c>
      <c r="AA29" s="290">
        <f t="shared" ref="AA29:AC29" si="31">AA14+AA18+AA22+AA26</f>
        <v>0</v>
      </c>
      <c r="AB29" s="290">
        <f t="shared" si="31"/>
        <v>0</v>
      </c>
      <c r="AC29" s="290">
        <f t="shared" si="31"/>
        <v>0</v>
      </c>
      <c r="AD29" s="285">
        <v>0</v>
      </c>
      <c r="AE29" s="290">
        <f t="shared" ref="AE29:AG29" si="32">AE14+AE18+AE22+AE26</f>
        <v>0</v>
      </c>
      <c r="AF29" s="290">
        <f t="shared" si="32"/>
        <v>403</v>
      </c>
      <c r="AG29" s="290">
        <f t="shared" si="32"/>
        <v>403</v>
      </c>
      <c r="AH29" s="285"/>
      <c r="AI29" s="290">
        <f t="shared" ref="AI29:AK29" si="33">AI14+AI18+AI22+AI26</f>
        <v>28685</v>
      </c>
      <c r="AJ29" s="290">
        <f t="shared" si="33"/>
        <v>27685</v>
      </c>
      <c r="AK29" s="290">
        <f t="shared" si="33"/>
        <v>27685</v>
      </c>
      <c r="AL29" s="313">
        <f t="shared" si="17"/>
        <v>1</v>
      </c>
      <c r="AM29" s="316" t="s">
        <v>500</v>
      </c>
      <c r="AN29" s="290">
        <f t="shared" ref="AN29:AP29" si="34">AN14+AN18+AN22+AN26</f>
        <v>37668</v>
      </c>
      <c r="AO29" s="290">
        <f t="shared" si="34"/>
        <v>37071</v>
      </c>
      <c r="AP29" s="290">
        <f t="shared" si="34"/>
        <v>36950</v>
      </c>
      <c r="AQ29" s="285"/>
      <c r="AR29" s="317">
        <f>SUM(F29+R29+AA29)</f>
        <v>0</v>
      </c>
      <c r="AS29" s="317">
        <f>SUM(G29+S29+AB29)</f>
        <v>0</v>
      </c>
      <c r="AT29" s="317">
        <f>SUM(H29+T29+AC29)</f>
        <v>0</v>
      </c>
      <c r="AU29" s="285">
        <v>0</v>
      </c>
      <c r="AV29" s="298">
        <f t="shared" ref="AV29:AW29" si="35">AV14+AV18+AV22+AV26</f>
        <v>37668</v>
      </c>
      <c r="AW29" s="298">
        <f t="shared" si="35"/>
        <v>37071</v>
      </c>
      <c r="AX29" s="298">
        <f>AX14+AX18+AX22+AX26</f>
        <v>36950</v>
      </c>
      <c r="AY29" s="315">
        <f t="shared" si="20"/>
        <v>0.99673599309433247</v>
      </c>
      <c r="AZ29" s="287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</row>
    <row r="30" spans="1:79" s="282" customFormat="1" ht="32.25" thickBot="1" x14ac:dyDescent="0.3">
      <c r="A30" s="291" t="s">
        <v>501</v>
      </c>
      <c r="B30" s="292">
        <f>B28+B29</f>
        <v>465</v>
      </c>
      <c r="C30" s="292">
        <f>C28+C29</f>
        <v>520870</v>
      </c>
      <c r="D30" s="292">
        <f>D28+D29</f>
        <v>515166</v>
      </c>
      <c r="E30" s="293">
        <f>D30/C30</f>
        <v>0.98904909094399751</v>
      </c>
      <c r="F30" s="292">
        <f t="shared" ref="F30:H30" si="36">F28+F29</f>
        <v>0</v>
      </c>
      <c r="G30" s="292">
        <f t="shared" si="36"/>
        <v>33540</v>
      </c>
      <c r="H30" s="292">
        <f t="shared" si="36"/>
        <v>32039</v>
      </c>
      <c r="I30" s="293">
        <f>H30/G30</f>
        <v>0.95524746571258201</v>
      </c>
      <c r="J30" s="292">
        <f t="shared" ref="J30:L30" si="37">J28+J29</f>
        <v>0</v>
      </c>
      <c r="K30" s="292">
        <f t="shared" si="37"/>
        <v>0</v>
      </c>
      <c r="L30" s="292">
        <f t="shared" si="37"/>
        <v>0</v>
      </c>
      <c r="M30" s="293">
        <v>0</v>
      </c>
      <c r="N30" s="292">
        <f t="shared" ref="N30:P30" si="38">N28+N29</f>
        <v>99077</v>
      </c>
      <c r="O30" s="292">
        <f t="shared" si="38"/>
        <v>135557</v>
      </c>
      <c r="P30" s="292">
        <f t="shared" si="38"/>
        <v>110425</v>
      </c>
      <c r="Q30" s="293">
        <f t="shared" si="16"/>
        <v>0.81460197555271951</v>
      </c>
      <c r="R30" s="292">
        <f t="shared" ref="R30:T30" si="39">R28+R29</f>
        <v>0</v>
      </c>
      <c r="S30" s="292">
        <f t="shared" si="39"/>
        <v>0</v>
      </c>
      <c r="T30" s="292">
        <f t="shared" si="39"/>
        <v>0</v>
      </c>
      <c r="U30" s="293">
        <v>0</v>
      </c>
      <c r="V30" s="291" t="s">
        <v>501</v>
      </c>
      <c r="W30" s="292">
        <f t="shared" ref="W30:Y30" si="40">W28+W29</f>
        <v>0</v>
      </c>
      <c r="X30" s="292">
        <f t="shared" si="40"/>
        <v>3220</v>
      </c>
      <c r="Y30" s="292">
        <f t="shared" si="40"/>
        <v>3150</v>
      </c>
      <c r="Z30" s="293">
        <v>0</v>
      </c>
      <c r="AA30" s="292">
        <f t="shared" ref="AA30:AC30" si="41">AA28+AA29</f>
        <v>0</v>
      </c>
      <c r="AB30" s="292">
        <f t="shared" si="41"/>
        <v>0</v>
      </c>
      <c r="AC30" s="292">
        <f t="shared" si="41"/>
        <v>595</v>
      </c>
      <c r="AD30" s="293">
        <v>0</v>
      </c>
      <c r="AE30" s="292">
        <f t="shared" ref="AE30:AG30" si="42">AE28+AE29</f>
        <v>37781</v>
      </c>
      <c r="AF30" s="292">
        <f t="shared" si="42"/>
        <v>59107</v>
      </c>
      <c r="AG30" s="292">
        <f t="shared" si="42"/>
        <v>59107</v>
      </c>
      <c r="AH30" s="293">
        <f>AG30/AF30</f>
        <v>1</v>
      </c>
      <c r="AI30" s="292">
        <f t="shared" ref="AI30:AK30" si="43">AI28+AI29</f>
        <v>912675</v>
      </c>
      <c r="AJ30" s="292">
        <f t="shared" si="43"/>
        <v>946169</v>
      </c>
      <c r="AK30" s="292">
        <f t="shared" si="43"/>
        <v>946169</v>
      </c>
      <c r="AL30" s="293">
        <f t="shared" si="17"/>
        <v>1</v>
      </c>
      <c r="AM30" s="291" t="s">
        <v>501</v>
      </c>
      <c r="AN30" s="292">
        <f t="shared" ref="AN30:AP30" si="44">AN28+AN29</f>
        <v>1049342</v>
      </c>
      <c r="AO30" s="292">
        <f t="shared" si="44"/>
        <v>1664923</v>
      </c>
      <c r="AP30" s="292">
        <f t="shared" si="44"/>
        <v>1634017</v>
      </c>
      <c r="AQ30" s="293">
        <f>AP30/AO30</f>
        <v>0.9814369793678146</v>
      </c>
      <c r="AR30" s="292">
        <f>AR28+AR29</f>
        <v>656</v>
      </c>
      <c r="AS30" s="292">
        <f>AS28+AS29</f>
        <v>33540</v>
      </c>
      <c r="AT30" s="292">
        <f>AT28+AT29</f>
        <v>32634</v>
      </c>
      <c r="AU30" s="293">
        <f>AT30/AS30</f>
        <v>0.97298747763864046</v>
      </c>
      <c r="AV30" s="292">
        <f t="shared" ref="AV30:AX30" si="45">AV28+AV29</f>
        <v>1049998</v>
      </c>
      <c r="AW30" s="292">
        <f t="shared" si="45"/>
        <v>1698463</v>
      </c>
      <c r="AX30" s="292">
        <f t="shared" si="45"/>
        <v>1666651</v>
      </c>
      <c r="AY30" s="293">
        <f t="shared" si="20"/>
        <v>0.98127012481284548</v>
      </c>
      <c r="AZ30" s="294">
        <f>SUM(AG30+AK30)</f>
        <v>1005276</v>
      </c>
      <c r="BA30" s="294">
        <f>SUM(AX30-AZ30)</f>
        <v>661375</v>
      </c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</row>
    <row r="31" spans="1:79" s="282" customFormat="1" ht="15.75" x14ac:dyDescent="0.25">
      <c r="A31" s="278" t="s">
        <v>502</v>
      </c>
      <c r="B31" s="290"/>
      <c r="C31" s="290"/>
      <c r="D31" s="290"/>
      <c r="E31" s="297"/>
      <c r="F31" s="290"/>
      <c r="G31" s="290"/>
      <c r="H31" s="290"/>
      <c r="I31" s="297"/>
      <c r="J31" s="290"/>
      <c r="K31" s="290"/>
      <c r="L31" s="290"/>
      <c r="M31" s="297"/>
      <c r="N31" s="290"/>
      <c r="O31" s="290"/>
      <c r="P31" s="290"/>
      <c r="Q31" s="297"/>
      <c r="R31" s="290"/>
      <c r="S31" s="290"/>
      <c r="T31" s="290"/>
      <c r="U31" s="297"/>
      <c r="V31" s="278" t="s">
        <v>502</v>
      </c>
      <c r="W31" s="290"/>
      <c r="X31" s="290"/>
      <c r="Y31" s="290"/>
      <c r="Z31" s="297"/>
      <c r="AA31" s="290"/>
      <c r="AB31" s="290"/>
      <c r="AC31" s="290"/>
      <c r="AD31" s="297"/>
      <c r="AE31" s="290"/>
      <c r="AF31" s="290"/>
      <c r="AG31" s="290"/>
      <c r="AH31" s="297"/>
      <c r="AI31" s="290"/>
      <c r="AJ31" s="290"/>
      <c r="AK31" s="290"/>
      <c r="AL31" s="297"/>
      <c r="AM31" s="278" t="s">
        <v>502</v>
      </c>
      <c r="AN31" s="290"/>
      <c r="AO31" s="290"/>
      <c r="AP31" s="290"/>
      <c r="AQ31" s="297"/>
      <c r="AR31" s="290"/>
      <c r="AS31" s="290"/>
      <c r="AT31" s="290"/>
      <c r="AU31" s="297"/>
      <c r="AV31" s="298"/>
      <c r="AW31" s="298"/>
      <c r="AX31" s="298"/>
      <c r="AY31" s="297"/>
      <c r="AZ31" s="287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</row>
    <row r="32" spans="1:79" s="282" customFormat="1" ht="15.75" x14ac:dyDescent="0.25">
      <c r="A32" s="311" t="s">
        <v>490</v>
      </c>
      <c r="B32" s="290"/>
      <c r="C32" s="290">
        <v>7711</v>
      </c>
      <c r="D32" s="284">
        <v>7709</v>
      </c>
      <c r="E32" s="285">
        <f>D32/C32</f>
        <v>0.99974063026844773</v>
      </c>
      <c r="F32" s="290"/>
      <c r="G32" s="290"/>
      <c r="H32" s="290"/>
      <c r="I32" s="285"/>
      <c r="J32" s="290"/>
      <c r="K32" s="290"/>
      <c r="L32" s="290"/>
      <c r="M32" s="285"/>
      <c r="N32" s="290">
        <v>10500</v>
      </c>
      <c r="O32" s="290">
        <v>11307</v>
      </c>
      <c r="P32" s="290">
        <v>14183</v>
      </c>
      <c r="Q32" s="285">
        <f>P32/O32</f>
        <v>1.2543557088529229</v>
      </c>
      <c r="R32" s="290"/>
      <c r="S32" s="290"/>
      <c r="T32" s="290"/>
      <c r="U32" s="285"/>
      <c r="V32" s="311" t="s">
        <v>490</v>
      </c>
      <c r="W32" s="290"/>
      <c r="X32" s="290"/>
      <c r="Y32" s="290"/>
      <c r="Z32" s="285"/>
      <c r="AA32" s="290"/>
      <c r="AB32" s="290"/>
      <c r="AC32" s="290"/>
      <c r="AD32" s="285"/>
      <c r="AE32" s="290"/>
      <c r="AF32" s="290">
        <v>8768</v>
      </c>
      <c r="AG32" s="290">
        <v>8768</v>
      </c>
      <c r="AH32" s="285">
        <f>AG32/AF32</f>
        <v>1</v>
      </c>
      <c r="AI32" s="290">
        <v>315300</v>
      </c>
      <c r="AJ32" s="290">
        <v>278676</v>
      </c>
      <c r="AK32" s="290">
        <v>278676</v>
      </c>
      <c r="AL32" s="285">
        <f>AK32/AJ32</f>
        <v>1</v>
      </c>
      <c r="AM32" s="311" t="s">
        <v>490</v>
      </c>
      <c r="AN32" s="284">
        <f>SUM(B32+J32+N32+W32+AI32)</f>
        <v>325800</v>
      </c>
      <c r="AO32" s="284">
        <f>SUM(C32+K32+O32+X32+AJ32+AF32)</f>
        <v>306462</v>
      </c>
      <c r="AP32" s="284">
        <f>SUM(D32+L32+P32+Y32+AK32+AG32)</f>
        <v>309336</v>
      </c>
      <c r="AQ32" s="285">
        <f>AP32/AO32</f>
        <v>1.009377997924702</v>
      </c>
      <c r="AR32" s="284">
        <f t="shared" ref="AR32:AT34" si="46">SUM(F32+R32+AA32)</f>
        <v>0</v>
      </c>
      <c r="AS32" s="284">
        <f t="shared" si="46"/>
        <v>0</v>
      </c>
      <c r="AT32" s="284">
        <f t="shared" si="46"/>
        <v>0</v>
      </c>
      <c r="AU32" s="285">
        <v>0</v>
      </c>
      <c r="AV32" s="286">
        <f>SUM(AN32+AR32)</f>
        <v>325800</v>
      </c>
      <c r="AW32" s="286">
        <f t="shared" ref="AW32:AX34" si="47">SUM(AO32+AS32)</f>
        <v>306462</v>
      </c>
      <c r="AX32" s="286">
        <f t="shared" si="47"/>
        <v>309336</v>
      </c>
      <c r="AY32" s="285">
        <f>AX32/AW32</f>
        <v>1.009377997924702</v>
      </c>
      <c r="AZ32" s="287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</row>
    <row r="33" spans="1:79" s="282" customFormat="1" ht="15.75" x14ac:dyDescent="0.25">
      <c r="A33" s="288" t="s">
        <v>491</v>
      </c>
      <c r="B33" s="289"/>
      <c r="C33" s="289"/>
      <c r="D33" s="289"/>
      <c r="E33" s="318"/>
      <c r="F33" s="289"/>
      <c r="G33" s="289"/>
      <c r="H33" s="289"/>
      <c r="I33" s="318"/>
      <c r="J33" s="289"/>
      <c r="K33" s="289"/>
      <c r="L33" s="289"/>
      <c r="M33" s="318"/>
      <c r="N33" s="289"/>
      <c r="O33" s="289"/>
      <c r="P33" s="289"/>
      <c r="Q33" s="318"/>
      <c r="R33" s="289"/>
      <c r="S33" s="289"/>
      <c r="T33" s="289"/>
      <c r="U33" s="318"/>
      <c r="V33" s="288" t="s">
        <v>491</v>
      </c>
      <c r="W33" s="289"/>
      <c r="X33" s="289">
        <v>700</v>
      </c>
      <c r="Y33" s="289">
        <v>700</v>
      </c>
      <c r="Z33" s="318">
        <v>1</v>
      </c>
      <c r="AA33" s="289"/>
      <c r="AB33" s="289"/>
      <c r="AC33" s="289"/>
      <c r="AD33" s="318"/>
      <c r="AE33" s="289"/>
      <c r="AF33" s="289"/>
      <c r="AG33" s="289"/>
      <c r="AH33" s="318"/>
      <c r="AI33" s="289">
        <v>755</v>
      </c>
      <c r="AJ33" s="289">
        <v>755</v>
      </c>
      <c r="AK33" s="289">
        <v>755</v>
      </c>
      <c r="AL33" s="285">
        <f>AK33/AJ33</f>
        <v>1</v>
      </c>
      <c r="AM33" s="288" t="s">
        <v>491</v>
      </c>
      <c r="AN33" s="284">
        <f>SUM(B33+J33+N33+W33+AI33)</f>
        <v>755</v>
      </c>
      <c r="AO33" s="284">
        <f>SUM(C33+K33+O33+X33+AJ33)</f>
        <v>1455</v>
      </c>
      <c r="AP33" s="284">
        <f>SUM(D33+L33+P33+Y33+AK33)</f>
        <v>1455</v>
      </c>
      <c r="AQ33" s="285">
        <f t="shared" ref="AQ33:AQ34" si="48">AP33/AO33</f>
        <v>1</v>
      </c>
      <c r="AR33" s="284">
        <f t="shared" si="46"/>
        <v>0</v>
      </c>
      <c r="AS33" s="284">
        <f t="shared" si="46"/>
        <v>0</v>
      </c>
      <c r="AT33" s="284">
        <f t="shared" si="46"/>
        <v>0</v>
      </c>
      <c r="AU33" s="318">
        <v>0</v>
      </c>
      <c r="AV33" s="286">
        <f>SUM(AN33+AR33)</f>
        <v>755</v>
      </c>
      <c r="AW33" s="286">
        <f t="shared" si="47"/>
        <v>1455</v>
      </c>
      <c r="AX33" s="286">
        <f t="shared" si="47"/>
        <v>1455</v>
      </c>
      <c r="AY33" s="285">
        <f t="shared" ref="AY33:AY34" si="49">AX33/AW33</f>
        <v>1</v>
      </c>
      <c r="AZ33" s="287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</row>
    <row r="34" spans="1:79" s="308" customFormat="1" ht="16.5" thickBot="1" x14ac:dyDescent="0.3">
      <c r="A34" s="309" t="s">
        <v>503</v>
      </c>
      <c r="B34" s="310"/>
      <c r="C34" s="310"/>
      <c r="D34" s="310"/>
      <c r="E34" s="319"/>
      <c r="F34" s="310"/>
      <c r="G34" s="310"/>
      <c r="H34" s="310"/>
      <c r="I34" s="319"/>
      <c r="J34" s="310">
        <v>100</v>
      </c>
      <c r="K34" s="310">
        <v>100</v>
      </c>
      <c r="L34" s="310">
        <v>40</v>
      </c>
      <c r="M34" s="285">
        <f>L34/K34</f>
        <v>0.4</v>
      </c>
      <c r="N34" s="310"/>
      <c r="O34" s="310"/>
      <c r="P34" s="310"/>
      <c r="Q34" s="319"/>
      <c r="R34" s="310"/>
      <c r="S34" s="310"/>
      <c r="T34" s="310"/>
      <c r="U34" s="319"/>
      <c r="V34" s="309" t="s">
        <v>503</v>
      </c>
      <c r="W34" s="310"/>
      <c r="X34" s="310"/>
      <c r="Y34" s="310"/>
      <c r="Z34" s="319"/>
      <c r="AA34" s="310"/>
      <c r="AB34" s="310"/>
      <c r="AC34" s="310"/>
      <c r="AD34" s="319"/>
      <c r="AE34" s="310"/>
      <c r="AF34" s="310"/>
      <c r="AG34" s="310"/>
      <c r="AH34" s="319"/>
      <c r="AI34" s="310"/>
      <c r="AJ34" s="310"/>
      <c r="AK34" s="310"/>
      <c r="AL34" s="319"/>
      <c r="AM34" s="309" t="s">
        <v>503</v>
      </c>
      <c r="AN34" s="302">
        <f>SUM(B34+J34+N34+W34+AI34)</f>
        <v>100</v>
      </c>
      <c r="AO34" s="302">
        <f>SUM(C34+K34+O34+X34+AJ34)</f>
        <v>100</v>
      </c>
      <c r="AP34" s="302">
        <f>SUM(D34+L34+P34+Y34+AK34)</f>
        <v>40</v>
      </c>
      <c r="AQ34" s="285">
        <f t="shared" si="48"/>
        <v>0.4</v>
      </c>
      <c r="AR34" s="302">
        <f t="shared" si="46"/>
        <v>0</v>
      </c>
      <c r="AS34" s="302">
        <f t="shared" si="46"/>
        <v>0</v>
      </c>
      <c r="AT34" s="302">
        <f t="shared" si="46"/>
        <v>0</v>
      </c>
      <c r="AU34" s="319">
        <v>0</v>
      </c>
      <c r="AV34" s="286">
        <f>SUM(AN34+AR34)</f>
        <v>100</v>
      </c>
      <c r="AW34" s="286">
        <f t="shared" si="47"/>
        <v>100</v>
      </c>
      <c r="AX34" s="286">
        <f t="shared" si="47"/>
        <v>40</v>
      </c>
      <c r="AY34" s="285">
        <f t="shared" si="49"/>
        <v>0.4</v>
      </c>
      <c r="AZ34" s="306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</row>
    <row r="35" spans="1:79" s="282" customFormat="1" ht="16.5" thickBot="1" x14ac:dyDescent="0.3">
      <c r="A35" s="291" t="s">
        <v>504</v>
      </c>
      <c r="B35" s="292">
        <f>SUM(B32:B34)</f>
        <v>0</v>
      </c>
      <c r="C35" s="292">
        <f>SUM(C32:C34)</f>
        <v>7711</v>
      </c>
      <c r="D35" s="292">
        <f>D33+D34+D32</f>
        <v>7709</v>
      </c>
      <c r="E35" s="293">
        <f>D35/C35</f>
        <v>0.99974063026844773</v>
      </c>
      <c r="F35" s="292">
        <f t="shared" ref="F35:AR35" si="50">SUM(F32:F34)</f>
        <v>0</v>
      </c>
      <c r="G35" s="292">
        <f t="shared" ref="G35:H35" si="51">SUM(G32:G34)</f>
        <v>0</v>
      </c>
      <c r="H35" s="292">
        <f t="shared" si="51"/>
        <v>0</v>
      </c>
      <c r="I35" s="293">
        <v>0</v>
      </c>
      <c r="J35" s="292">
        <f t="shared" si="50"/>
        <v>100</v>
      </c>
      <c r="K35" s="292">
        <f t="shared" ref="K35:L35" si="52">SUM(K32:K34)</f>
        <v>100</v>
      </c>
      <c r="L35" s="292">
        <f t="shared" si="52"/>
        <v>40</v>
      </c>
      <c r="M35" s="293">
        <f>L35/K35</f>
        <v>0.4</v>
      </c>
      <c r="N35" s="292">
        <f t="shared" si="50"/>
        <v>10500</v>
      </c>
      <c r="O35" s="292">
        <f t="shared" ref="O35:P35" si="53">SUM(O32:O34)</f>
        <v>11307</v>
      </c>
      <c r="P35" s="292">
        <f t="shared" si="53"/>
        <v>14183</v>
      </c>
      <c r="Q35" s="293">
        <f>P35/O35</f>
        <v>1.2543557088529229</v>
      </c>
      <c r="R35" s="292">
        <f t="shared" si="50"/>
        <v>0</v>
      </c>
      <c r="S35" s="292">
        <f t="shared" ref="S35:T35" si="54">SUM(S32:S34)</f>
        <v>0</v>
      </c>
      <c r="T35" s="292">
        <f t="shared" si="54"/>
        <v>0</v>
      </c>
      <c r="U35" s="293">
        <v>0</v>
      </c>
      <c r="V35" s="291" t="s">
        <v>504</v>
      </c>
      <c r="W35" s="292">
        <f t="shared" si="50"/>
        <v>0</v>
      </c>
      <c r="X35" s="292">
        <f t="shared" ref="X35:Y35" si="55">SUM(X32:X34)</f>
        <v>700</v>
      </c>
      <c r="Y35" s="292">
        <f t="shared" si="55"/>
        <v>700</v>
      </c>
      <c r="Z35" s="293">
        <v>1</v>
      </c>
      <c r="AA35" s="292">
        <f t="shared" si="50"/>
        <v>0</v>
      </c>
      <c r="AB35" s="292">
        <f t="shared" ref="AB35:AC35" si="56">SUM(AB32:AB34)</f>
        <v>0</v>
      </c>
      <c r="AC35" s="292">
        <f t="shared" si="56"/>
        <v>0</v>
      </c>
      <c r="AD35" s="293">
        <v>0</v>
      </c>
      <c r="AE35" s="292">
        <f t="shared" si="50"/>
        <v>0</v>
      </c>
      <c r="AF35" s="292">
        <f t="shared" ref="AF35:AG35" si="57">SUM(AF32:AF34)</f>
        <v>8768</v>
      </c>
      <c r="AG35" s="292">
        <f t="shared" si="57"/>
        <v>8768</v>
      </c>
      <c r="AH35" s="293">
        <f>AG35/AF35</f>
        <v>1</v>
      </c>
      <c r="AI35" s="292">
        <f t="shared" si="50"/>
        <v>316055</v>
      </c>
      <c r="AJ35" s="292">
        <f>SUM(AJ32:AJ34)</f>
        <v>279431</v>
      </c>
      <c r="AK35" s="292">
        <f t="shared" ref="AK35" si="58">SUM(AK32:AK34)</f>
        <v>279431</v>
      </c>
      <c r="AL35" s="293">
        <f>AK35/AJ35</f>
        <v>1</v>
      </c>
      <c r="AM35" s="291" t="s">
        <v>504</v>
      </c>
      <c r="AN35" s="292">
        <f t="shared" si="50"/>
        <v>326655</v>
      </c>
      <c r="AO35" s="292">
        <f t="shared" ref="AO35" si="59">SUM(AO32:AO34)</f>
        <v>308017</v>
      </c>
      <c r="AP35" s="292">
        <f>SUM(AP32:AP34)</f>
        <v>310831</v>
      </c>
      <c r="AQ35" s="293">
        <f>AP35/AO35</f>
        <v>1.0091358593843847</v>
      </c>
      <c r="AR35" s="292">
        <f t="shared" si="50"/>
        <v>0</v>
      </c>
      <c r="AS35" s="292">
        <f t="shared" ref="AS35:AT35" si="60">SUM(AS32:AS34)</f>
        <v>0</v>
      </c>
      <c r="AT35" s="292">
        <f t="shared" si="60"/>
        <v>0</v>
      </c>
      <c r="AU35" s="293">
        <v>0</v>
      </c>
      <c r="AV35" s="292">
        <f>SUM(AV32:AV34)</f>
        <v>326655</v>
      </c>
      <c r="AW35" s="292">
        <f>SUM(AW32:AW34)</f>
        <v>308017</v>
      </c>
      <c r="AX35" s="292">
        <f>SUM(AX32:AX34)</f>
        <v>310831</v>
      </c>
      <c r="AY35" s="293">
        <f>AX35/AW35</f>
        <v>1.0091358593843847</v>
      </c>
      <c r="AZ35" s="294">
        <f>SUM(AG35+AK35)</f>
        <v>288199</v>
      </c>
      <c r="BA35" s="294">
        <f>SUM(AX35-AZ35)</f>
        <v>22632</v>
      </c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</row>
    <row r="36" spans="1:79" s="282" customFormat="1" ht="16.5" thickBot="1" x14ac:dyDescent="0.3">
      <c r="A36" s="320" t="s">
        <v>505</v>
      </c>
      <c r="B36" s="314">
        <f t="shared" ref="B36:D37" si="61">B28+B32</f>
        <v>465</v>
      </c>
      <c r="C36" s="314">
        <f t="shared" si="61"/>
        <v>528581</v>
      </c>
      <c r="D36" s="314">
        <f t="shared" si="61"/>
        <v>522875</v>
      </c>
      <c r="E36" s="297">
        <f t="shared" ref="E36" si="62">D36/C36</f>
        <v>0.98920506034079925</v>
      </c>
      <c r="F36" s="314">
        <f t="shared" ref="F36:O36" si="63">SUM(F28,F32)</f>
        <v>0</v>
      </c>
      <c r="G36" s="314">
        <f t="shared" si="63"/>
        <v>33540</v>
      </c>
      <c r="H36" s="314">
        <f>H28+H32</f>
        <v>32039</v>
      </c>
      <c r="I36" s="297">
        <f t="shared" ref="I36" si="64">H36/G36</f>
        <v>0.95524746571258201</v>
      </c>
      <c r="J36" s="314">
        <f t="shared" si="63"/>
        <v>0</v>
      </c>
      <c r="K36" s="314">
        <f t="shared" si="63"/>
        <v>0</v>
      </c>
      <c r="L36" s="314">
        <f>L28+L32</f>
        <v>0</v>
      </c>
      <c r="M36" s="297">
        <v>0</v>
      </c>
      <c r="N36" s="314">
        <f t="shared" si="63"/>
        <v>100594</v>
      </c>
      <c r="O36" s="314">
        <f t="shared" si="63"/>
        <v>137881</v>
      </c>
      <c r="P36" s="314">
        <f>P28+P32</f>
        <v>115746</v>
      </c>
      <c r="Q36" s="297">
        <f t="shared" ref="Q36:Q37" si="65">P36/O36</f>
        <v>0.83946301520876698</v>
      </c>
      <c r="R36" s="314">
        <f>R28+R32</f>
        <v>0</v>
      </c>
      <c r="S36" s="314">
        <f>S28+S32</f>
        <v>0</v>
      </c>
      <c r="T36" s="314">
        <f>T28+T32</f>
        <v>0</v>
      </c>
      <c r="U36" s="297">
        <v>0</v>
      </c>
      <c r="V36" s="320" t="s">
        <v>505</v>
      </c>
      <c r="W36" s="298">
        <f>SUM(W28,W32)</f>
        <v>0</v>
      </c>
      <c r="X36" s="298">
        <f>SUM(X28,X32)</f>
        <v>3220</v>
      </c>
      <c r="Y36" s="314">
        <f>Y28+Y32</f>
        <v>3150</v>
      </c>
      <c r="Z36" s="297">
        <v>0</v>
      </c>
      <c r="AA36" s="298"/>
      <c r="AB36" s="298"/>
      <c r="AC36" s="314">
        <f>AC28+AC32</f>
        <v>595</v>
      </c>
      <c r="AD36" s="297">
        <v>0</v>
      </c>
      <c r="AE36" s="298">
        <f t="shared" ref="AE36:AS36" si="66">SUM(AE28,AE32)</f>
        <v>37781</v>
      </c>
      <c r="AF36" s="298">
        <f t="shared" si="66"/>
        <v>67472</v>
      </c>
      <c r="AG36" s="314">
        <f>AG28+AG32</f>
        <v>67472</v>
      </c>
      <c r="AH36" s="297">
        <f t="shared" ref="AH36" si="67">AG36/AF36</f>
        <v>1</v>
      </c>
      <c r="AI36" s="298">
        <f t="shared" si="66"/>
        <v>1199290</v>
      </c>
      <c r="AJ36" s="298">
        <f>SUM(AJ28,AJ32)</f>
        <v>1197160</v>
      </c>
      <c r="AK36" s="314">
        <f>AK28+AK32</f>
        <v>1197160</v>
      </c>
      <c r="AL36" s="297">
        <f t="shared" ref="AL36:AL37" si="68">AK36/AJ36</f>
        <v>1</v>
      </c>
      <c r="AM36" s="320" t="s">
        <v>505</v>
      </c>
      <c r="AN36" s="298">
        <f t="shared" si="66"/>
        <v>1337474</v>
      </c>
      <c r="AO36" s="322">
        <f>SUM(AO28,AO32)</f>
        <v>1934314</v>
      </c>
      <c r="AP36" s="314">
        <f>AP28+AP32</f>
        <v>1906403</v>
      </c>
      <c r="AQ36" s="297">
        <f t="shared" ref="AQ36:AQ38" si="69">AP36/AO36</f>
        <v>0.98557059505333677</v>
      </c>
      <c r="AR36" s="298">
        <f t="shared" si="66"/>
        <v>656</v>
      </c>
      <c r="AS36" s="298">
        <f t="shared" si="66"/>
        <v>33540</v>
      </c>
      <c r="AT36" s="314">
        <f>AT28+AT32</f>
        <v>32634</v>
      </c>
      <c r="AU36" s="297">
        <f t="shared" ref="AU36" si="70">AT36/AS36</f>
        <v>0.97298747763864046</v>
      </c>
      <c r="AV36" s="322">
        <f t="shared" ref="AV36:AV38" si="71">SUM(AN36+AR36)</f>
        <v>1338130</v>
      </c>
      <c r="AW36" s="322">
        <f>SUM(AO36+AS36)</f>
        <v>1967854</v>
      </c>
      <c r="AX36" s="322">
        <f>SUM(AP36+AT36)</f>
        <v>1939037</v>
      </c>
      <c r="AY36" s="313">
        <f t="shared" ref="AY36:AY38" si="72">AX36/AW36</f>
        <v>0.98535612906242032</v>
      </c>
      <c r="AZ36" s="287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</row>
    <row r="37" spans="1:79" ht="32.25" thickBot="1" x14ac:dyDescent="0.3">
      <c r="A37" s="321" t="s">
        <v>506</v>
      </c>
      <c r="B37" s="298">
        <f t="shared" si="61"/>
        <v>0</v>
      </c>
      <c r="C37" s="298">
        <f t="shared" si="61"/>
        <v>0</v>
      </c>
      <c r="D37" s="298">
        <f t="shared" si="61"/>
        <v>0</v>
      </c>
      <c r="E37" s="313">
        <v>0</v>
      </c>
      <c r="F37" s="298">
        <f t="shared" ref="F37:AJ37" si="73">F29+F33</f>
        <v>0</v>
      </c>
      <c r="G37" s="298">
        <f t="shared" si="73"/>
        <v>0</v>
      </c>
      <c r="H37" s="298">
        <f>H29+H33</f>
        <v>0</v>
      </c>
      <c r="I37" s="313">
        <v>0</v>
      </c>
      <c r="J37" s="298">
        <f t="shared" si="73"/>
        <v>0</v>
      </c>
      <c r="K37" s="298">
        <f t="shared" si="73"/>
        <v>0</v>
      </c>
      <c r="L37" s="298">
        <f>L29+L33</f>
        <v>0</v>
      </c>
      <c r="M37" s="313">
        <v>0</v>
      </c>
      <c r="N37" s="298">
        <f t="shared" si="73"/>
        <v>8983</v>
      </c>
      <c r="O37" s="298">
        <f t="shared" si="73"/>
        <v>8983</v>
      </c>
      <c r="P37" s="298">
        <f>P29+P33</f>
        <v>8862</v>
      </c>
      <c r="Q37" s="313">
        <f t="shared" si="65"/>
        <v>0.98653011243459865</v>
      </c>
      <c r="R37" s="298">
        <f t="shared" si="73"/>
        <v>0</v>
      </c>
      <c r="S37" s="298">
        <f t="shared" si="73"/>
        <v>0</v>
      </c>
      <c r="T37" s="298">
        <f>T29+T33</f>
        <v>0</v>
      </c>
      <c r="U37" s="313">
        <v>0</v>
      </c>
      <c r="V37" s="321" t="s">
        <v>506</v>
      </c>
      <c r="W37" s="322">
        <f t="shared" si="73"/>
        <v>0</v>
      </c>
      <c r="X37" s="322">
        <f t="shared" si="73"/>
        <v>700</v>
      </c>
      <c r="Y37" s="298">
        <f>Y29+Y33</f>
        <v>700</v>
      </c>
      <c r="Z37" s="313">
        <v>0</v>
      </c>
      <c r="AA37" s="322">
        <f t="shared" si="73"/>
        <v>0</v>
      </c>
      <c r="AB37" s="322">
        <f t="shared" si="73"/>
        <v>0</v>
      </c>
      <c r="AC37" s="298">
        <f>AC29+AC33</f>
        <v>0</v>
      </c>
      <c r="AD37" s="313">
        <v>0</v>
      </c>
      <c r="AE37" s="322">
        <f t="shared" si="73"/>
        <v>0</v>
      </c>
      <c r="AF37" s="322">
        <f t="shared" si="73"/>
        <v>403</v>
      </c>
      <c r="AG37" s="298">
        <f>AG29+AG33</f>
        <v>403</v>
      </c>
      <c r="AH37" s="313">
        <v>0</v>
      </c>
      <c r="AI37" s="322">
        <f t="shared" si="73"/>
        <v>29440</v>
      </c>
      <c r="AJ37" s="322">
        <f t="shared" si="73"/>
        <v>28440</v>
      </c>
      <c r="AK37" s="298">
        <f>AK29+AK33</f>
        <v>28440</v>
      </c>
      <c r="AL37" s="313">
        <f t="shared" si="68"/>
        <v>1</v>
      </c>
      <c r="AM37" s="321" t="s">
        <v>506</v>
      </c>
      <c r="AN37" s="323">
        <f>SUM(B37+J37+N37+W37+AI37)</f>
        <v>38423</v>
      </c>
      <c r="AO37" s="298">
        <f>SUM(AO29,AO33)</f>
        <v>38526</v>
      </c>
      <c r="AP37" s="298">
        <f>AP29+AP33</f>
        <v>38405</v>
      </c>
      <c r="AQ37" s="313">
        <f t="shared" si="69"/>
        <v>0.99685926387374757</v>
      </c>
      <c r="AR37" s="323">
        <f>SUM(F37+R37+AA37)</f>
        <v>0</v>
      </c>
      <c r="AS37" s="323">
        <f>SUM(G37+S37+AB37)</f>
        <v>0</v>
      </c>
      <c r="AT37" s="298">
        <f>AT29+AT33</f>
        <v>0</v>
      </c>
      <c r="AU37" s="313">
        <v>0</v>
      </c>
      <c r="AV37" s="298">
        <f t="shared" si="71"/>
        <v>38423</v>
      </c>
      <c r="AW37" s="298">
        <f>SUM(AO37+AS37)</f>
        <v>38526</v>
      </c>
      <c r="AX37" s="298">
        <f>SUM(AP37+AT37)</f>
        <v>38405</v>
      </c>
      <c r="AY37" s="428">
        <f t="shared" si="72"/>
        <v>0.99685926387374757</v>
      </c>
      <c r="AZ37" s="287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</row>
    <row r="38" spans="1:79" ht="32.25" thickBot="1" x14ac:dyDescent="0.3">
      <c r="A38" s="324" t="s">
        <v>507</v>
      </c>
      <c r="B38" s="323">
        <f>SUM(B34)</f>
        <v>0</v>
      </c>
      <c r="C38" s="323">
        <f>SUM(C34)</f>
        <v>0</v>
      </c>
      <c r="D38" s="323">
        <f>SUM(D34)</f>
        <v>0</v>
      </c>
      <c r="E38" s="313">
        <v>0</v>
      </c>
      <c r="F38" s="323">
        <f t="shared" ref="F38:AS38" si="74">SUM(F34)</f>
        <v>0</v>
      </c>
      <c r="G38" s="323">
        <f t="shared" si="74"/>
        <v>0</v>
      </c>
      <c r="H38" s="323">
        <f>SUM(H34)</f>
        <v>0</v>
      </c>
      <c r="I38" s="313">
        <v>0</v>
      </c>
      <c r="J38" s="323">
        <f t="shared" si="74"/>
        <v>100</v>
      </c>
      <c r="K38" s="323">
        <f t="shared" si="74"/>
        <v>100</v>
      </c>
      <c r="L38" s="323">
        <f>SUM(L34)</f>
        <v>40</v>
      </c>
      <c r="M38" s="313">
        <f t="shared" ref="M38" si="75">L38/K38</f>
        <v>0.4</v>
      </c>
      <c r="N38" s="323">
        <f t="shared" si="74"/>
        <v>0</v>
      </c>
      <c r="O38" s="323">
        <f t="shared" si="74"/>
        <v>0</v>
      </c>
      <c r="P38" s="323">
        <f>SUM(P34)</f>
        <v>0</v>
      </c>
      <c r="Q38" s="313">
        <v>0</v>
      </c>
      <c r="R38" s="323">
        <f t="shared" si="74"/>
        <v>0</v>
      </c>
      <c r="S38" s="323">
        <f t="shared" si="74"/>
        <v>0</v>
      </c>
      <c r="T38" s="323">
        <f>SUM(T34)</f>
        <v>0</v>
      </c>
      <c r="U38" s="313">
        <v>0</v>
      </c>
      <c r="V38" s="324" t="s">
        <v>507</v>
      </c>
      <c r="W38" s="323">
        <f t="shared" si="74"/>
        <v>0</v>
      </c>
      <c r="X38" s="323">
        <f t="shared" si="74"/>
        <v>0</v>
      </c>
      <c r="Y38" s="323">
        <f>SUM(Y34)</f>
        <v>0</v>
      </c>
      <c r="Z38" s="313">
        <v>0</v>
      </c>
      <c r="AA38" s="323">
        <f t="shared" si="74"/>
        <v>0</v>
      </c>
      <c r="AB38" s="323">
        <f t="shared" si="74"/>
        <v>0</v>
      </c>
      <c r="AC38" s="323">
        <f>SUM(AC34)</f>
        <v>0</v>
      </c>
      <c r="AD38" s="313">
        <v>0</v>
      </c>
      <c r="AE38" s="323">
        <f t="shared" si="74"/>
        <v>0</v>
      </c>
      <c r="AF38" s="323">
        <f t="shared" si="74"/>
        <v>0</v>
      </c>
      <c r="AG38" s="323">
        <f>SUM(AG34)</f>
        <v>0</v>
      </c>
      <c r="AH38" s="313">
        <v>0</v>
      </c>
      <c r="AI38" s="323">
        <f t="shared" si="74"/>
        <v>0</v>
      </c>
      <c r="AJ38" s="323">
        <f t="shared" si="74"/>
        <v>0</v>
      </c>
      <c r="AK38" s="323">
        <f>SUM(AK34)</f>
        <v>0</v>
      </c>
      <c r="AL38" s="313">
        <v>0</v>
      </c>
      <c r="AM38" s="324" t="s">
        <v>507</v>
      </c>
      <c r="AN38" s="323">
        <f t="shared" si="74"/>
        <v>100</v>
      </c>
      <c r="AO38" s="323">
        <f t="shared" si="74"/>
        <v>100</v>
      </c>
      <c r="AP38" s="323">
        <f>SUM(AP34)</f>
        <v>40</v>
      </c>
      <c r="AQ38" s="313">
        <f t="shared" si="69"/>
        <v>0.4</v>
      </c>
      <c r="AR38" s="323">
        <f t="shared" si="74"/>
        <v>0</v>
      </c>
      <c r="AS38" s="323">
        <f t="shared" si="74"/>
        <v>0</v>
      </c>
      <c r="AT38" s="323">
        <f>SUM(AT34)</f>
        <v>0</v>
      </c>
      <c r="AU38" s="313">
        <v>0</v>
      </c>
      <c r="AV38" s="322">
        <f t="shared" si="71"/>
        <v>100</v>
      </c>
      <c r="AW38" s="322">
        <f>SUM(AW34)</f>
        <v>100</v>
      </c>
      <c r="AX38" s="322">
        <f t="shared" ref="AX38" si="76">SUM(AX34)</f>
        <v>40</v>
      </c>
      <c r="AY38" s="313">
        <f t="shared" si="72"/>
        <v>0.4</v>
      </c>
      <c r="AZ38" s="287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</row>
    <row r="39" spans="1:79" s="327" customFormat="1" ht="16.5" thickBot="1" x14ac:dyDescent="0.3">
      <c r="A39" s="325" t="s">
        <v>508</v>
      </c>
      <c r="B39" s="326">
        <f>B36+B37+B38</f>
        <v>465</v>
      </c>
      <c r="C39" s="326">
        <f>C36+C37+C38</f>
        <v>528581</v>
      </c>
      <c r="D39" s="326">
        <f>D36+D37+D38</f>
        <v>522875</v>
      </c>
      <c r="E39" s="293">
        <f>D39/C39</f>
        <v>0.98920506034079925</v>
      </c>
      <c r="F39" s="326">
        <f t="shared" ref="F39:AS39" si="77">F36+F37+F38</f>
        <v>0</v>
      </c>
      <c r="G39" s="326">
        <f t="shared" si="77"/>
        <v>33540</v>
      </c>
      <c r="H39" s="326">
        <f>H36+H37+H38</f>
        <v>32039</v>
      </c>
      <c r="I39" s="293">
        <f>H39/G39</f>
        <v>0.95524746571258201</v>
      </c>
      <c r="J39" s="326">
        <f t="shared" si="77"/>
        <v>100</v>
      </c>
      <c r="K39" s="326">
        <f t="shared" si="77"/>
        <v>100</v>
      </c>
      <c r="L39" s="326">
        <f>L36+L37+L38</f>
        <v>40</v>
      </c>
      <c r="M39" s="293">
        <f>L39/K39</f>
        <v>0.4</v>
      </c>
      <c r="N39" s="326">
        <f t="shared" si="77"/>
        <v>109577</v>
      </c>
      <c r="O39" s="326">
        <f t="shared" si="77"/>
        <v>146864</v>
      </c>
      <c r="P39" s="326">
        <f>P36+P37+P38</f>
        <v>124608</v>
      </c>
      <c r="Q39" s="293">
        <f>P39/O39</f>
        <v>0.84845843773831575</v>
      </c>
      <c r="R39" s="326">
        <f t="shared" si="77"/>
        <v>0</v>
      </c>
      <c r="S39" s="326">
        <f t="shared" si="77"/>
        <v>0</v>
      </c>
      <c r="T39" s="326">
        <f>T36+T37+T38</f>
        <v>0</v>
      </c>
      <c r="U39" s="293">
        <v>0</v>
      </c>
      <c r="V39" s="325" t="s">
        <v>508</v>
      </c>
      <c r="W39" s="326">
        <f t="shared" si="77"/>
        <v>0</v>
      </c>
      <c r="X39" s="326">
        <f t="shared" si="77"/>
        <v>3920</v>
      </c>
      <c r="Y39" s="326">
        <f>Y36+Y37+Y38</f>
        <v>3850</v>
      </c>
      <c r="Z39" s="293">
        <v>0</v>
      </c>
      <c r="AA39" s="326">
        <f t="shared" si="77"/>
        <v>0</v>
      </c>
      <c r="AB39" s="326">
        <f t="shared" si="77"/>
        <v>0</v>
      </c>
      <c r="AC39" s="326">
        <f>AC36+AC37+AC38</f>
        <v>595</v>
      </c>
      <c r="AD39" s="293">
        <v>0</v>
      </c>
      <c r="AE39" s="326">
        <f t="shared" si="77"/>
        <v>37781</v>
      </c>
      <c r="AF39" s="326">
        <f t="shared" si="77"/>
        <v>67875</v>
      </c>
      <c r="AG39" s="326">
        <f>AG36+AG37+AG38</f>
        <v>67875</v>
      </c>
      <c r="AH39" s="293">
        <f>AG39/AF39</f>
        <v>1</v>
      </c>
      <c r="AI39" s="326">
        <f t="shared" si="77"/>
        <v>1228730</v>
      </c>
      <c r="AJ39" s="326">
        <f t="shared" si="77"/>
        <v>1225600</v>
      </c>
      <c r="AK39" s="326">
        <f>AK36+AK37+AK38</f>
        <v>1225600</v>
      </c>
      <c r="AL39" s="293">
        <f>AK39/AJ39</f>
        <v>1</v>
      </c>
      <c r="AM39" s="325" t="s">
        <v>508</v>
      </c>
      <c r="AN39" s="326">
        <f t="shared" si="77"/>
        <v>1375997</v>
      </c>
      <c r="AO39" s="326">
        <f t="shared" si="77"/>
        <v>1972940</v>
      </c>
      <c r="AP39" s="326">
        <f>AP36+AP37+AP38</f>
        <v>1944848</v>
      </c>
      <c r="AQ39" s="293">
        <f>AP39/AO39</f>
        <v>0.98576135108011398</v>
      </c>
      <c r="AR39" s="326">
        <f t="shared" si="77"/>
        <v>656</v>
      </c>
      <c r="AS39" s="326">
        <f t="shared" si="77"/>
        <v>33540</v>
      </c>
      <c r="AT39" s="326">
        <f>AT36+AT37+AT38</f>
        <v>32634</v>
      </c>
      <c r="AU39" s="293">
        <f>AT39/AS39</f>
        <v>0.97298747763864046</v>
      </c>
      <c r="AV39" s="326">
        <f>AV36+AV37+AV38</f>
        <v>1376653</v>
      </c>
      <c r="AW39" s="326">
        <f>AW36+AW37+AW38</f>
        <v>2006480</v>
      </c>
      <c r="AX39" s="326">
        <f>AX36+AX37+AX38</f>
        <v>1977482</v>
      </c>
      <c r="AY39" s="293">
        <f>AX39/AW39</f>
        <v>0.98554782504684824</v>
      </c>
      <c r="AZ39" s="294">
        <f>SUM(AG39+AK39)</f>
        <v>1293475</v>
      </c>
      <c r="BA39" s="294">
        <f>SUM(AX39-AZ39)</f>
        <v>684007</v>
      </c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</row>
    <row r="40" spans="1:79" ht="15.75" thickTop="1" x14ac:dyDescent="0.25"/>
  </sheetData>
  <mergeCells count="31">
    <mergeCell ref="AN10:AQ10"/>
    <mergeCell ref="AR10:AU10"/>
    <mergeCell ref="AV10:AY10"/>
    <mergeCell ref="AN8:AY8"/>
    <mergeCell ref="B9:E10"/>
    <mergeCell ref="F9:I10"/>
    <mergeCell ref="J9:M10"/>
    <mergeCell ref="N9:Q10"/>
    <mergeCell ref="R9:U10"/>
    <mergeCell ref="W9:Z10"/>
    <mergeCell ref="AA9:AD10"/>
    <mergeCell ref="AE9:AL9"/>
    <mergeCell ref="AN9:AY9"/>
    <mergeCell ref="R8:U8"/>
    <mergeCell ref="V8:V11"/>
    <mergeCell ref="W8:Z8"/>
    <mergeCell ref="AA8:AD8"/>
    <mergeCell ref="AE8:AL8"/>
    <mergeCell ref="AM8:AM11"/>
    <mergeCell ref="AE10:AH10"/>
    <mergeCell ref="AI10:AL10"/>
    <mergeCell ref="A1:BA1"/>
    <mergeCell ref="A5:U5"/>
    <mergeCell ref="V5:AL5"/>
    <mergeCell ref="AM5:AY5"/>
    <mergeCell ref="AR7:AV7"/>
    <mergeCell ref="A8:A11"/>
    <mergeCell ref="B8:E8"/>
    <mergeCell ref="F8:I8"/>
    <mergeCell ref="J8:M8"/>
    <mergeCell ref="N8:Q8"/>
  </mergeCells>
  <pageMargins left="0.7" right="0.7" top="0.75" bottom="0.75" header="0.3" footer="0.3"/>
  <pageSetup paperSize="9" scale="45" orientation="landscape" r:id="rId1"/>
  <colBreaks count="2" manualBreakCount="2">
    <brk id="21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8</vt:i4>
      </vt:variant>
    </vt:vector>
  </HeadingPairs>
  <TitlesOfParts>
    <vt:vector size="26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16. sz. melléklet</vt:lpstr>
      <vt:lpstr>17. sz. melléklet</vt:lpstr>
      <vt:lpstr>18. sz. melléklet</vt:lpstr>
      <vt:lpstr>'10. sz. melléklet'!Nyomtatási_terület</vt:lpstr>
      <vt:lpstr>'11. sz. melléklet'!Nyomtatási_terület</vt:lpstr>
      <vt:lpstr>'12. sz. melléklet'!Nyomtatási_terület</vt:lpstr>
      <vt:lpstr>'13. sz. melléklet'!Nyomtatási_terület</vt:lpstr>
      <vt:lpstr>'14. sz. melléklet'!Nyomtatási_terület</vt:lpstr>
      <vt:lpstr>'4. sz. melléklet'!Nyomtatási_terület</vt:lpstr>
      <vt:lpstr>'5. sz.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2017-05-26T08:36:19Z</cp:lastPrinted>
  <dcterms:created xsi:type="dcterms:W3CDTF">2017-05-08T06:30:53Z</dcterms:created>
  <dcterms:modified xsi:type="dcterms:W3CDTF">2017-05-29T09:46:16Z</dcterms:modified>
</cp:coreProperties>
</file>