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kovacsmaria\04_Rendeletek\Egységes rendeletek honlapra\5_2021\"/>
    </mc:Choice>
  </mc:AlternateContent>
  <bookViews>
    <workbookView xWindow="0" yWindow="0" windowWidth="24000" windowHeight="9135"/>
  </bookViews>
  <sheets>
    <sheet name="1. sz. melléklet" sheetId="10" r:id="rId1"/>
    <sheet name="2. sz. melléklet" sheetId="25" r:id="rId2"/>
    <sheet name="3. sz. melléklet" sheetId="8" r:id="rId3"/>
    <sheet name="4. sz. melléklet" sheetId="6" r:id="rId4"/>
    <sheet name="5. sz. melléklet" sheetId="11" r:id="rId5"/>
    <sheet name="6. sz. melléklet" sheetId="3" r:id="rId6"/>
    <sheet name="7. sz. melléklet" sheetId="24" r:id="rId7"/>
    <sheet name="8. sz. melléklet" sheetId="23" r:id="rId8"/>
    <sheet name="9. sz. melléklet" sheetId="21" r:id="rId9"/>
    <sheet name="10. sz. melléklet" sheetId="20" r:id="rId10"/>
    <sheet name="11. sz. melléklet" sheetId="17" r:id="rId11"/>
    <sheet name="12. sz. melléklet" sheetId="27" r:id="rId12"/>
    <sheet name="13. sz. melléklet" sheetId="29" r:id="rId13"/>
    <sheet name="14. sz. melléklet" sheetId="30" r:id="rId14"/>
  </sheets>
  <externalReferences>
    <externalReference r:id="rId15"/>
    <externalReference r:id="rId16"/>
    <externalReference r:id="rId17"/>
  </externalReferences>
  <definedNames>
    <definedName name="_xlnm.Print_Area" localSheetId="0">'1. sz. melléklet'!$A$1:$E$23</definedName>
    <definedName name="_xlnm.Print_Area" localSheetId="9">'10. sz. melléklet'!$A$1:$J$37</definedName>
    <definedName name="_xlnm.Print_Area" localSheetId="10">'11. sz. melléklet'!$A$1:$F$37</definedName>
    <definedName name="_xlnm.Print_Area" localSheetId="11">'12. sz. melléklet'!$A$1:$K$24</definedName>
    <definedName name="_xlnm.Print_Area" localSheetId="12">'13. sz. melléklet'!$A$1:$F$92</definedName>
    <definedName name="_xlnm.Print_Area" localSheetId="13">'14. sz. melléklet'!$A$1:$C$17</definedName>
    <definedName name="_xlnm.Print_Area" localSheetId="1">'2. sz. melléklet'!$A$1:$E$84</definedName>
    <definedName name="_xlnm.Print_Area" localSheetId="2">'3. sz. melléklet'!$A$1:$X$92</definedName>
    <definedName name="_xlnm.Print_Area" localSheetId="3">'4. sz. melléklet'!$A$1:$Z$44</definedName>
    <definedName name="_xlnm.Print_Area" localSheetId="4">'5. sz. melléklet'!$A$1:$AA$19</definedName>
    <definedName name="_xlnm.Print_Area" localSheetId="5">'6. sz. melléklet'!$A$1:$AG$173</definedName>
    <definedName name="_xlnm.Print_Area" localSheetId="6">'7. sz. melléklet'!$A$1:$W$43</definedName>
    <definedName name="_xlnm.Print_Area" localSheetId="7">'8. sz. melléklet'!$A$1:$M$22</definedName>
    <definedName name="_xlnm.Print_Area" localSheetId="8">'9. sz. melléklet'!$A$1:$E$49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0" l="1"/>
  <c r="C16" i="30"/>
  <c r="C15" i="30"/>
  <c r="C14" i="30"/>
  <c r="C13" i="30"/>
  <c r="C17" i="30" s="1"/>
  <c r="E90" i="29"/>
  <c r="D90" i="29"/>
  <c r="C90" i="29"/>
  <c r="B90" i="29"/>
  <c r="F89" i="29"/>
  <c r="F90" i="29" s="1"/>
  <c r="E86" i="29"/>
  <c r="D86" i="29"/>
  <c r="C86" i="29"/>
  <c r="B86" i="29"/>
  <c r="F85" i="29"/>
  <c r="F84" i="29"/>
  <c r="F86" i="29" s="1"/>
  <c r="F81" i="29"/>
  <c r="E81" i="29"/>
  <c r="D81" i="29"/>
  <c r="C81" i="29"/>
  <c r="B81" i="29"/>
  <c r="F80" i="29"/>
  <c r="E77" i="29"/>
  <c r="E92" i="29" s="1"/>
  <c r="D77" i="29"/>
  <c r="D92" i="29" s="1"/>
  <c r="C77" i="29"/>
  <c r="C92" i="29" s="1"/>
  <c r="F76" i="29"/>
  <c r="B76" i="29"/>
  <c r="F75" i="29"/>
  <c r="B75" i="29"/>
  <c r="F74" i="29"/>
  <c r="B74" i="29"/>
  <c r="F73" i="29"/>
  <c r="B73" i="29"/>
  <c r="F72" i="29"/>
  <c r="F71" i="29"/>
  <c r="B71" i="29"/>
  <c r="F70" i="29"/>
  <c r="B70" i="29"/>
  <c r="F69" i="29"/>
  <c r="B69" i="29"/>
  <c r="F68" i="29"/>
  <c r="B68" i="29"/>
  <c r="F67" i="29"/>
  <c r="B67" i="29"/>
  <c r="F66" i="29"/>
  <c r="B66" i="29"/>
  <c r="B77" i="29" s="1"/>
  <c r="B92" i="29" s="1"/>
  <c r="F65" i="29"/>
  <c r="F64" i="29"/>
  <c r="F63" i="29"/>
  <c r="F77" i="29" s="1"/>
  <c r="F92" i="29" s="1"/>
  <c r="F57" i="29"/>
  <c r="E57" i="29"/>
  <c r="D57" i="29"/>
  <c r="C57" i="29"/>
  <c r="B57" i="29"/>
  <c r="F56" i="29"/>
  <c r="E53" i="29"/>
  <c r="D53" i="29"/>
  <c r="C53" i="29"/>
  <c r="C59" i="29" s="1"/>
  <c r="B53" i="29"/>
  <c r="F52" i="29"/>
  <c r="F53" i="29" s="1"/>
  <c r="F49" i="29"/>
  <c r="E49" i="29"/>
  <c r="D49" i="29"/>
  <c r="C49" i="29"/>
  <c r="B49" i="29"/>
  <c r="F48" i="29"/>
  <c r="F47" i="29"/>
  <c r="E44" i="29"/>
  <c r="D44" i="29"/>
  <c r="C44" i="29"/>
  <c r="B44" i="29"/>
  <c r="F43" i="29"/>
  <c r="F44" i="29" s="1"/>
  <c r="F42" i="29"/>
  <c r="E39" i="29"/>
  <c r="D39" i="29"/>
  <c r="C39" i="29"/>
  <c r="B39" i="29"/>
  <c r="F38" i="29"/>
  <c r="F39" i="29" s="1"/>
  <c r="C35" i="29"/>
  <c r="F34" i="29"/>
  <c r="B34" i="29"/>
  <c r="F33" i="29"/>
  <c r="B33" i="29"/>
  <c r="F32" i="29"/>
  <c r="B32" i="29"/>
  <c r="F31" i="29"/>
  <c r="B31" i="29"/>
  <c r="F30" i="29"/>
  <c r="F29" i="29"/>
  <c r="B29" i="29"/>
  <c r="F28" i="29"/>
  <c r="B28" i="29"/>
  <c r="F27" i="29"/>
  <c r="B27" i="29"/>
  <c r="F26" i="29"/>
  <c r="B26" i="29"/>
  <c r="F25" i="29"/>
  <c r="B25" i="29"/>
  <c r="F24" i="29"/>
  <c r="B24" i="29"/>
  <c r="F23" i="29"/>
  <c r="B23" i="29"/>
  <c r="F22" i="29"/>
  <c r="B22" i="29"/>
  <c r="F21" i="29"/>
  <c r="B21" i="29"/>
  <c r="F20" i="29"/>
  <c r="B20" i="29"/>
  <c r="F19" i="29"/>
  <c r="F18" i="29"/>
  <c r="B18" i="29"/>
  <c r="F17" i="29"/>
  <c r="B17" i="29"/>
  <c r="F16" i="29"/>
  <c r="B16" i="29"/>
  <c r="F15" i="29"/>
  <c r="B15" i="29"/>
  <c r="F14" i="29"/>
  <c r="B14" i="29"/>
  <c r="F13" i="29"/>
  <c r="E12" i="29"/>
  <c r="F12" i="29" s="1"/>
  <c r="B12" i="29"/>
  <c r="B35" i="29" s="1"/>
  <c r="F11" i="29"/>
  <c r="B11" i="29"/>
  <c r="D10" i="29"/>
  <c r="D35" i="29" s="1"/>
  <c r="B10" i="29"/>
  <c r="F9" i="29"/>
  <c r="H24" i="27"/>
  <c r="G24" i="27"/>
  <c r="J23" i="27"/>
  <c r="E23" i="27"/>
  <c r="I23" i="27" s="1"/>
  <c r="J22" i="27"/>
  <c r="I22" i="27"/>
  <c r="E22" i="27"/>
  <c r="J21" i="27"/>
  <c r="I21" i="27"/>
  <c r="J20" i="27"/>
  <c r="C20" i="27"/>
  <c r="I20" i="27" s="1"/>
  <c r="J19" i="27"/>
  <c r="I19" i="27"/>
  <c r="D18" i="27"/>
  <c r="J18" i="27" s="1"/>
  <c r="C18" i="27"/>
  <c r="I18" i="27" s="1"/>
  <c r="F17" i="27"/>
  <c r="F24" i="27" s="1"/>
  <c r="E17" i="27"/>
  <c r="D17" i="27"/>
  <c r="J17" i="27" s="1"/>
  <c r="C17" i="27"/>
  <c r="I17" i="27" s="1"/>
  <c r="F16" i="27"/>
  <c r="E16" i="27"/>
  <c r="D16" i="27"/>
  <c r="J16" i="27" s="1"/>
  <c r="C16" i="27"/>
  <c r="I16" i="27" s="1"/>
  <c r="E15" i="27"/>
  <c r="I15" i="27" s="1"/>
  <c r="D15" i="27"/>
  <c r="D24" i="27" s="1"/>
  <c r="C15" i="27"/>
  <c r="B15" i="27"/>
  <c r="J14" i="27"/>
  <c r="I14" i="27"/>
  <c r="E14" i="27"/>
  <c r="J13" i="27"/>
  <c r="E13" i="27"/>
  <c r="I13" i="27" s="1"/>
  <c r="J12" i="27"/>
  <c r="E12" i="27"/>
  <c r="C12" i="27"/>
  <c r="I12" i="27" s="1"/>
  <c r="J11" i="27"/>
  <c r="E11" i="27"/>
  <c r="I11" i="27" s="1"/>
  <c r="J10" i="27"/>
  <c r="E10" i="27"/>
  <c r="C10" i="27"/>
  <c r="I10" i="27" s="1"/>
  <c r="J9" i="27"/>
  <c r="E9" i="27"/>
  <c r="I9" i="27" s="1"/>
  <c r="B9" i="27"/>
  <c r="B24" i="27" s="1"/>
  <c r="J8" i="27"/>
  <c r="E8" i="27"/>
  <c r="I8" i="27" s="1"/>
  <c r="J7" i="27"/>
  <c r="I7" i="27"/>
  <c r="E7" i="27"/>
  <c r="D35" i="17"/>
  <c r="D36" i="17" s="1"/>
  <c r="E34" i="17"/>
  <c r="E36" i="17" s="1"/>
  <c r="E31" i="17"/>
  <c r="E30" i="17"/>
  <c r="E29" i="17"/>
  <c r="E32" i="17" s="1"/>
  <c r="D28" i="17"/>
  <c r="D27" i="17"/>
  <c r="D26" i="17"/>
  <c r="D32" i="17" s="1"/>
  <c r="F32" i="17" s="1"/>
  <c r="E23" i="17"/>
  <c r="E22" i="17"/>
  <c r="E21" i="17"/>
  <c r="E20" i="17"/>
  <c r="E19" i="17"/>
  <c r="E24" i="17" s="1"/>
  <c r="E33" i="17" s="1"/>
  <c r="D18" i="17"/>
  <c r="D17" i="17"/>
  <c r="D16" i="17"/>
  <c r="C15" i="17"/>
  <c r="D11" i="17" s="1"/>
  <c r="D24" i="17" s="1"/>
  <c r="C14" i="17"/>
  <c r="C13" i="17"/>
  <c r="J28" i="20"/>
  <c r="I28" i="20"/>
  <c r="H28" i="20"/>
  <c r="G28" i="20"/>
  <c r="G36" i="20" s="1"/>
  <c r="F28" i="20"/>
  <c r="E28" i="20"/>
  <c r="D28" i="20"/>
  <c r="C28" i="20"/>
  <c r="C36" i="20" s="1"/>
  <c r="J27" i="20"/>
  <c r="I20" i="20"/>
  <c r="I36" i="20" s="1"/>
  <c r="H20" i="20"/>
  <c r="H36" i="20" s="1"/>
  <c r="G20" i="20"/>
  <c r="F20" i="20"/>
  <c r="F36" i="20" s="1"/>
  <c r="E20" i="20"/>
  <c r="E36" i="20" s="1"/>
  <c r="D20" i="20"/>
  <c r="J20" i="20" s="1"/>
  <c r="J36" i="20" s="1"/>
  <c r="C20" i="20"/>
  <c r="I18" i="20"/>
  <c r="I19" i="20" s="1"/>
  <c r="H18" i="20"/>
  <c r="H19" i="20" s="1"/>
  <c r="G18" i="20"/>
  <c r="G19" i="20" s="1"/>
  <c r="F18" i="20"/>
  <c r="F19" i="20" s="1"/>
  <c r="F37" i="20" s="1"/>
  <c r="E18" i="20"/>
  <c r="E19" i="20" s="1"/>
  <c r="D18" i="20"/>
  <c r="D19" i="20" s="1"/>
  <c r="J17" i="20"/>
  <c r="C16" i="20"/>
  <c r="J16" i="20" s="1"/>
  <c r="C15" i="20"/>
  <c r="J15" i="20" s="1"/>
  <c r="J14" i="20"/>
  <c r="J13" i="20"/>
  <c r="C13" i="20"/>
  <c r="C12" i="20"/>
  <c r="C18" i="20" s="1"/>
  <c r="C19" i="20" s="1"/>
  <c r="C46" i="21"/>
  <c r="C45" i="21"/>
  <c r="C42" i="21"/>
  <c r="C41" i="21"/>
  <c r="C39" i="21"/>
  <c r="C38" i="21"/>
  <c r="C37" i="21"/>
  <c r="C36" i="21"/>
  <c r="C34" i="21"/>
  <c r="C33" i="21"/>
  <c r="C32" i="21"/>
  <c r="C31" i="21"/>
  <c r="C30" i="21"/>
  <c r="C29" i="21"/>
  <c r="B27" i="21"/>
  <c r="C18" i="21" s="1"/>
  <c r="B26" i="21"/>
  <c r="B20" i="21"/>
  <c r="C17" i="21"/>
  <c r="C16" i="21"/>
  <c r="C15" i="21"/>
  <c r="C14" i="21"/>
  <c r="C11" i="21"/>
  <c r="D9" i="21"/>
  <c r="T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R41" i="24"/>
  <c r="Q41" i="24"/>
  <c r="P41" i="24"/>
  <c r="O41" i="24"/>
  <c r="N41" i="24"/>
  <c r="N43" i="24" s="1"/>
  <c r="M41" i="24"/>
  <c r="L41" i="24"/>
  <c r="K41" i="24"/>
  <c r="J41" i="24"/>
  <c r="J43" i="24" s="1"/>
  <c r="I41" i="24"/>
  <c r="H41" i="24"/>
  <c r="G41" i="24"/>
  <c r="F41" i="24"/>
  <c r="F43" i="24" s="1"/>
  <c r="D41" i="24"/>
  <c r="B41" i="24"/>
  <c r="B43" i="24" s="1"/>
  <c r="Q40" i="24"/>
  <c r="Q43" i="24" s="1"/>
  <c r="P40" i="24"/>
  <c r="P43" i="24" s="1"/>
  <c r="N40" i="24"/>
  <c r="L40" i="24"/>
  <c r="L43" i="24" s="1"/>
  <c r="J40" i="24"/>
  <c r="I40" i="24"/>
  <c r="I43" i="24" s="1"/>
  <c r="H40" i="24"/>
  <c r="F40" i="24"/>
  <c r="D40" i="24"/>
  <c r="D43" i="24" s="1"/>
  <c r="B40" i="24"/>
  <c r="Q39" i="24"/>
  <c r="P39" i="24"/>
  <c r="O39" i="24"/>
  <c r="N39" i="24"/>
  <c r="L39" i="24"/>
  <c r="K39" i="24"/>
  <c r="J39" i="24"/>
  <c r="I39" i="24"/>
  <c r="H39" i="24"/>
  <c r="G39" i="24"/>
  <c r="F39" i="24"/>
  <c r="D39" i="24"/>
  <c r="B39" i="24"/>
  <c r="U38" i="24"/>
  <c r="U42" i="24" s="1"/>
  <c r="T38" i="24"/>
  <c r="S38" i="24"/>
  <c r="S42" i="24" s="1"/>
  <c r="R38" i="24"/>
  <c r="R42" i="24" s="1"/>
  <c r="U37" i="24"/>
  <c r="U41" i="24" s="1"/>
  <c r="T37" i="24"/>
  <c r="T41" i="24" s="1"/>
  <c r="R37" i="24"/>
  <c r="R39" i="24" s="1"/>
  <c r="G37" i="24"/>
  <c r="E37" i="24"/>
  <c r="E41" i="24" s="1"/>
  <c r="C37" i="24"/>
  <c r="C41" i="24" s="1"/>
  <c r="U36" i="24"/>
  <c r="T36" i="24"/>
  <c r="S36" i="24"/>
  <c r="W36" i="24" s="1"/>
  <c r="R36" i="24"/>
  <c r="E36" i="24"/>
  <c r="C36" i="24"/>
  <c r="C39" i="24" s="1"/>
  <c r="T35" i="24"/>
  <c r="R35" i="24"/>
  <c r="V35" i="24" s="1"/>
  <c r="M35" i="24"/>
  <c r="M39" i="24" s="1"/>
  <c r="G35" i="24"/>
  <c r="E35" i="24"/>
  <c r="E39" i="24" s="1"/>
  <c r="C35" i="24"/>
  <c r="R33" i="24"/>
  <c r="Q33" i="24"/>
  <c r="P33" i="24"/>
  <c r="O33" i="24"/>
  <c r="N33" i="24"/>
  <c r="L33" i="24"/>
  <c r="J33" i="24"/>
  <c r="I33" i="24"/>
  <c r="H33" i="24"/>
  <c r="F33" i="24"/>
  <c r="D33" i="24"/>
  <c r="B33" i="24"/>
  <c r="U32" i="24"/>
  <c r="T32" i="24"/>
  <c r="R32" i="24"/>
  <c r="V32" i="24" s="1"/>
  <c r="V33" i="24" s="1"/>
  <c r="G32" i="24"/>
  <c r="G33" i="24" s="1"/>
  <c r="E32" i="24"/>
  <c r="E33" i="24" s="1"/>
  <c r="C32" i="24"/>
  <c r="S32" i="24" s="1"/>
  <c r="W32" i="24" s="1"/>
  <c r="U30" i="24"/>
  <c r="U33" i="24" s="1"/>
  <c r="T30" i="24"/>
  <c r="R30" i="24"/>
  <c r="V30" i="24" s="1"/>
  <c r="M30" i="24"/>
  <c r="M33" i="24" s="1"/>
  <c r="K30" i="24"/>
  <c r="K33" i="24" s="1"/>
  <c r="G30" i="24"/>
  <c r="E30" i="24"/>
  <c r="C30" i="24"/>
  <c r="Q28" i="24"/>
  <c r="P28" i="24"/>
  <c r="O28" i="24"/>
  <c r="N28" i="24"/>
  <c r="L28" i="24"/>
  <c r="K28" i="24"/>
  <c r="J28" i="24"/>
  <c r="I28" i="24"/>
  <c r="H28" i="24"/>
  <c r="G28" i="24"/>
  <c r="F28" i="24"/>
  <c r="D28" i="24"/>
  <c r="B28" i="24"/>
  <c r="U27" i="24"/>
  <c r="T27" i="24"/>
  <c r="R27" i="24"/>
  <c r="V27" i="24" s="1"/>
  <c r="M27" i="24"/>
  <c r="G27" i="24"/>
  <c r="E27" i="24"/>
  <c r="E28" i="24" s="1"/>
  <c r="C27" i="24"/>
  <c r="S27" i="24" s="1"/>
  <c r="W27" i="24" s="1"/>
  <c r="U26" i="24"/>
  <c r="T26" i="24"/>
  <c r="S26" i="24"/>
  <c r="W26" i="24" s="1"/>
  <c r="R26" i="24"/>
  <c r="U25" i="24"/>
  <c r="T25" i="24"/>
  <c r="S25" i="24"/>
  <c r="R25" i="24"/>
  <c r="V25" i="24" s="1"/>
  <c r="T24" i="24"/>
  <c r="T28" i="24" s="1"/>
  <c r="R24" i="24"/>
  <c r="O24" i="24"/>
  <c r="M24" i="24"/>
  <c r="G24" i="24"/>
  <c r="S24" i="24" s="1"/>
  <c r="E24" i="24"/>
  <c r="C24" i="24"/>
  <c r="R22" i="24"/>
  <c r="Q22" i="24"/>
  <c r="P22" i="24"/>
  <c r="N22" i="24"/>
  <c r="L22" i="24"/>
  <c r="K22" i="24"/>
  <c r="J22" i="24"/>
  <c r="I22" i="24"/>
  <c r="H22" i="24"/>
  <c r="G22" i="24"/>
  <c r="F22" i="24"/>
  <c r="D22" i="24"/>
  <c r="C22" i="24"/>
  <c r="B22" i="24"/>
  <c r="U21" i="24"/>
  <c r="T21" i="24"/>
  <c r="R21" i="24"/>
  <c r="V21" i="24" s="1"/>
  <c r="E21" i="24"/>
  <c r="C21" i="24"/>
  <c r="S21" i="24" s="1"/>
  <c r="W21" i="24" s="1"/>
  <c r="U20" i="24"/>
  <c r="T20" i="24"/>
  <c r="R20" i="24"/>
  <c r="C20" i="24"/>
  <c r="S20" i="24" s="1"/>
  <c r="W19" i="24"/>
  <c r="U19" i="24"/>
  <c r="T19" i="24"/>
  <c r="S19" i="24"/>
  <c r="R19" i="24"/>
  <c r="V19" i="24" s="1"/>
  <c r="G19" i="24"/>
  <c r="U18" i="24"/>
  <c r="T18" i="24"/>
  <c r="S18" i="24"/>
  <c r="W18" i="24" s="1"/>
  <c r="R18" i="24"/>
  <c r="V18" i="24" s="1"/>
  <c r="T17" i="24"/>
  <c r="T22" i="24" s="1"/>
  <c r="R17" i="24"/>
  <c r="O17" i="24"/>
  <c r="O22" i="24" s="1"/>
  <c r="M17" i="24"/>
  <c r="M22" i="24" s="1"/>
  <c r="K17" i="24"/>
  <c r="G17" i="24"/>
  <c r="E17" i="24"/>
  <c r="E22" i="24" s="1"/>
  <c r="C17" i="24"/>
  <c r="S17" i="24" s="1"/>
  <c r="Q15" i="24"/>
  <c r="P15" i="24"/>
  <c r="N15" i="24"/>
  <c r="L15" i="24"/>
  <c r="J15" i="24"/>
  <c r="I15" i="24"/>
  <c r="H15" i="24"/>
  <c r="F15" i="24"/>
  <c r="D15" i="24"/>
  <c r="B15" i="24"/>
  <c r="U14" i="24"/>
  <c r="T14" i="24"/>
  <c r="S14" i="24"/>
  <c r="W14" i="24" s="1"/>
  <c r="R14" i="24"/>
  <c r="V14" i="24" s="1"/>
  <c r="E14" i="24"/>
  <c r="C14" i="24"/>
  <c r="U13" i="24"/>
  <c r="T13" i="24"/>
  <c r="S13" i="24"/>
  <c r="W13" i="24" s="1"/>
  <c r="R13" i="24"/>
  <c r="V13" i="24" s="1"/>
  <c r="T12" i="24"/>
  <c r="T40" i="24" s="1"/>
  <c r="T43" i="24" s="1"/>
  <c r="R12" i="24"/>
  <c r="O12" i="24"/>
  <c r="M12" i="24"/>
  <c r="M40" i="24" s="1"/>
  <c r="M43" i="24" s="1"/>
  <c r="K12" i="24"/>
  <c r="G12" i="24"/>
  <c r="G40" i="24" s="1"/>
  <c r="E12" i="24"/>
  <c r="E40" i="24" s="1"/>
  <c r="E43" i="24" s="1"/>
  <c r="C12" i="24"/>
  <c r="Y173" i="3"/>
  <c r="X173" i="3"/>
  <c r="U173" i="3"/>
  <c r="E173" i="3"/>
  <c r="AF172" i="3"/>
  <c r="AD172" i="3"/>
  <c r="AG171" i="3"/>
  <c r="AG170" i="3"/>
  <c r="B170" i="3"/>
  <c r="AG169" i="3"/>
  <c r="B169" i="3"/>
  <c r="AG168" i="3"/>
  <c r="AG167" i="3"/>
  <c r="B167" i="3"/>
  <c r="Z166" i="3"/>
  <c r="Y166" i="3"/>
  <c r="X166" i="3"/>
  <c r="W166" i="3"/>
  <c r="W173" i="3" s="1"/>
  <c r="V166" i="3"/>
  <c r="V173" i="3" s="1"/>
  <c r="U166" i="3"/>
  <c r="T166" i="3"/>
  <c r="S166" i="3"/>
  <c r="R166" i="3"/>
  <c r="Q166" i="3"/>
  <c r="P166" i="3"/>
  <c r="AC166" i="3" s="1"/>
  <c r="O166" i="3"/>
  <c r="M166" i="3"/>
  <c r="L166" i="3"/>
  <c r="K166" i="3"/>
  <c r="J166" i="3"/>
  <c r="I166" i="3"/>
  <c r="H166" i="3"/>
  <c r="G166" i="3"/>
  <c r="F166" i="3"/>
  <c r="E166" i="3"/>
  <c r="AG165" i="3"/>
  <c r="B165" i="3"/>
  <c r="AG164" i="3"/>
  <c r="B164" i="3"/>
  <c r="D166" i="3" s="1"/>
  <c r="N166" i="3" s="1"/>
  <c r="G163" i="3"/>
  <c r="AE162" i="3"/>
  <c r="AE163" i="3" s="1"/>
  <c r="AD162" i="3"/>
  <c r="AD163" i="3" s="1"/>
  <c r="AD173" i="3" s="1"/>
  <c r="Y162" i="3"/>
  <c r="X162" i="3"/>
  <c r="W162" i="3"/>
  <c r="V162" i="3"/>
  <c r="U162" i="3"/>
  <c r="T162" i="3"/>
  <c r="S162" i="3"/>
  <c r="R162" i="3"/>
  <c r="Q162" i="3"/>
  <c r="O162" i="3"/>
  <c r="L162" i="3"/>
  <c r="K162" i="3"/>
  <c r="J162" i="3"/>
  <c r="I162" i="3"/>
  <c r="G162" i="3"/>
  <c r="E162" i="3"/>
  <c r="C162" i="3"/>
  <c r="AC161" i="3"/>
  <c r="AB161" i="3"/>
  <c r="AA161" i="3"/>
  <c r="AG161" i="3" s="1"/>
  <c r="Z161" i="3"/>
  <c r="N161" i="3"/>
  <c r="D161" i="3"/>
  <c r="AC160" i="3"/>
  <c r="AB160" i="3"/>
  <c r="Z160" i="3"/>
  <c r="AF160" i="3" s="1"/>
  <c r="J160" i="3"/>
  <c r="H160" i="3"/>
  <c r="H162" i="3" s="1"/>
  <c r="F160" i="3"/>
  <c r="F162" i="3" s="1"/>
  <c r="D160" i="3"/>
  <c r="AC159" i="3"/>
  <c r="AB159" i="3"/>
  <c r="AA159" i="3"/>
  <c r="AG159" i="3" s="1"/>
  <c r="Z159" i="3"/>
  <c r="AF159" i="3" s="1"/>
  <c r="AG158" i="3"/>
  <c r="B158" i="3"/>
  <c r="AG157" i="3"/>
  <c r="AC157" i="3"/>
  <c r="AB157" i="3"/>
  <c r="AA157" i="3"/>
  <c r="Z157" i="3"/>
  <c r="AF157" i="3" s="1"/>
  <c r="N157" i="3"/>
  <c r="M157" i="3"/>
  <c r="M162" i="3" s="1"/>
  <c r="M163" i="3" s="1"/>
  <c r="M173" i="3" s="1"/>
  <c r="D157" i="3"/>
  <c r="AC156" i="3"/>
  <c r="AB156" i="3"/>
  <c r="AA156" i="3"/>
  <c r="AG156" i="3" s="1"/>
  <c r="Z156" i="3"/>
  <c r="AF155" i="3"/>
  <c r="AC155" i="3"/>
  <c r="AC162" i="3" s="1"/>
  <c r="AB155" i="3"/>
  <c r="Z155" i="3"/>
  <c r="Z162" i="3" s="1"/>
  <c r="P155" i="3"/>
  <c r="P162" i="3" s="1"/>
  <c r="N155" i="3"/>
  <c r="N162" i="3" s="1"/>
  <c r="J155" i="3"/>
  <c r="D155" i="3"/>
  <c r="AE151" i="3"/>
  <c r="AD151" i="3"/>
  <c r="S151" i="3"/>
  <c r="M151" i="3"/>
  <c r="H151" i="3"/>
  <c r="G151" i="3"/>
  <c r="E151" i="3"/>
  <c r="E163" i="3" s="1"/>
  <c r="C151" i="3"/>
  <c r="AG149" i="3"/>
  <c r="B149" i="3"/>
  <c r="AG148" i="3"/>
  <c r="AB147" i="3"/>
  <c r="AA147" i="3"/>
  <c r="Z147" i="3"/>
  <c r="AF147" i="3" s="1"/>
  <c r="P147" i="3"/>
  <c r="AC147" i="3" s="1"/>
  <c r="AG147" i="3" s="1"/>
  <c r="J147" i="3"/>
  <c r="D147" i="3"/>
  <c r="AC146" i="3"/>
  <c r="AB146" i="3"/>
  <c r="AA146" i="3"/>
  <c r="Z146" i="3"/>
  <c r="AC145" i="3"/>
  <c r="AB145" i="3"/>
  <c r="AA145" i="3"/>
  <c r="Z145" i="3"/>
  <c r="AF145" i="3" s="1"/>
  <c r="AG145" i="3" s="1"/>
  <c r="AC144" i="3"/>
  <c r="AB144" i="3"/>
  <c r="AA144" i="3"/>
  <c r="Z144" i="3"/>
  <c r="AC143" i="3"/>
  <c r="AB143" i="3"/>
  <c r="AA143" i="3"/>
  <c r="Z143" i="3"/>
  <c r="AB142" i="3"/>
  <c r="Z142" i="3"/>
  <c r="R142" i="3"/>
  <c r="P142" i="3"/>
  <c r="AC142" i="3" s="1"/>
  <c r="J142" i="3"/>
  <c r="AA142" i="3" s="1"/>
  <c r="D142" i="3"/>
  <c r="AC141" i="3"/>
  <c r="AB141" i="3"/>
  <c r="AA141" i="3"/>
  <c r="Z141" i="3"/>
  <c r="AF140" i="3"/>
  <c r="AC140" i="3"/>
  <c r="AB140" i="3"/>
  <c r="Z140" i="3"/>
  <c r="P140" i="3"/>
  <c r="J140" i="3"/>
  <c r="AA140" i="3" s="1"/>
  <c r="AG140" i="3" s="1"/>
  <c r="D140" i="3"/>
  <c r="AC138" i="3"/>
  <c r="AB138" i="3"/>
  <c r="AA138" i="3"/>
  <c r="AG138" i="3" s="1"/>
  <c r="Z138" i="3"/>
  <c r="AF138" i="3" s="1"/>
  <c r="AB137" i="3"/>
  <c r="AA137" i="3"/>
  <c r="AG137" i="3" s="1"/>
  <c r="R137" i="3"/>
  <c r="AC137" i="3" s="1"/>
  <c r="Q137" i="3"/>
  <c r="J137" i="3"/>
  <c r="I137" i="3"/>
  <c r="Z137" i="3" s="1"/>
  <c r="AF137" i="3" s="1"/>
  <c r="D137" i="3"/>
  <c r="AB136" i="3"/>
  <c r="O136" i="3"/>
  <c r="P136" i="3" s="1"/>
  <c r="AC136" i="3" s="1"/>
  <c r="J136" i="3"/>
  <c r="AA136" i="3" s="1"/>
  <c r="AG136" i="3" s="1"/>
  <c r="I136" i="3"/>
  <c r="Z136" i="3" s="1"/>
  <c r="AF136" i="3" s="1"/>
  <c r="H136" i="3"/>
  <c r="F136" i="3"/>
  <c r="D136" i="3"/>
  <c r="AC135" i="3"/>
  <c r="AB135" i="3"/>
  <c r="AA135" i="3"/>
  <c r="AG135" i="3" s="1"/>
  <c r="Z135" i="3"/>
  <c r="AF135" i="3" s="1"/>
  <c r="AC134" i="3"/>
  <c r="AB134" i="3"/>
  <c r="AA134" i="3"/>
  <c r="AG134" i="3" s="1"/>
  <c r="Z134" i="3"/>
  <c r="AF134" i="3" s="1"/>
  <c r="AG133" i="3"/>
  <c r="AG132" i="3"/>
  <c r="AC131" i="3"/>
  <c r="AB131" i="3"/>
  <c r="AA131" i="3"/>
  <c r="Z131" i="3"/>
  <c r="AF131" i="3" s="1"/>
  <c r="D131" i="3"/>
  <c r="AG130" i="3"/>
  <c r="B130" i="3"/>
  <c r="AG129" i="3"/>
  <c r="AG128" i="3"/>
  <c r="B128" i="3"/>
  <c r="AG127" i="3"/>
  <c r="B127" i="3"/>
  <c r="D122" i="3" s="1"/>
  <c r="AG126" i="3"/>
  <c r="B126" i="3"/>
  <c r="AG125" i="3"/>
  <c r="AG124" i="3"/>
  <c r="AG123" i="3"/>
  <c r="B123" i="3"/>
  <c r="AC122" i="3"/>
  <c r="AB122" i="3"/>
  <c r="Z122" i="3"/>
  <c r="AF122" i="3" s="1"/>
  <c r="N122" i="3"/>
  <c r="M122" i="3"/>
  <c r="J122" i="3"/>
  <c r="H122" i="3"/>
  <c r="F122" i="3"/>
  <c r="AA122" i="3" s="1"/>
  <c r="AG114" i="3"/>
  <c r="AG113" i="3"/>
  <c r="B113" i="3"/>
  <c r="D112" i="3" s="1"/>
  <c r="AC112" i="3"/>
  <c r="AB112" i="3"/>
  <c r="N112" i="3"/>
  <c r="AA112" i="3" s="1"/>
  <c r="AG112" i="3" s="1"/>
  <c r="M112" i="3"/>
  <c r="Z112" i="3" s="1"/>
  <c r="AF112" i="3" s="1"/>
  <c r="AG110" i="3"/>
  <c r="AG109" i="3"/>
  <c r="AG108" i="3"/>
  <c r="B108" i="3"/>
  <c r="AG106" i="3"/>
  <c r="B106" i="3"/>
  <c r="D105" i="3" s="1"/>
  <c r="AB105" i="3"/>
  <c r="T105" i="3"/>
  <c r="T151" i="3" s="1"/>
  <c r="T163" i="3" s="1"/>
  <c r="T173" i="3" s="1"/>
  <c r="N105" i="3"/>
  <c r="AA105" i="3" s="1"/>
  <c r="M105" i="3"/>
  <c r="Z105" i="3" s="1"/>
  <c r="AF105" i="3" s="1"/>
  <c r="AG104" i="3"/>
  <c r="B104" i="3"/>
  <c r="D102" i="3" s="1"/>
  <c r="AG103" i="3"/>
  <c r="AC102" i="3"/>
  <c r="AB102" i="3"/>
  <c r="Z102" i="3"/>
  <c r="AF102" i="3" s="1"/>
  <c r="M102" i="3"/>
  <c r="N102" i="3" s="1"/>
  <c r="K102" i="3"/>
  <c r="L102" i="3" s="1"/>
  <c r="AC100" i="3"/>
  <c r="AB100" i="3"/>
  <c r="AA100" i="3"/>
  <c r="AG100" i="3" s="1"/>
  <c r="Z100" i="3"/>
  <c r="AF99" i="3"/>
  <c r="Z99" i="3"/>
  <c r="R99" i="3"/>
  <c r="Q99" i="3"/>
  <c r="O99" i="3"/>
  <c r="AB99" i="3" s="1"/>
  <c r="J99" i="3"/>
  <c r="AA99" i="3" s="1"/>
  <c r="I99" i="3"/>
  <c r="D99" i="3"/>
  <c r="Z98" i="3"/>
  <c r="Q98" i="3"/>
  <c r="R98" i="3" s="1"/>
  <c r="AC98" i="3" s="1"/>
  <c r="J98" i="3"/>
  <c r="AA98" i="3" s="1"/>
  <c r="AG98" i="3" s="1"/>
  <c r="I98" i="3"/>
  <c r="D98" i="3"/>
  <c r="AC97" i="3"/>
  <c r="AB97" i="3"/>
  <c r="AA97" i="3"/>
  <c r="AG97" i="3" s="1"/>
  <c r="Z97" i="3"/>
  <c r="AF97" i="3" s="1"/>
  <c r="AC96" i="3"/>
  <c r="AB96" i="3"/>
  <c r="AA96" i="3"/>
  <c r="AG96" i="3" s="1"/>
  <c r="Z96" i="3"/>
  <c r="R95" i="3"/>
  <c r="Q95" i="3"/>
  <c r="AB95" i="3" s="1"/>
  <c r="I95" i="3"/>
  <c r="J95" i="3" s="1"/>
  <c r="AA95" i="3" s="1"/>
  <c r="D95" i="3"/>
  <c r="AC94" i="3"/>
  <c r="AB94" i="3"/>
  <c r="AA94" i="3"/>
  <c r="AG94" i="3" s="1"/>
  <c r="Z94" i="3"/>
  <c r="AF94" i="3" s="1"/>
  <c r="AB93" i="3"/>
  <c r="AF93" i="3" s="1"/>
  <c r="AA93" i="3"/>
  <c r="AG93" i="3" s="1"/>
  <c r="Z93" i="3"/>
  <c r="P93" i="3"/>
  <c r="AC93" i="3" s="1"/>
  <c r="D93" i="3"/>
  <c r="AG92" i="3"/>
  <c r="B92" i="3"/>
  <c r="AG91" i="3"/>
  <c r="B91" i="3"/>
  <c r="AG90" i="3"/>
  <c r="B90" i="3"/>
  <c r="AG89" i="3"/>
  <c r="AG88" i="3"/>
  <c r="B88" i="3"/>
  <c r="AG87" i="3"/>
  <c r="B87" i="3"/>
  <c r="AG86" i="3"/>
  <c r="B86" i="3"/>
  <c r="AG85" i="3"/>
  <c r="B85" i="3"/>
  <c r="AG84" i="3"/>
  <c r="B84" i="3"/>
  <c r="AG83" i="3"/>
  <c r="B83" i="3"/>
  <c r="AG82" i="3"/>
  <c r="AC81" i="3"/>
  <c r="AB81" i="3"/>
  <c r="M81" i="3"/>
  <c r="N81" i="3" s="1"/>
  <c r="K81" i="3"/>
  <c r="J81" i="3"/>
  <c r="AG79" i="3"/>
  <c r="B79" i="3"/>
  <c r="D75" i="3" s="1"/>
  <c r="B78" i="3"/>
  <c r="AG77" i="3"/>
  <c r="B77" i="3"/>
  <c r="AG76" i="3"/>
  <c r="B76" i="3"/>
  <c r="AC75" i="3"/>
  <c r="AB75" i="3"/>
  <c r="Z75" i="3"/>
  <c r="AF75" i="3" s="1"/>
  <c r="J75" i="3"/>
  <c r="H75" i="3"/>
  <c r="F75" i="3"/>
  <c r="F151" i="3" s="1"/>
  <c r="AC73" i="3"/>
  <c r="AB73" i="3"/>
  <c r="Z73" i="3"/>
  <c r="N73" i="3"/>
  <c r="J73" i="3"/>
  <c r="AA73" i="3" s="1"/>
  <c r="AG73" i="3" s="1"/>
  <c r="D73" i="3"/>
  <c r="AB72" i="3"/>
  <c r="Z72" i="3"/>
  <c r="P72" i="3"/>
  <c r="O72" i="3"/>
  <c r="I72" i="3"/>
  <c r="D72" i="3"/>
  <c r="O64" i="3"/>
  <c r="P64" i="3" s="1"/>
  <c r="AC64" i="3" s="1"/>
  <c r="I64" i="3"/>
  <c r="J64" i="3" s="1"/>
  <c r="AA64" i="3" s="1"/>
  <c r="AG64" i="3" s="1"/>
  <c r="H64" i="3"/>
  <c r="F64" i="3"/>
  <c r="D64" i="3"/>
  <c r="AG63" i="3"/>
  <c r="B63" i="3"/>
  <c r="AG62" i="3"/>
  <c r="B62" i="3"/>
  <c r="D58" i="3" s="1"/>
  <c r="AG61" i="3"/>
  <c r="AG60" i="3"/>
  <c r="AG59" i="3"/>
  <c r="AC58" i="3"/>
  <c r="AB58" i="3"/>
  <c r="I58" i="3"/>
  <c r="J58" i="3" s="1"/>
  <c r="E58" i="3"/>
  <c r="F58" i="3" s="1"/>
  <c r="AA58" i="3" s="1"/>
  <c r="AG58" i="3" s="1"/>
  <c r="B55" i="3"/>
  <c r="AC54" i="3"/>
  <c r="AB54" i="3"/>
  <c r="Z54" i="3"/>
  <c r="AF54" i="3" s="1"/>
  <c r="M54" i="3"/>
  <c r="N54" i="3" s="1"/>
  <c r="AA54" i="3" s="1"/>
  <c r="AG54" i="3" s="1"/>
  <c r="D54" i="3"/>
  <c r="AG52" i="3"/>
  <c r="AG51" i="3"/>
  <c r="B51" i="3"/>
  <c r="AC50" i="3"/>
  <c r="AB50" i="3"/>
  <c r="Z50" i="3"/>
  <c r="AF50" i="3" s="1"/>
  <c r="I50" i="3"/>
  <c r="J50" i="3" s="1"/>
  <c r="AA50" i="3" s="1"/>
  <c r="AG50" i="3" s="1"/>
  <c r="D50" i="3"/>
  <c r="AG47" i="3"/>
  <c r="AG45" i="3"/>
  <c r="B45" i="3"/>
  <c r="AG44" i="3"/>
  <c r="B44" i="3"/>
  <c r="D42" i="3" s="1"/>
  <c r="AG43" i="3"/>
  <c r="AC42" i="3"/>
  <c r="AB42" i="3"/>
  <c r="N42" i="3"/>
  <c r="J42" i="3"/>
  <c r="G42" i="3"/>
  <c r="H42" i="3" s="1"/>
  <c r="F42" i="3"/>
  <c r="AA42" i="3" s="1"/>
  <c r="AG42" i="3" s="1"/>
  <c r="AG41" i="3"/>
  <c r="AG40" i="3"/>
  <c r="B40" i="3"/>
  <c r="AC39" i="3"/>
  <c r="AB39" i="3"/>
  <c r="Z39" i="3"/>
  <c r="AF39" i="3" s="1"/>
  <c r="J39" i="3"/>
  <c r="AA39" i="3" s="1"/>
  <c r="AG39" i="3" s="1"/>
  <c r="D39" i="3"/>
  <c r="AC37" i="3"/>
  <c r="AB37" i="3"/>
  <c r="AA37" i="3"/>
  <c r="AG37" i="3" s="1"/>
  <c r="Z37" i="3"/>
  <c r="AF37" i="3" s="1"/>
  <c r="AC36" i="3"/>
  <c r="AB36" i="3"/>
  <c r="AA36" i="3"/>
  <c r="AG36" i="3" s="1"/>
  <c r="Z36" i="3"/>
  <c r="AF36" i="3" s="1"/>
  <c r="AC35" i="3"/>
  <c r="AB35" i="3"/>
  <c r="AA35" i="3"/>
  <c r="AG35" i="3" s="1"/>
  <c r="Z35" i="3"/>
  <c r="AF35" i="3" s="1"/>
  <c r="AB34" i="3"/>
  <c r="AA34" i="3"/>
  <c r="AG34" i="3" s="1"/>
  <c r="Z34" i="3"/>
  <c r="AF34" i="3" s="1"/>
  <c r="R34" i="3"/>
  <c r="P34" i="3"/>
  <c r="AC34" i="3" s="1"/>
  <c r="O33" i="3"/>
  <c r="P33" i="3" s="1"/>
  <c r="AC33" i="3" s="1"/>
  <c r="I33" i="3"/>
  <c r="J33" i="3" s="1"/>
  <c r="AA33" i="3" s="1"/>
  <c r="AG33" i="3" s="1"/>
  <c r="D33" i="3"/>
  <c r="P32" i="3"/>
  <c r="AC32" i="3" s="1"/>
  <c r="O32" i="3"/>
  <c r="AB32" i="3" s="1"/>
  <c r="I32" i="3"/>
  <c r="J32" i="3" s="1"/>
  <c r="AA32" i="3" s="1"/>
  <c r="AG32" i="3" s="1"/>
  <c r="D32" i="3"/>
  <c r="O31" i="3"/>
  <c r="P31" i="3" s="1"/>
  <c r="AC31" i="3" s="1"/>
  <c r="N31" i="3"/>
  <c r="I31" i="3"/>
  <c r="Z31" i="3" s="1"/>
  <c r="D31" i="3"/>
  <c r="Q30" i="3"/>
  <c r="R30" i="3" s="1"/>
  <c r="AC30" i="3" s="1"/>
  <c r="I30" i="3"/>
  <c r="J30" i="3" s="1"/>
  <c r="AA30" i="3" s="1"/>
  <c r="AG30" i="3" s="1"/>
  <c r="D30" i="3"/>
  <c r="AC29" i="3"/>
  <c r="AB29" i="3"/>
  <c r="AA29" i="3"/>
  <c r="AG29" i="3" s="1"/>
  <c r="Z29" i="3"/>
  <c r="AF29" i="3" s="1"/>
  <c r="AC28" i="3"/>
  <c r="AB28" i="3"/>
  <c r="AA28" i="3"/>
  <c r="AG28" i="3" s="1"/>
  <c r="Z28" i="3"/>
  <c r="AF28" i="3" s="1"/>
  <c r="B27" i="3"/>
  <c r="AB25" i="3"/>
  <c r="AA25" i="3"/>
  <c r="Z25" i="3"/>
  <c r="AF25" i="3" s="1"/>
  <c r="R25" i="3"/>
  <c r="AC25" i="3" s="1"/>
  <c r="D25" i="3"/>
  <c r="AG24" i="3"/>
  <c r="AG23" i="3"/>
  <c r="B23" i="3"/>
  <c r="AG22" i="3"/>
  <c r="B22" i="3"/>
  <c r="AG21" i="3"/>
  <c r="B21" i="3"/>
  <c r="AG20" i="3"/>
  <c r="B20" i="3"/>
  <c r="AG19" i="3"/>
  <c r="B19" i="3"/>
  <c r="AG18" i="3"/>
  <c r="B18" i="3"/>
  <c r="AG17" i="3"/>
  <c r="B17" i="3"/>
  <c r="AG16" i="3"/>
  <c r="B16" i="3"/>
  <c r="AG15" i="3"/>
  <c r="B15" i="3"/>
  <c r="AB14" i="3"/>
  <c r="T14" i="3"/>
  <c r="R14" i="3"/>
  <c r="P14" i="3"/>
  <c r="AC14" i="3" s="1"/>
  <c r="O14" i="3"/>
  <c r="I14" i="3"/>
  <c r="Z14" i="3" s="1"/>
  <c r="AF14" i="3" s="1"/>
  <c r="D14" i="3"/>
  <c r="D22" i="10"/>
  <c r="E21" i="10"/>
  <c r="E20" i="10"/>
  <c r="D20" i="10"/>
  <c r="E19" i="10"/>
  <c r="E22" i="10" s="1"/>
  <c r="D19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E17" i="10" s="1"/>
  <c r="E9" i="10"/>
  <c r="E8" i="10"/>
  <c r="D8" i="10"/>
  <c r="E7" i="10"/>
  <c r="D7" i="10"/>
  <c r="D10" i="10" s="1"/>
  <c r="D17" i="10" s="1"/>
  <c r="D23" i="10" s="1"/>
  <c r="D59" i="29" l="1"/>
  <c r="B59" i="29"/>
  <c r="E59" i="29"/>
  <c r="F10" i="29"/>
  <c r="F35" i="29" s="1"/>
  <c r="F59" i="29" s="1"/>
  <c r="E35" i="29"/>
  <c r="I24" i="27"/>
  <c r="E24" i="27"/>
  <c r="C24" i="27"/>
  <c r="J15" i="27"/>
  <c r="J24" i="27" s="1"/>
  <c r="F24" i="17"/>
  <c r="F33" i="17" s="1"/>
  <c r="D33" i="17"/>
  <c r="D37" i="17" s="1"/>
  <c r="E37" i="17"/>
  <c r="F36" i="17"/>
  <c r="G37" i="20"/>
  <c r="H37" i="20"/>
  <c r="C37" i="20"/>
  <c r="E37" i="20"/>
  <c r="I37" i="20"/>
  <c r="D36" i="20"/>
  <c r="D37" i="20" s="1"/>
  <c r="J12" i="20"/>
  <c r="J18" i="20" s="1"/>
  <c r="J19" i="20" s="1"/>
  <c r="J37" i="20" s="1"/>
  <c r="D10" i="21"/>
  <c r="S28" i="24"/>
  <c r="C40" i="24"/>
  <c r="C43" i="24" s="1"/>
  <c r="C15" i="24"/>
  <c r="S12" i="24"/>
  <c r="U12" i="24"/>
  <c r="M28" i="24"/>
  <c r="U24" i="24"/>
  <c r="U28" i="24" s="1"/>
  <c r="S37" i="24"/>
  <c r="O40" i="24"/>
  <c r="O43" i="24" s="1"/>
  <c r="O15" i="24"/>
  <c r="E15" i="24"/>
  <c r="U17" i="24"/>
  <c r="U22" i="24" s="1"/>
  <c r="C28" i="24"/>
  <c r="S30" i="24"/>
  <c r="C33" i="24"/>
  <c r="G43" i="24"/>
  <c r="R40" i="24"/>
  <c r="R43" i="24" s="1"/>
  <c r="W20" i="24"/>
  <c r="S22" i="24"/>
  <c r="R28" i="24"/>
  <c r="S35" i="24"/>
  <c r="K40" i="24"/>
  <c r="K43" i="24" s="1"/>
  <c r="M15" i="24"/>
  <c r="T15" i="24"/>
  <c r="V17" i="24"/>
  <c r="V20" i="24"/>
  <c r="W25" i="24"/>
  <c r="V26" i="24"/>
  <c r="T33" i="24"/>
  <c r="T39" i="24"/>
  <c r="V36" i="24"/>
  <c r="V37" i="24"/>
  <c r="V41" i="24" s="1"/>
  <c r="H43" i="24"/>
  <c r="V12" i="24"/>
  <c r="R15" i="24"/>
  <c r="U35" i="24"/>
  <c r="U39" i="24" s="1"/>
  <c r="V38" i="24"/>
  <c r="V42" i="24" s="1"/>
  <c r="G15" i="24"/>
  <c r="K15" i="24"/>
  <c r="V24" i="24"/>
  <c r="V28" i="24" s="1"/>
  <c r="W38" i="24"/>
  <c r="W42" i="24" s="1"/>
  <c r="AB151" i="3"/>
  <c r="AA75" i="3"/>
  <c r="AG75" i="3" s="1"/>
  <c r="AF142" i="3"/>
  <c r="AG142" i="3" s="1"/>
  <c r="AA166" i="3"/>
  <c r="J72" i="3"/>
  <c r="I151" i="3"/>
  <c r="I163" i="3" s="1"/>
  <c r="I173" i="3" s="1"/>
  <c r="K151" i="3"/>
  <c r="K163" i="3" s="1"/>
  <c r="K173" i="3" s="1"/>
  <c r="Z81" i="3"/>
  <c r="AF81" i="3" s="1"/>
  <c r="R151" i="3"/>
  <c r="R163" i="3" s="1"/>
  <c r="R173" i="3" s="1"/>
  <c r="AF146" i="3"/>
  <c r="AG146" i="3" s="1"/>
  <c r="C163" i="3"/>
  <c r="C173" i="3" s="1"/>
  <c r="AC163" i="3"/>
  <c r="AF72" i="3"/>
  <c r="AF73" i="3"/>
  <c r="L81" i="3"/>
  <c r="AC95" i="3"/>
  <c r="AG131" i="3"/>
  <c r="AF143" i="3"/>
  <c r="AG143" i="3" s="1"/>
  <c r="P163" i="3"/>
  <c r="P173" i="3" s="1"/>
  <c r="F163" i="3"/>
  <c r="AA160" i="3"/>
  <c r="AG160" i="3" s="1"/>
  <c r="AC173" i="3"/>
  <c r="P151" i="3"/>
  <c r="AC72" i="3"/>
  <c r="AC151" i="3" s="1"/>
  <c r="D81" i="3"/>
  <c r="D151" i="3" s="1"/>
  <c r="D163" i="3" s="1"/>
  <c r="D173" i="3" s="1"/>
  <c r="AG95" i="3"/>
  <c r="AB98" i="3"/>
  <c r="AF98" i="3" s="1"/>
  <c r="AG99" i="3"/>
  <c r="AA102" i="3"/>
  <c r="AG102" i="3" s="1"/>
  <c r="AC105" i="3"/>
  <c r="AG105" i="3" s="1"/>
  <c r="AG122" i="3"/>
  <c r="Q151" i="3"/>
  <c r="Q163" i="3" s="1"/>
  <c r="Q173" i="3" s="1"/>
  <c r="AF156" i="3"/>
  <c r="AF162" i="3" s="1"/>
  <c r="H163" i="3"/>
  <c r="H173" i="3" s="1"/>
  <c r="S163" i="3"/>
  <c r="Z95" i="3"/>
  <c r="AF95" i="3" s="1"/>
  <c r="AF141" i="3"/>
  <c r="AG141" i="3" s="1"/>
  <c r="AF144" i="3"/>
  <c r="AG144" i="3" s="1"/>
  <c r="O151" i="3"/>
  <c r="O163" i="3" s="1"/>
  <c r="O173" i="3" s="1"/>
  <c r="D162" i="3"/>
  <c r="F173" i="3"/>
  <c r="D172" i="3"/>
  <c r="AE172" i="3" s="1"/>
  <c r="N151" i="3"/>
  <c r="N163" i="3" s="1"/>
  <c r="N173" i="3" s="1"/>
  <c r="AF96" i="3"/>
  <c r="P99" i="3"/>
  <c r="AC99" i="3" s="1"/>
  <c r="AF100" i="3"/>
  <c r="AA155" i="3"/>
  <c r="AB162" i="3"/>
  <c r="AB163" i="3" s="1"/>
  <c r="AF161" i="3"/>
  <c r="G173" i="3"/>
  <c r="AB166" i="3"/>
  <c r="S173" i="3"/>
  <c r="AF31" i="3"/>
  <c r="AG25" i="3"/>
  <c r="AB30" i="3"/>
  <c r="AB31" i="3"/>
  <c r="Z33" i="3"/>
  <c r="Z58" i="3"/>
  <c r="AF58" i="3" s="1"/>
  <c r="Z64" i="3"/>
  <c r="Z32" i="3"/>
  <c r="AF32" i="3" s="1"/>
  <c r="Z42" i="3"/>
  <c r="AF42" i="3" s="1"/>
  <c r="J14" i="3"/>
  <c r="AA14" i="3" s="1"/>
  <c r="AG14" i="3" s="1"/>
  <c r="Z30" i="3"/>
  <c r="AF30" i="3" s="1"/>
  <c r="J31" i="3"/>
  <c r="AA31" i="3" s="1"/>
  <c r="AG31" i="3" s="1"/>
  <c r="AB33" i="3"/>
  <c r="AB64" i="3"/>
  <c r="E23" i="10"/>
  <c r="F37" i="17" l="1"/>
  <c r="V40" i="24"/>
  <c r="V43" i="24" s="1"/>
  <c r="V15" i="24"/>
  <c r="W30" i="24"/>
  <c r="W33" i="24" s="1"/>
  <c r="S33" i="24"/>
  <c r="V22" i="24"/>
  <c r="S39" i="24"/>
  <c r="W35" i="24"/>
  <c r="W39" i="24" s="1"/>
  <c r="U40" i="24"/>
  <c r="U43" i="24" s="1"/>
  <c r="U15" i="24"/>
  <c r="V39" i="24"/>
  <c r="W17" i="24"/>
  <c r="W22" i="24" s="1"/>
  <c r="S41" i="24"/>
  <c r="W37" i="24"/>
  <c r="W41" i="24" s="1"/>
  <c r="S40" i="24"/>
  <c r="S15" i="24"/>
  <c r="W12" i="24"/>
  <c r="W24" i="24"/>
  <c r="W28" i="24" s="1"/>
  <c r="L151" i="3"/>
  <c r="L163" i="3" s="1"/>
  <c r="L173" i="3" s="1"/>
  <c r="AA81" i="3"/>
  <c r="AG81" i="3" s="1"/>
  <c r="J151" i="3"/>
  <c r="J163" i="3" s="1"/>
  <c r="J173" i="3" s="1"/>
  <c r="AA72" i="3"/>
  <c r="AG155" i="3"/>
  <c r="AG162" i="3" s="1"/>
  <c r="AA162" i="3"/>
  <c r="Z151" i="3"/>
  <c r="Z163" i="3" s="1"/>
  <c r="Z173" i="3" s="1"/>
  <c r="AB173" i="3"/>
  <c r="AF166" i="3"/>
  <c r="AE173" i="3"/>
  <c r="AG172" i="3"/>
  <c r="AF151" i="3"/>
  <c r="AF163" i="3" s="1"/>
  <c r="AG166" i="3"/>
  <c r="AF33" i="3"/>
  <c r="AF64" i="3"/>
  <c r="W40" i="24" l="1"/>
  <c r="W43" i="24" s="1"/>
  <c r="W15" i="24"/>
  <c r="S43" i="24"/>
  <c r="AA163" i="3"/>
  <c r="AA173" i="3" s="1"/>
  <c r="AF173" i="3"/>
  <c r="AG163" i="3"/>
  <c r="AG173" i="3" s="1"/>
  <c r="AA151" i="3"/>
  <c r="AG72" i="3"/>
  <c r="AG151" i="3" s="1"/>
  <c r="S18" i="11" l="1"/>
  <c r="S19" i="11" s="1"/>
  <c r="R18" i="11"/>
  <c r="R19" i="11" s="1"/>
  <c r="X16" i="11"/>
  <c r="Q16" i="11"/>
  <c r="P16" i="11"/>
  <c r="O16" i="11"/>
  <c r="N16" i="11"/>
  <c r="M16" i="11"/>
  <c r="L16" i="11"/>
  <c r="V16" i="11" s="1"/>
  <c r="K16" i="11"/>
  <c r="J16" i="11"/>
  <c r="I16" i="11"/>
  <c r="H16" i="11"/>
  <c r="G16" i="11"/>
  <c r="F16" i="11"/>
  <c r="E16" i="11"/>
  <c r="D16" i="11"/>
  <c r="C16" i="11"/>
  <c r="B16" i="11"/>
  <c r="T43" i="6"/>
  <c r="S43" i="6"/>
  <c r="R43" i="6"/>
  <c r="Q43" i="6"/>
  <c r="T42" i="6"/>
  <c r="S42" i="6"/>
  <c r="Q42" i="6"/>
  <c r="S41" i="6"/>
  <c r="S44" i="6" s="1"/>
  <c r="T40" i="6"/>
  <c r="S40" i="6"/>
  <c r="Q40" i="6"/>
  <c r="X39" i="6"/>
  <c r="X43" i="6" s="1"/>
  <c r="W39" i="6"/>
  <c r="W43" i="6" s="1"/>
  <c r="V39" i="6"/>
  <c r="V43" i="6" s="1"/>
  <c r="U39" i="6"/>
  <c r="U43" i="6" s="1"/>
  <c r="X38" i="6"/>
  <c r="X42" i="6" s="1"/>
  <c r="W38" i="6"/>
  <c r="W42" i="6" s="1"/>
  <c r="U38" i="6"/>
  <c r="U42" i="6" s="1"/>
  <c r="R38" i="6"/>
  <c r="R42" i="6" s="1"/>
  <c r="X37" i="6"/>
  <c r="W37" i="6"/>
  <c r="V37" i="6"/>
  <c r="Z37" i="6" s="1"/>
  <c r="U37" i="6"/>
  <c r="Y37" i="6" s="1"/>
  <c r="X36" i="6"/>
  <c r="W36" i="6"/>
  <c r="W40" i="6" s="1"/>
  <c r="V36" i="6"/>
  <c r="U36" i="6"/>
  <c r="U40" i="6" s="1"/>
  <c r="T36" i="6"/>
  <c r="X34" i="6"/>
  <c r="U34" i="6"/>
  <c r="T34" i="6"/>
  <c r="S34" i="6"/>
  <c r="Q34" i="6"/>
  <c r="X33" i="6"/>
  <c r="W33" i="6"/>
  <c r="V33" i="6"/>
  <c r="Z33" i="6" s="1"/>
  <c r="U33" i="6"/>
  <c r="Y33" i="6" s="1"/>
  <c r="T33" i="6"/>
  <c r="X32" i="6"/>
  <c r="W32" i="6"/>
  <c r="V32" i="6"/>
  <c r="Z32" i="6" s="1"/>
  <c r="U32" i="6"/>
  <c r="Y32" i="6" s="1"/>
  <c r="X31" i="6"/>
  <c r="W31" i="6"/>
  <c r="W34" i="6" s="1"/>
  <c r="U31" i="6"/>
  <c r="Y31" i="6" s="1"/>
  <c r="Y34" i="6" s="1"/>
  <c r="T31" i="6"/>
  <c r="V31" i="6" s="1"/>
  <c r="R31" i="6"/>
  <c r="R34" i="6" s="1"/>
  <c r="S29" i="6"/>
  <c r="R29" i="6"/>
  <c r="Q29" i="6"/>
  <c r="X28" i="6"/>
  <c r="W28" i="6"/>
  <c r="V28" i="6"/>
  <c r="Z28" i="6" s="1"/>
  <c r="U28" i="6"/>
  <c r="Y28" i="6" s="1"/>
  <c r="T28" i="6"/>
  <c r="X27" i="6"/>
  <c r="W27" i="6"/>
  <c r="V27" i="6"/>
  <c r="Z27" i="6" s="1"/>
  <c r="U27" i="6"/>
  <c r="Y27" i="6" s="1"/>
  <c r="Z26" i="6"/>
  <c r="X26" i="6"/>
  <c r="W26" i="6"/>
  <c r="U26" i="6"/>
  <c r="Y26" i="6" s="1"/>
  <c r="X25" i="6"/>
  <c r="X29" i="6" s="1"/>
  <c r="W25" i="6"/>
  <c r="W29" i="6" s="1"/>
  <c r="U25" i="6"/>
  <c r="U29" i="6" s="1"/>
  <c r="T25" i="6"/>
  <c r="T29" i="6" s="1"/>
  <c r="S23" i="6"/>
  <c r="X22" i="6"/>
  <c r="W22" i="6"/>
  <c r="V22" i="6"/>
  <c r="Z22" i="6" s="1"/>
  <c r="U22" i="6"/>
  <c r="Y22" i="6" s="1"/>
  <c r="X21" i="6"/>
  <c r="W21" i="6"/>
  <c r="V21" i="6"/>
  <c r="Z21" i="6" s="1"/>
  <c r="U21" i="6"/>
  <c r="Y21" i="6" s="1"/>
  <c r="X20" i="6"/>
  <c r="W20" i="6"/>
  <c r="U20" i="6"/>
  <c r="Y20" i="6" s="1"/>
  <c r="R20" i="6"/>
  <c r="V20" i="6" s="1"/>
  <c r="Z20" i="6" s="1"/>
  <c r="X19" i="6"/>
  <c r="W19" i="6"/>
  <c r="V19" i="6"/>
  <c r="Z19" i="6" s="1"/>
  <c r="U19" i="6"/>
  <c r="Y19" i="6" s="1"/>
  <c r="X18" i="6"/>
  <c r="X23" i="6" s="1"/>
  <c r="U18" i="6"/>
  <c r="U23" i="6" s="1"/>
  <c r="T18" i="6"/>
  <c r="T23" i="6" s="1"/>
  <c r="Q18" i="6"/>
  <c r="W18" i="6" s="1"/>
  <c r="S16" i="6"/>
  <c r="R16" i="6"/>
  <c r="Q16" i="6"/>
  <c r="X15" i="6"/>
  <c r="W15" i="6"/>
  <c r="V15" i="6"/>
  <c r="Z15" i="6" s="1"/>
  <c r="U15" i="6"/>
  <c r="Y15" i="6" s="1"/>
  <c r="X14" i="6"/>
  <c r="W14" i="6"/>
  <c r="W16" i="6" s="1"/>
  <c r="V14" i="6"/>
  <c r="Z14" i="6" s="1"/>
  <c r="U14" i="6"/>
  <c r="Y14" i="6" s="1"/>
  <c r="X13" i="6"/>
  <c r="X41" i="6" s="1"/>
  <c r="X44" i="6" s="1"/>
  <c r="W13" i="6"/>
  <c r="U13" i="6"/>
  <c r="Y13" i="6" s="1"/>
  <c r="T13" i="6"/>
  <c r="T41" i="6" s="1"/>
  <c r="T44" i="6" s="1"/>
  <c r="R1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O42" i="6"/>
  <c r="N42" i="6"/>
  <c r="M42" i="6"/>
  <c r="M44" i="6" s="1"/>
  <c r="L42" i="6"/>
  <c r="L44" i="6" s="1"/>
  <c r="K42" i="6"/>
  <c r="J42" i="6"/>
  <c r="I42" i="6"/>
  <c r="H42" i="6"/>
  <c r="H44" i="6" s="1"/>
  <c r="G42" i="6"/>
  <c r="F42" i="6"/>
  <c r="E42" i="6"/>
  <c r="E44" i="6" s="1"/>
  <c r="D42" i="6"/>
  <c r="D44" i="6" s="1"/>
  <c r="C42" i="6"/>
  <c r="B42" i="6"/>
  <c r="O41" i="6"/>
  <c r="O44" i="6" s="1"/>
  <c r="N41" i="6"/>
  <c r="N44" i="6" s="1"/>
  <c r="M41" i="6"/>
  <c r="L41" i="6"/>
  <c r="K41" i="6"/>
  <c r="K44" i="6" s="1"/>
  <c r="J41" i="6"/>
  <c r="J44" i="6" s="1"/>
  <c r="H41" i="6"/>
  <c r="G41" i="6"/>
  <c r="G44" i="6" s="1"/>
  <c r="F41" i="6"/>
  <c r="F44" i="6" s="1"/>
  <c r="E41" i="6"/>
  <c r="D41" i="6"/>
  <c r="B41" i="6"/>
  <c r="B44" i="6" s="1"/>
  <c r="O40" i="6"/>
  <c r="N40" i="6"/>
  <c r="M40" i="6"/>
  <c r="L40" i="6"/>
  <c r="K40" i="6"/>
  <c r="J40" i="6"/>
  <c r="H40" i="6"/>
  <c r="F40" i="6"/>
  <c r="E40" i="6"/>
  <c r="D40" i="6"/>
  <c r="B40" i="6"/>
  <c r="C37" i="6"/>
  <c r="C40" i="6" s="1"/>
  <c r="I36" i="6"/>
  <c r="I40" i="6" s="1"/>
  <c r="G36" i="6"/>
  <c r="G40" i="6" s="1"/>
  <c r="O34" i="6"/>
  <c r="N34" i="6"/>
  <c r="M34" i="6"/>
  <c r="L34" i="6"/>
  <c r="K34" i="6"/>
  <c r="J34" i="6"/>
  <c r="H34" i="6"/>
  <c r="G34" i="6"/>
  <c r="F34" i="6"/>
  <c r="E34" i="6"/>
  <c r="D34" i="6"/>
  <c r="C34" i="6"/>
  <c r="B34" i="6"/>
  <c r="I33" i="6"/>
  <c r="I34" i="6" s="1"/>
  <c r="I31" i="6"/>
  <c r="O29" i="6"/>
  <c r="N29" i="6"/>
  <c r="M29" i="6"/>
  <c r="L29" i="6"/>
  <c r="K29" i="6"/>
  <c r="J29" i="6"/>
  <c r="I29" i="6"/>
  <c r="H29" i="6"/>
  <c r="G29" i="6"/>
  <c r="F29" i="6"/>
  <c r="E29" i="6"/>
  <c r="D29" i="6"/>
  <c r="B29" i="6"/>
  <c r="C28" i="6"/>
  <c r="C29" i="6" s="1"/>
  <c r="I25" i="6"/>
  <c r="O23" i="6"/>
  <c r="N23" i="6"/>
  <c r="M23" i="6"/>
  <c r="L23" i="6"/>
  <c r="K23" i="6"/>
  <c r="J23" i="6"/>
  <c r="I23" i="6"/>
  <c r="H23" i="6"/>
  <c r="G23" i="6"/>
  <c r="F23" i="6"/>
  <c r="E23" i="6"/>
  <c r="D23" i="6"/>
  <c r="B23" i="6"/>
  <c r="C22" i="6"/>
  <c r="C23" i="6" s="1"/>
  <c r="I18" i="6"/>
  <c r="O16" i="6"/>
  <c r="N16" i="6"/>
  <c r="M16" i="6"/>
  <c r="L16" i="6"/>
  <c r="K16" i="6"/>
  <c r="J16" i="6"/>
  <c r="I16" i="6"/>
  <c r="H16" i="6"/>
  <c r="G16" i="6"/>
  <c r="F16" i="6"/>
  <c r="E16" i="6"/>
  <c r="D16" i="6"/>
  <c r="B16" i="6"/>
  <c r="C15" i="6"/>
  <c r="C14" i="6"/>
  <c r="I13" i="6"/>
  <c r="I41" i="6" s="1"/>
  <c r="I44" i="6" s="1"/>
  <c r="C13" i="6"/>
  <c r="C16" i="6" s="1"/>
  <c r="R91" i="8"/>
  <c r="Q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X90" i="8"/>
  <c r="W90" i="8"/>
  <c r="V90" i="8"/>
  <c r="U90" i="8"/>
  <c r="T90" i="8"/>
  <c r="S90" i="8"/>
  <c r="X89" i="8"/>
  <c r="W89" i="8"/>
  <c r="V89" i="8"/>
  <c r="U89" i="8"/>
  <c r="T89" i="8"/>
  <c r="S89" i="8"/>
  <c r="X88" i="8"/>
  <c r="V88" i="8"/>
  <c r="U88" i="8"/>
  <c r="T88" i="8"/>
  <c r="S88" i="8"/>
  <c r="X87" i="8"/>
  <c r="W87" i="8"/>
  <c r="V87" i="8"/>
  <c r="U87" i="8"/>
  <c r="T87" i="8"/>
  <c r="S87" i="8"/>
  <c r="X86" i="8"/>
  <c r="W86" i="8"/>
  <c r="V86" i="8"/>
  <c r="U86" i="8"/>
  <c r="T86" i="8"/>
  <c r="S86" i="8"/>
  <c r="X85" i="8"/>
  <c r="W85" i="8"/>
  <c r="V85" i="8"/>
  <c r="U85" i="8"/>
  <c r="T85" i="8"/>
  <c r="S85" i="8"/>
  <c r="X84" i="8"/>
  <c r="W84" i="8"/>
  <c r="V84" i="8"/>
  <c r="U84" i="8"/>
  <c r="T84" i="8"/>
  <c r="S84" i="8"/>
  <c r="X83" i="8"/>
  <c r="W83" i="8"/>
  <c r="V83" i="8"/>
  <c r="U83" i="8"/>
  <c r="T83" i="8"/>
  <c r="S83" i="8"/>
  <c r="X82" i="8"/>
  <c r="W82" i="8"/>
  <c r="V82" i="8"/>
  <c r="U82" i="8"/>
  <c r="T82" i="8"/>
  <c r="S82" i="8"/>
  <c r="X81" i="8"/>
  <c r="W81" i="8"/>
  <c r="V81" i="8"/>
  <c r="U81" i="8"/>
  <c r="T81" i="8"/>
  <c r="S81" i="8"/>
  <c r="X80" i="8"/>
  <c r="W80" i="8"/>
  <c r="V80" i="8"/>
  <c r="U80" i="8"/>
  <c r="T80" i="8"/>
  <c r="S80" i="8"/>
  <c r="X79" i="8"/>
  <c r="W79" i="8"/>
  <c r="V79" i="8"/>
  <c r="U79" i="8"/>
  <c r="T79" i="8"/>
  <c r="S79" i="8"/>
  <c r="X78" i="8"/>
  <c r="W78" i="8"/>
  <c r="V78" i="8"/>
  <c r="U78" i="8"/>
  <c r="T78" i="8"/>
  <c r="S78" i="8"/>
  <c r="X77" i="8"/>
  <c r="W77" i="8"/>
  <c r="V77" i="8"/>
  <c r="U77" i="8"/>
  <c r="T77" i="8"/>
  <c r="S77" i="8"/>
  <c r="Q72" i="8"/>
  <c r="N72" i="8"/>
  <c r="L72" i="8"/>
  <c r="D72" i="8"/>
  <c r="X71" i="8"/>
  <c r="W71" i="8"/>
  <c r="V71" i="8"/>
  <c r="U71" i="8"/>
  <c r="T71" i="8"/>
  <c r="S71" i="8"/>
  <c r="X70" i="8"/>
  <c r="W70" i="8"/>
  <c r="V70" i="8"/>
  <c r="U70" i="8"/>
  <c r="T70" i="8"/>
  <c r="S70" i="8"/>
  <c r="W69" i="8"/>
  <c r="V69" i="8"/>
  <c r="U69" i="8"/>
  <c r="S69" i="8"/>
  <c r="R69" i="8"/>
  <c r="X69" i="8" s="1"/>
  <c r="W68" i="8"/>
  <c r="V68" i="8"/>
  <c r="U68" i="8"/>
  <c r="S68" i="8"/>
  <c r="R68" i="8"/>
  <c r="X68" i="8" s="1"/>
  <c r="W67" i="8"/>
  <c r="V67" i="8"/>
  <c r="U67" i="8"/>
  <c r="S67" i="8"/>
  <c r="R67" i="8"/>
  <c r="W66" i="8"/>
  <c r="V66" i="8"/>
  <c r="U66" i="8"/>
  <c r="S66" i="8"/>
  <c r="M66" i="8"/>
  <c r="X66" i="8" s="1"/>
  <c r="T65" i="8"/>
  <c r="S65" i="8"/>
  <c r="K65" i="8"/>
  <c r="V65" i="8" s="1"/>
  <c r="J65" i="8"/>
  <c r="J72" i="8" s="1"/>
  <c r="W64" i="8"/>
  <c r="U64" i="8"/>
  <c r="T64" i="8"/>
  <c r="S64" i="8"/>
  <c r="K64" i="8"/>
  <c r="V64" i="8" s="1"/>
  <c r="W63" i="8"/>
  <c r="U63" i="8"/>
  <c r="T63" i="8"/>
  <c r="S63" i="8"/>
  <c r="K63" i="8"/>
  <c r="X63" i="8" s="1"/>
  <c r="W62" i="8"/>
  <c r="U62" i="8"/>
  <c r="T62" i="8"/>
  <c r="S62" i="8"/>
  <c r="K62" i="8"/>
  <c r="V62" i="8" s="1"/>
  <c r="X61" i="8"/>
  <c r="W61" i="8"/>
  <c r="V61" i="8"/>
  <c r="U61" i="8"/>
  <c r="T61" i="8"/>
  <c r="S61" i="8"/>
  <c r="W60" i="8"/>
  <c r="V60" i="8"/>
  <c r="U60" i="8"/>
  <c r="S60" i="8"/>
  <c r="I60" i="8"/>
  <c r="X60" i="8" s="1"/>
  <c r="X59" i="8"/>
  <c r="W59" i="8"/>
  <c r="V59" i="8"/>
  <c r="U59" i="8"/>
  <c r="T59" i="8"/>
  <c r="S59" i="8"/>
  <c r="X58" i="8"/>
  <c r="W58" i="8"/>
  <c r="V58" i="8"/>
  <c r="U58" i="8"/>
  <c r="T58" i="8"/>
  <c r="S58" i="8"/>
  <c r="W57" i="8"/>
  <c r="V57" i="8"/>
  <c r="U57" i="8"/>
  <c r="S57" i="8"/>
  <c r="I57" i="8"/>
  <c r="X57" i="8" s="1"/>
  <c r="W56" i="8"/>
  <c r="V56" i="8"/>
  <c r="U56" i="8"/>
  <c r="S56" i="8"/>
  <c r="I56" i="8"/>
  <c r="X56" i="8" s="1"/>
  <c r="W55" i="8"/>
  <c r="V55" i="8"/>
  <c r="U55" i="8"/>
  <c r="S55" i="8"/>
  <c r="I55" i="8"/>
  <c r="X55" i="8" s="1"/>
  <c r="W54" i="8"/>
  <c r="V54" i="8"/>
  <c r="U54" i="8"/>
  <c r="H54" i="8"/>
  <c r="I54" i="8" s="1"/>
  <c r="V53" i="8"/>
  <c r="U53" i="8"/>
  <c r="H53" i="8"/>
  <c r="H72" i="8" s="1"/>
  <c r="W52" i="8"/>
  <c r="V52" i="8"/>
  <c r="U52" i="8"/>
  <c r="S52" i="8"/>
  <c r="I52" i="8"/>
  <c r="X52" i="8" s="1"/>
  <c r="W51" i="8"/>
  <c r="V51" i="8"/>
  <c r="U51" i="8"/>
  <c r="S51" i="8"/>
  <c r="I51" i="8"/>
  <c r="W50" i="8"/>
  <c r="V50" i="8"/>
  <c r="U50" i="8"/>
  <c r="S50" i="8"/>
  <c r="G50" i="8"/>
  <c r="T50" i="8" s="1"/>
  <c r="W49" i="8"/>
  <c r="V49" i="8"/>
  <c r="U49" i="8"/>
  <c r="S49" i="8"/>
  <c r="G49" i="8"/>
  <c r="X49" i="8" s="1"/>
  <c r="W48" i="8"/>
  <c r="V48" i="8"/>
  <c r="U48" i="8"/>
  <c r="S48" i="8"/>
  <c r="G48" i="8"/>
  <c r="X48" i="8" s="1"/>
  <c r="W47" i="8"/>
  <c r="V47" i="8"/>
  <c r="U47" i="8"/>
  <c r="S47" i="8"/>
  <c r="G47" i="8"/>
  <c r="X47" i="8" s="1"/>
  <c r="V46" i="8"/>
  <c r="U46" i="8"/>
  <c r="F46" i="8"/>
  <c r="F72" i="8" s="1"/>
  <c r="W45" i="8"/>
  <c r="V45" i="8"/>
  <c r="U45" i="8"/>
  <c r="S45" i="8"/>
  <c r="G45" i="8"/>
  <c r="X45" i="8" s="1"/>
  <c r="X44" i="8"/>
  <c r="W44" i="8"/>
  <c r="V44" i="8"/>
  <c r="U44" i="8"/>
  <c r="T44" i="8"/>
  <c r="S44" i="8"/>
  <c r="G44" i="8"/>
  <c r="X43" i="8"/>
  <c r="W43" i="8"/>
  <c r="V43" i="8"/>
  <c r="U43" i="8"/>
  <c r="T43" i="8"/>
  <c r="S43" i="8"/>
  <c r="X42" i="8"/>
  <c r="W42" i="8"/>
  <c r="V42" i="8"/>
  <c r="U42" i="8"/>
  <c r="T42" i="8"/>
  <c r="S42" i="8"/>
  <c r="X41" i="8"/>
  <c r="W41" i="8"/>
  <c r="V41" i="8"/>
  <c r="U41" i="8"/>
  <c r="T41" i="8"/>
  <c r="S41" i="8"/>
  <c r="X40" i="8"/>
  <c r="W40" i="8"/>
  <c r="V40" i="8"/>
  <c r="U40" i="8"/>
  <c r="T40" i="8"/>
  <c r="S40" i="8"/>
  <c r="W39" i="8"/>
  <c r="U39" i="8"/>
  <c r="T39" i="8"/>
  <c r="S39" i="8"/>
  <c r="E39" i="8"/>
  <c r="X39" i="8" s="1"/>
  <c r="W38" i="8"/>
  <c r="U38" i="8"/>
  <c r="T38" i="8"/>
  <c r="S38" i="8"/>
  <c r="E38" i="8"/>
  <c r="V38" i="8" s="1"/>
  <c r="W37" i="8"/>
  <c r="U37" i="8"/>
  <c r="T37" i="8"/>
  <c r="S37" i="8"/>
  <c r="E37" i="8"/>
  <c r="V37" i="8" s="1"/>
  <c r="X36" i="8"/>
  <c r="W36" i="8"/>
  <c r="V36" i="8"/>
  <c r="U36" i="8"/>
  <c r="T36" i="8"/>
  <c r="S36" i="8"/>
  <c r="X35" i="8"/>
  <c r="W35" i="8"/>
  <c r="V35" i="8"/>
  <c r="U35" i="8"/>
  <c r="T35" i="8"/>
  <c r="S35" i="8"/>
  <c r="X34" i="8"/>
  <c r="W34" i="8"/>
  <c r="V34" i="8"/>
  <c r="U34" i="8"/>
  <c r="T34" i="8"/>
  <c r="S34" i="8"/>
  <c r="X33" i="8"/>
  <c r="W33" i="8"/>
  <c r="V33" i="8"/>
  <c r="U33" i="8"/>
  <c r="T33" i="8"/>
  <c r="S33" i="8"/>
  <c r="X32" i="8"/>
  <c r="W32" i="8"/>
  <c r="V32" i="8"/>
  <c r="U32" i="8"/>
  <c r="T32" i="8"/>
  <c r="S32" i="8"/>
  <c r="X31" i="8"/>
  <c r="W31" i="8"/>
  <c r="V31" i="8"/>
  <c r="U31" i="8"/>
  <c r="T31" i="8"/>
  <c r="S31" i="8"/>
  <c r="X30" i="8"/>
  <c r="W30" i="8"/>
  <c r="V30" i="8"/>
  <c r="U30" i="8"/>
  <c r="T30" i="8"/>
  <c r="S30" i="8"/>
  <c r="X29" i="8"/>
  <c r="W29" i="8"/>
  <c r="V29" i="8"/>
  <c r="U29" i="8"/>
  <c r="T29" i="8"/>
  <c r="S29" i="8"/>
  <c r="X28" i="8"/>
  <c r="W28" i="8"/>
  <c r="V28" i="8"/>
  <c r="U28" i="8"/>
  <c r="T28" i="8"/>
  <c r="S28" i="8"/>
  <c r="X27" i="8"/>
  <c r="W27" i="8"/>
  <c r="V27" i="8"/>
  <c r="U27" i="8"/>
  <c r="T27" i="8"/>
  <c r="S27" i="8"/>
  <c r="X26" i="8"/>
  <c r="W26" i="8"/>
  <c r="V26" i="8"/>
  <c r="U26" i="8"/>
  <c r="T26" i="8"/>
  <c r="S26" i="8"/>
  <c r="X25" i="8"/>
  <c r="W25" i="8"/>
  <c r="V25" i="8"/>
  <c r="U25" i="8"/>
  <c r="T25" i="8"/>
  <c r="S25" i="8"/>
  <c r="X24" i="8"/>
  <c r="W24" i="8"/>
  <c r="V24" i="8"/>
  <c r="U24" i="8"/>
  <c r="T24" i="8"/>
  <c r="S24" i="8"/>
  <c r="W23" i="8"/>
  <c r="U23" i="8"/>
  <c r="T23" i="8"/>
  <c r="S23" i="8"/>
  <c r="O23" i="8"/>
  <c r="E23" i="8"/>
  <c r="W22" i="8"/>
  <c r="U22" i="8"/>
  <c r="T22" i="8"/>
  <c r="S22" i="8"/>
  <c r="E22" i="8"/>
  <c r="X21" i="8"/>
  <c r="W21" i="8"/>
  <c r="V21" i="8"/>
  <c r="U21" i="8"/>
  <c r="T21" i="8"/>
  <c r="S21" i="8"/>
  <c r="X20" i="8"/>
  <c r="W20" i="8"/>
  <c r="V20" i="8"/>
  <c r="U20" i="8"/>
  <c r="T20" i="8"/>
  <c r="S20" i="8"/>
  <c r="X19" i="8"/>
  <c r="W19" i="8"/>
  <c r="V19" i="8"/>
  <c r="U19" i="8"/>
  <c r="T19" i="8"/>
  <c r="S19" i="8"/>
  <c r="X18" i="8"/>
  <c r="W18" i="8"/>
  <c r="V18" i="8"/>
  <c r="U18" i="8"/>
  <c r="T18" i="8"/>
  <c r="S18" i="8"/>
  <c r="X17" i="8"/>
  <c r="W17" i="8"/>
  <c r="V17" i="8"/>
  <c r="U17" i="8"/>
  <c r="T17" i="8"/>
  <c r="S17" i="8"/>
  <c r="C17" i="8"/>
  <c r="X16" i="8"/>
  <c r="W16" i="8"/>
  <c r="V16" i="8"/>
  <c r="U16" i="8"/>
  <c r="T16" i="8"/>
  <c r="S16" i="8"/>
  <c r="C16" i="8"/>
  <c r="W15" i="8"/>
  <c r="V15" i="8"/>
  <c r="U15" i="8"/>
  <c r="S15" i="8"/>
  <c r="C15" i="8"/>
  <c r="X15" i="8" s="1"/>
  <c r="V14" i="8"/>
  <c r="U14" i="8"/>
  <c r="B14" i="8"/>
  <c r="W14" i="8" s="1"/>
  <c r="W13" i="8"/>
  <c r="V13" i="8"/>
  <c r="U13" i="8"/>
  <c r="S13" i="8"/>
  <c r="C13" i="8"/>
  <c r="V12" i="8"/>
  <c r="U12" i="8"/>
  <c r="C12" i="8"/>
  <c r="X12" i="8" s="1"/>
  <c r="B12" i="8"/>
  <c r="B72" i="8" s="1"/>
  <c r="E82" i="25"/>
  <c r="C82" i="25"/>
  <c r="C81" i="25"/>
  <c r="E81" i="25" s="1"/>
  <c r="E80" i="25" s="1"/>
  <c r="D80" i="25"/>
  <c r="C80" i="25"/>
  <c r="E78" i="25"/>
  <c r="E77" i="25"/>
  <c r="E76" i="25"/>
  <c r="E75" i="25"/>
  <c r="E74" i="25"/>
  <c r="D73" i="25"/>
  <c r="C73" i="25"/>
  <c r="E70" i="25"/>
  <c r="E68" i="25"/>
  <c r="E73" i="25" s="1"/>
  <c r="C68" i="25"/>
  <c r="D65" i="25"/>
  <c r="E64" i="25"/>
  <c r="C60" i="25"/>
  <c r="E60" i="25" s="1"/>
  <c r="E59" i="25"/>
  <c r="B58" i="25"/>
  <c r="B56" i="25"/>
  <c r="B54" i="25"/>
  <c r="C53" i="25" s="1"/>
  <c r="E53" i="25" s="1"/>
  <c r="B51" i="25"/>
  <c r="C51" i="25" s="1"/>
  <c r="E51" i="25" s="1"/>
  <c r="B50" i="25"/>
  <c r="B49" i="25"/>
  <c r="C48" i="25"/>
  <c r="E48" i="25" s="1"/>
  <c r="B47" i="25"/>
  <c r="B46" i="25"/>
  <c r="C44" i="25"/>
  <c r="E44" i="25" s="1"/>
  <c r="B42" i="25"/>
  <c r="B41" i="25"/>
  <c r="B40" i="25"/>
  <c r="B39" i="25"/>
  <c r="B38" i="25"/>
  <c r="B37" i="25"/>
  <c r="B36" i="25"/>
  <c r="B35" i="25"/>
  <c r="B34" i="25"/>
  <c r="B33" i="25"/>
  <c r="C32" i="25"/>
  <c r="E32" i="25" s="1"/>
  <c r="E65" i="25" s="1"/>
  <c r="E31" i="25"/>
  <c r="D28" i="25"/>
  <c r="D84" i="25" s="1"/>
  <c r="C27" i="25"/>
  <c r="E27" i="25" s="1"/>
  <c r="C24" i="25"/>
  <c r="E24" i="25" s="1"/>
  <c r="C23" i="25"/>
  <c r="E23" i="25" s="1"/>
  <c r="C21" i="25"/>
  <c r="E21" i="25" s="1"/>
  <c r="D19" i="25"/>
  <c r="E17" i="25"/>
  <c r="E15" i="25"/>
  <c r="E14" i="25"/>
  <c r="C13" i="25"/>
  <c r="E13" i="25" s="1"/>
  <c r="E12" i="25"/>
  <c r="E11" i="25"/>
  <c r="C10" i="25"/>
  <c r="C19" i="25" s="1"/>
  <c r="W16" i="11" l="1"/>
  <c r="T16" i="11"/>
  <c r="Z16" i="11" s="1"/>
  <c r="U16" i="11"/>
  <c r="X18" i="11"/>
  <c r="X19" i="11" s="1"/>
  <c r="Y18" i="11"/>
  <c r="Y19" i="11" s="1"/>
  <c r="W41" i="6"/>
  <c r="W44" i="6" s="1"/>
  <c r="W23" i="6"/>
  <c r="Y16" i="6"/>
  <c r="V34" i="6"/>
  <c r="Z31" i="6"/>
  <c r="Z34" i="6" s="1"/>
  <c r="V40" i="6"/>
  <c r="Y18" i="6"/>
  <c r="Y23" i="6" s="1"/>
  <c r="Y36" i="6"/>
  <c r="Z39" i="6"/>
  <c r="Z43" i="6" s="1"/>
  <c r="X40" i="6"/>
  <c r="U16" i="6"/>
  <c r="Q23" i="6"/>
  <c r="V25" i="6"/>
  <c r="Y39" i="6"/>
  <c r="Y43" i="6" s="1"/>
  <c r="Q41" i="6"/>
  <c r="Q44" i="6" s="1"/>
  <c r="U41" i="6"/>
  <c r="U44" i="6" s="1"/>
  <c r="Z36" i="6"/>
  <c r="Y38" i="6"/>
  <c r="Y42" i="6" s="1"/>
  <c r="V13" i="6"/>
  <c r="T16" i="6"/>
  <c r="X16" i="6"/>
  <c r="R18" i="6"/>
  <c r="Y25" i="6"/>
  <c r="Y29" i="6" s="1"/>
  <c r="V38" i="6"/>
  <c r="R40" i="6"/>
  <c r="C41" i="6"/>
  <c r="C44" i="6" s="1"/>
  <c r="T55" i="8"/>
  <c r="R72" i="8"/>
  <c r="R92" i="8" s="1"/>
  <c r="T69" i="8"/>
  <c r="D92" i="8"/>
  <c r="L92" i="8"/>
  <c r="Q92" i="8"/>
  <c r="X50" i="8"/>
  <c r="V91" i="8"/>
  <c r="M72" i="8"/>
  <c r="M92" i="8" s="1"/>
  <c r="C72" i="8"/>
  <c r="C92" i="8" s="1"/>
  <c r="E72" i="8"/>
  <c r="E92" i="8" s="1"/>
  <c r="W53" i="8"/>
  <c r="S53" i="8"/>
  <c r="X64" i="8"/>
  <c r="N92" i="8"/>
  <c r="C14" i="8"/>
  <c r="X14" i="8" s="1"/>
  <c r="V23" i="8"/>
  <c r="X37" i="8"/>
  <c r="T45" i="8"/>
  <c r="T49" i="8"/>
  <c r="S54" i="8"/>
  <c r="X65" i="8"/>
  <c r="U91" i="8"/>
  <c r="B92" i="8"/>
  <c r="H92" i="8"/>
  <c r="S91" i="8"/>
  <c r="W91" i="8"/>
  <c r="J92" i="8"/>
  <c r="F92" i="8"/>
  <c r="T91" i="8"/>
  <c r="X91" i="8"/>
  <c r="G72" i="8"/>
  <c r="G92" i="8" s="1"/>
  <c r="X54" i="8"/>
  <c r="T54" i="8"/>
  <c r="I72" i="8"/>
  <c r="I92" i="8" s="1"/>
  <c r="S12" i="8"/>
  <c r="W12" i="8"/>
  <c r="T13" i="8"/>
  <c r="X13" i="8"/>
  <c r="T14" i="8"/>
  <c r="X22" i="8"/>
  <c r="X23" i="8"/>
  <c r="X38" i="8"/>
  <c r="S46" i="8"/>
  <c r="W46" i="8"/>
  <c r="T47" i="8"/>
  <c r="T51" i="8"/>
  <c r="X51" i="8"/>
  <c r="T57" i="8"/>
  <c r="X62" i="8"/>
  <c r="T67" i="8"/>
  <c r="X67" i="8"/>
  <c r="K72" i="8"/>
  <c r="K92" i="8" s="1"/>
  <c r="O72" i="8"/>
  <c r="O92" i="8" s="1"/>
  <c r="T12" i="8"/>
  <c r="V39" i="8"/>
  <c r="I53" i="8"/>
  <c r="T56" i="8"/>
  <c r="V63" i="8"/>
  <c r="W65" i="8"/>
  <c r="T66" i="8"/>
  <c r="V22" i="8"/>
  <c r="S14" i="8"/>
  <c r="T15" i="8"/>
  <c r="G46" i="8"/>
  <c r="T48" i="8"/>
  <c r="T52" i="8"/>
  <c r="T60" i="8"/>
  <c r="U65" i="8"/>
  <c r="U72" i="8" s="1"/>
  <c r="U92" i="8" s="1"/>
  <c r="T68" i="8"/>
  <c r="E28" i="25"/>
  <c r="C28" i="25"/>
  <c r="C65" i="25"/>
  <c r="E10" i="25"/>
  <c r="E19" i="25" s="1"/>
  <c r="E84" i="25" s="1"/>
  <c r="Y35" i="24"/>
  <c r="X35" i="24"/>
  <c r="Y33" i="24"/>
  <c r="X33" i="24"/>
  <c r="X31" i="24"/>
  <c r="Y30" i="24"/>
  <c r="X30" i="24"/>
  <c r="X29" i="24"/>
  <c r="Y28" i="24"/>
  <c r="X28" i="24"/>
  <c r="X26" i="24"/>
  <c r="Y25" i="24"/>
  <c r="X25" i="24"/>
  <c r="Y24" i="24"/>
  <c r="X24" i="24"/>
  <c r="Y22" i="24"/>
  <c r="X22" i="24"/>
  <c r="X20" i="24"/>
  <c r="Y20" i="24"/>
  <c r="Y18" i="24"/>
  <c r="Y16" i="24"/>
  <c r="X16" i="24"/>
  <c r="Y14" i="24"/>
  <c r="X14" i="24"/>
  <c r="Y13" i="24"/>
  <c r="X13" i="24"/>
  <c r="F21" i="10"/>
  <c r="AA16" i="11" l="1"/>
  <c r="Z13" i="6"/>
  <c r="V16" i="6"/>
  <c r="V18" i="6"/>
  <c r="R41" i="6"/>
  <c r="R44" i="6" s="1"/>
  <c r="R23" i="6"/>
  <c r="Y41" i="6"/>
  <c r="Y44" i="6" s="1"/>
  <c r="V29" i="6"/>
  <c r="Z25" i="6"/>
  <c r="Z29" i="6" s="1"/>
  <c r="V42" i="6"/>
  <c r="Z38" i="6"/>
  <c r="Z42" i="6" s="1"/>
  <c r="Y40" i="6"/>
  <c r="V72" i="8"/>
  <c r="V92" i="8" s="1"/>
  <c r="S72" i="8"/>
  <c r="S92" i="8" s="1"/>
  <c r="X46" i="8"/>
  <c r="X72" i="8" s="1"/>
  <c r="X92" i="8" s="1"/>
  <c r="T46" i="8"/>
  <c r="X53" i="8"/>
  <c r="T53" i="8"/>
  <c r="W72" i="8"/>
  <c r="W92" i="8" s="1"/>
  <c r="X23" i="24"/>
  <c r="X27" i="24"/>
  <c r="X18" i="24"/>
  <c r="Y26" i="24"/>
  <c r="X38" i="24"/>
  <c r="X17" i="24"/>
  <c r="X21" i="24"/>
  <c r="X34" i="24"/>
  <c r="X32" i="24"/>
  <c r="Y31" i="24"/>
  <c r="F22" i="10"/>
  <c r="V23" i="6" l="1"/>
  <c r="Z18" i="6"/>
  <c r="Z23" i="6" s="1"/>
  <c r="V41" i="6"/>
  <c r="V44" i="6" s="1"/>
  <c r="Z40" i="6"/>
  <c r="Z41" i="6"/>
  <c r="Z44" i="6" s="1"/>
  <c r="Z16" i="6"/>
  <c r="T72" i="8"/>
  <c r="T92" i="8" s="1"/>
  <c r="Y37" i="24"/>
  <c r="Y41" i="24"/>
  <c r="X41" i="24"/>
  <c r="X37" i="24"/>
  <c r="X15" i="24"/>
  <c r="X12" i="24"/>
  <c r="X40" i="24"/>
  <c r="X36" i="24"/>
  <c r="Y15" i="24"/>
  <c r="Y12" i="24"/>
  <c r="Y21" i="24" l="1"/>
  <c r="Y17" i="24"/>
  <c r="X39" i="24"/>
  <c r="X42" i="24"/>
  <c r="Y29" i="24"/>
  <c r="Y32" i="24"/>
  <c r="Y36" i="24"/>
  <c r="Y34" i="24"/>
  <c r="Y38" i="24"/>
  <c r="Y23" i="24"/>
  <c r="Y27" i="24"/>
  <c r="Y39" i="24" l="1"/>
  <c r="Y40" i="24" s="1"/>
  <c r="Y42" i="24"/>
  <c r="AJ165" i="3" l="1"/>
  <c r="M19" i="27" l="1"/>
  <c r="L19" i="27"/>
  <c r="M18" i="27"/>
  <c r="L18" i="27"/>
  <c r="L17" i="27"/>
  <c r="M17" i="27"/>
  <c r="L15" i="27"/>
  <c r="L13" i="27"/>
  <c r="L12" i="27"/>
  <c r="M12" i="27"/>
  <c r="L11" i="27"/>
  <c r="M11" i="27"/>
  <c r="M10" i="27"/>
  <c r="M9" i="27"/>
  <c r="M8" i="27"/>
  <c r="K22" i="23"/>
  <c r="H22" i="23"/>
  <c r="F22" i="23"/>
  <c r="D22" i="23"/>
  <c r="E21" i="23"/>
  <c r="C21" i="23"/>
  <c r="B21" i="23"/>
  <c r="E20" i="23"/>
  <c r="C20" i="23" s="1"/>
  <c r="B20" i="23"/>
  <c r="I18" i="23"/>
  <c r="G18" i="23"/>
  <c r="C18" i="23" s="1"/>
  <c r="E18" i="23"/>
  <c r="B18" i="23"/>
  <c r="I17" i="23"/>
  <c r="G17" i="23"/>
  <c r="E17" i="23"/>
  <c r="C17" i="23"/>
  <c r="B17" i="23"/>
  <c r="B22" i="23" s="1"/>
  <c r="I16" i="23"/>
  <c r="G16" i="23"/>
  <c r="E16" i="23"/>
  <c r="C16" i="23"/>
  <c r="B16" i="23"/>
  <c r="I15" i="23"/>
  <c r="I22" i="23" s="1"/>
  <c r="G15" i="23"/>
  <c r="G22" i="23" s="1"/>
  <c r="E15" i="23"/>
  <c r="E22" i="23" s="1"/>
  <c r="B15" i="23"/>
  <c r="M14" i="27" l="1"/>
  <c r="L14" i="27"/>
  <c r="M15" i="27"/>
  <c r="M16" i="27"/>
  <c r="L16" i="27"/>
  <c r="L7" i="27"/>
  <c r="L8" i="27"/>
  <c r="L9" i="27"/>
  <c r="L10" i="27"/>
  <c r="M7" i="27"/>
  <c r="C15" i="23"/>
  <c r="C22" i="23" s="1"/>
  <c r="M13" i="27" l="1"/>
  <c r="D25" i="10"/>
  <c r="G46" i="29"/>
  <c r="G43" i="29"/>
  <c r="G42" i="29"/>
  <c r="G41" i="29" l="1"/>
  <c r="G45" i="29"/>
  <c r="G44" i="29"/>
  <c r="G47" i="29" l="1"/>
  <c r="G19" i="29"/>
  <c r="G20" i="29"/>
  <c r="G22" i="29"/>
  <c r="G23" i="29"/>
  <c r="G24" i="29"/>
  <c r="G26" i="29"/>
  <c r="G27" i="29"/>
  <c r="G29" i="29"/>
  <c r="G30" i="29"/>
  <c r="G32" i="29"/>
  <c r="G35" i="29"/>
  <c r="G36" i="29"/>
  <c r="G12" i="29"/>
  <c r="G14" i="29"/>
  <c r="G15" i="29"/>
  <c r="G16" i="29"/>
  <c r="G17" i="29"/>
  <c r="G18" i="29"/>
  <c r="G37" i="29"/>
  <c r="G38" i="29"/>
  <c r="G40" i="29"/>
  <c r="G39" i="29"/>
  <c r="G10" i="29"/>
  <c r="G11" i="29"/>
  <c r="G9" i="29"/>
  <c r="G25" i="29" l="1"/>
  <c r="G28" i="29"/>
  <c r="G13" i="29"/>
  <c r="G31" i="29" l="1"/>
  <c r="G21" i="29"/>
  <c r="C41" i="10" l="1"/>
  <c r="C18" i="11" l="1"/>
  <c r="I18" i="11"/>
  <c r="I19" i="11" s="1"/>
  <c r="B18" i="11"/>
  <c r="N18" i="11"/>
  <c r="N19" i="11" s="1"/>
  <c r="P18" i="11"/>
  <c r="P19" i="11" s="1"/>
  <c r="J18" i="11"/>
  <c r="J19" i="11" s="1"/>
  <c r="L18" i="11"/>
  <c r="F18" i="11"/>
  <c r="F19" i="11" s="1"/>
  <c r="D18" i="11"/>
  <c r="D19" i="11" s="1"/>
  <c r="Q18" i="11"/>
  <c r="Q19" i="11" s="1"/>
  <c r="E18" i="11"/>
  <c r="E19" i="11" s="1"/>
  <c r="H18" i="11"/>
  <c r="H19" i="11" s="1"/>
  <c r="G18" i="11" l="1"/>
  <c r="G19" i="11" s="1"/>
  <c r="L19" i="11"/>
  <c r="V18" i="11"/>
  <c r="V19" i="11" s="1"/>
  <c r="B19" i="11"/>
  <c r="T18" i="11"/>
  <c r="C19" i="11"/>
  <c r="M18" i="11"/>
  <c r="M19" i="11" s="1"/>
  <c r="O18" i="11"/>
  <c r="F17" i="10"/>
  <c r="W18" i="11" l="1"/>
  <c r="W19" i="11" s="1"/>
  <c r="O19" i="11"/>
  <c r="Z18" i="11"/>
  <c r="Z19" i="11" s="1"/>
  <c r="T19" i="11"/>
  <c r="K18" i="11"/>
  <c r="K19" i="11" s="1"/>
  <c r="U18" i="11" l="1"/>
  <c r="AA18" i="11" l="1"/>
  <c r="AA19" i="11" s="1"/>
  <c r="U19" i="11"/>
</calcChain>
</file>

<file path=xl/sharedStrings.xml><?xml version="1.0" encoding="utf-8"?>
<sst xmlns="http://schemas.openxmlformats.org/spreadsheetml/2006/main" count="17573" uniqueCount="613">
  <si>
    <t>Adatok Ft-ban</t>
  </si>
  <si>
    <t>Kiemelt előirányzat megnevezése</t>
  </si>
  <si>
    <t>Eredeti 
előirányzat</t>
  </si>
  <si>
    <t>B1. Működési célú támogatások államháztartáson belülről</t>
  </si>
  <si>
    <t xml:space="preserve">   1. Helyi önkormányzatok működésének támogatása</t>
  </si>
  <si>
    <t xml:space="preserve">    1.1.1.    Önkormányzati hivatal működésének támogatása </t>
  </si>
  <si>
    <t xml:space="preserve">    1.1.2.    A zöldterület-gazdálkodással kapcsolatos feladatok ellátásának támogatása</t>
  </si>
  <si>
    <t xml:space="preserve">    1.1.3.    Közvilágítás fenntartásának támogatása</t>
  </si>
  <si>
    <t xml:space="preserve">    1.1.5.    Közutak fenntartásának támogatása</t>
  </si>
  <si>
    <t xml:space="preserve">    1.1.6.    Egyéb önkormányzati feladatok támogatása</t>
  </si>
  <si>
    <t xml:space="preserve">    1.1.7.    Lakott külterülettel kapcsoltos feladatok támogatása</t>
  </si>
  <si>
    <t xml:space="preserve">      1.1.  Helyi önkormányzatok működésének általános támogatása összesen</t>
  </si>
  <si>
    <t xml:space="preserve">      1.2. Települési önkormányzatok egyes köznevelési feladatainak támogatása</t>
  </si>
  <si>
    <t xml:space="preserve">    1.2.2.  Óvodaműködtetési támogatás</t>
  </si>
  <si>
    <t xml:space="preserve">    1.2.3.  Kiegészítő támogatás az óvodapedagógusok minősítéséből adódó </t>
  </si>
  <si>
    <t xml:space="preserve">               többletkiadásokhoz</t>
  </si>
  <si>
    <t xml:space="preserve">      1.3. A települési önkormányzatok szociális, gyermekjóléti és gyermekétkeztetési </t>
  </si>
  <si>
    <t xml:space="preserve">    feladatainak támogatása</t>
  </si>
  <si>
    <t xml:space="preserve">      1.3.1.  A települési önkormányzatok egyes szociális feladatainak egyéb támogatása</t>
  </si>
  <si>
    <t xml:space="preserve">    1.3.2.  Egyes szociális és gyermekjóléti feladatok támogatása</t>
  </si>
  <si>
    <t xml:space="preserve">       1.3.2.1. Család- és gyermekjóléti szolgálat </t>
  </si>
  <si>
    <t xml:space="preserve">       1.3.2.2. Család- és gyermekjóléti központ </t>
  </si>
  <si>
    <t xml:space="preserve">       1.3.2.3. Szociális étkeztetés </t>
  </si>
  <si>
    <t xml:space="preserve">       1.3.2.4. Házi segítségnyújtás - szociális segítés</t>
  </si>
  <si>
    <t xml:space="preserve">       1.3.2.5. Házi segítségnyújtás - személyi gondozás</t>
  </si>
  <si>
    <t xml:space="preserve">       1.3.2.6. Falugondnoki vagy tanyagondnoki szolgáltatás </t>
  </si>
  <si>
    <t xml:space="preserve">       1.3.2.7. Időskorúak nappali intézményi ellátása </t>
  </si>
  <si>
    <t xml:space="preserve">       1.3.2.8. Fogyatékos és demens személyek nappali intézményi ellátása</t>
  </si>
  <si>
    <t xml:space="preserve">       1.3.2.9. Pszichiátriai betegek nappali intézményi ellátása </t>
  </si>
  <si>
    <t xml:space="preserve">       1.3.2.10. Szenvedélybetegek nappali intézményi ellátása </t>
  </si>
  <si>
    <t xml:space="preserve">    1.3.3. A települési önkormányzatok által biztosított egyes szakosított ellátások, </t>
  </si>
  <si>
    <t xml:space="preserve">                valamint a gyermekek átmeneti gondozásával kapcsolatos feladatok ellátása</t>
  </si>
  <si>
    <t xml:space="preserve">       1.3.3.1. A finanszírozás szempontjából elismert szakmai dolgozók bértám.</t>
  </si>
  <si>
    <t xml:space="preserve">       1.3.3.2. Intézményüzemeltetési támogatás</t>
  </si>
  <si>
    <t xml:space="preserve">    1.3.4. Gyermekétkeztetés támogatása</t>
  </si>
  <si>
    <t xml:space="preserve">       1.3.4.1. A finanszírozás szempontjából elismert dolgozók bértámogatása</t>
  </si>
  <si>
    <t xml:space="preserve">       1.3.4.2. Gyermekétkeztetés üzemeltetési támogatása</t>
  </si>
  <si>
    <t xml:space="preserve">    1.3.6. Bölcsőde, mini bölcsőde támogatása</t>
  </si>
  <si>
    <t xml:space="preserve">       1.3.6.1. A finanszírozás szempontjából elismert szakmai dolgozók bértám.</t>
  </si>
  <si>
    <t xml:space="preserve">                   (felsőfokú végzettségű kisgyermeknevelők)</t>
  </si>
  <si>
    <t xml:space="preserve">       1.3.6.2. A finanszírozás szempontjából elismert szakmai dolgozók bértám.</t>
  </si>
  <si>
    <t xml:space="preserve">                   (bölcsődei dajkák, középfokú végzettségű kisgyermeknevelők)</t>
  </si>
  <si>
    <t xml:space="preserve">       1.3.6.3. Bölcsőde üzemeltetési támogatás</t>
  </si>
  <si>
    <t xml:space="preserve">    1.4. A települési önkormányzatok kulturális feladatainak támogatása</t>
  </si>
  <si>
    <t xml:space="preserve">    1.4.1. A települési önkormányzatok nyilvános könyvtári és közművelődési</t>
  </si>
  <si>
    <t xml:space="preserve">             feladatainak támogatása</t>
  </si>
  <si>
    <t xml:space="preserve">    1.5. Működési célú költségvetési támogatások és kiegészítő támogatások</t>
  </si>
  <si>
    <t xml:space="preserve">    1.6. Elszámolásból származó bevételek</t>
  </si>
  <si>
    <t xml:space="preserve">    1. Helyi önkormányzatok működésének támogatása összesen: </t>
  </si>
  <si>
    <t xml:space="preserve">    2. Működési célú egyéb támogatások államháztartáson belülről</t>
  </si>
  <si>
    <t xml:space="preserve">    3. Elvonások és befizetések</t>
  </si>
  <si>
    <t>B1. Működési célú támogatások államháztartáson belülről összesen</t>
  </si>
  <si>
    <t>B2. Felhalmozási célú támogatások államháztartáson belülről</t>
  </si>
  <si>
    <t>B3. Közhatalmi bevétel összesen:</t>
  </si>
  <si>
    <t>B4. Működési bevétel</t>
  </si>
  <si>
    <t xml:space="preserve">B5. Felhalmozási bevételek összesen: </t>
  </si>
  <si>
    <t>B6. Működési célú átvett pénzeszközök</t>
  </si>
  <si>
    <t>B7. Felhalmozási célú átvett pénzeszközök</t>
  </si>
  <si>
    <t xml:space="preserve">Önkormányzati költségvetési bevételek összesen (B1-B7.): </t>
  </si>
  <si>
    <t>B8. Finanszírozási bevételek</t>
  </si>
  <si>
    <t xml:space="preserve">   1. Előző évi költségvetési maradvány igénybevétele</t>
  </si>
  <si>
    <t>B8. Finanszírozási bevételek összesen:</t>
  </si>
  <si>
    <t xml:space="preserve">       1.3.2.11. Óvodai és iskolai szociális segítő tevékenység</t>
  </si>
  <si>
    <t>ebből:</t>
  </si>
  <si>
    <t>Kötelező feladat</t>
  </si>
  <si>
    <t>Államigazgatási feladat</t>
  </si>
  <si>
    <t xml:space="preserve">    1.5.1. 2019. évi bérkompenzáció</t>
  </si>
  <si>
    <t>Egészségügyi feladatok</t>
  </si>
  <si>
    <t>Tüdőszűrés</t>
  </si>
  <si>
    <t xml:space="preserve">TOP- 5.1.2-15-JN1-2016-00005 Helyi foglalkoztatási együttműködések megvalósítása a Karcagi Járásban 
</t>
  </si>
  <si>
    <t>Önkormányzat választott tisztségviselői és külső bizottsági tagjai</t>
  </si>
  <si>
    <t>Városi közvilágítás</t>
  </si>
  <si>
    <t>Közvilágítás karbantartás, javítás, bővítés</t>
  </si>
  <si>
    <t>Építési és településfejlesztési feladatok</t>
  </si>
  <si>
    <t>Közbiztonsági feladatok</t>
  </si>
  <si>
    <t>Környezetvédelmi alap</t>
  </si>
  <si>
    <t xml:space="preserve">Rágcsálóirtás (Északi és Déli külváros, városközpont) </t>
  </si>
  <si>
    <t xml:space="preserve">Szünidei étkeztetés </t>
  </si>
  <si>
    <t xml:space="preserve">                       M e g n e v e z é s</t>
  </si>
  <si>
    <t>Eredeti előirányzat</t>
  </si>
  <si>
    <t>Önkormányzati működéshez kapcsolódó egyéb településüzemeltetési kiadások</t>
  </si>
  <si>
    <t>TOP-3.1.1-15-JN1-2016-00021 Kerékpárút hálózat kiépítése Karcagon</t>
  </si>
  <si>
    <t>TOP-3.2.1-16-JN1-2017-00002 Idősek Otthona energetikai felújítása</t>
  </si>
  <si>
    <t>Egyéb szociális ellátás</t>
  </si>
  <si>
    <t>Karcag Városi TV-vel együttműködési szerződés hirdetésre, lakosság tájékoztatására</t>
  </si>
  <si>
    <t>Karcag FM és www.infokarcag.hu együttműködési szerződés hirdetére, lakosság tájékoztatására</t>
  </si>
  <si>
    <t xml:space="preserve">Tagdíjak, támogatások </t>
  </si>
  <si>
    <t>Települési támogatások a 7/2015. (II.27.) önkormányzati rendelet alapján</t>
  </si>
  <si>
    <t>lakhatási támogatás rendszeres</t>
  </si>
  <si>
    <t>gyógyszertámogatás rendszeres</t>
  </si>
  <si>
    <t>közköltséges temetés</t>
  </si>
  <si>
    <t xml:space="preserve">Ifjúságpolitikai feladatok </t>
  </si>
  <si>
    <t>Tehetséges és szociálisan hátrányos helyzetű tanulók ösztöndíja</t>
  </si>
  <si>
    <t>Karcagi Többcélú Kistérségi Társulás részére támogatás (állami hozzájárulás összege) működtetéséhez</t>
  </si>
  <si>
    <t>Karcagi Többcélú Kistérségi Társulás részére kiegészítő támogatás a karcagi székhellyel, telephellyel rendelkező intézmények működtetéséhez</t>
  </si>
  <si>
    <t>Helyi autóbusz közlekedés közszolgáltatás támogatása</t>
  </si>
  <si>
    <t xml:space="preserve">Nagykun Víz- és Csatornamű Kft. </t>
  </si>
  <si>
    <t>Orvosi ösztöndíjrendszer és lakhatási támogatás biztosítása</t>
  </si>
  <si>
    <t>Általános tartalék</t>
  </si>
  <si>
    <t>Céltartalék:</t>
  </si>
  <si>
    <t>Talajterhelési díj elkülönítése környezetvédelmi alapként</t>
  </si>
  <si>
    <t>Rekultivációs célú elkülönítés hulladéklerakó üzemeltetés miatt</t>
  </si>
  <si>
    <t>Pályázati támogatás</t>
  </si>
  <si>
    <t>Önkormányzat irányítása alá tartozó költségvetési szervek támogatása</t>
  </si>
  <si>
    <t>BEVÉTELEK MINDÖSSZESEN (B1-B8.):</t>
  </si>
  <si>
    <t>Kötelező feladatok</t>
  </si>
  <si>
    <t>Költségvetési szerv megnevezése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</si>
  <si>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</si>
  <si>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</si>
  <si>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</si>
  <si>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</si>
  <si>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</si>
  <si>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</si>
  <si>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</si>
  <si>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 xml:space="preserve">B8.  </t>
  </si>
  <si>
    <t xml:space="preserve">B1-B8.  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</si>
  <si>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</si>
  <si>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</si>
  <si>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</si>
  <si>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</si>
  <si>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</si>
  <si>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</si>
  <si>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</t>
  </si>
  <si>
    <t>Előző évi maradvány igénybevétele</t>
  </si>
  <si>
    <t>Irányító szervi támogatás</t>
  </si>
  <si>
    <t>Működési célú</t>
  </si>
  <si>
    <t>Felhalmozási célú</t>
  </si>
  <si>
    <t>Madarász Imre Egyesített Óvoda</t>
  </si>
  <si>
    <t>Madarász Imre Egyesített Óvoda összesen:</t>
  </si>
  <si>
    <t>Déryné Kulturális,Turisztikai, Sport Központ és Könyvtár</t>
  </si>
  <si>
    <t>Déryné Kulturális,Turisztikai,Sport Központ és Könyvtár összesen:</t>
  </si>
  <si>
    <t>Városi Önkormányzat Városgondnoksága</t>
  </si>
  <si>
    <t>Városi Önkormányzat Városgondnoksága összesen:</t>
  </si>
  <si>
    <t>Győrffy István Nagykun Múzeum</t>
  </si>
  <si>
    <t>Győrffy István Nagykun Múzeum összesen:</t>
  </si>
  <si>
    <t xml:space="preserve">Karcagi Polgármesteri Hivatal </t>
  </si>
  <si>
    <t xml:space="preserve">Karcagi Polgármesteri Hivatal összesen: </t>
  </si>
  <si>
    <t>Költségvetési szervek kötelező feladatai összesen:</t>
  </si>
  <si>
    <t>Költségvetési szervek önként vállalt feladatai összesen:</t>
  </si>
  <si>
    <t>Költségvetési szervek államigazgatási feladatai összesen:</t>
  </si>
  <si>
    <t>Költségvetési szervek összesen:</t>
  </si>
  <si>
    <t>Személyi juttatások</t>
  </si>
  <si>
    <t>Dologi kiadások</t>
  </si>
  <si>
    <t>Ellátottak pénzbeli juttatásai</t>
  </si>
  <si>
    <t>Egyéb működési célú kiadások</t>
  </si>
  <si>
    <t>Finanszírozási kiadások</t>
  </si>
  <si>
    <t>Beruházások</t>
  </si>
  <si>
    <t>Felújítások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</si>
  <si>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</si>
  <si>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</si>
  <si>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</si>
  <si>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</si>
  <si>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</si>
  <si>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</si>
  <si>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</si>
  <si>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</si>
  <si>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 xml:space="preserve">K1-K8.  </t>
  </si>
  <si>
    <t>Munkaadót terhelő járulékok és szociális hozzájárulási adó</t>
  </si>
  <si>
    <t>Egyéb felhalmozási célú kiadások</t>
  </si>
  <si>
    <t>Kiadások összesen</t>
  </si>
  <si>
    <t>Déryné Kulturális,Turisztikai,Sport Központ és Könyvtár</t>
  </si>
  <si>
    <t>Megnevezés</t>
  </si>
  <si>
    <t>B8.</t>
  </si>
  <si>
    <t>B1-B8.</t>
  </si>
  <si>
    <t>Helyi önkormányzatok működésének általános támogatása</t>
  </si>
  <si>
    <t>Mezőőrség támogatása</t>
  </si>
  <si>
    <t>Mezőőri járulék</t>
  </si>
  <si>
    <t>Kamat és árfolyambevétel</t>
  </si>
  <si>
    <t>Helyi iparűzési adó</t>
  </si>
  <si>
    <t>Idegenforgalmi adó</t>
  </si>
  <si>
    <t>Termőföld bérbeadásából származó szja</t>
  </si>
  <si>
    <t>Bírságok, pótlékok, egyéb sajátos bevételek</t>
  </si>
  <si>
    <t>Kötelező feladatok összesen</t>
  </si>
  <si>
    <t>Földhaszonbérlet</t>
  </si>
  <si>
    <t>Közterület-használati díj</t>
  </si>
  <si>
    <t>Bérleti díj (TRV)</t>
  </si>
  <si>
    <t>Egyéb bérleti díj és működési bevétel</t>
  </si>
  <si>
    <t>Vagyonkezelésbe adás bevétele</t>
  </si>
  <si>
    <t>Továbbszámlázott kiadások bevételei</t>
  </si>
  <si>
    <t>TRT módosítás megtéríttetése</t>
  </si>
  <si>
    <t>Előző évi maradvány igénybevétele kötelező feladatok</t>
  </si>
  <si>
    <t>Előző évi maradvány igénybevétele önként vállalt feladatok</t>
  </si>
  <si>
    <t xml:space="preserve">    1.3.7. Szociális ágazati összevont pótlék</t>
  </si>
  <si>
    <t>Hatósági kényszerintézkedések, utcanévtáblák elhelyezése, szakhatósági díjak, vázrajz készítés, egyéb építési és településfejlesztési feladatok</t>
  </si>
  <si>
    <t xml:space="preserve">Műfüves pálya üzemeltetése </t>
  </si>
  <si>
    <t xml:space="preserve">   2. Folyószámla hitel igénybevétele</t>
  </si>
  <si>
    <t>Folyószámlahitel igénybevétele</t>
  </si>
  <si>
    <t>Bursa Hungarica Felsőoktatási Önkormányzati Ösztöndíj pályázat  248/2018. (IX.27.) kt. sz. határozat alapján</t>
  </si>
  <si>
    <t xml:space="preserve">                 </t>
  </si>
  <si>
    <t xml:space="preserve">K9.  </t>
  </si>
  <si>
    <t>Költségvetési szervek kiadásai</t>
  </si>
  <si>
    <t>Kötelező feladat, önként vállalt, államigazgatási feladatok</t>
  </si>
  <si>
    <t>Önkormányzat kiadása költségvetési szervek támogatása nélkül</t>
  </si>
  <si>
    <t>Kötelező, önként vállalt feladat</t>
  </si>
  <si>
    <t>Ö S S Z E S E N :</t>
  </si>
  <si>
    <t>Módosított előirányzat</t>
  </si>
  <si>
    <t>14. sz. melléklet a Karcag Városi Önkormányzat Képviselő-testületének …/2016. (………) önkormányzati rendeletéhez</t>
  </si>
  <si>
    <t>Adatok  Ft-ban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</si>
  <si>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</si>
  <si>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</si>
  <si>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</si>
  <si>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</si>
  <si>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</si>
  <si>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</si>
  <si>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</si>
  <si>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</si>
  <si>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Önkormányzat költségvetési támogatása</t>
  </si>
  <si>
    <t>Egyéb működési célú támogatások államháztartáson belülről</t>
  </si>
  <si>
    <t>Elvonások és befizetések</t>
  </si>
  <si>
    <t>B3.</t>
  </si>
  <si>
    <t>Közhatalmi bevétel</t>
  </si>
  <si>
    <t>B4.</t>
  </si>
  <si>
    <t>Működési bevétel</t>
  </si>
  <si>
    <t>B6.</t>
  </si>
  <si>
    <t>K1.</t>
  </si>
  <si>
    <t>K2.</t>
  </si>
  <si>
    <t>K3.</t>
  </si>
  <si>
    <t>K4.</t>
  </si>
  <si>
    <t>Ellátottak pénzbeli juttatása</t>
  </si>
  <si>
    <t>K5.</t>
  </si>
  <si>
    <t>Működés összesen</t>
  </si>
  <si>
    <t>II. Felhalmozás</t>
  </si>
  <si>
    <t>B2.</t>
  </si>
  <si>
    <t>Felhalmozási célú támogatások államháztartáson belülről</t>
  </si>
  <si>
    <t>B5.</t>
  </si>
  <si>
    <t>B7.</t>
  </si>
  <si>
    <t>K6.</t>
  </si>
  <si>
    <t>K7.</t>
  </si>
  <si>
    <t>K8.</t>
  </si>
  <si>
    <t>Egyéb felhalmozási kiadások</t>
  </si>
  <si>
    <t>Felhalmozás összesen:</t>
  </si>
  <si>
    <t>Költségvetési bevételek és kiadások egyenlege finanszírozási műveletek nélkül</t>
  </si>
  <si>
    <t>K9.</t>
  </si>
  <si>
    <t>Finanszírozási műveletek egyenlege</t>
  </si>
  <si>
    <t>Költségvetés egyenlege finanszírozási bevételekkel és kiadásokkal együtt</t>
  </si>
  <si>
    <t>Módosított
előirányzat</t>
  </si>
  <si>
    <t>Önként válallt feladatok összesen</t>
  </si>
  <si>
    <t>Mindösszesen:</t>
  </si>
  <si>
    <t>1/2. oldal</t>
  </si>
  <si>
    <t xml:space="preserve">K1-K9.  </t>
  </si>
  <si>
    <t xml:space="preserve">    1.5.2. Kiegyenlítő bérrendezési alap támogatás</t>
  </si>
  <si>
    <t>A Karcag Városi Önkormányzat irányítása alá tartozó költségvetési szervek</t>
  </si>
  <si>
    <t>Álláshelyből</t>
  </si>
  <si>
    <t>Közfoglalkoz-tatottak létszáma (fő)</t>
  </si>
  <si>
    <t>Megjegyzés</t>
  </si>
  <si>
    <t>Teljes munkaidős álláshely</t>
  </si>
  <si>
    <t>Részmunkaidős álláshely teljes munkaidősre számítva</t>
  </si>
  <si>
    <t xml:space="preserve">Eredeti előirányzat </t>
  </si>
  <si>
    <t xml:space="preserve">Adatok  Ft-ban </t>
  </si>
  <si>
    <t>Sor-
szám</t>
  </si>
  <si>
    <t>2022. év</t>
  </si>
  <si>
    <t>2023. év</t>
  </si>
  <si>
    <t>2024. év</t>
  </si>
  <si>
    <t>2025. év</t>
  </si>
  <si>
    <t>2026. év</t>
  </si>
  <si>
    <t>ÖSSZESEN</t>
  </si>
  <si>
    <t>1.</t>
  </si>
  <si>
    <t>2.</t>
  </si>
  <si>
    <t>3.</t>
  </si>
  <si>
    <t>5.</t>
  </si>
  <si>
    <t>6.</t>
  </si>
  <si>
    <t>7.</t>
  </si>
  <si>
    <t>8.</t>
  </si>
  <si>
    <t>9.</t>
  </si>
  <si>
    <t>11.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</si>
  <si>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</si>
  <si>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</si>
  <si>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</si>
  <si>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</si>
  <si>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</si>
  <si>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</si>
  <si>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</si>
  <si>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</si>
  <si>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</si>
  <si>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</si>
  <si>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</si>
  <si>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</si>
  <si>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</si>
  <si>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</si>
  <si>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</si>
  <si>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</si>
  <si>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</si>
  <si>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</si>
  <si>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</si>
  <si>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</si>
  <si>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</si>
  <si>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</si>
  <si>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</si>
  <si>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</si>
  <si>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</si>
  <si>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</si>
  <si>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</si>
  <si>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</si>
  <si>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</si>
  <si>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</si>
  <si>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Kezességvállalásból eredő fizetési kötelezettség                                  Nagykun Víz- és Csatornamű Kft. Karcag (Fejlesztési hitel fürdőfejlesztéshez UniCredit Bank Zrt., felvétel éve: 2011. , összege: 152.125 ezer Ft)</t>
  </si>
  <si>
    <t>16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</si>
  <si>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</si>
  <si>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</si>
  <si>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</si>
  <si>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</si>
  <si>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</si>
  <si>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</si>
  <si>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</si>
  <si>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</si>
  <si>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</si>
  <si>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</si>
  <si>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</si>
  <si>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</si>
  <si>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</si>
  <si>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</si>
  <si>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 xml:space="preserve">    1.1.9.    Bérkompenzáció támogatása</t>
  </si>
  <si>
    <t xml:space="preserve">      1.1.11.   A minimálbér és a garantált bérminimum emelés hatásának kompenzációja</t>
  </si>
  <si>
    <t xml:space="preserve">    1.3.9. A minimálbér és a garantált bérminimum emelés hatásának kompenzációja</t>
  </si>
  <si>
    <t>Önként vállalt feladat nyári diákmunka</t>
  </si>
  <si>
    <t>Karcag Városi Önkormányzat fejlesztési feladatainak támogatása (volt rendőrségi épületrész felújítása)</t>
  </si>
  <si>
    <t xml:space="preserve">TOP-1.1.3-15-JN1-2016-00015 Karcagi termékek piaca pályázat </t>
  </si>
  <si>
    <t>TOP-5.3.1-16-JN1-2017-00006 Karcagi kistérség közösségi fejlesztése</t>
  </si>
  <si>
    <t>LIFE Integrált levegőminőség-védelmi Projekt támogatásához kapcsolódó kiadások</t>
  </si>
  <si>
    <t>TOP-5.3.1-16-JN1-2017-00006 Karcagi kistérség közösségi fejlesztése pályázat támogatása</t>
  </si>
  <si>
    <t>Részmunkaidős (fő)</t>
  </si>
  <si>
    <t xml:space="preserve">Karcag Városi Önkormányzat
   </t>
  </si>
  <si>
    <t>Önkormányzat összesen:</t>
  </si>
  <si>
    <t xml:space="preserve">    1.5.3. Jó adatszolgáltató önkormányzatok támogatása</t>
  </si>
  <si>
    <t xml:space="preserve">    1.5.4. Rendkívüli szociális támogatás</t>
  </si>
  <si>
    <t xml:space="preserve">    1.5.5. Rendkívüli önkormányzati támogatás</t>
  </si>
  <si>
    <t xml:space="preserve">    1.5.6. Helyi közösségi közlekedés támotgatása</t>
  </si>
  <si>
    <t xml:space="preserve">Karcag Város kulturális feladatainak támogatása - A 2015. évi Milánói Világkiállítás magyar pavilonjának elhelyezése Karcag Városában, a 1551/2019. (IX.26.) Korm.határozat alapján kapott támogatás 
</t>
  </si>
  <si>
    <t>Mezőgazdasági támogatások</t>
  </si>
  <si>
    <t>Önként vállalt feladat Nő-Köz-Pont</t>
  </si>
  <si>
    <t>Állatorvosi ügyelet</t>
  </si>
  <si>
    <t>Ebek oltása, ivartalanítása, ebösszeírás</t>
  </si>
  <si>
    <t xml:space="preserve">Belterületi utak, járdák felújítása, parkolók, gyalogosátkelők kialakítása </t>
  </si>
  <si>
    <t>Akácliget Fürdő üzemeltetési támogatás</t>
  </si>
  <si>
    <t>Önkormányzati reprezentációs és ajándékozási kiadások, kiemelt városi események, nemzeti ünnepek, nemzetközi kapcsolatok</t>
  </si>
  <si>
    <t>Közvilágítás üzemeltetése</t>
  </si>
  <si>
    <t xml:space="preserve">rendkívüli települési támogatás </t>
  </si>
  <si>
    <t>VEF-2019-16 Víziközművek energiahatékonyságának fejlesztése</t>
  </si>
  <si>
    <t>Saját forrás elkülönített bérleti díj terhére</t>
  </si>
  <si>
    <t>Előző években érkesített ingatlanok tárgyévi bevétele</t>
  </si>
  <si>
    <t>Karcagi Többcélú Kistérségi Tárulás 2020. évi tagdíja</t>
  </si>
  <si>
    <t>Karcag Város kulturális feladatainak támogatása - A 2015. évi Milánói Világkiállítás magyar pavilonjának elhelyezése Karcag Városában</t>
  </si>
  <si>
    <t>Karcag városban szennyvíz-gerincvezeték cseréjének támogatása 1697/2019. (XII. 10.) Korm. határozat alapján</t>
  </si>
  <si>
    <t xml:space="preserve">Részmunkaidős
napi munka ideje
(óra)
</t>
  </si>
  <si>
    <t>Intézményi gyermekétkeztetés - KLIK konyhák üzemeltetési költsége</t>
  </si>
  <si>
    <t>Mezőgazdaság, környezetvédelem, állategészségügy</t>
  </si>
  <si>
    <t>Sport feladatok támogatása</t>
  </si>
  <si>
    <t>Önkormányzati kapcsolatok, rendezvények, események, városmenedzselés, városmarketing</t>
  </si>
  <si>
    <t>Nemzetiségi feladatok</t>
  </si>
  <si>
    <t xml:space="preserve">Karcag Városi Cigány Nemzetiségi Önkormányzat részére 1 fő adminisztrátor 4 órás foglalkoztatásához keretösszeg                                                                      </t>
  </si>
  <si>
    <t xml:space="preserve">Fianszírozási </t>
  </si>
  <si>
    <t>Finanszírozási</t>
  </si>
  <si>
    <t xml:space="preserve">    1.3.8. Falu- és tanyagondnoki szolgálatok kiegészítő támogatása</t>
  </si>
  <si>
    <t xml:space="preserve">Víziközmű elemek bérleti díjának felhasználása víziközmű fejlesztés céljára </t>
  </si>
  <si>
    <t xml:space="preserve">Támogatás </t>
  </si>
  <si>
    <t>Előző években teljesített kiadások</t>
  </si>
  <si>
    <t>Előző években teljesült bevételek</t>
  </si>
  <si>
    <t>Projekt befejezésének várható időpontja</t>
  </si>
  <si>
    <t xml:space="preserve">TOP-1.4.1-19-JN1-2019-00003 Varró utcai bölcsőde felújítása </t>
  </si>
  <si>
    <t>KEHOP-3.2.1-15-2017-00023 Komplex hulladékgazdálkdási rendszer fejlesztése Karcag Város, valamint a Tisza-Tó térségében, különös tekintettel az elkülönített hulladékgyűjtési, szállítási és előkezelő rendszerre</t>
  </si>
  <si>
    <t xml:space="preserve">TOP-7.1.1-16-H-ERFA-2019-00119 Rónai malom közösségi célú felújítása </t>
  </si>
  <si>
    <t xml:space="preserve">EFOP-1.2.9-17-2017-00075 Nők a családban és a munkahelyen komplex szakmai programok megvalósítása Karcag város térségében </t>
  </si>
  <si>
    <t>Összes bevétel</t>
  </si>
  <si>
    <t>Európai Uniós forrásból finanszírozott támogatással megvalósuló projektek összesen</t>
  </si>
  <si>
    <t xml:space="preserve">LIFE Integrált levegőminőség-védelmi Projekt </t>
  </si>
  <si>
    <t>Összes kiadás</t>
  </si>
  <si>
    <t>LIFE Integrált levegőminőség-védelmi Projekt</t>
  </si>
  <si>
    <t>Karcag városban szennyvíz-gerincvezeték cseréjének támogatása 1551/2019. (IX. 26.) Korm. határozat alapján</t>
  </si>
  <si>
    <t>Karcag Városi Önkormányzat által adományozható kitüntetésekhez járó pénzdíj, emlékplakettek, díjak, oklevelek, temetési költség</t>
  </si>
  <si>
    <t>Jogcím</t>
  </si>
  <si>
    <t>ÖSSZESEN:</t>
  </si>
  <si>
    <t xml:space="preserve">       1.3.6.4. Bölcsőde kiegészítő támogatás</t>
  </si>
  <si>
    <t>Települési önkormányzatok idegenforgalmi adóhoz kapcsolódó kiegészítő támogatása</t>
  </si>
  <si>
    <t>Biztosítási kártérítés</t>
  </si>
  <si>
    <t>Osztalék bevétel</t>
  </si>
  <si>
    <t>TOP-2.1.1-15-JN-2019-00006 Barnamezős területek fejlesztése Karcagon pályázat</t>
  </si>
  <si>
    <t>Folyószámlahitel igénybevétel törlesztés</t>
  </si>
  <si>
    <t>TOP 2.1.1-15-JN1-2019-00006 Barnamezős területek fejlesztése Karcagon</t>
  </si>
  <si>
    <t>TOP 4.2.1-15-JN1-2019-00030 Idősek Otthona konyhájának fejlesztése</t>
  </si>
  <si>
    <t>Céltartalék belvízvédelmi feladatokra</t>
  </si>
  <si>
    <t xml:space="preserve">A Karcag Városi Önkormányzat 2021. évi működésének támogatása jogcímenként
</t>
  </si>
  <si>
    <t xml:space="preserve">      1.2.1.  Óvodapedagógusok, és az óvodapedagógusok nevelő munkáját közvetlenül </t>
  </si>
  <si>
    <t xml:space="preserve">              segítők bértámogatása</t>
  </si>
  <si>
    <t xml:space="preserve">    1.3.5. A rászoruló gyermekek intézményen kívüli szünidei étkeztetésének </t>
  </si>
  <si>
    <t xml:space="preserve">              támogatása</t>
  </si>
  <si>
    <t xml:space="preserve">      1.4.2. A települési önkormányzatok muzeális intézményi feladatainak támogatása</t>
  </si>
  <si>
    <t>A Karcag Városi Önkormányzat 2021. évi költségvetési tervezett bevételi főösszegén belül 
a költségvetési szervek bevételei kiemelt előirányzatonkénti bontásban</t>
  </si>
  <si>
    <t>A Karcag Városi Önkormányzat 2021. évi tervezett költségvetési kiadási főösszegén belül 
a költségvetési szervek kiadásai kiemelt előirányzatonkénti bontásban</t>
  </si>
  <si>
    <t>Települési önkormányzatok iparűzési adóhoz kapcsolódó kiegészítő támogatása</t>
  </si>
  <si>
    <t>Központi orvosi ügyelet ellátása</t>
  </si>
  <si>
    <t>Vagyoni értékű jog értékesítése (földhasználati jog)</t>
  </si>
  <si>
    <t>2021. évi támogatás megelőlegezés</t>
  </si>
  <si>
    <t xml:space="preserve">A Karcag Városi Önkormányzat 2021. évi  összevont költségvetési bevételi főösszege kiemelt előirányzatonkénti bontásban
</t>
  </si>
  <si>
    <t>2021. évi bérleti díj elkülönítése</t>
  </si>
  <si>
    <t>2020. évi bérleti díjból fennmaradó rész elkülönítése</t>
  </si>
  <si>
    <t>2013-2020. években befolyt, viziközmű fejlesztés céljára fel nem használt összeg</t>
  </si>
  <si>
    <t>Koronavírus elleni védekezés kiadásaira</t>
  </si>
  <si>
    <t>Karcagi Sport Egyesület 2021. évi működési támogatása</t>
  </si>
  <si>
    <t xml:space="preserve">Karcag-Tilalmasi Mezőgazdasági KFT. tulajdonában lévő kutak és vízhálózat bérlete </t>
  </si>
  <si>
    <t>Civil szervezetek támogatása</t>
  </si>
  <si>
    <t>2021. évi támogatás</t>
  </si>
  <si>
    <t>TRT módosítás és vázrajz készítés</t>
  </si>
  <si>
    <t>Főépítészi tevékenyég, programhasználat</t>
  </si>
  <si>
    <t>A Karcag Városi Önkormányzat 2021. évi költségvetés kiadási főösszegén belül az önkormányzat kiadásai feladatonként, kötelező és önként vállalt feladatonkénti bontásban</t>
  </si>
  <si>
    <t>A Karcag Városi Önkormányzat 2021. évi összevont költségvetési kiadás főösszege kiemelt előirányzatonkénti bontásban</t>
  </si>
  <si>
    <t>Víziközmű elemek bérleti díjának elkülönítése víziközmű feljesztés finanszírozására</t>
  </si>
  <si>
    <t>2016-2017. év rendszerfüggetlen bérleti díjból 2021-re vállalt elkülönítés</t>
  </si>
  <si>
    <t>Földhaszon bérleti díj elkülönítése 2022-re</t>
  </si>
  <si>
    <t>Projektben el nem számolható kiadások fedezetére</t>
  </si>
  <si>
    <t>Szolidaritási hozzájárulás</t>
  </si>
  <si>
    <t>Egyéb tervezett ingatlanértékesítések bevétele</t>
  </si>
  <si>
    <t>Intézményi beruházási, felújítási kiadásokra</t>
  </si>
  <si>
    <t xml:space="preserve">Ingatlanértékesítéssel kapcsolatos kiadások </t>
  </si>
  <si>
    <t xml:space="preserve">Karcag Városi Cigány Nemzetiségi Önkormányzat kulturális rendezvényeinek támogatása                                                </t>
  </si>
  <si>
    <t xml:space="preserve">TOP- 5.1.2-15-JN1-2016-00005 Helyi foglalkoztatási együttműködések megvalósítása a Karcagi Járásban </t>
  </si>
  <si>
    <t>Terület értékesítések Agrosprint részére</t>
  </si>
  <si>
    <t>Víziközművek energiahatékonyságának fejlesztése pályázat saját forrás</t>
  </si>
  <si>
    <t>Tisztítsuk meg az Országot! Illegális hulladéklerakók felszámolása projekt</t>
  </si>
  <si>
    <t>Karcag városban szennyvíz-gerincvezeték cseréjének támogatása 1697/2019. (XII. 10.) Korm. határozat alapján (Havaria támogatás)</t>
  </si>
  <si>
    <t>TOP-1.4.1-19-JN1-2019-00003 Varró utcai bölcsőde felújítása</t>
  </si>
  <si>
    <t>Álláshely összesen 2021.
(Teljes munkaidősre számítva)
(fő)</t>
  </si>
  <si>
    <t xml:space="preserve"> 2021. évi létszámkerete és a költségvetési szervek által foglalkoztatott közfoglalkoztatottak létszáma</t>
  </si>
  <si>
    <r>
      <t>A Karcag Városi Önkormányzat 2021. évi költségvetési főösszegén belül 
a tartalék összege feladatonkénti bontásban</t>
    </r>
    <r>
      <rPr>
        <i/>
        <sz val="12"/>
        <rFont val="Times New Roman"/>
        <family val="1"/>
        <charset val="238"/>
      </rPr>
      <t xml:space="preserve">
</t>
    </r>
  </si>
  <si>
    <t>Talajterhelési díj</t>
  </si>
  <si>
    <t>Tárgyév
2021. év</t>
  </si>
  <si>
    <t>A Karcag Városi Önkormányzat Európai Uniós forrásból finanszírozott támogatással megvalósuló projektjeinek bemutatása</t>
  </si>
  <si>
    <t>Gyöffy István Nagykun Múzeum</t>
  </si>
  <si>
    <t>Karcagi Polgármesteri Hivatal</t>
  </si>
  <si>
    <t>2021.02.28-ig 10 fő,                          2021.03.01-től 22 fő</t>
  </si>
  <si>
    <t xml:space="preserve"> 2021.02.28-ig 197  fő</t>
  </si>
  <si>
    <t>2021.03.01-től 2022.02.28-ig 180 fő,  2021.03.01-től 2021.12.31-ig 15 fő, 2021.03.01-től 2021.11.30-ig 60 fő</t>
  </si>
  <si>
    <t>Önkormányzati ingatlanok üzemeltetése</t>
  </si>
  <si>
    <t>Parkolók képítése (a Kováts Mihály Általános Iskola bővítéséhez) és engedélyes terv</t>
  </si>
  <si>
    <t>Szociális és gyermekjóléti feladatok működési kiadási</t>
  </si>
  <si>
    <t>Térfigyelő kamerarendszer üzemeltetése</t>
  </si>
  <si>
    <t>Orvosi ügyelet ellátására kiegészítés (egészségügyi alapellátás)</t>
  </si>
  <si>
    <t>Folyószámlák költségei, postautalványok, postai közreműködési díj, vagyonbiztosítás, vízdíjak, áramdíjak, internet, karbantartási kiaádok, díszkivilágítás, gépjármű üzemeltetés, egyéb működési kiadások</t>
  </si>
  <si>
    <t>Központi költségvetésnek teljesítendő befizetések</t>
  </si>
  <si>
    <t>Általános forgalmi adó befizetése</t>
  </si>
  <si>
    <t>Közfoglalkoztatás</t>
  </si>
  <si>
    <t>TOP-os pályázat</t>
  </si>
  <si>
    <t>Nyári diákmunka</t>
  </si>
  <si>
    <t>START munkaprogram</t>
  </si>
  <si>
    <t>Karcagi Hírmondó</t>
  </si>
  <si>
    <t>EFOP pályázat</t>
  </si>
  <si>
    <t>Nő-Köz-Pont Pályázat</t>
  </si>
  <si>
    <t>Karcagi Hírmondó kiadásával kapcsolatos feladatok</t>
  </si>
  <si>
    <t>Karcag Kincse Rendezvényszervező Nonprofit Kft. működési támogatása</t>
  </si>
  <si>
    <t>2027. év</t>
  </si>
  <si>
    <t>2021-ben tervezett kiadások</t>
  </si>
  <si>
    <t>2021-ben várható bevételek</t>
  </si>
  <si>
    <t>2022. és az azt követő évekre tervezett kiadások</t>
  </si>
  <si>
    <t>2022. és az azt követő években várható bevételek</t>
  </si>
  <si>
    <t>1. Kötelező feladatok</t>
  </si>
  <si>
    <t>1.1. Településfejlesztés, településrendezés</t>
  </si>
  <si>
    <t>1.2. Településüzemeltetés</t>
  </si>
  <si>
    <t>1.3. Közbiztosnág</t>
  </si>
  <si>
    <t>1.4. Helyi közösségi közlekedés biztosítása</t>
  </si>
  <si>
    <t>1.5. Környezetegészségügy, környezetvédelem</t>
  </si>
  <si>
    <t>1.6. Hulladékgazdálkodás</t>
  </si>
  <si>
    <t>1.7. Egészségügyi feladatok</t>
  </si>
  <si>
    <t>1.8. Szociális és gyermekjóléti feladatok</t>
  </si>
  <si>
    <t>1.9. Sport és ifjúsági feladatok</t>
  </si>
  <si>
    <t>1.10. Nemzetiségi feladatok</t>
  </si>
  <si>
    <t>1.11. Kulturális szolgáltatások, helyi közművelődéssel, gazdaságszervezéssel, turizmussal kapcsolatos feladatok</t>
  </si>
  <si>
    <t>1.12. Víziközmű szolgáltatás</t>
  </si>
  <si>
    <t>1. Kötelező feladatok összesen:</t>
  </si>
  <si>
    <t xml:space="preserve">2. Önként vállalt feladatok </t>
  </si>
  <si>
    <t>2. Önként vállalt feladatok összesen:</t>
  </si>
  <si>
    <t>1-2. Kötelező és önként vállalt feladatok összesen:</t>
  </si>
  <si>
    <t>3. Tartalékok összesen:</t>
  </si>
  <si>
    <t>4. Finanszírozási kiadás</t>
  </si>
  <si>
    <t>1-4. M I N D Ö S S Z E S E N :</t>
  </si>
  <si>
    <t xml:space="preserve">Választókörzetek településfejlesztési kiadásai </t>
  </si>
  <si>
    <t>TOP 4.2.1-15-JN1-2019-00030 Idősek Otthona konyhájának felújítása</t>
  </si>
  <si>
    <t xml:space="preserve">   1.1. Települési önkormányzatok működésének támogatása</t>
  </si>
  <si>
    <t>Karcag Városi Önkormányzat saját bevételeinek és az adósságot keletkeztető ügyletekből eredő fizetési kötelezettségének bemutatása</t>
  </si>
  <si>
    <t>A Karcag Városi Önkormányzat beruházási és felújítási kiadásainak bemutatása</t>
  </si>
  <si>
    <t>Karcag Városi Önkormányzat</t>
  </si>
  <si>
    <t>Állami támogatás</t>
  </si>
  <si>
    <t>Saját forrás</t>
  </si>
  <si>
    <t>Fedezet</t>
  </si>
  <si>
    <t>BERUHÁZÁSOK</t>
  </si>
  <si>
    <t>Pályázat</t>
  </si>
  <si>
    <t>Karcag Városi Önkormányzat összesen</t>
  </si>
  <si>
    <t>Déryné Kulturális, Turisztikai, Sport Központ és Könyvtár</t>
  </si>
  <si>
    <t>Közművelődési érdeleltségnövelő pályázat</t>
  </si>
  <si>
    <t>Déryné Kulturális, Turisztikai, Sport Központ és Könyvtár összesen</t>
  </si>
  <si>
    <t>Györffy István Nagykun Múzeum</t>
  </si>
  <si>
    <t>Györffy István Nagykun Múzeum összesen</t>
  </si>
  <si>
    <t>BERUHÁZÁSOK ÖSSZESEN</t>
  </si>
  <si>
    <t>FELÚJÍTÁSOK</t>
  </si>
  <si>
    <t>Önkormányzati ingatlanok felújítása</t>
  </si>
  <si>
    <t>Ifjúsági Ház nyílászáró csere</t>
  </si>
  <si>
    <t>FELÚJÍTÁSOK ÖSSZESEN</t>
  </si>
  <si>
    <t>A Karcag Városi Önkormányzat által a lakosságnak juttatott támogatások, szociális, rászorultsági jellegű ellátások</t>
  </si>
  <si>
    <t>Ellátottak tervezett lészáma</t>
  </si>
  <si>
    <t>Rendszeres lakhatási támogatás</t>
  </si>
  <si>
    <t>Rendszeres gyógyszer támogatás</t>
  </si>
  <si>
    <t>Rendkívüli települési támogatás</t>
  </si>
  <si>
    <t>Közköltséges temetés</t>
  </si>
  <si>
    <t>Támogatás tervezett összege (Ft)</t>
  </si>
  <si>
    <t>"Babacsomag" minden Karcagon lakhellyel rendelkező újszülött részére 25.000,- Ft/fő</t>
  </si>
  <si>
    <t>A Karcag Városi Önkormányzat 2021. évi költségvetési mérlege</t>
  </si>
  <si>
    <t>1. sz. melléklet a Karcag Városi Önkormányzat Képviselő-testületének 5/2021. (II.15.) önkormányzati rendeletéhez</t>
  </si>
  <si>
    <t>2. sz. melléklet a Karcag Városi Önkormányzat Képviselő-testületének 5/2021. (II.15.) önkormányzati rendeletéhez</t>
  </si>
  <si>
    <t>3. sz. melléklet a Karcag Városi Önkormányzat Képviselő-testületének 5/2021. (II.15.) önkormányzati rendeletéhez</t>
  </si>
  <si>
    <t>4. sz. melléklet a Karcag Városi Önkormányzat Képviselő-testületének 5/2021. (II.15.) önkormányzati rendeletéhez</t>
  </si>
  <si>
    <t>5. sz.  melléklet a Karcag Városi Önkormányzat Képviselő-testületének 5/2021. (II.15.) önkormányzati rendeletéhez</t>
  </si>
  <si>
    <t>6. sz. melléklet a Karcag Városi Önkormányzat Képviselő-testületének 5/2021. (II.15.) önkormányzati rendeletéhez</t>
  </si>
  <si>
    <t>7. sz. melléklet a Karcag Városi Önkormányzat Képviselő-testületének 5/2021. (II.15.) önkormányzati rendeletéhez</t>
  </si>
  <si>
    <t>8. sz. melléklet a Karcag Városi Önkormányzat Képviselő-testületének 5/2021. (II.15.) önkormányzati rendeletéhez</t>
  </si>
  <si>
    <t>9. sz. melléklet a Karcag Városi Önkormányzat Képviselő-testületének 5/2021. (II.15.) önkormányzati rendeletéhez</t>
  </si>
  <si>
    <t>10. sz. melléklet a Karcag Városi Önkormányzat Képviselő-testületének 5/2021. (II.15.) önkormányzati rendeletéhez</t>
  </si>
  <si>
    <t>11. sz. melléklet a Karcag Városi Önkormányzat Képviselő-testületének 5/2021. (II.15.) önkormányzati rendeletéhez</t>
  </si>
  <si>
    <t>12. sz. melléklet a Karcag Városi Önkormányzat Képviselő-testületének 5/2021. (II.15.) önkormányzati rendeletéhez</t>
  </si>
  <si>
    <t>13. sz. melléklet a Karcag Városi Önkormányzat Képviselő-testületének 5/2021. (II.15.) önkormányzati rendeletéhez</t>
  </si>
  <si>
    <t>14. sz. melléklet a Karcag Városi Önkormányzat Képviselő-testületének 5/2021. (II.15.) önkormányzati rendeletéhez</t>
  </si>
  <si>
    <t xml:space="preserve">    1.2.4.  Nemzetiségi pótlék</t>
  </si>
  <si>
    <t xml:space="preserve">    1.2.4.  Diabétesz ellátási pótlék</t>
  </si>
  <si>
    <t xml:space="preserve">Karcag Városi Önkormányzat fejlesztési feladatainak támogatása
(volt rendőrségi épületrész felújítása
</t>
  </si>
  <si>
    <t>TOP-4.3.1-16-JN1-2020-00011 pályázat Szegregátumok rehabilitációja Karcagon</t>
  </si>
  <si>
    <t>TLA/NEPI2020/401725 „Karcagi Szélmalom felújítása” pályázati támogatás</t>
  </si>
  <si>
    <t>2/2. oldal</t>
  </si>
  <si>
    <t>Zártkerti villamosenergia hálózat fejlesztés támogatása</t>
  </si>
  <si>
    <t>Belterületi csapadékvíz elvezetés pályázat előkészítés</t>
  </si>
  <si>
    <t xml:space="preserve">TOP-4.3.1-16-JN1-2020-00011 Szegregátumok rehabilitációja Karcagon pályázat </t>
  </si>
  <si>
    <t xml:space="preserve">TOP-5.1.2-15 Helyi foglalkoztatási együttműködések megvalósítása
a Karcagi Járásban pályázat 
</t>
  </si>
  <si>
    <t>TLA/NEPI2020/401725 „Karcagi Szélmalom felújítása” pályázat</t>
  </si>
  <si>
    <t>Támogatás</t>
  </si>
  <si>
    <t>Önerő</t>
  </si>
  <si>
    <t>"Fazekasmesterek titkai" Hungarikum pályázat</t>
  </si>
  <si>
    <t>Államkötvény vásárlás</t>
  </si>
  <si>
    <t>Nyári diákmunka létszáma (fő)</t>
  </si>
  <si>
    <t>Közfoglalkoztatás2021.02.28-ig 10 fő,                          2021.03.01-től 13 fő,                                      nyári diákmunka 15 fő 2021.07.01-2021.08.31.</t>
  </si>
  <si>
    <t xml:space="preserve">      1.5.1. Települési önkormányzatok iparűzési adóhoz kapcsolódó koegészítő támogatása</t>
  </si>
  <si>
    <t xml:space="preserve">      1.5.2. Települési önkormányzatok idegenforgalmi adóhoz kapcsolódó koegészítő támogatása</t>
  </si>
  <si>
    <t>Kulturális feladatok támogatása</t>
  </si>
  <si>
    <t>Liget úti sporttelep fejlesztésének támogatása</t>
  </si>
  <si>
    <t>Belterületi utak, járdák felújításának támogatása</t>
  </si>
  <si>
    <t>Önkormányzati étkeztetési fejlesztések támogatása</t>
  </si>
  <si>
    <t>Koronavírus elleni védekezésre felajánlás</t>
  </si>
  <si>
    <t>Belterületi utak, járdák felújításának támogatása pályázat</t>
  </si>
  <si>
    <t>Koronavírus elleni védekezés kiadásai</t>
  </si>
  <si>
    <t>Önkormányzati étkeztetési fejlesztése támogatása pályázat</t>
  </si>
  <si>
    <t>Önkormányzati étkeztetési fejlesztések pályázat támogatása építés és kapcsolódó ktgei</t>
  </si>
  <si>
    <t xml:space="preserve">   3. Államkötvény visszavásárlás</t>
  </si>
  <si>
    <t>A Karcag Városi Önkormányzat 2021. évi tervezett bevételi főösszegén belül az önkormányzat működési és felhalmozási bevételei kiemelt előirányzatonkénti bontásban</t>
  </si>
  <si>
    <t>Köztemetés megtérülés (más önkormányzatoktól)</t>
  </si>
  <si>
    <t>Előző évi maradvány elvonás Karcagi Többcélú Kistérségi Társulástól</t>
  </si>
  <si>
    <t xml:space="preserve">TOP-7.1.1-16-H-ESZA-2020-02062 Munkahelyi közösségek erősítése pályázat támogatása
</t>
  </si>
  <si>
    <t>Karcag Városi Önkormányzat kerékpárút felújításának támogatása</t>
  </si>
  <si>
    <t xml:space="preserve">Karcag Városi Önkormányzat sportcsarnok beruházás előkészítésének támogatása
</t>
  </si>
  <si>
    <t xml:space="preserve">Karcag Városi Önkormányzat közlekedésfejlesztési feladatainak támogatása
</t>
  </si>
  <si>
    <t>Zártkertek infrastrukturális fejlesztése 2020.  pályázat támogatása (utófin.)</t>
  </si>
  <si>
    <t>Zártkertek infrastrukturális fejlesztése 2021.  pályázat támogatása</t>
  </si>
  <si>
    <t>Nemzeti Kulturális Alap támogatása Györfi Sándor interaktív kiállítás kialakításához</t>
  </si>
  <si>
    <t>Európai Mobilitas Hét támogatása</t>
  </si>
  <si>
    <t xml:space="preserve">Hungarikum pályázat "Karcagi Birkapörkölt" </t>
  </si>
  <si>
    <t>Bursa Hungarica pályázat visszatérítése</t>
  </si>
  <si>
    <t xml:space="preserve">TOP-2.1.3-16-JN1-2021-00014 Karcag város 2.sz. öblözetének csapadékvíz elvezetése pályázat támogatása
</t>
  </si>
  <si>
    <t xml:space="preserve">WIFI4EU pályázat támogatása </t>
  </si>
  <si>
    <t>Nagykunsági tájház kemence felújítás támogatása</t>
  </si>
  <si>
    <t>Átvett pénzeszköz állatvédelmi célokra</t>
  </si>
  <si>
    <t>Általámos forgalmi adó visszaigénylése</t>
  </si>
  <si>
    <t>Előző évi visszatérítendő támogatások bevétele</t>
  </si>
  <si>
    <t>Államkötvény visszaváltás</t>
  </si>
  <si>
    <t>TOP-2.1.3-16-JN1-2021-00014 Karcag város 2.sz. öblözetének csapadékvíz elvezetése pályázat támogatása</t>
  </si>
  <si>
    <t>TOP-7.1.-16-H-ERFA-2020-00790 Nyitott közösségi terek kialakítása Karcagon pályázat kiadásai</t>
  </si>
  <si>
    <t>TOP pályázat</t>
  </si>
  <si>
    <t>Ingatlan vásárlás (Tenyőszigeti telkek)</t>
  </si>
  <si>
    <t xml:space="preserve">TOP-2.1.3-16-JN1-2021-00014 Karcag város 2.sz. öblözetének csapadékvíz
elvezetése pályázat
</t>
  </si>
  <si>
    <t>WIFI4EU pályázat</t>
  </si>
  <si>
    <t>VP6-7.2.1.1-21 Zádor hídhoz vezető út fejlesztése pályázat kiadásai</t>
  </si>
  <si>
    <t>TOP-7.1.-16-H-ERFA-2020-00790 Nyitott közösségi terek kialakítása Karcagon</t>
  </si>
  <si>
    <t>Térfigyelő kamerarendszer fejlesztése</t>
  </si>
  <si>
    <t>Közbeszerzés kiadásai</t>
  </si>
  <si>
    <t xml:space="preserve">Takács Péter úti és Táncsics krt. 19. Óvodákban 4 db bölcsődei
csoportszoba kialakítása (Varró úti Bölcsődéből áthelyezés felújítás miatt) 
</t>
  </si>
  <si>
    <t>Széchenyi sgt-i új Bölcsőde építés pályázatával kapcsolatos kiadások</t>
  </si>
  <si>
    <t xml:space="preserve">TOP-5.2.1-15-JN1-2020-00009 Szegregátumok fejlesztésének komplex
programja Karcagon pályázat
</t>
  </si>
  <si>
    <t>Liget úti sporttelep támogatása</t>
  </si>
  <si>
    <t>Bringapark pályázat önerő biztosítása</t>
  </si>
  <si>
    <t xml:space="preserve">Karcag Városi Önkormányzat sportcsarnok beruházás előkészítésének
támogatása – támogatás átadása megvalósítás előkészítésére
</t>
  </si>
  <si>
    <t>Európai Mobilitas Hét pályázat</t>
  </si>
  <si>
    <t xml:space="preserve">TOP-7.1.1-16-H-ESZA-2020-02062 Munkahelyi közösségek erősítése
</t>
  </si>
  <si>
    <t>KVG Kft. tagi kölcsön biztosítása</t>
  </si>
  <si>
    <t>Tagi kölcsön folyósítás</t>
  </si>
  <si>
    <t>TOP-2.1.3-16-JN1-2021-00014 Karcag város 2.sz. öblözetének csapadékvíz
elvezetése pályázat</t>
  </si>
  <si>
    <t>Elkülönített bérleti díj felhasználása víziközmű fejlesztéscéljára</t>
  </si>
  <si>
    <t>Víziközmű elemek bérleti díjának lekötése államkötvénybe</t>
  </si>
  <si>
    <t xml:space="preserve">TOP-7.1.-16-H-ERFA-2020-00790 Nyitott közösségi terek kialakítása Karcagon pályázat 
</t>
  </si>
  <si>
    <t xml:space="preserve">Nagykunsági tájház kemence felújítás támogatása </t>
  </si>
  <si>
    <t xml:space="preserve">Karcag Városi Önkormányzat közlekedésfejlesztési feladatainak
támogatása
</t>
  </si>
  <si>
    <t>Zártkertek infrastrukturális fejlesztése 2021.</t>
  </si>
  <si>
    <t>Hungarikum pályázat "Karcagi Birkapörkölt"</t>
  </si>
  <si>
    <t xml:space="preserve">Nemzeti Kulturális Alap támogatása Györfi Sándor interaktív kiállítás
kialakításához 
</t>
  </si>
  <si>
    <t>TOP-2.1.3-16-JN1-2021-00014 Karcag város 2.sz. öblözetének csapadékvíz elvezetée</t>
  </si>
  <si>
    <t>TOP-7.1.1-16-H-ESZA-2020-02062 Munkahelyi közösségek erősítése</t>
  </si>
  <si>
    <t>TOP-4.3.1-16-JN1-2020-00011 Szegregátumok rehabilitációja Karcagon</t>
  </si>
  <si>
    <t>TOP-5.2.1-15-JN1-2020-00009 Szegregátumok fejlesztésének komplex programja Karcagon</t>
  </si>
  <si>
    <t>2021. évi módosított előirányzat összege</t>
  </si>
  <si>
    <t xml:space="preserve">Ingatlan vásárlás (Tenyőszigeti telkek) </t>
  </si>
  <si>
    <t xml:space="preserve">Takács Péter úti és Táncsics krt. 19. Óvodákban 4 db bölcsődei
csoportszoba kialakítása (Varró úti Bölcsődéből áthelyezés felújítás miatt) 
Takács Péter úti és Táncsics krt. 19. Óvodákban 4 db bölcsődei
csoportszoba kialakítása (Varró úti Bölcsődéből áthelyezés felújítás miatt) 
</t>
  </si>
  <si>
    <t>Intézményi feladatellátással kapcsolatos beszerzések</t>
  </si>
  <si>
    <t>Madarász Imre Egyesített Óvoda összesen</t>
  </si>
  <si>
    <t>Intézményi feladatellátással kapcsolatos felhalmozási kiadások</t>
  </si>
  <si>
    <t>Városi Önkormányzat Városondnoksága</t>
  </si>
  <si>
    <t>START munkaporgrammal kapcsolatos beszerzések</t>
  </si>
  <si>
    <t>Városi Önkormányzat Városondnoksága összesen</t>
  </si>
  <si>
    <t>Karcagi Polgármesteri Hivatal összesen</t>
  </si>
  <si>
    <t>,</t>
  </si>
  <si>
    <t>Intézményi feladatellátással kapcsolatos ingatlan felújítások</t>
  </si>
  <si>
    <t>Intézményi feladatellátással kapcsolatos felújítási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</si>
</sst>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F_t"/>
    <numFmt numFmtId="165" formatCode="yyyy/mm/dd;@"/>
  </numFmts>
  <fonts count="56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u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3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4"/>
      <name val="Arial"/>
      <family val="2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2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u/>
      <sz val="14"/>
      <name val="Times New Roman"/>
      <family val="1"/>
      <charset val="238"/>
    </font>
    <font>
      <u/>
      <sz val="14"/>
      <name val="Arial"/>
      <family val="2"/>
      <charset val="238"/>
    </font>
    <font>
      <i/>
      <sz val="14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20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0" fillId="0" borderId="0"/>
    <xf numFmtId="0" fontId="11" fillId="0" borderId="0"/>
  </cellStyleXfs>
  <cellXfs count="89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indent="15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164" fontId="1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164" fontId="1" fillId="0" borderId="13" xfId="0" applyNumberFormat="1" applyFont="1" applyBorder="1" applyAlignment="1">
      <alignment horizontal="left" vertical="top" wrapText="1" indent="1"/>
    </xf>
    <xf numFmtId="164" fontId="1" fillId="0" borderId="14" xfId="0" applyNumberFormat="1" applyFont="1" applyBorder="1" applyAlignment="1">
      <alignment horizontal="right" vertical="center" wrapText="1" indent="1"/>
    </xf>
    <xf numFmtId="164" fontId="5" fillId="2" borderId="15" xfId="0" applyNumberFormat="1" applyFont="1" applyFill="1" applyBorder="1" applyAlignment="1">
      <alignment horizontal="right" vertical="center" wrapText="1" indent="1"/>
    </xf>
    <xf numFmtId="0" fontId="6" fillId="0" borderId="0" xfId="0" applyFont="1"/>
    <xf numFmtId="0" fontId="1" fillId="0" borderId="1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4" fontId="1" fillId="0" borderId="10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top" wrapText="1" indent="1"/>
    </xf>
    <xf numFmtId="3" fontId="1" fillId="0" borderId="13" xfId="0" applyNumberFormat="1" applyFont="1" applyBorder="1" applyAlignment="1">
      <alignment horizontal="right" vertical="top" wrapText="1" indent="1"/>
    </xf>
    <xf numFmtId="3" fontId="1" fillId="0" borderId="13" xfId="0" applyNumberFormat="1" applyFont="1" applyFill="1" applyBorder="1" applyAlignment="1">
      <alignment horizontal="right" vertical="top" wrapText="1" indent="1"/>
    </xf>
    <xf numFmtId="164" fontId="1" fillId="0" borderId="16" xfId="0" applyNumberFormat="1" applyFont="1" applyBorder="1" applyAlignment="1">
      <alignment horizontal="right" vertical="center" wrapText="1" indent="1"/>
    </xf>
    <xf numFmtId="164" fontId="5" fillId="2" borderId="19" xfId="0" applyNumberFormat="1" applyFont="1" applyFill="1" applyBorder="1" applyAlignment="1">
      <alignment horizontal="right" vertical="center" wrapText="1" indent="1"/>
    </xf>
    <xf numFmtId="0" fontId="5" fillId="2" borderId="20" xfId="0" applyFont="1" applyFill="1" applyBorder="1" applyAlignment="1">
      <alignment horizontal="left" vertical="top" wrapText="1" indent="1"/>
    </xf>
    <xf numFmtId="3" fontId="1" fillId="2" borderId="21" xfId="0" applyNumberFormat="1" applyFont="1" applyFill="1" applyBorder="1" applyAlignment="1">
      <alignment horizontal="right" vertical="top" wrapText="1" indent="1"/>
    </xf>
    <xf numFmtId="164" fontId="1" fillId="2" borderId="22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3" fontId="1" fillId="0" borderId="7" xfId="0" applyNumberFormat="1" applyFont="1" applyBorder="1" applyAlignment="1">
      <alignment horizontal="right" vertical="top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Fill="1" applyBorder="1" applyAlignment="1">
      <alignment horizontal="right" vertical="top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/>
    <xf numFmtId="164" fontId="5" fillId="2" borderId="3" xfId="0" applyNumberFormat="1" applyFont="1" applyFill="1" applyBorder="1" applyAlignment="1">
      <alignment horizontal="right" vertical="center" wrapText="1" indent="1"/>
    </xf>
    <xf numFmtId="164" fontId="1" fillId="2" borderId="15" xfId="0" applyNumberFormat="1" applyFont="1" applyFill="1" applyBorder="1" applyAlignment="1">
      <alignment horizontal="right" vertical="center" wrapText="1" indent="1"/>
    </xf>
    <xf numFmtId="164" fontId="1" fillId="0" borderId="5" xfId="0" applyNumberFormat="1" applyFont="1" applyFill="1" applyBorder="1" applyAlignment="1">
      <alignment horizontal="right" vertical="center" wrapText="1" indent="1"/>
    </xf>
    <xf numFmtId="164" fontId="5" fillId="2" borderId="2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/>
    <xf numFmtId="164" fontId="1" fillId="0" borderId="29" xfId="0" applyNumberFormat="1" applyFont="1" applyBorder="1" applyAlignment="1">
      <alignment horizontal="right" vertical="center" wrapText="1" indent="1"/>
    </xf>
    <xf numFmtId="0" fontId="10" fillId="2" borderId="0" xfId="0" applyFont="1" applyFill="1" applyBorder="1"/>
    <xf numFmtId="0" fontId="10" fillId="2" borderId="3" xfId="0" applyFont="1" applyFill="1" applyBorder="1"/>
    <xf numFmtId="3" fontId="9" fillId="0" borderId="16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/>
    <xf numFmtId="3" fontId="9" fillId="0" borderId="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3" xfId="0" applyFont="1" applyFill="1" applyBorder="1"/>
    <xf numFmtId="3" fontId="9" fillId="0" borderId="4" xfId="0" applyNumberFormat="1" applyFont="1" applyFill="1" applyBorder="1" applyAlignment="1">
      <alignment horizontal="left" vertical="center" wrapText="1"/>
    </xf>
    <xf numFmtId="3" fontId="9" fillId="0" borderId="30" xfId="0" applyNumberFormat="1" applyFont="1" applyFill="1" applyBorder="1" applyAlignment="1">
      <alignment horizontal="right" vertical="center" indent="1"/>
    </xf>
    <xf numFmtId="0" fontId="9" fillId="2" borderId="2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3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3" fontId="10" fillId="0" borderId="6" xfId="0" applyNumberFormat="1" applyFont="1" applyFill="1" applyBorder="1" applyAlignment="1">
      <alignment horizontal="left" vertical="center" wrapText="1"/>
    </xf>
    <xf numFmtId="0" fontId="1" fillId="0" borderId="31" xfId="0" applyFont="1" applyFill="1" applyBorder="1"/>
    <xf numFmtId="3" fontId="10" fillId="0" borderId="12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/>
    <xf numFmtId="0" fontId="9" fillId="0" borderId="29" xfId="0" applyFont="1" applyFill="1" applyBorder="1"/>
    <xf numFmtId="3" fontId="9" fillId="0" borderId="5" xfId="0" applyNumberFormat="1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/>
    <xf numFmtId="0" fontId="10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right" vertical="center" indent="1"/>
    </xf>
    <xf numFmtId="3" fontId="9" fillId="2" borderId="1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/>
    <xf numFmtId="0" fontId="12" fillId="0" borderId="0" xfId="0" applyFont="1" applyBorder="1"/>
    <xf numFmtId="0" fontId="7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/>
    <xf numFmtId="0" fontId="6" fillId="0" borderId="0" xfId="0" applyFont="1" applyBorder="1"/>
    <xf numFmtId="0" fontId="13" fillId="0" borderId="0" xfId="0" applyFont="1" applyBorder="1" applyAlignment="1">
      <alignment vertical="center"/>
    </xf>
    <xf numFmtId="0" fontId="0" fillId="0" borderId="0" xfId="0" applyBorder="1"/>
    <xf numFmtId="0" fontId="0" fillId="0" borderId="33" xfId="0" applyBorder="1"/>
    <xf numFmtId="0" fontId="0" fillId="0" borderId="0" xfId="0" applyFill="1" applyBorder="1"/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12" fillId="0" borderId="1" xfId="0" applyFont="1" applyBorder="1"/>
    <xf numFmtId="0" fontId="10" fillId="3" borderId="0" xfId="0" applyFont="1" applyFill="1" applyBorder="1"/>
    <xf numFmtId="0" fontId="10" fillId="3" borderId="3" xfId="0" applyFont="1" applyFill="1" applyBorder="1"/>
    <xf numFmtId="3" fontId="9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164" fontId="16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20" fillId="0" borderId="0" xfId="0" applyFont="1" applyBorder="1"/>
    <xf numFmtId="0" fontId="20" fillId="0" borderId="0" xfId="0" applyFont="1"/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left" vertical="center" wrapText="1" indent="1"/>
    </xf>
    <xf numFmtId="0" fontId="22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28" xfId="0" applyFont="1" applyBorder="1" applyAlignment="1">
      <alignment horizontal="left" vertical="center" wrapText="1" indent="1"/>
    </xf>
    <xf numFmtId="3" fontId="1" fillId="0" borderId="28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 indent="1"/>
    </xf>
    <xf numFmtId="3" fontId="1" fillId="0" borderId="30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31" xfId="0" applyFont="1" applyBorder="1" applyAlignment="1">
      <alignment horizontal="left" vertical="center" wrapText="1" indent="1"/>
    </xf>
    <xf numFmtId="3" fontId="5" fillId="0" borderId="31" xfId="0" applyNumberFormat="1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 indent="1"/>
    </xf>
    <xf numFmtId="3" fontId="5" fillId="0" borderId="29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 indent="1"/>
    </xf>
    <xf numFmtId="164" fontId="0" fillId="0" borderId="0" xfId="0" applyNumberFormat="1"/>
    <xf numFmtId="164" fontId="12" fillId="0" borderId="0" xfId="0" applyNumberFormat="1" applyFont="1"/>
    <xf numFmtId="3" fontId="1" fillId="0" borderId="28" xfId="0" applyNumberFormat="1" applyFont="1" applyFill="1" applyBorder="1" applyAlignment="1">
      <alignment vertical="center" wrapText="1"/>
    </xf>
    <xf numFmtId="3" fontId="24" fillId="0" borderId="0" xfId="0" applyNumberFormat="1" applyFont="1" applyAlignment="1">
      <alignment vertical="center"/>
    </xf>
    <xf numFmtId="0" fontId="1" fillId="0" borderId="28" xfId="0" applyFont="1" applyFill="1" applyBorder="1" applyAlignment="1">
      <alignment horizontal="left" vertical="center" wrapText="1" indent="1"/>
    </xf>
    <xf numFmtId="0" fontId="26" fillId="0" borderId="0" xfId="0" applyFont="1"/>
    <xf numFmtId="3" fontId="1" fillId="0" borderId="23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7" fillId="2" borderId="0" xfId="0" applyFont="1" applyFill="1"/>
    <xf numFmtId="0" fontId="15" fillId="0" borderId="29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3" fontId="27" fillId="0" borderId="16" xfId="0" applyNumberFormat="1" applyFont="1" applyFill="1" applyBorder="1" applyAlignment="1">
      <alignment vertical="center" wrapText="1"/>
    </xf>
    <xf numFmtId="3" fontId="15" fillId="0" borderId="16" xfId="0" applyNumberFormat="1" applyFont="1" applyFill="1" applyBorder="1" applyAlignment="1">
      <alignment vertical="center" wrapText="1"/>
    </xf>
    <xf numFmtId="3" fontId="27" fillId="0" borderId="0" xfId="0" applyNumberFormat="1" applyFont="1" applyFill="1"/>
    <xf numFmtId="0" fontId="27" fillId="0" borderId="0" xfId="0" applyFont="1" applyFill="1"/>
    <xf numFmtId="3" fontId="27" fillId="0" borderId="16" xfId="0" applyNumberFormat="1" applyFont="1" applyFill="1" applyBorder="1" applyAlignment="1"/>
    <xf numFmtId="3" fontId="27" fillId="0" borderId="16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horizontal="left" vertical="center" wrapText="1"/>
    </xf>
    <xf numFmtId="3" fontId="27" fillId="0" borderId="30" xfId="0" applyNumberFormat="1" applyFont="1" applyFill="1" applyBorder="1" applyAlignment="1"/>
    <xf numFmtId="3" fontId="27" fillId="0" borderId="30" xfId="0" applyNumberFormat="1" applyFont="1" applyFill="1" applyBorder="1" applyAlignment="1">
      <alignment vertical="center"/>
    </xf>
    <xf numFmtId="3" fontId="27" fillId="0" borderId="30" xfId="0" applyNumberFormat="1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left" vertical="center" wrapText="1"/>
    </xf>
    <xf numFmtId="3" fontId="15" fillId="2" borderId="3" xfId="0" applyNumberFormat="1" applyFont="1" applyFill="1" applyBorder="1" applyAlignment="1">
      <alignment vertical="center" wrapText="1"/>
    </xf>
    <xf numFmtId="3" fontId="15" fillId="2" borderId="0" xfId="0" applyNumberFormat="1" applyFont="1" applyFill="1"/>
    <xf numFmtId="0" fontId="15" fillId="2" borderId="0" xfId="0" applyFont="1" applyFill="1"/>
    <xf numFmtId="0" fontId="27" fillId="0" borderId="16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right" vertical="center" wrapText="1" indent="1"/>
    </xf>
    <xf numFmtId="0" fontId="1" fillId="0" borderId="20" xfId="0" applyFont="1" applyFill="1" applyBorder="1" applyAlignment="1">
      <alignment horizontal="left" vertical="top" wrapText="1" indent="1"/>
    </xf>
    <xf numFmtId="164" fontId="1" fillId="0" borderId="22" xfId="0" applyNumberFormat="1" applyFont="1" applyFill="1" applyBorder="1" applyAlignment="1">
      <alignment horizontal="right" vertical="center" wrapText="1" indent="1"/>
    </xf>
    <xf numFmtId="164" fontId="25" fillId="0" borderId="0" xfId="0" applyNumberFormat="1" applyFont="1" applyAlignment="1">
      <alignment horizontal="right"/>
    </xf>
    <xf numFmtId="0" fontId="28" fillId="0" borderId="33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 wrapText="1" indent="1"/>
    </xf>
    <xf numFmtId="164" fontId="1" fillId="0" borderId="31" xfId="0" applyNumberFormat="1" applyFont="1" applyFill="1" applyBorder="1" applyAlignment="1">
      <alignment horizontal="right" vertical="center" wrapText="1" indent="1"/>
    </xf>
    <xf numFmtId="3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/>
    <xf numFmtId="0" fontId="17" fillId="0" borderId="0" xfId="0" applyFont="1" applyFill="1"/>
    <xf numFmtId="0" fontId="5" fillId="0" borderId="0" xfId="0" applyFont="1" applyFill="1" applyAlignment="1">
      <alignment horizontal="center"/>
    </xf>
    <xf numFmtId="3" fontId="1" fillId="0" borderId="21" xfId="0" applyNumberFormat="1" applyFont="1" applyFill="1" applyBorder="1" applyAlignment="1">
      <alignment horizontal="right" vertical="top" wrapText="1" indent="1"/>
    </xf>
    <xf numFmtId="3" fontId="1" fillId="0" borderId="22" xfId="0" applyNumberFormat="1" applyFont="1" applyFill="1" applyBorder="1" applyAlignment="1">
      <alignment horizontal="right" vertical="top" wrapText="1" indent="1"/>
    </xf>
    <xf numFmtId="0" fontId="6" fillId="0" borderId="0" xfId="0" applyFont="1" applyFill="1"/>
    <xf numFmtId="0" fontId="31" fillId="0" borderId="0" xfId="0" applyFont="1"/>
    <xf numFmtId="0" fontId="0" fillId="3" borderId="0" xfId="0" applyFill="1"/>
    <xf numFmtId="0" fontId="0" fillId="6" borderId="0" xfId="0" applyFill="1"/>
    <xf numFmtId="0" fontId="23" fillId="2" borderId="3" xfId="0" applyFont="1" applyFill="1" applyBorder="1" applyAlignment="1">
      <alignment horizontal="center" vertical="center" wrapText="1"/>
    </xf>
    <xf numFmtId="0" fontId="1" fillId="0" borderId="0" xfId="2" applyFont="1" applyFill="1"/>
    <xf numFmtId="0" fontId="22" fillId="0" borderId="0" xfId="0" applyFont="1" applyAlignment="1">
      <alignment horizontal="center"/>
    </xf>
    <xf numFmtId="0" fontId="16" fillId="0" borderId="0" xfId="0" applyFont="1"/>
    <xf numFmtId="0" fontId="33" fillId="2" borderId="26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7" fillId="2" borderId="5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3" fontId="35" fillId="0" borderId="26" xfId="0" applyNumberFormat="1" applyFont="1" applyBorder="1" applyAlignment="1">
      <alignment horizontal="right" vertical="center" wrapText="1" indent="1"/>
    </xf>
    <xf numFmtId="0" fontId="17" fillId="0" borderId="27" xfId="0" applyFont="1" applyBorder="1"/>
    <xf numFmtId="0" fontId="22" fillId="0" borderId="9" xfId="0" applyFont="1" applyBorder="1"/>
    <xf numFmtId="0" fontId="22" fillId="0" borderId="11" xfId="0" applyFont="1" applyBorder="1"/>
    <xf numFmtId="3" fontId="35" fillId="0" borderId="11" xfId="0" applyNumberFormat="1" applyFont="1" applyBorder="1" applyAlignment="1">
      <alignment horizontal="right" vertical="center" wrapText="1" indent="1"/>
    </xf>
    <xf numFmtId="0" fontId="22" fillId="0" borderId="16" xfId="0" applyFont="1" applyBorder="1"/>
    <xf numFmtId="0" fontId="22" fillId="0" borderId="0" xfId="0" applyFont="1"/>
    <xf numFmtId="0" fontId="35" fillId="0" borderId="9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center" vertical="center"/>
    </xf>
    <xf numFmtId="0" fontId="35" fillId="0" borderId="9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17" fillId="0" borderId="16" xfId="0" applyFont="1" applyBorder="1"/>
    <xf numFmtId="0" fontId="35" fillId="0" borderId="11" xfId="0" applyFont="1" applyBorder="1" applyAlignment="1">
      <alignment horizontal="justify" vertical="top" wrapText="1"/>
    </xf>
    <xf numFmtId="0" fontId="35" fillId="0" borderId="6" xfId="0" applyFont="1" applyBorder="1" applyAlignment="1">
      <alignment horizontal="justify" vertical="top" wrapText="1"/>
    </xf>
    <xf numFmtId="0" fontId="35" fillId="0" borderId="8" xfId="0" applyFont="1" applyBorder="1" applyAlignment="1">
      <alignment horizontal="justify" vertical="top" wrapText="1"/>
    </xf>
    <xf numFmtId="3" fontId="35" fillId="0" borderId="8" xfId="0" applyNumberFormat="1" applyFont="1" applyBorder="1" applyAlignment="1">
      <alignment horizontal="right" vertical="center" wrapText="1" indent="1"/>
    </xf>
    <xf numFmtId="0" fontId="33" fillId="2" borderId="15" xfId="0" applyFont="1" applyFill="1" applyBorder="1" applyAlignment="1">
      <alignment vertical="center" wrapText="1"/>
    </xf>
    <xf numFmtId="3" fontId="33" fillId="2" borderId="15" xfId="0" applyNumberFormat="1" applyFont="1" applyFill="1" applyBorder="1" applyAlignment="1">
      <alignment horizontal="right" vertical="center" wrapText="1" indent="1"/>
    </xf>
    <xf numFmtId="3" fontId="23" fillId="2" borderId="3" xfId="0" applyNumberFormat="1" applyFont="1" applyFill="1" applyBorder="1"/>
    <xf numFmtId="0" fontId="17" fillId="4" borderId="0" xfId="0" applyFont="1" applyFill="1"/>
    <xf numFmtId="0" fontId="34" fillId="0" borderId="4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3" fontId="35" fillId="0" borderId="5" xfId="0" applyNumberFormat="1" applyFont="1" applyBorder="1" applyAlignment="1">
      <alignment horizontal="right" vertical="center" wrapText="1" indent="1"/>
    </xf>
    <xf numFmtId="0" fontId="35" fillId="0" borderId="6" xfId="0" applyFont="1" applyBorder="1" applyAlignment="1">
      <alignment vertical="top" wrapText="1"/>
    </xf>
    <xf numFmtId="0" fontId="35" fillId="0" borderId="8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33" fillId="2" borderId="15" xfId="0" applyFont="1" applyFill="1" applyBorder="1" applyAlignment="1">
      <alignment vertical="top" wrapText="1"/>
    </xf>
    <xf numFmtId="3" fontId="33" fillId="5" borderId="15" xfId="0" applyNumberFormat="1" applyFont="1" applyFill="1" applyBorder="1" applyAlignment="1">
      <alignment horizontal="right" vertical="center" wrapText="1" indent="1"/>
    </xf>
    <xf numFmtId="3" fontId="33" fillId="5" borderId="15" xfId="0" applyNumberFormat="1" applyFont="1" applyFill="1" applyBorder="1" applyAlignment="1">
      <alignment vertical="center" wrapText="1"/>
    </xf>
    <xf numFmtId="0" fontId="35" fillId="0" borderId="12" xfId="0" applyFont="1" applyBorder="1" applyAlignment="1">
      <alignment vertical="top" wrapText="1"/>
    </xf>
    <xf numFmtId="0" fontId="33" fillId="4" borderId="26" xfId="0" applyFont="1" applyFill="1" applyBorder="1" applyAlignment="1">
      <alignment vertical="top" wrapText="1"/>
    </xf>
    <xf numFmtId="3" fontId="35" fillId="4" borderId="26" xfId="0" applyNumberFormat="1" applyFont="1" applyFill="1" applyBorder="1" applyAlignment="1">
      <alignment horizontal="right" vertical="center" wrapText="1" indent="1"/>
    </xf>
    <xf numFmtId="3" fontId="33" fillId="4" borderId="26" xfId="0" applyNumberFormat="1" applyFont="1" applyFill="1" applyBorder="1" applyAlignment="1">
      <alignment vertical="center" wrapText="1"/>
    </xf>
    <xf numFmtId="0" fontId="22" fillId="0" borderId="23" xfId="0" applyFont="1" applyBorder="1" applyAlignment="1">
      <alignment horizontal="center" vertical="center"/>
    </xf>
    <xf numFmtId="0" fontId="35" fillId="0" borderId="20" xfId="0" applyFont="1" applyBorder="1" applyAlignment="1">
      <alignment horizontal="justify" vertical="top" wrapText="1"/>
    </xf>
    <xf numFmtId="0" fontId="33" fillId="4" borderId="22" xfId="0" applyFont="1" applyFill="1" applyBorder="1" applyAlignment="1">
      <alignment vertical="top" wrapText="1"/>
    </xf>
    <xf numFmtId="3" fontId="35" fillId="4" borderId="22" xfId="0" applyNumberFormat="1" applyFont="1" applyFill="1" applyBorder="1" applyAlignment="1">
      <alignment horizontal="right" vertical="center" wrapText="1" indent="1"/>
    </xf>
    <xf numFmtId="3" fontId="33" fillId="4" borderId="22" xfId="0" applyNumberFormat="1" applyFont="1" applyFill="1" applyBorder="1" applyAlignment="1">
      <alignment vertical="center" wrapText="1"/>
    </xf>
    <xf numFmtId="0" fontId="33" fillId="3" borderId="15" xfId="0" applyFont="1" applyFill="1" applyBorder="1" applyAlignment="1">
      <alignment horizontal="left" vertical="center" wrapText="1"/>
    </xf>
    <xf numFmtId="3" fontId="33" fillId="3" borderId="15" xfId="0" applyNumberFormat="1" applyFont="1" applyFill="1" applyBorder="1" applyAlignment="1">
      <alignment horizontal="right" vertical="center" wrapText="1" indent="1"/>
    </xf>
    <xf numFmtId="0" fontId="10" fillId="0" borderId="9" xfId="0" applyFont="1" applyFill="1" applyBorder="1" applyAlignment="1">
      <alignment horizontal="left" vertical="center" wrapText="1"/>
    </xf>
    <xf numFmtId="3" fontId="15" fillId="0" borderId="29" xfId="0" applyNumberFormat="1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left" vertical="center" wrapText="1"/>
    </xf>
    <xf numFmtId="164" fontId="27" fillId="0" borderId="0" xfId="0" applyNumberFormat="1" applyFont="1" applyFill="1"/>
    <xf numFmtId="16" fontId="27" fillId="0" borderId="0" xfId="0" applyNumberFormat="1" applyFont="1" applyFill="1"/>
    <xf numFmtId="0" fontId="36" fillId="0" borderId="0" xfId="0" applyFont="1" applyFill="1" applyAlignment="1">
      <alignment horizontal="left"/>
    </xf>
    <xf numFmtId="164" fontId="36" fillId="0" borderId="0" xfId="0" applyNumberFormat="1" applyFont="1" applyFill="1"/>
    <xf numFmtId="0" fontId="36" fillId="0" borderId="0" xfId="0" applyFont="1" applyFill="1"/>
    <xf numFmtId="0" fontId="3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0" fillId="3" borderId="0" xfId="0" applyFill="1" applyBorder="1"/>
    <xf numFmtId="0" fontId="0" fillId="3" borderId="3" xfId="0" applyFill="1" applyBorder="1"/>
    <xf numFmtId="164" fontId="21" fillId="3" borderId="31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left" vertical="center" wrapText="1" indent="1"/>
    </xf>
    <xf numFmtId="3" fontId="5" fillId="3" borderId="3" xfId="0" applyNumberFormat="1" applyFont="1" applyFill="1" applyBorder="1" applyAlignment="1">
      <alignment vertical="center" wrapText="1"/>
    </xf>
    <xf numFmtId="3" fontId="24" fillId="3" borderId="0" xfId="0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3" fontId="5" fillId="0" borderId="16" xfId="0" applyNumberFormat="1" applyFont="1" applyBorder="1" applyAlignment="1">
      <alignment vertical="center" wrapText="1"/>
    </xf>
    <xf numFmtId="0" fontId="38" fillId="3" borderId="0" xfId="0" applyFont="1" applyFill="1" applyBorder="1" applyAlignment="1">
      <alignment vertical="center"/>
    </xf>
    <xf numFmtId="0" fontId="38" fillId="3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3" borderId="37" xfId="0" applyFont="1" applyFill="1" applyBorder="1" applyAlignment="1">
      <alignment horizontal="left" vertical="center" wrapText="1" indent="1"/>
    </xf>
    <xf numFmtId="3" fontId="5" fillId="3" borderId="37" xfId="0" applyNumberFormat="1" applyFont="1" applyFill="1" applyBorder="1" applyAlignment="1">
      <alignment vertical="center" wrapText="1"/>
    </xf>
    <xf numFmtId="3" fontId="0" fillId="3" borderId="0" xfId="0" applyNumberFormat="1" applyFill="1" applyBorder="1"/>
    <xf numFmtId="3" fontId="6" fillId="0" borderId="0" xfId="0" applyNumberFormat="1" applyFont="1" applyFill="1"/>
    <xf numFmtId="0" fontId="12" fillId="3" borderId="4" xfId="0" applyFont="1" applyFill="1" applyBorder="1" applyAlignment="1">
      <alignment horizontal="center"/>
    </xf>
    <xf numFmtId="0" fontId="0" fillId="3" borderId="4" xfId="0" applyFill="1" applyBorder="1"/>
    <xf numFmtId="3" fontId="0" fillId="3" borderId="0" xfId="0" applyNumberFormat="1" applyFill="1"/>
    <xf numFmtId="0" fontId="5" fillId="3" borderId="35" xfId="0" applyFont="1" applyFill="1" applyBorder="1" applyAlignment="1">
      <alignment horizontal="left" vertical="center" wrapText="1" indent="1"/>
    </xf>
    <xf numFmtId="3" fontId="5" fillId="3" borderId="35" xfId="0" applyNumberFormat="1" applyFont="1" applyFill="1" applyBorder="1" applyAlignment="1">
      <alignment vertical="center" wrapText="1"/>
    </xf>
    <xf numFmtId="0" fontId="31" fillId="0" borderId="0" xfId="0" applyFont="1" applyBorder="1"/>
    <xf numFmtId="0" fontId="5" fillId="6" borderId="3" xfId="0" applyFont="1" applyFill="1" applyBorder="1" applyAlignment="1">
      <alignment horizontal="left" vertical="center" wrapText="1" indent="1"/>
    </xf>
    <xf numFmtId="3" fontId="5" fillId="6" borderId="3" xfId="0" applyNumberFormat="1" applyFont="1" applyFill="1" applyBorder="1" applyAlignment="1">
      <alignment vertical="center" wrapText="1"/>
    </xf>
    <xf numFmtId="3" fontId="24" fillId="6" borderId="0" xfId="0" applyNumberFormat="1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24" fillId="6" borderId="0" xfId="0" applyFont="1" applyFill="1" applyAlignment="1">
      <alignment vertical="center"/>
    </xf>
    <xf numFmtId="0" fontId="1" fillId="0" borderId="23" xfId="0" applyFont="1" applyFill="1" applyBorder="1" applyAlignment="1">
      <alignment horizontal="left" vertical="center" wrapText="1" indent="1"/>
    </xf>
    <xf numFmtId="3" fontId="1" fillId="0" borderId="23" xfId="0" applyNumberFormat="1" applyFont="1" applyFill="1" applyBorder="1" applyAlignment="1">
      <alignment vertical="center" wrapText="1"/>
    </xf>
    <xf numFmtId="0" fontId="0" fillId="6" borderId="0" xfId="0" applyFill="1" applyBorder="1"/>
    <xf numFmtId="0" fontId="1" fillId="0" borderId="0" xfId="0" applyFont="1" applyFill="1"/>
    <xf numFmtId="0" fontId="0" fillId="0" borderId="0" xfId="0" applyFont="1" applyFill="1"/>
    <xf numFmtId="0" fontId="1" fillId="0" borderId="0" xfId="0" applyFont="1" applyAlignment="1">
      <alignment wrapText="1"/>
    </xf>
    <xf numFmtId="0" fontId="39" fillId="2" borderId="3" xfId="0" applyFont="1" applyFill="1" applyBorder="1" applyAlignment="1">
      <alignment horizontal="center" vertical="center" wrapText="1"/>
    </xf>
    <xf numFmtId="164" fontId="40" fillId="0" borderId="4" xfId="0" applyNumberFormat="1" applyFont="1" applyBorder="1" applyAlignment="1">
      <alignment horizontal="righ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4" fontId="1" fillId="0" borderId="16" xfId="0" applyNumberFormat="1" applyFont="1" applyBorder="1" applyAlignment="1">
      <alignment horizontal="right" vertical="center" wrapText="1" indent="1"/>
    </xf>
    <xf numFmtId="164" fontId="40" fillId="0" borderId="9" xfId="0" applyNumberFormat="1" applyFont="1" applyBorder="1" applyAlignment="1">
      <alignment horizontal="right" vertical="center" wrapText="1" indent="1"/>
    </xf>
    <xf numFmtId="4" fontId="40" fillId="0" borderId="16" xfId="0" applyNumberFormat="1" applyFont="1" applyBorder="1" applyAlignment="1">
      <alignment horizontal="right" vertical="center" wrapText="1" indent="1"/>
    </xf>
    <xf numFmtId="164" fontId="40" fillId="0" borderId="16" xfId="0" applyNumberFormat="1" applyFont="1" applyBorder="1" applyAlignment="1">
      <alignment horizontal="right" vertical="center" wrapText="1" indent="1"/>
    </xf>
    <xf numFmtId="164" fontId="40" fillId="0" borderId="12" xfId="0" applyNumberFormat="1" applyFont="1" applyBorder="1" applyAlignment="1">
      <alignment horizontal="right" vertical="center" wrapText="1" inden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 wrapText="1" indent="1"/>
    </xf>
    <xf numFmtId="0" fontId="1" fillId="2" borderId="0" xfId="0" applyFont="1" applyFill="1"/>
    <xf numFmtId="0" fontId="42" fillId="0" borderId="0" xfId="0" applyFont="1" applyBorder="1" applyAlignment="1">
      <alignment vertical="top" wrapText="1"/>
    </xf>
    <xf numFmtId="0" fontId="1" fillId="0" borderId="0" xfId="0" quotePrefix="1" applyFont="1" applyBorder="1" applyAlignment="1">
      <alignment horizontal="left" vertical="top" indent="1"/>
    </xf>
    <xf numFmtId="0" fontId="41" fillId="0" borderId="0" xfId="0" applyFont="1" applyBorder="1" applyAlignment="1">
      <alignment vertical="top" wrapText="1"/>
    </xf>
    <xf numFmtId="0" fontId="26" fillId="0" borderId="0" xfId="0" quotePrefix="1" applyFont="1" applyBorder="1" applyAlignment="1">
      <alignment horizontal="left" vertical="top" wrapText="1" indent="1"/>
    </xf>
    <xf numFmtId="0" fontId="4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17" fillId="2" borderId="0" xfId="0" applyFont="1" applyFill="1"/>
    <xf numFmtId="0" fontId="32" fillId="0" borderId="2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quotePrefix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right" vertical="center" wrapText="1" indent="1"/>
    </xf>
    <xf numFmtId="49" fontId="22" fillId="0" borderId="16" xfId="0" applyNumberFormat="1" applyFont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right" vertical="center" wrapText="1" indent="1"/>
    </xf>
    <xf numFmtId="0" fontId="23" fillId="2" borderId="16" xfId="0" applyFont="1" applyFill="1" applyBorder="1" applyAlignment="1">
      <alignment horizontal="left" vertical="center" wrapText="1"/>
    </xf>
    <xf numFmtId="49" fontId="23" fillId="2" borderId="16" xfId="0" applyNumberFormat="1" applyFont="1" applyFill="1" applyBorder="1" applyAlignment="1">
      <alignment horizontal="center" vertical="center" wrapText="1"/>
    </xf>
    <xf numFmtId="3" fontId="23" fillId="2" borderId="16" xfId="0" applyNumberFormat="1" applyFont="1" applyFill="1" applyBorder="1" applyAlignment="1">
      <alignment horizontal="right" vertical="center" wrapText="1" indent="1"/>
    </xf>
    <xf numFmtId="0" fontId="23" fillId="0" borderId="16" xfId="0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right" vertical="center" wrapText="1" indent="1"/>
    </xf>
    <xf numFmtId="0" fontId="22" fillId="0" borderId="16" xfId="0" applyFont="1" applyBorder="1" applyAlignment="1">
      <alignment horizontal="left" vertical="center" wrapText="1" indent="1"/>
    </xf>
    <xf numFmtId="0" fontId="22" fillId="0" borderId="30" xfId="0" applyFont="1" applyBorder="1" applyAlignment="1">
      <alignment horizontal="left" vertical="center" wrapText="1" indent="1"/>
    </xf>
    <xf numFmtId="49" fontId="22" fillId="0" borderId="30" xfId="0" applyNumberFormat="1" applyFont="1" applyBorder="1" applyAlignment="1">
      <alignment horizontal="center" vertical="top" wrapText="1"/>
    </xf>
    <xf numFmtId="3" fontId="23" fillId="0" borderId="30" xfId="0" applyNumberFormat="1" applyFont="1" applyBorder="1" applyAlignment="1">
      <alignment horizontal="right" vertical="center" wrapText="1" indent="1"/>
    </xf>
    <xf numFmtId="0" fontId="23" fillId="2" borderId="3" xfId="0" applyFont="1" applyFill="1" applyBorder="1" applyAlignment="1">
      <alignment horizontal="left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3" fontId="23" fillId="2" borderId="3" xfId="0" applyNumberFormat="1" applyFont="1" applyFill="1" applyBorder="1" applyAlignment="1">
      <alignment horizontal="right" vertical="center" wrapText="1" inden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64" fontId="1" fillId="0" borderId="22" xfId="0" applyNumberFormat="1" applyFont="1" applyBorder="1" applyAlignment="1">
      <alignment horizontal="right" vertical="center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3" fontId="1" fillId="0" borderId="11" xfId="0" applyNumberFormat="1" applyFont="1" applyFill="1" applyBorder="1" applyAlignment="1">
      <alignment horizontal="right" vertical="top" wrapText="1" indent="1"/>
    </xf>
    <xf numFmtId="3" fontId="1" fillId="0" borderId="16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 indent="1"/>
    </xf>
    <xf numFmtId="164" fontId="39" fillId="0" borderId="0" xfId="0" applyNumberFormat="1" applyFont="1" applyFill="1" applyBorder="1" applyAlignment="1">
      <alignment horizontal="right" vertical="center" wrapText="1" indent="1"/>
    </xf>
    <xf numFmtId="4" fontId="39" fillId="0" borderId="0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6" fillId="0" borderId="0" xfId="0" applyNumberFormat="1" applyFont="1"/>
    <xf numFmtId="3" fontId="10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164" fontId="44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Fill="1"/>
    <xf numFmtId="0" fontId="27" fillId="0" borderId="23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1" fillId="0" borderId="33" xfId="0" applyFont="1" applyBorder="1" applyAlignment="1"/>
    <xf numFmtId="3" fontId="10" fillId="0" borderId="17" xfId="0" applyNumberFormat="1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left" vertical="center" wrapText="1"/>
    </xf>
    <xf numFmtId="0" fontId="10" fillId="0" borderId="0" xfId="0" applyFont="1" applyAlignment="1"/>
    <xf numFmtId="0" fontId="31" fillId="0" borderId="0" xfId="0" applyFont="1" applyAlignment="1"/>
    <xf numFmtId="0" fontId="46" fillId="0" borderId="0" xfId="0" applyFont="1"/>
    <xf numFmtId="0" fontId="47" fillId="0" borderId="0" xfId="0" applyFont="1" applyAlignment="1"/>
    <xf numFmtId="0" fontId="48" fillId="0" borderId="0" xfId="0" applyFont="1" applyAlignment="1"/>
    <xf numFmtId="0" fontId="46" fillId="0" borderId="0" xfId="0" applyFont="1" applyAlignment="1">
      <alignment wrapText="1"/>
    </xf>
    <xf numFmtId="3" fontId="49" fillId="0" borderId="9" xfId="0" applyNumberFormat="1" applyFont="1" applyFill="1" applyBorder="1" applyAlignment="1">
      <alignment horizontal="left" vertical="center" wrapText="1"/>
    </xf>
    <xf numFmtId="3" fontId="49" fillId="0" borderId="11" xfId="0" applyNumberFormat="1" applyFont="1" applyFill="1" applyBorder="1" applyAlignment="1">
      <alignment horizontal="right" vertical="center" wrapText="1" indent="1"/>
    </xf>
    <xf numFmtId="3" fontId="49" fillId="0" borderId="6" xfId="0" applyNumberFormat="1" applyFont="1" applyFill="1" applyBorder="1" applyAlignment="1">
      <alignment horizontal="left" vertical="center" wrapText="1"/>
    </xf>
    <xf numFmtId="0" fontId="50" fillId="0" borderId="0" xfId="0" applyFont="1" applyBorder="1"/>
    <xf numFmtId="0" fontId="50" fillId="0" borderId="0" xfId="0" applyFont="1" applyFill="1" applyBorder="1"/>
    <xf numFmtId="0" fontId="50" fillId="0" borderId="3" xfId="0" applyFont="1" applyBorder="1"/>
    <xf numFmtId="0" fontId="10" fillId="0" borderId="0" xfId="0" applyFont="1" applyBorder="1" applyAlignment="1"/>
    <xf numFmtId="164" fontId="1" fillId="0" borderId="8" xfId="0" applyNumberFormat="1" applyFont="1" applyFill="1" applyBorder="1" applyAlignment="1">
      <alignment horizontal="right" vertical="center" wrapText="1" indent="1"/>
    </xf>
    <xf numFmtId="164" fontId="5" fillId="0" borderId="8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Fill="1"/>
    <xf numFmtId="164" fontId="5" fillId="0" borderId="11" xfId="0" applyNumberFormat="1" applyFont="1" applyFill="1" applyBorder="1" applyAlignment="1">
      <alignment horizontal="right" vertical="center" wrapText="1" indent="1"/>
    </xf>
    <xf numFmtId="164" fontId="5" fillId="0" borderId="5" xfId="0" applyNumberFormat="1" applyFont="1" applyFill="1" applyBorder="1" applyAlignment="1">
      <alignment horizontal="righ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164" fontId="1" fillId="0" borderId="15" xfId="0" applyNumberFormat="1" applyFont="1" applyFill="1" applyBorder="1" applyAlignment="1">
      <alignment horizontal="right" vertical="center" wrapText="1" indent="1"/>
    </xf>
    <xf numFmtId="164" fontId="5" fillId="0" borderId="15" xfId="0" applyNumberFormat="1" applyFont="1" applyFill="1" applyBorder="1" applyAlignment="1">
      <alignment horizontal="right" vertical="center" wrapText="1" indent="1"/>
    </xf>
    <xf numFmtId="164" fontId="5" fillId="0" borderId="2" xfId="0" applyNumberFormat="1" applyFont="1" applyFill="1" applyBorder="1" applyAlignment="1">
      <alignment horizontal="right" vertical="center" wrapText="1" indent="1"/>
    </xf>
    <xf numFmtId="164" fontId="5" fillId="0" borderId="19" xfId="0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right" vertical="center" wrapText="1" indent="1"/>
    </xf>
    <xf numFmtId="3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5" fillId="0" borderId="22" xfId="0" applyNumberFormat="1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horizontal="right" vertical="center" wrapText="1" indent="1"/>
    </xf>
    <xf numFmtId="0" fontId="51" fillId="0" borderId="0" xfId="0" applyFont="1"/>
    <xf numFmtId="0" fontId="1" fillId="0" borderId="3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" xfId="0" applyFont="1" applyFill="1" applyBorder="1"/>
    <xf numFmtId="0" fontId="28" fillId="0" borderId="0" xfId="0" applyFont="1"/>
    <xf numFmtId="0" fontId="28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1" fillId="0" borderId="28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25" fillId="0" borderId="0" xfId="0" applyFont="1"/>
    <xf numFmtId="0" fontId="1" fillId="0" borderId="30" xfId="0" applyFont="1" applyFill="1" applyBorder="1" applyAlignment="1">
      <alignment vertical="center" wrapText="1"/>
    </xf>
    <xf numFmtId="3" fontId="51" fillId="0" borderId="0" xfId="0" applyNumberFormat="1" applyFont="1"/>
    <xf numFmtId="0" fontId="28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4" fontId="1" fillId="0" borderId="31" xfId="0" applyNumberFormat="1" applyFont="1" applyBorder="1" applyAlignment="1">
      <alignment horizontal="right" vertical="center" wrapText="1" indent="1"/>
    </xf>
    <xf numFmtId="164" fontId="40" fillId="0" borderId="31" xfId="0" applyNumberFormat="1" applyFont="1" applyBorder="1" applyAlignment="1">
      <alignment horizontal="right" vertical="center" wrapText="1" indent="1"/>
    </xf>
    <xf numFmtId="4" fontId="40" fillId="0" borderId="31" xfId="0" applyNumberFormat="1" applyFont="1" applyBorder="1" applyAlignment="1">
      <alignment horizontal="right" vertical="center" wrapText="1" indent="1"/>
    </xf>
    <xf numFmtId="3" fontId="1" fillId="0" borderId="10" xfId="0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vertical="center" wrapText="1"/>
    </xf>
    <xf numFmtId="164" fontId="21" fillId="2" borderId="29" xfId="0" applyNumberFormat="1" applyFont="1" applyFill="1" applyBorder="1" applyAlignment="1">
      <alignment horizontal="center" vertical="center" wrapText="1"/>
    </xf>
    <xf numFmtId="164" fontId="21" fillId="2" borderId="3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 indent="1"/>
    </xf>
    <xf numFmtId="3" fontId="9" fillId="0" borderId="10" xfId="0" applyNumberFormat="1" applyFont="1" applyFill="1" applyBorder="1" applyAlignment="1">
      <alignment horizontal="right" vertical="center" wrapText="1" indent="1"/>
    </xf>
    <xf numFmtId="3" fontId="10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 indent="1"/>
    </xf>
    <xf numFmtId="0" fontId="9" fillId="0" borderId="13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left" vertical="center"/>
    </xf>
    <xf numFmtId="3" fontId="9" fillId="2" borderId="3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/>
    <xf numFmtId="0" fontId="1" fillId="0" borderId="16" xfId="0" applyFont="1" applyBorder="1" applyAlignment="1">
      <alignment horizontal="left" vertical="center" wrapText="1"/>
    </xf>
    <xf numFmtId="0" fontId="17" fillId="0" borderId="0" xfId="2" applyFont="1"/>
    <xf numFmtId="164" fontId="5" fillId="2" borderId="39" xfId="2" applyNumberFormat="1" applyFont="1" applyFill="1" applyBorder="1" applyAlignment="1">
      <alignment horizontal="center" vertical="top" wrapText="1"/>
    </xf>
    <xf numFmtId="0" fontId="1" fillId="3" borderId="0" xfId="2" applyFont="1" applyFill="1"/>
    <xf numFmtId="164" fontId="5" fillId="2" borderId="40" xfId="2" applyNumberFormat="1" applyFont="1" applyFill="1" applyBorder="1" applyAlignment="1">
      <alignment horizontal="center" vertical="top" wrapText="1"/>
    </xf>
    <xf numFmtId="164" fontId="5" fillId="2" borderId="41" xfId="2" applyNumberFormat="1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left" vertical="center" wrapText="1"/>
    </xf>
    <xf numFmtId="3" fontId="5" fillId="2" borderId="38" xfId="2" applyNumberFormat="1" applyFont="1" applyFill="1" applyBorder="1" applyAlignment="1">
      <alignment horizontal="center" vertical="center" wrapText="1"/>
    </xf>
    <xf numFmtId="0" fontId="21" fillId="3" borderId="0" xfId="2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horizontal="left" vertical="center" wrapText="1"/>
    </xf>
    <xf numFmtId="3" fontId="49" fillId="0" borderId="7" xfId="0" applyNumberFormat="1" applyFont="1" applyFill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49" fillId="0" borderId="7" xfId="0" applyNumberFormat="1" applyFont="1" applyFill="1" applyBorder="1" applyAlignment="1">
      <alignment horizontal="right" vertical="center" wrapText="1"/>
    </xf>
    <xf numFmtId="164" fontId="45" fillId="7" borderId="0" xfId="0" applyNumberFormat="1" applyFont="1" applyFill="1"/>
    <xf numFmtId="3" fontId="10" fillId="0" borderId="10" xfId="0" applyNumberFormat="1" applyFont="1" applyFill="1" applyBorder="1" applyAlignment="1">
      <alignment horizontal="right" vertical="center" indent="1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 wrapText="1" indent="1"/>
    </xf>
    <xf numFmtId="3" fontId="10" fillId="0" borderId="14" xfId="0" applyNumberFormat="1" applyFont="1" applyFill="1" applyBorder="1" applyAlignment="1">
      <alignment horizontal="right" vertical="center" wrapText="1" indent="1"/>
    </xf>
    <xf numFmtId="3" fontId="10" fillId="0" borderId="22" xfId="0" applyNumberFormat="1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horizontal="right" vertical="center" indent="1"/>
    </xf>
    <xf numFmtId="164" fontId="40" fillId="0" borderId="16" xfId="0" applyNumberFormat="1" applyFont="1" applyFill="1" applyBorder="1" applyAlignment="1">
      <alignment horizontal="right" vertical="center" wrapText="1" indent="1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29" xfId="0" applyFont="1" applyFill="1" applyBorder="1"/>
    <xf numFmtId="0" fontId="5" fillId="0" borderId="2" xfId="0" applyFont="1" applyFill="1" applyBorder="1"/>
    <xf numFmtId="3" fontId="5" fillId="0" borderId="4" xfId="0" applyNumberFormat="1" applyFont="1" applyFill="1" applyBorder="1"/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 indent="1"/>
    </xf>
    <xf numFmtId="0" fontId="1" fillId="0" borderId="27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left" vertical="center" wrapText="1" indent="1"/>
    </xf>
    <xf numFmtId="3" fontId="1" fillId="0" borderId="16" xfId="0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horizontal="lef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right" vertical="center" wrapText="1"/>
    </xf>
    <xf numFmtId="3" fontId="9" fillId="0" borderId="28" xfId="0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10" fillId="0" borderId="28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3" fontId="51" fillId="0" borderId="28" xfId="0" applyNumberFormat="1" applyFont="1" applyBorder="1" applyAlignment="1">
      <alignment horizontal="right"/>
    </xf>
    <xf numFmtId="3" fontId="51" fillId="0" borderId="16" xfId="0" applyNumberFormat="1" applyFont="1" applyBorder="1" applyAlignment="1">
      <alignment horizontal="right"/>
    </xf>
    <xf numFmtId="3" fontId="51" fillId="0" borderId="16" xfId="0" applyNumberFormat="1" applyFont="1" applyFill="1" applyBorder="1" applyAlignment="1">
      <alignment horizontal="right"/>
    </xf>
    <xf numFmtId="3" fontId="51" fillId="0" borderId="28" xfId="0" applyNumberFormat="1" applyFont="1" applyFill="1" applyBorder="1" applyAlignment="1">
      <alignment horizontal="right" vertical="center"/>
    </xf>
    <xf numFmtId="3" fontId="51" fillId="0" borderId="28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vertical="center" wrapText="1"/>
    </xf>
    <xf numFmtId="0" fontId="51" fillId="0" borderId="28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left" vertical="center" wrapText="1" shrinkToFit="1"/>
    </xf>
    <xf numFmtId="3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5" fillId="2" borderId="28" xfId="0" applyFont="1" applyFill="1" applyBorder="1" applyAlignment="1">
      <alignment horizontal="left" vertical="center"/>
    </xf>
    <xf numFmtId="3" fontId="25" fillId="2" borderId="28" xfId="0" applyNumberFormat="1" applyFont="1" applyFill="1" applyBorder="1" applyAlignment="1">
      <alignment horizontal="right" vertical="center"/>
    </xf>
    <xf numFmtId="3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8" borderId="28" xfId="0" applyFont="1" applyFill="1" applyBorder="1" applyAlignment="1">
      <alignment horizontal="left" vertical="center"/>
    </xf>
    <xf numFmtId="3" fontId="25" fillId="8" borderId="28" xfId="0" applyNumberFormat="1" applyFont="1" applyFill="1" applyBorder="1" applyAlignment="1">
      <alignment horizontal="right" vertical="center"/>
    </xf>
    <xf numFmtId="3" fontId="25" fillId="8" borderId="0" xfId="0" applyNumberFormat="1" applyFont="1" applyFill="1" applyAlignment="1">
      <alignment horizontal="center" vertical="center"/>
    </xf>
    <xf numFmtId="0" fontId="25" fillId="8" borderId="0" xfId="0" applyFont="1" applyFill="1" applyAlignment="1">
      <alignment horizontal="center" vertical="center"/>
    </xf>
    <xf numFmtId="0" fontId="53" fillId="0" borderId="0" xfId="0" applyFont="1"/>
    <xf numFmtId="0" fontId="17" fillId="0" borderId="43" xfId="2" applyFont="1" applyBorder="1"/>
    <xf numFmtId="0" fontId="1" fillId="0" borderId="42" xfId="0" applyFont="1" applyBorder="1" applyAlignment="1">
      <alignment horizontal="left" vertical="center" wrapText="1"/>
    </xf>
    <xf numFmtId="3" fontId="1" fillId="0" borderId="42" xfId="2" applyNumberFormat="1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3" fontId="1" fillId="0" borderId="42" xfId="2" applyNumberFormat="1" applyFont="1" applyFill="1" applyBorder="1" applyAlignment="1">
      <alignment horizontal="center" vertical="center" wrapText="1"/>
    </xf>
    <xf numFmtId="0" fontId="17" fillId="0" borderId="43" xfId="2" applyFont="1" applyFill="1" applyBorder="1"/>
    <xf numFmtId="0" fontId="1" fillId="0" borderId="42" xfId="2" applyFont="1" applyBorder="1" applyAlignment="1">
      <alignment horizontal="left" vertical="center" wrapText="1"/>
    </xf>
    <xf numFmtId="0" fontId="17" fillId="0" borderId="0" xfId="2" applyFont="1" applyFill="1" applyBorder="1"/>
    <xf numFmtId="0" fontId="1" fillId="0" borderId="40" xfId="0" applyFont="1" applyBorder="1" applyAlignment="1">
      <alignment horizontal="left" vertical="center" wrapText="1"/>
    </xf>
    <xf numFmtId="3" fontId="1" fillId="0" borderId="40" xfId="2" applyNumberFormat="1" applyFont="1" applyBorder="1" applyAlignment="1">
      <alignment horizontal="center" vertical="center" wrapText="1"/>
    </xf>
    <xf numFmtId="0" fontId="51" fillId="0" borderId="0" xfId="0" applyFont="1" applyBorder="1"/>
    <xf numFmtId="0" fontId="28" fillId="0" borderId="0" xfId="0" applyFont="1" applyBorder="1"/>
    <xf numFmtId="0" fontId="53" fillId="0" borderId="0" xfId="0" applyFont="1" applyBorder="1" applyAlignment="1"/>
    <xf numFmtId="0" fontId="53" fillId="0" borderId="0" xfId="0" applyFont="1" applyBorder="1"/>
    <xf numFmtId="0" fontId="1" fillId="3" borderId="0" xfId="2" applyFont="1" applyFill="1" applyBorder="1"/>
    <xf numFmtId="0" fontId="17" fillId="0" borderId="0" xfId="2" applyFont="1" applyBorder="1"/>
    <xf numFmtId="0" fontId="21" fillId="3" borderId="0" xfId="2" applyFont="1" applyFill="1" applyBorder="1" applyAlignment="1">
      <alignment vertical="center"/>
    </xf>
    <xf numFmtId="3" fontId="51" fillId="0" borderId="28" xfId="0" applyNumberFormat="1" applyFont="1" applyBorder="1" applyAlignment="1">
      <alignment vertical="center"/>
    </xf>
    <xf numFmtId="3" fontId="51" fillId="0" borderId="16" xfId="0" applyNumberFormat="1" applyFont="1" applyBorder="1" applyAlignment="1">
      <alignment vertical="center"/>
    </xf>
    <xf numFmtId="3" fontId="1" fillId="0" borderId="16" xfId="0" applyNumberFormat="1" applyFont="1" applyFill="1" applyBorder="1" applyAlignment="1">
      <alignment horizontal="right" vertical="center" wrapText="1"/>
    </xf>
    <xf numFmtId="165" fontId="51" fillId="0" borderId="16" xfId="0" applyNumberFormat="1" applyFont="1" applyFill="1" applyBorder="1" applyAlignment="1">
      <alignment vertical="center"/>
    </xf>
    <xf numFmtId="3" fontId="51" fillId="0" borderId="16" xfId="0" applyNumberFormat="1" applyFont="1" applyFill="1" applyBorder="1" applyAlignment="1">
      <alignment vertical="center"/>
    </xf>
    <xf numFmtId="3" fontId="25" fillId="2" borderId="23" xfId="0" applyNumberFormat="1" applyFont="1" applyFill="1" applyBorder="1" applyAlignment="1">
      <alignment vertical="center"/>
    </xf>
    <xf numFmtId="0" fontId="51" fillId="0" borderId="28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25" fillId="2" borderId="20" xfId="0" applyFont="1" applyFill="1" applyBorder="1" applyAlignment="1">
      <alignment horizontal="left" vertical="center" wrapText="1"/>
    </xf>
    <xf numFmtId="165" fontId="51" fillId="0" borderId="28" xfId="0" applyNumberFormat="1" applyFont="1" applyFill="1" applyBorder="1" applyAlignment="1">
      <alignment vertical="center"/>
    </xf>
    <xf numFmtId="165" fontId="25" fillId="0" borderId="23" xfId="0" applyNumberFormat="1" applyFont="1" applyFill="1" applyBorder="1" applyAlignment="1">
      <alignment vertical="center"/>
    </xf>
    <xf numFmtId="3" fontId="1" fillId="0" borderId="40" xfId="2" quotePrefix="1" applyNumberFormat="1" applyFont="1" applyFill="1" applyBorder="1" applyAlignment="1">
      <alignment horizontal="center" vertical="center" wrapText="1"/>
    </xf>
    <xf numFmtId="3" fontId="1" fillId="0" borderId="42" xfId="2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1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164" fontId="40" fillId="0" borderId="30" xfId="0" applyNumberFormat="1" applyFont="1" applyBorder="1" applyAlignment="1">
      <alignment horizontal="right" vertical="center" wrapText="1" indent="1"/>
    </xf>
    <xf numFmtId="164" fontId="40" fillId="0" borderId="27" xfId="0" applyNumberFormat="1" applyFont="1" applyBorder="1" applyAlignment="1">
      <alignment horizontal="right" vertical="center" wrapText="1" indent="1"/>
    </xf>
    <xf numFmtId="4" fontId="40" fillId="0" borderId="30" xfId="0" applyNumberFormat="1" applyFont="1" applyBorder="1" applyAlignment="1">
      <alignment horizontal="right" vertical="center" wrapText="1" indent="1"/>
    </xf>
    <xf numFmtId="4" fontId="40" fillId="0" borderId="27" xfId="0" applyNumberFormat="1" applyFont="1" applyBorder="1" applyAlignment="1">
      <alignment horizontal="right" vertical="center" wrapText="1" indent="1"/>
    </xf>
    <xf numFmtId="0" fontId="42" fillId="0" borderId="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0" fontId="39" fillId="2" borderId="26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7" fillId="0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28" fillId="0" borderId="33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0" fontId="54" fillId="0" borderId="10" xfId="0" applyFont="1" applyBorder="1"/>
    <xf numFmtId="0" fontId="55" fillId="0" borderId="10" xfId="0" applyFont="1" applyBorder="1"/>
    <xf numFmtId="3" fontId="10" fillId="0" borderId="20" xfId="0" applyNumberFormat="1" applyFont="1" applyFill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Alignment="1"/>
    <xf numFmtId="0" fontId="4" fillId="0" borderId="0" xfId="0" applyFont="1" applyAlignment="1"/>
    <xf numFmtId="0" fontId="39" fillId="2" borderId="3" xfId="0" applyFont="1" applyFill="1" applyBorder="1" applyAlignment="1">
      <alignment vertical="center" wrapText="1"/>
    </xf>
    <xf numFmtId="164" fontId="40" fillId="0" borderId="4" xfId="0" applyNumberFormat="1" applyFont="1" applyBorder="1" applyAlignment="1">
      <alignment vertical="center" wrapText="1"/>
    </xf>
    <xf numFmtId="164" fontId="40" fillId="0" borderId="16" xfId="0" applyNumberFormat="1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vertical="center" wrapText="1"/>
    </xf>
    <xf numFmtId="3" fontId="51" fillId="0" borderId="30" xfId="0" applyNumberFormat="1" applyFont="1" applyBorder="1" applyAlignment="1">
      <alignment vertical="center"/>
    </xf>
    <xf numFmtId="165" fontId="51" fillId="0" borderId="30" xfId="0" applyNumberFormat="1" applyFont="1" applyFill="1" applyBorder="1" applyAlignment="1">
      <alignment vertical="center"/>
    </xf>
    <xf numFmtId="3" fontId="1" fillId="0" borderId="3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9" fillId="0" borderId="9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23" xfId="0" applyNumberFormat="1" applyFont="1" applyFill="1" applyBorder="1" applyAlignment="1">
      <alignment horizontal="center" vertical="center" wrapText="1"/>
    </xf>
    <xf numFmtId="164" fontId="9" fillId="2" borderId="29" xfId="0" applyNumberFormat="1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31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21" fillId="2" borderId="31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right" vertical="center" wrapText="1" indent="1"/>
    </xf>
    <xf numFmtId="3" fontId="9" fillId="0" borderId="15" xfId="0" applyNumberFormat="1" applyFont="1" applyFill="1" applyBorder="1" applyAlignment="1">
      <alignment horizontal="right" vertical="center" indent="1"/>
    </xf>
    <xf numFmtId="3" fontId="9" fillId="0" borderId="8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0" fontId="0" fillId="0" borderId="46" xfId="0" applyBorder="1"/>
    <xf numFmtId="0" fontId="0" fillId="0" borderId="11" xfId="0" applyBorder="1"/>
    <xf numFmtId="0" fontId="0" fillId="0" borderId="46" xfId="0" applyFill="1" applyBorder="1"/>
    <xf numFmtId="0" fontId="0" fillId="0" borderId="47" xfId="0" applyBorder="1"/>
    <xf numFmtId="0" fontId="0" fillId="0" borderId="48" xfId="0" applyBorder="1"/>
    <xf numFmtId="3" fontId="51" fillId="0" borderId="28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left" vertical="center" wrapText="1"/>
    </xf>
    <xf numFmtId="3" fontId="1" fillId="0" borderId="28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/>
    </xf>
    <xf numFmtId="164" fontId="15" fillId="2" borderId="24" xfId="0" applyNumberFormat="1" applyFont="1" applyFill="1" applyBorder="1" applyAlignment="1">
      <alignment horizontal="center" vertical="center" wrapText="1"/>
    </xf>
    <xf numFmtId="164" fontId="15" fillId="2" borderId="26" xfId="0" applyNumberFormat="1" applyFont="1" applyFill="1" applyBorder="1" applyAlignment="1">
      <alignment horizontal="center" vertical="center" wrapText="1"/>
    </xf>
    <xf numFmtId="164" fontId="15" fillId="2" borderId="34" xfId="0" applyNumberFormat="1" applyFont="1" applyFill="1" applyBorder="1" applyAlignment="1">
      <alignment horizontal="center" vertical="center" wrapText="1"/>
    </xf>
    <xf numFmtId="164" fontId="15" fillId="2" borderId="32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5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/>
    </xf>
    <xf numFmtId="164" fontId="15" fillId="2" borderId="15" xfId="0" applyNumberFormat="1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17" fillId="0" borderId="33" xfId="0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center" vertical="center" wrapText="1"/>
    </xf>
    <xf numFmtId="164" fontId="21" fillId="3" borderId="15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/>
    </xf>
    <xf numFmtId="164" fontId="21" fillId="3" borderId="2" xfId="0" applyNumberFormat="1" applyFont="1" applyFill="1" applyBorder="1" applyAlignment="1">
      <alignment horizontal="center"/>
    </xf>
    <xf numFmtId="164" fontId="21" fillId="3" borderId="15" xfId="0" applyNumberFormat="1" applyFont="1" applyFill="1" applyBorder="1" applyAlignment="1">
      <alignment horizontal="center"/>
    </xf>
    <xf numFmtId="164" fontId="21" fillId="3" borderId="3" xfId="0" applyNumberFormat="1" applyFont="1" applyFill="1" applyBorder="1" applyAlignment="1">
      <alignment horizontal="center"/>
    </xf>
    <xf numFmtId="164" fontId="21" fillId="3" borderId="24" xfId="0" applyNumberFormat="1" applyFont="1" applyFill="1" applyBorder="1" applyAlignment="1">
      <alignment horizontal="center" vertical="center" wrapText="1"/>
    </xf>
    <xf numFmtId="164" fontId="21" fillId="3" borderId="26" xfId="0" applyNumberFormat="1" applyFont="1" applyFill="1" applyBorder="1" applyAlignment="1">
      <alignment horizontal="center" vertical="center" wrapText="1"/>
    </xf>
    <xf numFmtId="164" fontId="21" fillId="3" borderId="34" xfId="0" applyNumberFormat="1" applyFont="1" applyFill="1" applyBorder="1" applyAlignment="1">
      <alignment horizontal="center" vertical="center" wrapText="1"/>
    </xf>
    <xf numFmtId="164" fontId="21" fillId="3" borderId="32" xfId="0" applyNumberFormat="1" applyFont="1" applyFill="1" applyBorder="1" applyAlignment="1">
      <alignment horizontal="center" vertical="center" wrapText="1"/>
    </xf>
    <xf numFmtId="164" fontId="21" fillId="3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3" fontId="52" fillId="0" borderId="34" xfId="0" applyNumberFormat="1" applyFont="1" applyFill="1" applyBorder="1" applyAlignment="1">
      <alignment horizontal="center" vertical="center" wrapText="1"/>
    </xf>
    <xf numFmtId="3" fontId="52" fillId="0" borderId="33" xfId="0" applyNumberFormat="1" applyFont="1" applyFill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9" fillId="2" borderId="24" xfId="0" applyNumberFormat="1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3" fontId="9" fillId="2" borderId="29" xfId="0" applyNumberFormat="1" applyFont="1" applyFill="1" applyBorder="1" applyAlignment="1">
      <alignment horizontal="center" vertical="center" wrapText="1"/>
    </xf>
    <xf numFmtId="3" fontId="9" fillId="2" borderId="27" xfId="0" applyNumberFormat="1" applyFont="1" applyFill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center" vertical="center" wrapText="1"/>
    </xf>
    <xf numFmtId="3" fontId="9" fillId="2" borderId="29" xfId="0" applyNumberFormat="1" applyFont="1" applyFill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 wrapText="1"/>
    </xf>
    <xf numFmtId="164" fontId="9" fillId="2" borderId="27" xfId="0" applyNumberFormat="1" applyFont="1" applyFill="1" applyBorder="1" applyAlignment="1">
      <alignment horizontal="center" vertical="center" wrapText="1"/>
    </xf>
    <xf numFmtId="164" fontId="9" fillId="2" borderId="3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9" fillId="2" borderId="24" xfId="0" applyNumberFormat="1" applyFont="1" applyFill="1" applyBorder="1" applyAlignment="1">
      <alignment horizontal="center" vertical="center" wrapText="1"/>
    </xf>
    <xf numFmtId="164" fontId="9" fillId="2" borderId="26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34" xfId="0" applyNumberFormat="1" applyFont="1" applyFill="1" applyBorder="1" applyAlignment="1">
      <alignment horizontal="center" vertical="center" wrapText="1"/>
    </xf>
    <xf numFmtId="164" fontId="9" fillId="2" borderId="32" xfId="0" applyNumberFormat="1" applyFont="1" applyFill="1" applyBorder="1" applyAlignment="1">
      <alignment horizontal="center" vertical="center" wrapText="1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9" fillId="2" borderId="1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30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3" fontId="52" fillId="4" borderId="24" xfId="0" applyNumberFormat="1" applyFont="1" applyFill="1" applyBorder="1" applyAlignment="1">
      <alignment horizontal="center" vertical="center" wrapText="1"/>
    </xf>
    <xf numFmtId="3" fontId="52" fillId="4" borderId="25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34" xfId="0" applyNumberFormat="1" applyFont="1" applyFill="1" applyBorder="1" applyAlignment="1">
      <alignment horizontal="center" vertical="center" wrapText="1"/>
    </xf>
    <xf numFmtId="3" fontId="9" fillId="2" borderId="3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64" fontId="21" fillId="3" borderId="4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4" fontId="40" fillId="0" borderId="30" xfId="0" applyNumberFormat="1" applyFont="1" applyBorder="1" applyAlignment="1">
      <alignment horizontal="right" vertical="center" wrapText="1" indent="1"/>
    </xf>
    <xf numFmtId="4" fontId="40" fillId="0" borderId="27" xfId="0" applyNumberFormat="1" applyFont="1" applyBorder="1" applyAlignment="1">
      <alignment horizontal="right" vertical="center" wrapText="1" indent="1"/>
    </xf>
    <xf numFmtId="164" fontId="40" fillId="0" borderId="30" xfId="0" applyNumberFormat="1" applyFont="1" applyBorder="1" applyAlignment="1">
      <alignment horizontal="right" vertical="center" wrapText="1" indent="1"/>
    </xf>
    <xf numFmtId="164" fontId="40" fillId="0" borderId="27" xfId="0" applyNumberFormat="1" applyFont="1" applyBorder="1" applyAlignment="1">
      <alignment horizontal="right" vertical="center" wrapText="1" indent="1"/>
    </xf>
    <xf numFmtId="0" fontId="42" fillId="0" borderId="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4" fontId="1" fillId="0" borderId="30" xfId="0" applyNumberFormat="1" applyFont="1" applyBorder="1" applyAlignment="1">
      <alignment horizontal="right" vertical="center" wrapText="1" indent="1"/>
    </xf>
    <xf numFmtId="4" fontId="1" fillId="0" borderId="27" xfId="0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 wrapText="1"/>
    </xf>
    <xf numFmtId="0" fontId="39" fillId="2" borderId="31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39" fillId="2" borderId="25" xfId="0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vertical="center" wrapText="1"/>
    </xf>
    <xf numFmtId="0" fontId="39" fillId="2" borderId="34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164" fontId="40" fillId="0" borderId="30" xfId="0" applyNumberFormat="1" applyFont="1" applyBorder="1" applyAlignment="1">
      <alignment vertical="center" wrapText="1"/>
    </xf>
    <xf numFmtId="164" fontId="40" fillId="0" borderId="28" xfId="0" applyNumberFormat="1" applyFont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left" vertical="center" wrapText="1"/>
    </xf>
    <xf numFmtId="3" fontId="9" fillId="0" borderId="2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7" fillId="0" borderId="33" xfId="0" applyFont="1" applyBorder="1" applyAlignment="1">
      <alignment horizontal="right" vertical="top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22" fillId="0" borderId="33" xfId="0" applyFont="1" applyBorder="1" applyAlignment="1">
      <alignment horizontal="right"/>
    </xf>
    <xf numFmtId="0" fontId="33" fillId="2" borderId="29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3" fillId="5" borderId="1" xfId="0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horizontal="left" vertical="center" wrapText="1"/>
    </xf>
    <xf numFmtId="0" fontId="33" fillId="5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left" vertical="center"/>
    </xf>
    <xf numFmtId="0" fontId="25" fillId="8" borderId="10" xfId="0" applyFont="1" applyFill="1" applyBorder="1" applyAlignment="1">
      <alignment horizontal="left" vertical="center"/>
    </xf>
    <xf numFmtId="0" fontId="25" fillId="8" borderId="11" xfId="0" applyFont="1" applyFill="1" applyBorder="1" applyAlignment="1">
      <alignment horizontal="left" vertical="center"/>
    </xf>
    <xf numFmtId="3" fontId="51" fillId="0" borderId="20" xfId="0" applyNumberFormat="1" applyFont="1" applyFill="1" applyBorder="1" applyAlignment="1">
      <alignment horizontal="center" vertical="center" wrapText="1"/>
    </xf>
    <xf numFmtId="3" fontId="51" fillId="0" borderId="21" xfId="0" applyNumberFormat="1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left" vertical="center"/>
    </xf>
    <xf numFmtId="0" fontId="25" fillId="8" borderId="18" xfId="0" applyFont="1" applyFill="1" applyBorder="1" applyAlignment="1">
      <alignment horizontal="left" vertical="center"/>
    </xf>
    <xf numFmtId="0" fontId="25" fillId="8" borderId="19" xfId="0" applyFont="1" applyFill="1" applyBorder="1" applyAlignment="1">
      <alignment horizontal="left" vertical="center"/>
    </xf>
    <xf numFmtId="3" fontId="51" fillId="0" borderId="9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164" fontId="5" fillId="2" borderId="39" xfId="2" applyNumberFormat="1" applyFont="1" applyFill="1" applyBorder="1" applyAlignment="1">
      <alignment horizontal="center" vertical="center" wrapText="1"/>
    </xf>
    <xf numFmtId="164" fontId="5" fillId="2" borderId="40" xfId="2" applyNumberFormat="1" applyFont="1" applyFill="1" applyBorder="1" applyAlignment="1">
      <alignment horizontal="center" vertical="center" wrapText="1"/>
    </xf>
    <xf numFmtId="164" fontId="5" fillId="2" borderId="41" xfId="2" applyNumberFormat="1" applyFont="1" applyFill="1" applyBorder="1" applyAlignment="1">
      <alignment horizontal="center" vertical="center" wrapText="1"/>
    </xf>
    <xf numFmtId="0" fontId="5" fillId="2" borderId="38" xfId="2" applyFont="1" applyFill="1" applyBorder="1" applyAlignment="1">
      <alignment horizontal="center" vertical="center" wrapText="1"/>
    </xf>
    <xf numFmtId="0" fontId="5" fillId="0" borderId="38" xfId="2" applyFont="1" applyBorder="1" applyAlignment="1">
      <alignment horizontal="left" vertical="center" wrapText="1"/>
    </xf>
    <xf numFmtId="0" fontId="21" fillId="0" borderId="44" xfId="2" applyFont="1" applyBorder="1" applyAlignment="1">
      <alignment horizontal="left" vertical="center" wrapText="1"/>
    </xf>
    <xf numFmtId="3" fontId="1" fillId="0" borderId="39" xfId="2" applyNumberFormat="1" applyFont="1" applyBorder="1" applyAlignment="1">
      <alignment horizontal="center" vertical="center" wrapText="1"/>
    </xf>
    <xf numFmtId="3" fontId="1" fillId="0" borderId="45" xfId="2" applyNumberFormat="1" applyFont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2022_ktgvet&#233;s%20m&#243;dos&#237;t&#225;s%20mell&#233;kletei%20202202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umok\Szab&#243;n&#233;%20B&#243;ka%20R&#233;ka\&#214;NKORM&#193;NYZAT\20210928%20ktgvet&#233;s%20m&#243;dos&#237;t&#225;s\Ktgvet&#233;s%20m&#243;dos&#237;t&#225;s%20mell&#233;kletei%20202109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kareka\AppData\Local\Temp\Ktgvet&#233;s%20m&#243;dos&#237;t&#225;s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</sheetNames>
    <sheetDataSet>
      <sheetData sheetId="0">
        <row r="7">
          <cell r="E7">
            <v>2352874858</v>
          </cell>
        </row>
        <row r="8">
          <cell r="E8">
            <v>445001914</v>
          </cell>
        </row>
        <row r="9">
          <cell r="E9">
            <v>9083713</v>
          </cell>
        </row>
        <row r="11">
          <cell r="E11">
            <v>2585627401</v>
          </cell>
        </row>
        <row r="12">
          <cell r="E12">
            <v>638809478</v>
          </cell>
        </row>
        <row r="13">
          <cell r="E13">
            <v>322568739</v>
          </cell>
        </row>
        <row r="14">
          <cell r="E14">
            <v>97437910</v>
          </cell>
        </row>
        <row r="15">
          <cell r="E15">
            <v>7091539</v>
          </cell>
        </row>
        <row r="16">
          <cell r="E16">
            <v>29082745</v>
          </cell>
        </row>
        <row r="22">
          <cell r="E22">
            <v>7251469034</v>
          </cell>
        </row>
      </sheetData>
      <sheetData sheetId="1">
        <row r="84">
          <cell r="D84">
            <v>2035146089</v>
          </cell>
          <cell r="E84">
            <v>2352874858</v>
          </cell>
        </row>
      </sheetData>
      <sheetData sheetId="2">
        <row r="15">
          <cell r="B15">
            <v>238920</v>
          </cell>
          <cell r="C15">
            <v>0</v>
          </cell>
        </row>
        <row r="16">
          <cell r="B16">
            <v>183256760</v>
          </cell>
          <cell r="C16">
            <v>0</v>
          </cell>
        </row>
        <row r="17">
          <cell r="C17">
            <v>28299985</v>
          </cell>
        </row>
        <row r="18">
          <cell r="B18">
            <v>6480000</v>
          </cell>
          <cell r="C18">
            <v>6480000</v>
          </cell>
        </row>
        <row r="19">
          <cell r="B19">
            <v>2500000</v>
          </cell>
          <cell r="C19">
            <v>1875311</v>
          </cell>
        </row>
        <row r="20">
          <cell r="C20">
            <v>9083713</v>
          </cell>
        </row>
        <row r="21">
          <cell r="C21">
            <v>1245859</v>
          </cell>
        </row>
        <row r="22">
          <cell r="C22">
            <v>8153233</v>
          </cell>
        </row>
        <row r="23">
          <cell r="C23">
            <v>5000000</v>
          </cell>
        </row>
        <row r="24">
          <cell r="E24">
            <v>795624806</v>
          </cell>
        </row>
        <row r="25">
          <cell r="C25">
            <v>26466640</v>
          </cell>
          <cell r="E25">
            <v>38827384</v>
          </cell>
        </row>
        <row r="35">
          <cell r="C35">
            <v>1480000</v>
          </cell>
        </row>
        <row r="36">
          <cell r="C36">
            <v>1500000</v>
          </cell>
        </row>
        <row r="37">
          <cell r="C37">
            <v>3200000</v>
          </cell>
        </row>
        <row r="38">
          <cell r="C38">
            <v>135000</v>
          </cell>
        </row>
        <row r="48">
          <cell r="G48">
            <v>620303714</v>
          </cell>
        </row>
        <row r="51">
          <cell r="G51">
            <v>3451161</v>
          </cell>
        </row>
        <row r="52">
          <cell r="F52">
            <v>1250000</v>
          </cell>
        </row>
        <row r="54">
          <cell r="I54">
            <v>11355021</v>
          </cell>
        </row>
        <row r="55">
          <cell r="I55">
            <v>121331400</v>
          </cell>
        </row>
        <row r="56">
          <cell r="I56">
            <v>40996442</v>
          </cell>
        </row>
        <row r="57">
          <cell r="I57">
            <v>3600000</v>
          </cell>
        </row>
        <row r="69">
          <cell r="Q69">
            <v>200000000</v>
          </cell>
          <cell r="R69">
            <v>200000000</v>
          </cell>
        </row>
        <row r="70">
          <cell r="X70">
            <v>1413570000</v>
          </cell>
        </row>
        <row r="71">
          <cell r="Q71">
            <v>5069722623</v>
          </cell>
          <cell r="R71">
            <v>5551741561</v>
          </cell>
        </row>
        <row r="94">
          <cell r="D94">
            <v>585156095</v>
          </cell>
          <cell r="E94">
            <v>2585627401</v>
          </cell>
          <cell r="F94">
            <v>450958154</v>
          </cell>
          <cell r="G94">
            <v>638759478</v>
          </cell>
          <cell r="H94">
            <v>302359857</v>
          </cell>
          <cell r="I94">
            <v>227311141</v>
          </cell>
          <cell r="J94">
            <v>126391540</v>
          </cell>
          <cell r="K94">
            <v>97437910</v>
          </cell>
          <cell r="L94">
            <v>0</v>
          </cell>
          <cell r="M94">
            <v>7091539</v>
          </cell>
          <cell r="N94">
            <v>0</v>
          </cell>
          <cell r="O94">
            <v>29082745</v>
          </cell>
        </row>
      </sheetData>
      <sheetData sheetId="3">
        <row r="44">
          <cell r="B44">
            <v>320771581</v>
          </cell>
          <cell r="C44">
            <v>361165886</v>
          </cell>
          <cell r="D44">
            <v>0</v>
          </cell>
          <cell r="E44">
            <v>0</v>
          </cell>
          <cell r="F44">
            <v>50000</v>
          </cell>
          <cell r="G44">
            <v>50000</v>
          </cell>
          <cell r="H44">
            <v>117134566</v>
          </cell>
          <cell r="I44">
            <v>95257598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69763421</v>
          </cell>
          <cell r="R44">
            <v>86157473</v>
          </cell>
          <cell r="T44">
            <v>1510979809</v>
          </cell>
        </row>
      </sheetData>
      <sheetData sheetId="4">
        <row r="18">
          <cell r="S18">
            <v>2611975843</v>
          </cell>
        </row>
        <row r="19">
          <cell r="C19">
            <v>1277494594</v>
          </cell>
          <cell r="E19">
            <v>191624163</v>
          </cell>
          <cell r="G19">
            <v>1406046969</v>
          </cell>
          <cell r="I19">
            <v>60955000</v>
          </cell>
          <cell r="K19">
            <v>3959256598</v>
          </cell>
          <cell r="M19">
            <v>2193102088</v>
          </cell>
          <cell r="O19">
            <v>1803742287</v>
          </cell>
          <cell r="Q19">
            <v>234849789</v>
          </cell>
        </row>
      </sheetData>
      <sheetData sheetId="5">
        <row r="28">
          <cell r="P28">
            <v>3365500</v>
          </cell>
        </row>
        <row r="29">
          <cell r="D29">
            <v>12509500</v>
          </cell>
          <cell r="P29">
            <v>7429500</v>
          </cell>
        </row>
        <row r="30">
          <cell r="P30">
            <v>1310412</v>
          </cell>
          <cell r="R30">
            <v>543664320</v>
          </cell>
        </row>
        <row r="31">
          <cell r="D31">
            <v>463779307</v>
          </cell>
          <cell r="P31">
            <v>359119576</v>
          </cell>
          <cell r="R31">
            <v>30300686</v>
          </cell>
        </row>
        <row r="32">
          <cell r="D32">
            <v>35826432</v>
          </cell>
          <cell r="P32">
            <v>22949432</v>
          </cell>
        </row>
        <row r="34">
          <cell r="P34">
            <v>12611700</v>
          </cell>
          <cell r="R34">
            <v>236903700</v>
          </cell>
        </row>
        <row r="36">
          <cell r="P36">
            <v>1270000</v>
          </cell>
        </row>
        <row r="37">
          <cell r="P37">
            <v>1657000</v>
          </cell>
        </row>
        <row r="50">
          <cell r="P50">
            <v>9906000</v>
          </cell>
        </row>
        <row r="64">
          <cell r="D64">
            <v>33306266</v>
          </cell>
          <cell r="P64">
            <v>9999980</v>
          </cell>
        </row>
        <row r="72">
          <cell r="D72">
            <v>1364847299</v>
          </cell>
          <cell r="P72">
            <v>1054003430</v>
          </cell>
          <cell r="R72">
            <v>103143693</v>
          </cell>
        </row>
        <row r="83">
          <cell r="B83">
            <v>22381000</v>
          </cell>
        </row>
        <row r="84">
          <cell r="B84">
            <v>4360000</v>
          </cell>
        </row>
        <row r="85">
          <cell r="B85">
            <v>27100000</v>
          </cell>
        </row>
        <row r="86">
          <cell r="B86">
            <v>5114000</v>
          </cell>
        </row>
        <row r="94">
          <cell r="D94">
            <v>82000</v>
          </cell>
        </row>
        <row r="95">
          <cell r="D95">
            <v>371670689</v>
          </cell>
          <cell r="R95">
            <v>352142889</v>
          </cell>
        </row>
        <row r="96">
          <cell r="P96">
            <v>19506764</v>
          </cell>
        </row>
        <row r="97">
          <cell r="P97">
            <v>8763000</v>
          </cell>
        </row>
        <row r="98">
          <cell r="D98">
            <v>201453968</v>
          </cell>
          <cell r="R98">
            <v>192885553</v>
          </cell>
        </row>
        <row r="99">
          <cell r="D99">
            <v>18920500</v>
          </cell>
          <cell r="P99">
            <v>10450000</v>
          </cell>
        </row>
        <row r="100">
          <cell r="D100">
            <v>4990000</v>
          </cell>
        </row>
        <row r="131">
          <cell r="R131">
            <v>18868263</v>
          </cell>
        </row>
        <row r="134">
          <cell r="P134">
            <v>725400</v>
          </cell>
        </row>
        <row r="136">
          <cell r="D136">
            <v>39557322</v>
          </cell>
        </row>
        <row r="137">
          <cell r="D137">
            <v>127264760</v>
          </cell>
          <cell r="R137">
            <v>123968960</v>
          </cell>
        </row>
        <row r="138">
          <cell r="D138">
            <v>5000000</v>
          </cell>
        </row>
        <row r="140">
          <cell r="P140">
            <v>69298170</v>
          </cell>
          <cell r="R140">
            <v>21948500</v>
          </cell>
        </row>
        <row r="142">
          <cell r="P142">
            <v>20363882</v>
          </cell>
          <cell r="R142">
            <v>101433182</v>
          </cell>
        </row>
        <row r="147">
          <cell r="P147">
            <v>14051071</v>
          </cell>
        </row>
        <row r="155">
          <cell r="P155">
            <v>7518400</v>
          </cell>
        </row>
        <row r="168">
          <cell r="B168">
            <v>81405843</v>
          </cell>
        </row>
        <row r="169">
          <cell r="B169">
            <v>2330570000</v>
          </cell>
        </row>
        <row r="170">
          <cell r="B170">
            <v>0</v>
          </cell>
        </row>
        <row r="171">
          <cell r="B171">
            <v>200000000</v>
          </cell>
        </row>
        <row r="173">
          <cell r="E173">
            <v>71779501</v>
          </cell>
          <cell r="F173">
            <v>62778248</v>
          </cell>
          <cell r="G173">
            <v>13005672</v>
          </cell>
          <cell r="H173">
            <v>8240882</v>
          </cell>
          <cell r="I173">
            <v>426431082</v>
          </cell>
          <cell r="J173">
            <v>809271698</v>
          </cell>
          <cell r="K173">
            <v>59500000</v>
          </cell>
          <cell r="L173">
            <v>60955000</v>
          </cell>
          <cell r="M173">
            <v>3836974435</v>
          </cell>
          <cell r="N173">
            <v>3949512885</v>
          </cell>
          <cell r="O173">
            <v>1794603577</v>
          </cell>
          <cell r="P173">
            <v>2162935545</v>
          </cell>
          <cell r="Q173">
            <v>1082174584</v>
          </cell>
          <cell r="R173">
            <v>1784916675</v>
          </cell>
          <cell r="S173">
            <v>0</v>
          </cell>
          <cell r="T173">
            <v>234849789</v>
          </cell>
        </row>
      </sheetData>
      <sheetData sheetId="6">
        <row r="43">
          <cell r="B43">
            <v>1137458382</v>
          </cell>
          <cell r="C43">
            <v>1214716346</v>
          </cell>
          <cell r="D43">
            <v>166473117</v>
          </cell>
          <cell r="E43">
            <v>183383281</v>
          </cell>
          <cell r="F43">
            <v>588299013</v>
          </cell>
          <cell r="G43">
            <v>596775271</v>
          </cell>
          <cell r="H43">
            <v>0</v>
          </cell>
          <cell r="I43">
            <v>0</v>
          </cell>
          <cell r="J43">
            <v>0</v>
          </cell>
          <cell r="K43">
            <v>9743713</v>
          </cell>
          <cell r="L43">
            <v>3024400</v>
          </cell>
          <cell r="M43">
            <v>30166543</v>
          </cell>
          <cell r="N43">
            <v>8800000</v>
          </cell>
          <cell r="O43">
            <v>18825612</v>
          </cell>
          <cell r="P43">
            <v>0</v>
          </cell>
          <cell r="Q43">
            <v>0</v>
          </cell>
        </row>
      </sheetData>
      <sheetData sheetId="7">
        <row r="9">
          <cell r="D9">
            <v>18845455</v>
          </cell>
        </row>
        <row r="10">
          <cell r="D10">
            <v>1347316350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</sheetNames>
    <sheetDataSet>
      <sheetData sheetId="0" refreshError="1"/>
      <sheetData sheetId="1" refreshError="1"/>
      <sheetData sheetId="2" refreshError="1">
        <row r="15">
          <cell r="B15">
            <v>238920</v>
          </cell>
        </row>
        <row r="75">
          <cell r="B75">
            <v>2227621769</v>
          </cell>
          <cell r="D75">
            <v>585156095</v>
          </cell>
          <cell r="F75">
            <v>450958154</v>
          </cell>
          <cell r="H75">
            <v>302359857</v>
          </cell>
          <cell r="J75">
            <v>126391540</v>
          </cell>
          <cell r="L75">
            <v>0</v>
          </cell>
          <cell r="N75">
            <v>0</v>
          </cell>
          <cell r="Q75">
            <v>5269722623</v>
          </cell>
          <cell r="W75">
            <v>8962210038</v>
          </cell>
          <cell r="X75">
            <v>10162289509</v>
          </cell>
        </row>
      </sheetData>
      <sheetData sheetId="3" refreshError="1">
        <row r="13">
          <cell r="Y13">
            <v>656725142</v>
          </cell>
          <cell r="Z13">
            <v>686552777</v>
          </cell>
        </row>
        <row r="14">
          <cell r="Y14">
            <v>0</v>
          </cell>
          <cell r="Z14">
            <v>3005916</v>
          </cell>
        </row>
        <row r="15">
          <cell r="Y15">
            <v>10409000</v>
          </cell>
          <cell r="Z15">
            <v>11295640</v>
          </cell>
        </row>
        <row r="16">
          <cell r="Y16">
            <v>667134142</v>
          </cell>
          <cell r="Z16">
            <v>700854333</v>
          </cell>
        </row>
        <row r="18">
          <cell r="Y18">
            <v>200754417</v>
          </cell>
          <cell r="Z18">
            <v>203573543</v>
          </cell>
        </row>
        <row r="19">
          <cell r="Y19">
            <v>5911957</v>
          </cell>
          <cell r="Z19">
            <v>5341789</v>
          </cell>
        </row>
        <row r="21">
          <cell r="Y21">
            <v>5000000</v>
          </cell>
          <cell r="Z21">
            <v>9174195</v>
          </cell>
        </row>
        <row r="22">
          <cell r="Y22">
            <v>211666374</v>
          </cell>
          <cell r="Z22">
            <v>219036857</v>
          </cell>
        </row>
        <row r="24">
          <cell r="Y24">
            <v>308038054</v>
          </cell>
          <cell r="Z24">
            <v>304004005</v>
          </cell>
        </row>
        <row r="25">
          <cell r="Y25">
            <v>0</v>
          </cell>
          <cell r="Z25">
            <v>0</v>
          </cell>
        </row>
        <row r="26">
          <cell r="Y26">
            <v>0</v>
          </cell>
          <cell r="Z26">
            <v>0</v>
          </cell>
        </row>
        <row r="27">
          <cell r="Y27">
            <v>313649827</v>
          </cell>
          <cell r="Z27">
            <v>319888151</v>
          </cell>
        </row>
        <row r="28">
          <cell r="Y28">
            <v>621687881</v>
          </cell>
          <cell r="Z28">
            <v>623892156</v>
          </cell>
        </row>
        <row r="30">
          <cell r="Y30">
            <v>35567445</v>
          </cell>
          <cell r="Z30">
            <v>34679034</v>
          </cell>
        </row>
        <row r="32">
          <cell r="Y32">
            <v>3694517</v>
          </cell>
          <cell r="Z32">
            <v>3694517</v>
          </cell>
        </row>
        <row r="33">
          <cell r="Y33">
            <v>39261962</v>
          </cell>
          <cell r="Z33">
            <v>38373551</v>
          </cell>
        </row>
        <row r="35">
          <cell r="Y35">
            <v>311705688</v>
          </cell>
          <cell r="Z35">
            <v>315106249</v>
          </cell>
        </row>
        <row r="36">
          <cell r="Y36">
            <v>5544000</v>
          </cell>
          <cell r="Z36">
            <v>5544000</v>
          </cell>
        </row>
        <row r="37">
          <cell r="Y37">
            <v>47054865</v>
          </cell>
          <cell r="Z37">
            <v>47054865</v>
          </cell>
        </row>
        <row r="38">
          <cell r="Y38">
            <v>0</v>
          </cell>
          <cell r="Z38">
            <v>0</v>
          </cell>
        </row>
        <row r="39">
          <cell r="Y39">
            <v>364304553</v>
          </cell>
          <cell r="Z39">
            <v>367705114</v>
          </cell>
        </row>
        <row r="40">
          <cell r="Y40">
            <v>1857000047</v>
          </cell>
          <cell r="Z40">
            <v>1902807146</v>
          </cell>
        </row>
        <row r="41">
          <cell r="Y41">
            <v>47054865</v>
          </cell>
        </row>
        <row r="42">
          <cell r="Y42">
            <v>0</v>
          </cell>
          <cell r="Z42">
            <v>0</v>
          </cell>
        </row>
        <row r="43">
          <cell r="B43">
            <v>320771581</v>
          </cell>
          <cell r="D43">
            <v>0</v>
          </cell>
          <cell r="F43">
            <v>50000</v>
          </cell>
          <cell r="H43">
            <v>117134566</v>
          </cell>
          <cell r="J43">
            <v>0</v>
          </cell>
          <cell r="L43">
            <v>0</v>
          </cell>
          <cell r="N43">
            <v>0</v>
          </cell>
          <cell r="Q43">
            <v>69763421</v>
          </cell>
          <cell r="S43">
            <v>1396335344</v>
          </cell>
          <cell r="Y43">
            <v>1904054912</v>
          </cell>
          <cell r="Z43">
            <v>1949862011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1.sz. melléklet"/>
    </sheetNames>
    <sheetDataSet>
      <sheetData sheetId="0">
        <row r="7">
          <cell r="E7">
            <v>2151926182</v>
          </cell>
        </row>
      </sheetData>
      <sheetData sheetId="1">
        <row r="82">
          <cell r="D82">
            <v>2035146089</v>
          </cell>
        </row>
      </sheetData>
      <sheetData sheetId="2">
        <row r="15">
          <cell r="B15">
            <v>238920</v>
          </cell>
        </row>
      </sheetData>
      <sheetData sheetId="3">
        <row r="13">
          <cell r="Y13">
            <v>656725142</v>
          </cell>
        </row>
      </sheetData>
      <sheetData sheetId="4">
        <row r="18">
          <cell r="S18">
            <v>1696965443</v>
          </cell>
        </row>
        <row r="19">
          <cell r="Z19">
            <v>9469929606</v>
          </cell>
        </row>
      </sheetData>
      <sheetData sheetId="5">
        <row r="147">
          <cell r="B147">
            <v>81405843</v>
          </cell>
        </row>
      </sheetData>
      <sheetData sheetId="6">
        <row r="41">
          <cell r="B41">
            <v>1137458382</v>
          </cell>
        </row>
      </sheetData>
      <sheetData sheetId="7"/>
      <sheetData sheetId="8">
        <row r="9">
          <cell r="D9">
            <v>3280658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="91" zoomScaleSheetLayoutView="91" workbookViewId="0">
      <selection activeCell="A22" sqref="A22"/>
    </sheetView>
  </sheetViews>
  <sheetFormatPr defaultRowHeight="15.75" x14ac:dyDescent="0.25"/>
  <cols>
    <col min="1" max="1" width="74.5703125" style="1" customWidth="1"/>
    <col min="2" max="2" width="16.28515625" style="1" customWidth="1"/>
    <col min="3" max="3" width="19" style="38" customWidth="1"/>
    <col min="4" max="4" width="19.28515625" style="332" customWidth="1"/>
    <col min="5" max="5" width="23.85546875" style="1" customWidth="1"/>
    <col min="6" max="6" width="16.28515625" style="1" customWidth="1"/>
    <col min="7" max="7" width="16.5703125" style="333" bestFit="1" customWidth="1"/>
    <col min="8" max="9" width="9.140625" style="1"/>
    <col min="10" max="10" width="17.42578125" style="1" bestFit="1" customWidth="1"/>
    <col min="11" max="16384" width="9.140625" style="1"/>
  </cols>
  <sheetData>
    <row r="1" spans="1:7" ht="20.100000000000001" customHeight="1" x14ac:dyDescent="0.25">
      <c r="A1" s="676" t="s">
        <v>504</v>
      </c>
      <c r="B1" s="677"/>
      <c r="C1" s="677"/>
      <c r="D1" s="677"/>
      <c r="E1" s="134"/>
    </row>
    <row r="2" spans="1:7" ht="20.100000000000001" customHeight="1" x14ac:dyDescent="0.25">
      <c r="A2" s="2"/>
      <c r="B2" s="3"/>
      <c r="C2" s="4"/>
      <c r="D2" s="4"/>
      <c r="E2" s="4"/>
    </row>
    <row r="3" spans="1:7" s="46" customFormat="1" ht="65.25" customHeight="1" x14ac:dyDescent="0.25">
      <c r="A3" s="678" t="s">
        <v>392</v>
      </c>
      <c r="B3" s="678"/>
      <c r="C3" s="678"/>
      <c r="D3" s="678"/>
      <c r="E3" s="678"/>
      <c r="G3" s="334"/>
    </row>
    <row r="4" spans="1:7" ht="20.100000000000001" customHeight="1" thickBot="1" x14ac:dyDescent="0.3">
      <c r="A4" s="5"/>
      <c r="B4" s="6"/>
      <c r="C4" s="6"/>
      <c r="D4" s="159"/>
      <c r="E4" s="159" t="s">
        <v>0</v>
      </c>
    </row>
    <row r="5" spans="1:7" ht="31.5" customHeight="1" thickBot="1" x14ac:dyDescent="0.3">
      <c r="A5" s="679" t="s">
        <v>1</v>
      </c>
      <c r="B5" s="679"/>
      <c r="C5" s="679"/>
      <c r="D5" s="680" t="s">
        <v>2</v>
      </c>
      <c r="E5" s="681" t="s">
        <v>235</v>
      </c>
    </row>
    <row r="6" spans="1:7" ht="31.5" customHeight="1" thickBot="1" x14ac:dyDescent="0.3">
      <c r="A6" s="679"/>
      <c r="B6" s="679"/>
      <c r="C6" s="679"/>
      <c r="D6" s="680"/>
      <c r="E6" s="682"/>
    </row>
    <row r="7" spans="1:7" s="46" customFormat="1" ht="20.100000000000001" customHeight="1" x14ac:dyDescent="0.25">
      <c r="A7" s="674" t="s">
        <v>48</v>
      </c>
      <c r="B7" s="675"/>
      <c r="C7" s="354"/>
      <c r="D7" s="355">
        <f>SUM('[1]2. sz. melléklet'!D84)</f>
        <v>2035146089</v>
      </c>
      <c r="E7" s="355">
        <f>SUM('[1]2. sz. melléklet'!E84)</f>
        <v>2352874858</v>
      </c>
      <c r="F7" s="356"/>
      <c r="G7" s="334"/>
    </row>
    <row r="8" spans="1:7" s="46" customFormat="1" ht="20.100000000000001" customHeight="1" x14ac:dyDescent="0.25">
      <c r="A8" s="660" t="s">
        <v>49</v>
      </c>
      <c r="B8" s="661"/>
      <c r="C8" s="156"/>
      <c r="D8" s="357">
        <f>SUM('[1]3. sz. melléklet'!B15+'[1]3. sz. melléklet'!B16+'[1]3. sz. melléklet'!B18+'[1]3. sz. melléklet'!B19+'[1]4. sz. melléklet'!B44)</f>
        <v>513247261</v>
      </c>
      <c r="E8" s="357">
        <f>SUM('[1]3. sz. melléklet'!C15+'[1]3. sz. melléklet'!C16+'[1]3. sz. melléklet'!C18+'[1]3. sz. melléklet'!C19+'[1]4. sz. melléklet'!C44+'[1]3. sz. melléklet'!C17+'[1]3. sz. melléklet'!C23+'[1]3. sz. melléklet'!C25+'[1]3. sz. melléklet'!C35+'[1]3. sz. melléklet'!C36+'[1]3. sz. melléklet'!C37+'[1]3. sz. melléklet'!C21+'[1]3. sz. melléklet'!C22+'[1]3. sz. melléklet'!C38)</f>
        <v>445001914</v>
      </c>
      <c r="F8" s="356"/>
      <c r="G8" s="334"/>
    </row>
    <row r="9" spans="1:7" s="46" customFormat="1" ht="20.100000000000001" customHeight="1" thickBot="1" x14ac:dyDescent="0.3">
      <c r="A9" s="658" t="s">
        <v>50</v>
      </c>
      <c r="B9" s="659"/>
      <c r="C9" s="41"/>
      <c r="D9" s="358"/>
      <c r="E9" s="358">
        <f>SUM('[1]3. sz. melléklet'!C20)</f>
        <v>9083713</v>
      </c>
      <c r="F9" s="356"/>
      <c r="G9" s="334"/>
    </row>
    <row r="10" spans="1:7" s="46" customFormat="1" ht="20.100000000000001" customHeight="1" thickBot="1" x14ac:dyDescent="0.3">
      <c r="A10" s="617" t="s">
        <v>51</v>
      </c>
      <c r="B10" s="359"/>
      <c r="C10" s="360"/>
      <c r="D10" s="361">
        <f>SUM(D7:D9)</f>
        <v>2548393350</v>
      </c>
      <c r="E10" s="361">
        <f>SUM(E7:E9)</f>
        <v>2806960485</v>
      </c>
      <c r="F10" s="356"/>
      <c r="G10" s="334"/>
    </row>
    <row r="11" spans="1:7" s="46" customFormat="1" ht="20.100000000000001" customHeight="1" thickBot="1" x14ac:dyDescent="0.3">
      <c r="A11" s="672" t="s">
        <v>52</v>
      </c>
      <c r="B11" s="673"/>
      <c r="C11" s="362"/>
      <c r="D11" s="363">
        <f>SUM('[1]3. sz. melléklet'!D94+'[1]4. sz. melléklet'!D44)</f>
        <v>585156095</v>
      </c>
      <c r="E11" s="363">
        <f>SUM('[1]3. sz. melléklet'!E94+'[1]4. sz. melléklet'!E44)</f>
        <v>2585627401</v>
      </c>
      <c r="F11" s="356"/>
      <c r="G11" s="334"/>
    </row>
    <row r="12" spans="1:7" s="46" customFormat="1" ht="20.100000000000001" customHeight="1" thickBot="1" x14ac:dyDescent="0.3">
      <c r="A12" s="670" t="s">
        <v>53</v>
      </c>
      <c r="B12" s="671"/>
      <c r="C12" s="363"/>
      <c r="D12" s="363">
        <f>SUM('[1]3. sz. melléklet'!F94+'[1]4. sz. melléklet'!F44)</f>
        <v>451008154</v>
      </c>
      <c r="E12" s="363">
        <f>SUM('[1]3. sz. melléklet'!G94+'[1]4. sz. melléklet'!G44)</f>
        <v>638809478</v>
      </c>
      <c r="F12" s="356"/>
      <c r="G12" s="334"/>
    </row>
    <row r="13" spans="1:7" s="46" customFormat="1" ht="20.100000000000001" customHeight="1" thickBot="1" x14ac:dyDescent="0.3">
      <c r="A13" s="615" t="s">
        <v>54</v>
      </c>
      <c r="B13" s="616"/>
      <c r="C13" s="363"/>
      <c r="D13" s="363">
        <f>SUM('[1]3. sz. melléklet'!H94+'[1]4. sz. melléklet'!H44)</f>
        <v>419494423</v>
      </c>
      <c r="E13" s="363">
        <f>SUM('[1]3. sz. melléklet'!I94+'[1]4. sz. melléklet'!I44)</f>
        <v>322568739</v>
      </c>
      <c r="F13" s="356"/>
      <c r="G13" s="334"/>
    </row>
    <row r="14" spans="1:7" s="46" customFormat="1" ht="20.100000000000001" customHeight="1" thickBot="1" x14ac:dyDescent="0.3">
      <c r="A14" s="662" t="s">
        <v>55</v>
      </c>
      <c r="B14" s="663"/>
      <c r="C14" s="364"/>
      <c r="D14" s="361">
        <f>SUM('[1]3. sz. melléklet'!J94+'[1]4. sz. melléklet'!J44)</f>
        <v>126391540</v>
      </c>
      <c r="E14" s="361">
        <f>SUM('[1]3. sz. melléklet'!K94+'[1]4. sz. melléklet'!K44)</f>
        <v>97437910</v>
      </c>
      <c r="F14" s="356"/>
      <c r="G14" s="334"/>
    </row>
    <row r="15" spans="1:7" s="368" customFormat="1" ht="20.100000000000001" customHeight="1" x14ac:dyDescent="0.25">
      <c r="A15" s="664" t="s">
        <v>56</v>
      </c>
      <c r="B15" s="665"/>
      <c r="C15" s="365"/>
      <c r="D15" s="366">
        <f>SUM('[1]3. sz. melléklet'!L94+'[1]4. sz. melléklet'!L44)</f>
        <v>0</v>
      </c>
      <c r="E15" s="366">
        <f>SUM('[1]3. sz. melléklet'!M94+'[1]4. sz. melléklet'!M44)</f>
        <v>7091539</v>
      </c>
      <c r="F15" s="356"/>
      <c r="G15" s="367"/>
    </row>
    <row r="16" spans="1:7" s="368" customFormat="1" ht="20.100000000000001" customHeight="1" thickBot="1" x14ac:dyDescent="0.3">
      <c r="A16" s="666" t="s">
        <v>57</v>
      </c>
      <c r="B16" s="667"/>
      <c r="C16" s="369"/>
      <c r="D16" s="370">
        <f>SUM('[1]3. sz. melléklet'!N94+'[1]4. sz. melléklet'!N44)</f>
        <v>0</v>
      </c>
      <c r="E16" s="370">
        <f>SUM('[1]3. sz. melléklet'!O94+'[1]4. sz. melléklet'!O44)</f>
        <v>29082745</v>
      </c>
      <c r="F16" s="356"/>
      <c r="G16" s="367"/>
    </row>
    <row r="17" spans="1:10" ht="20.100000000000001" customHeight="1" thickBot="1" x14ac:dyDescent="0.3">
      <c r="A17" s="668" t="s">
        <v>58</v>
      </c>
      <c r="B17" s="669"/>
      <c r="C17" s="42"/>
      <c r="D17" s="39">
        <f>SUM(D10+D11+D12+D13+D14+D15+D16)</f>
        <v>4130443562</v>
      </c>
      <c r="E17" s="39">
        <f>SUM(E10+E11+E12+E13+E14+E15+E16)</f>
        <v>6487578297</v>
      </c>
      <c r="F17" s="38">
        <f>SUM(D17-'[2]3. sz. melléklet'!B75-'[2]3. sz. melléklet'!D75-'[2]3. sz. melléklet'!F75-'[2]3. sz. melléklet'!H75-'[2]3. sz. melléklet'!J75-'[2]3. sz. melléklet'!L75-'[2]3. sz. melléklet'!N75-'[2]4. sz. melléklet'!B43-'[2]4. sz. melléklet'!D43-'[2]4. sz. melléklet'!F43-'[2]4. sz. melléklet'!H43-'[2]4. sz. melléklet'!J43-'[2]4. sz. melléklet'!L43-'[2]4. sz. melléklet'!N43)</f>
        <v>0</v>
      </c>
    </row>
    <row r="18" spans="1:10" ht="20.100000000000001" customHeight="1" x14ac:dyDescent="0.25">
      <c r="A18" s="326" t="s">
        <v>59</v>
      </c>
      <c r="B18" s="327"/>
      <c r="C18" s="43"/>
      <c r="D18" s="43"/>
      <c r="E18" s="43"/>
      <c r="F18" s="38"/>
    </row>
    <row r="19" spans="1:10" ht="20.100000000000001" customHeight="1" x14ac:dyDescent="0.25">
      <c r="A19" s="44" t="s">
        <v>60</v>
      </c>
      <c r="B19" s="45"/>
      <c r="C19" s="32"/>
      <c r="D19" s="41">
        <f>SUM('[1]3. sz. melléklet'!Q71+'[1]4. sz. melléklet'!Q44)</f>
        <v>5139486044</v>
      </c>
      <c r="E19" s="41">
        <f>SUM('[1]3. sz. melléklet'!R71+'[1]4. sz. melléklet'!R44)</f>
        <v>5637899034</v>
      </c>
      <c r="F19" s="38"/>
    </row>
    <row r="20" spans="1:10" ht="20.100000000000001" customHeight="1" x14ac:dyDescent="0.25">
      <c r="A20" s="44" t="s">
        <v>185</v>
      </c>
      <c r="B20" s="45"/>
      <c r="C20" s="161"/>
      <c r="D20" s="644">
        <f>SUM('[1]3. sz. melléklet'!Q69)</f>
        <v>200000000</v>
      </c>
      <c r="E20" s="644">
        <f>SUM('[1]3. sz. melléklet'!R69)</f>
        <v>200000000</v>
      </c>
      <c r="F20" s="38"/>
    </row>
    <row r="21" spans="1:10" ht="20.100000000000001" customHeight="1" thickBot="1" x14ac:dyDescent="0.3">
      <c r="A21" s="44" t="s">
        <v>546</v>
      </c>
      <c r="B21" s="45"/>
      <c r="C21" s="161"/>
      <c r="D21" s="162"/>
      <c r="E21" s="162">
        <f>SUM('[1]3. sz. melléklet'!X70)</f>
        <v>1413570000</v>
      </c>
      <c r="F21" s="38">
        <f>SUM(D21-'[2]3. sz. melléklet'!Q75-'[2]4. sz. melléklet'!Q43)</f>
        <v>-5339486044</v>
      </c>
    </row>
    <row r="22" spans="1:10" ht="27" customHeight="1" thickBot="1" x14ac:dyDescent="0.3">
      <c r="A22" s="613" t="s">
        <v>61</v>
      </c>
      <c r="B22" s="614"/>
      <c r="C22" s="42"/>
      <c r="D22" s="39">
        <f>SUM(D19:D20)</f>
        <v>5339486044</v>
      </c>
      <c r="E22" s="39">
        <f>SUM(E19:E21)</f>
        <v>7251469034</v>
      </c>
      <c r="F22" s="38">
        <f>SUM(D22-'[2]3. sz. melléklet'!W75-'[2]4. sz. melléklet'!Y43+'[2]4. sz. melléklet'!S43)</f>
        <v>-4130443562</v>
      </c>
    </row>
    <row r="23" spans="1:10" ht="16.5" thickBot="1" x14ac:dyDescent="0.3">
      <c r="A23" s="656" t="s">
        <v>104</v>
      </c>
      <c r="B23" s="657"/>
      <c r="C23" s="42"/>
      <c r="D23" s="39">
        <f>D17+D22</f>
        <v>9469929606</v>
      </c>
      <c r="E23" s="39">
        <f>E17+E22</f>
        <v>13739047331</v>
      </c>
    </row>
    <row r="25" spans="1:10" x14ac:dyDescent="0.25">
      <c r="D25" s="427">
        <f>SUM(D22-'[3]5. sz. melléklet'!Z19)</f>
        <v>-4130443562</v>
      </c>
    </row>
    <row r="28" spans="1:10" x14ac:dyDescent="0.25">
      <c r="J28" s="38"/>
    </row>
    <row r="41" spans="3:3" x14ac:dyDescent="0.25">
      <c r="C41" s="38">
        <f>SUM(D41-D25)</f>
        <v>4130443562</v>
      </c>
    </row>
  </sheetData>
  <sheetProtection formatCells="0" formatColumns="0" formatRows="0" insertColumns="0" insertRows="0" insertHyperlinks="0" deleteColumns="0" deleteRows="0" autoFilter="0" pivotTables="0"/>
  <mergeCells count="15">
    <mergeCell ref="A7:B7"/>
    <mergeCell ref="A1:D1"/>
    <mergeCell ref="A3:E3"/>
    <mergeCell ref="A5:C6"/>
    <mergeCell ref="D5:D6"/>
    <mergeCell ref="E5:E6"/>
    <mergeCell ref="A23:B23"/>
    <mergeCell ref="A9:B9"/>
    <mergeCell ref="A8:B8"/>
    <mergeCell ref="A14:B14"/>
    <mergeCell ref="A15:B15"/>
    <mergeCell ref="A16:B16"/>
    <mergeCell ref="A17:B17"/>
    <mergeCell ref="A12:B12"/>
    <mergeCell ref="A11:B11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topLeftCell="A10" zoomScale="80" zoomScaleSheetLayoutView="80" workbookViewId="0">
      <selection activeCell="E24" sqref="E24"/>
    </sheetView>
  </sheetViews>
  <sheetFormatPr defaultRowHeight="12.75" x14ac:dyDescent="0.2"/>
  <cols>
    <col min="1" max="1" width="55.85546875" style="98" customWidth="1"/>
    <col min="2" max="2" width="9.42578125" style="98" customWidth="1"/>
    <col min="3" max="3" width="15.7109375" style="98" customWidth="1"/>
    <col min="4" max="9" width="14.7109375" style="98" customWidth="1"/>
    <col min="10" max="10" width="17.28515625" style="98" customWidth="1"/>
    <col min="11" max="252" width="9.140625" style="98"/>
    <col min="253" max="253" width="55.85546875" style="98" customWidth="1"/>
    <col min="254" max="254" width="9.42578125" style="98" customWidth="1"/>
    <col min="255" max="255" width="13.28515625" style="98" customWidth="1"/>
    <col min="256" max="256" width="14.140625" style="98" customWidth="1"/>
    <col min="257" max="266" width="13.5703125" style="98" customWidth="1"/>
    <col min="267" max="508" width="9.140625" style="98"/>
    <col min="509" max="509" width="55.85546875" style="98" customWidth="1"/>
    <col min="510" max="510" width="9.42578125" style="98" customWidth="1"/>
    <col min="511" max="511" width="13.28515625" style="98" customWidth="1"/>
    <col min="512" max="512" width="14.140625" style="98" customWidth="1"/>
    <col min="513" max="522" width="13.5703125" style="98" customWidth="1"/>
    <col min="523" max="764" width="9.140625" style="98"/>
    <col min="765" max="765" width="55.85546875" style="98" customWidth="1"/>
    <col min="766" max="766" width="9.42578125" style="98" customWidth="1"/>
    <col min="767" max="767" width="13.28515625" style="98" customWidth="1"/>
    <col min="768" max="768" width="14.140625" style="98" customWidth="1"/>
    <col min="769" max="778" width="13.5703125" style="98" customWidth="1"/>
    <col min="779" max="1020" width="9.140625" style="98"/>
    <col min="1021" max="1021" width="55.85546875" style="98" customWidth="1"/>
    <col min="1022" max="1022" width="9.42578125" style="98" customWidth="1"/>
    <col min="1023" max="1023" width="13.28515625" style="98" customWidth="1"/>
    <col min="1024" max="1024" width="14.140625" style="98" customWidth="1"/>
    <col min="1025" max="1034" width="13.5703125" style="98" customWidth="1"/>
    <col min="1035" max="1276" width="9.140625" style="98"/>
    <col min="1277" max="1277" width="55.85546875" style="98" customWidth="1"/>
    <col min="1278" max="1278" width="9.42578125" style="98" customWidth="1"/>
    <col min="1279" max="1279" width="13.28515625" style="98" customWidth="1"/>
    <col min="1280" max="1280" width="14.140625" style="98" customWidth="1"/>
    <col min="1281" max="1290" width="13.5703125" style="98" customWidth="1"/>
    <col min="1291" max="1532" width="9.140625" style="98"/>
    <col min="1533" max="1533" width="55.85546875" style="98" customWidth="1"/>
    <col min="1534" max="1534" width="9.42578125" style="98" customWidth="1"/>
    <col min="1535" max="1535" width="13.28515625" style="98" customWidth="1"/>
    <col min="1536" max="1536" width="14.140625" style="98" customWidth="1"/>
    <col min="1537" max="1546" width="13.5703125" style="98" customWidth="1"/>
    <col min="1547" max="1788" width="9.140625" style="98"/>
    <col min="1789" max="1789" width="55.85546875" style="98" customWidth="1"/>
    <col min="1790" max="1790" width="9.42578125" style="98" customWidth="1"/>
    <col min="1791" max="1791" width="13.28515625" style="98" customWidth="1"/>
    <col min="1792" max="1792" width="14.140625" style="98" customWidth="1"/>
    <col min="1793" max="1802" width="13.5703125" style="98" customWidth="1"/>
    <col min="1803" max="2044" width="9.140625" style="98"/>
    <col min="2045" max="2045" width="55.85546875" style="98" customWidth="1"/>
    <col min="2046" max="2046" width="9.42578125" style="98" customWidth="1"/>
    <col min="2047" max="2047" width="13.28515625" style="98" customWidth="1"/>
    <col min="2048" max="2048" width="14.140625" style="98" customWidth="1"/>
    <col min="2049" max="2058" width="13.5703125" style="98" customWidth="1"/>
    <col min="2059" max="2300" width="9.140625" style="98"/>
    <col min="2301" max="2301" width="55.85546875" style="98" customWidth="1"/>
    <col min="2302" max="2302" width="9.42578125" style="98" customWidth="1"/>
    <col min="2303" max="2303" width="13.28515625" style="98" customWidth="1"/>
    <col min="2304" max="2304" width="14.140625" style="98" customWidth="1"/>
    <col min="2305" max="2314" width="13.5703125" style="98" customWidth="1"/>
    <col min="2315" max="2556" width="9.140625" style="98"/>
    <col min="2557" max="2557" width="55.85546875" style="98" customWidth="1"/>
    <col min="2558" max="2558" width="9.42578125" style="98" customWidth="1"/>
    <col min="2559" max="2559" width="13.28515625" style="98" customWidth="1"/>
    <col min="2560" max="2560" width="14.140625" style="98" customWidth="1"/>
    <col min="2561" max="2570" width="13.5703125" style="98" customWidth="1"/>
    <col min="2571" max="2812" width="9.140625" style="98"/>
    <col min="2813" max="2813" width="55.85546875" style="98" customWidth="1"/>
    <col min="2814" max="2814" width="9.42578125" style="98" customWidth="1"/>
    <col min="2815" max="2815" width="13.28515625" style="98" customWidth="1"/>
    <col min="2816" max="2816" width="14.140625" style="98" customWidth="1"/>
    <col min="2817" max="2826" width="13.5703125" style="98" customWidth="1"/>
    <col min="2827" max="3068" width="9.140625" style="98"/>
    <col min="3069" max="3069" width="55.85546875" style="98" customWidth="1"/>
    <col min="3070" max="3070" width="9.42578125" style="98" customWidth="1"/>
    <col min="3071" max="3071" width="13.28515625" style="98" customWidth="1"/>
    <col min="3072" max="3072" width="14.140625" style="98" customWidth="1"/>
    <col min="3073" max="3082" width="13.5703125" style="98" customWidth="1"/>
    <col min="3083" max="3324" width="9.140625" style="98"/>
    <col min="3325" max="3325" width="55.85546875" style="98" customWidth="1"/>
    <col min="3326" max="3326" width="9.42578125" style="98" customWidth="1"/>
    <col min="3327" max="3327" width="13.28515625" style="98" customWidth="1"/>
    <col min="3328" max="3328" width="14.140625" style="98" customWidth="1"/>
    <col min="3329" max="3338" width="13.5703125" style="98" customWidth="1"/>
    <col min="3339" max="3580" width="9.140625" style="98"/>
    <col min="3581" max="3581" width="55.85546875" style="98" customWidth="1"/>
    <col min="3582" max="3582" width="9.42578125" style="98" customWidth="1"/>
    <col min="3583" max="3583" width="13.28515625" style="98" customWidth="1"/>
    <col min="3584" max="3584" width="14.140625" style="98" customWidth="1"/>
    <col min="3585" max="3594" width="13.5703125" style="98" customWidth="1"/>
    <col min="3595" max="3836" width="9.140625" style="98"/>
    <col min="3837" max="3837" width="55.85546875" style="98" customWidth="1"/>
    <col min="3838" max="3838" width="9.42578125" style="98" customWidth="1"/>
    <col min="3839" max="3839" width="13.28515625" style="98" customWidth="1"/>
    <col min="3840" max="3840" width="14.140625" style="98" customWidth="1"/>
    <col min="3841" max="3850" width="13.5703125" style="98" customWidth="1"/>
    <col min="3851" max="4092" width="9.140625" style="98"/>
    <col min="4093" max="4093" width="55.85546875" style="98" customWidth="1"/>
    <col min="4094" max="4094" width="9.42578125" style="98" customWidth="1"/>
    <col min="4095" max="4095" width="13.28515625" style="98" customWidth="1"/>
    <col min="4096" max="4096" width="14.140625" style="98" customWidth="1"/>
    <col min="4097" max="4106" width="13.5703125" style="98" customWidth="1"/>
    <col min="4107" max="4348" width="9.140625" style="98"/>
    <col min="4349" max="4349" width="55.85546875" style="98" customWidth="1"/>
    <col min="4350" max="4350" width="9.42578125" style="98" customWidth="1"/>
    <col min="4351" max="4351" width="13.28515625" style="98" customWidth="1"/>
    <col min="4352" max="4352" width="14.140625" style="98" customWidth="1"/>
    <col min="4353" max="4362" width="13.5703125" style="98" customWidth="1"/>
    <col min="4363" max="4604" width="9.140625" style="98"/>
    <col min="4605" max="4605" width="55.85546875" style="98" customWidth="1"/>
    <col min="4606" max="4606" width="9.42578125" style="98" customWidth="1"/>
    <col min="4607" max="4607" width="13.28515625" style="98" customWidth="1"/>
    <col min="4608" max="4608" width="14.140625" style="98" customWidth="1"/>
    <col min="4609" max="4618" width="13.5703125" style="98" customWidth="1"/>
    <col min="4619" max="4860" width="9.140625" style="98"/>
    <col min="4861" max="4861" width="55.85546875" style="98" customWidth="1"/>
    <col min="4862" max="4862" width="9.42578125" style="98" customWidth="1"/>
    <col min="4863" max="4863" width="13.28515625" style="98" customWidth="1"/>
    <col min="4864" max="4864" width="14.140625" style="98" customWidth="1"/>
    <col min="4865" max="4874" width="13.5703125" style="98" customWidth="1"/>
    <col min="4875" max="5116" width="9.140625" style="98"/>
    <col min="5117" max="5117" width="55.85546875" style="98" customWidth="1"/>
    <col min="5118" max="5118" width="9.42578125" style="98" customWidth="1"/>
    <col min="5119" max="5119" width="13.28515625" style="98" customWidth="1"/>
    <col min="5120" max="5120" width="14.140625" style="98" customWidth="1"/>
    <col min="5121" max="5130" width="13.5703125" style="98" customWidth="1"/>
    <col min="5131" max="5372" width="9.140625" style="98"/>
    <col min="5373" max="5373" width="55.85546875" style="98" customWidth="1"/>
    <col min="5374" max="5374" width="9.42578125" style="98" customWidth="1"/>
    <col min="5375" max="5375" width="13.28515625" style="98" customWidth="1"/>
    <col min="5376" max="5376" width="14.140625" style="98" customWidth="1"/>
    <col min="5377" max="5386" width="13.5703125" style="98" customWidth="1"/>
    <col min="5387" max="5628" width="9.140625" style="98"/>
    <col min="5629" max="5629" width="55.85546875" style="98" customWidth="1"/>
    <col min="5630" max="5630" width="9.42578125" style="98" customWidth="1"/>
    <col min="5631" max="5631" width="13.28515625" style="98" customWidth="1"/>
    <col min="5632" max="5632" width="14.140625" style="98" customWidth="1"/>
    <col min="5633" max="5642" width="13.5703125" style="98" customWidth="1"/>
    <col min="5643" max="5884" width="9.140625" style="98"/>
    <col min="5885" max="5885" width="55.85546875" style="98" customWidth="1"/>
    <col min="5886" max="5886" width="9.42578125" style="98" customWidth="1"/>
    <col min="5887" max="5887" width="13.28515625" style="98" customWidth="1"/>
    <col min="5888" max="5888" width="14.140625" style="98" customWidth="1"/>
    <col min="5889" max="5898" width="13.5703125" style="98" customWidth="1"/>
    <col min="5899" max="6140" width="9.140625" style="98"/>
    <col min="6141" max="6141" width="55.85546875" style="98" customWidth="1"/>
    <col min="6142" max="6142" width="9.42578125" style="98" customWidth="1"/>
    <col min="6143" max="6143" width="13.28515625" style="98" customWidth="1"/>
    <col min="6144" max="6144" width="14.140625" style="98" customWidth="1"/>
    <col min="6145" max="6154" width="13.5703125" style="98" customWidth="1"/>
    <col min="6155" max="6396" width="9.140625" style="98"/>
    <col min="6397" max="6397" width="55.85546875" style="98" customWidth="1"/>
    <col min="6398" max="6398" width="9.42578125" style="98" customWidth="1"/>
    <col min="6399" max="6399" width="13.28515625" style="98" customWidth="1"/>
    <col min="6400" max="6400" width="14.140625" style="98" customWidth="1"/>
    <col min="6401" max="6410" width="13.5703125" style="98" customWidth="1"/>
    <col min="6411" max="6652" width="9.140625" style="98"/>
    <col min="6653" max="6653" width="55.85546875" style="98" customWidth="1"/>
    <col min="6654" max="6654" width="9.42578125" style="98" customWidth="1"/>
    <col min="6655" max="6655" width="13.28515625" style="98" customWidth="1"/>
    <col min="6656" max="6656" width="14.140625" style="98" customWidth="1"/>
    <col min="6657" max="6666" width="13.5703125" style="98" customWidth="1"/>
    <col min="6667" max="6908" width="9.140625" style="98"/>
    <col min="6909" max="6909" width="55.85546875" style="98" customWidth="1"/>
    <col min="6910" max="6910" width="9.42578125" style="98" customWidth="1"/>
    <col min="6911" max="6911" width="13.28515625" style="98" customWidth="1"/>
    <col min="6912" max="6912" width="14.140625" style="98" customWidth="1"/>
    <col min="6913" max="6922" width="13.5703125" style="98" customWidth="1"/>
    <col min="6923" max="7164" width="9.140625" style="98"/>
    <col min="7165" max="7165" width="55.85546875" style="98" customWidth="1"/>
    <col min="7166" max="7166" width="9.42578125" style="98" customWidth="1"/>
    <col min="7167" max="7167" width="13.28515625" style="98" customWidth="1"/>
    <col min="7168" max="7168" width="14.140625" style="98" customWidth="1"/>
    <col min="7169" max="7178" width="13.5703125" style="98" customWidth="1"/>
    <col min="7179" max="7420" width="9.140625" style="98"/>
    <col min="7421" max="7421" width="55.85546875" style="98" customWidth="1"/>
    <col min="7422" max="7422" width="9.42578125" style="98" customWidth="1"/>
    <col min="7423" max="7423" width="13.28515625" style="98" customWidth="1"/>
    <col min="7424" max="7424" width="14.140625" style="98" customWidth="1"/>
    <col min="7425" max="7434" width="13.5703125" style="98" customWidth="1"/>
    <col min="7435" max="7676" width="9.140625" style="98"/>
    <col min="7677" max="7677" width="55.85546875" style="98" customWidth="1"/>
    <col min="7678" max="7678" width="9.42578125" style="98" customWidth="1"/>
    <col min="7679" max="7679" width="13.28515625" style="98" customWidth="1"/>
    <col min="7680" max="7680" width="14.140625" style="98" customWidth="1"/>
    <col min="7681" max="7690" width="13.5703125" style="98" customWidth="1"/>
    <col min="7691" max="7932" width="9.140625" style="98"/>
    <col min="7933" max="7933" width="55.85546875" style="98" customWidth="1"/>
    <col min="7934" max="7934" width="9.42578125" style="98" customWidth="1"/>
    <col min="7935" max="7935" width="13.28515625" style="98" customWidth="1"/>
    <col min="7936" max="7936" width="14.140625" style="98" customWidth="1"/>
    <col min="7937" max="7946" width="13.5703125" style="98" customWidth="1"/>
    <col min="7947" max="8188" width="9.140625" style="98"/>
    <col min="8189" max="8189" width="55.85546875" style="98" customWidth="1"/>
    <col min="8190" max="8190" width="9.42578125" style="98" customWidth="1"/>
    <col min="8191" max="8191" width="13.28515625" style="98" customWidth="1"/>
    <col min="8192" max="8192" width="14.140625" style="98" customWidth="1"/>
    <col min="8193" max="8202" width="13.5703125" style="98" customWidth="1"/>
    <col min="8203" max="8444" width="9.140625" style="98"/>
    <col min="8445" max="8445" width="55.85546875" style="98" customWidth="1"/>
    <col min="8446" max="8446" width="9.42578125" style="98" customWidth="1"/>
    <col min="8447" max="8447" width="13.28515625" style="98" customWidth="1"/>
    <col min="8448" max="8448" width="14.140625" style="98" customWidth="1"/>
    <col min="8449" max="8458" width="13.5703125" style="98" customWidth="1"/>
    <col min="8459" max="8700" width="9.140625" style="98"/>
    <col min="8701" max="8701" width="55.85546875" style="98" customWidth="1"/>
    <col min="8702" max="8702" width="9.42578125" style="98" customWidth="1"/>
    <col min="8703" max="8703" width="13.28515625" style="98" customWidth="1"/>
    <col min="8704" max="8704" width="14.140625" style="98" customWidth="1"/>
    <col min="8705" max="8714" width="13.5703125" style="98" customWidth="1"/>
    <col min="8715" max="8956" width="9.140625" style="98"/>
    <col min="8957" max="8957" width="55.85546875" style="98" customWidth="1"/>
    <col min="8958" max="8958" width="9.42578125" style="98" customWidth="1"/>
    <col min="8959" max="8959" width="13.28515625" style="98" customWidth="1"/>
    <col min="8960" max="8960" width="14.140625" style="98" customWidth="1"/>
    <col min="8961" max="8970" width="13.5703125" style="98" customWidth="1"/>
    <col min="8971" max="9212" width="9.140625" style="98"/>
    <col min="9213" max="9213" width="55.85546875" style="98" customWidth="1"/>
    <col min="9214" max="9214" width="9.42578125" style="98" customWidth="1"/>
    <col min="9215" max="9215" width="13.28515625" style="98" customWidth="1"/>
    <col min="9216" max="9216" width="14.140625" style="98" customWidth="1"/>
    <col min="9217" max="9226" width="13.5703125" style="98" customWidth="1"/>
    <col min="9227" max="9468" width="9.140625" style="98"/>
    <col min="9469" max="9469" width="55.85546875" style="98" customWidth="1"/>
    <col min="9470" max="9470" width="9.42578125" style="98" customWidth="1"/>
    <col min="9471" max="9471" width="13.28515625" style="98" customWidth="1"/>
    <col min="9472" max="9472" width="14.140625" style="98" customWidth="1"/>
    <col min="9473" max="9482" width="13.5703125" style="98" customWidth="1"/>
    <col min="9483" max="9724" width="9.140625" style="98"/>
    <col min="9725" max="9725" width="55.85546875" style="98" customWidth="1"/>
    <col min="9726" max="9726" width="9.42578125" style="98" customWidth="1"/>
    <col min="9727" max="9727" width="13.28515625" style="98" customWidth="1"/>
    <col min="9728" max="9728" width="14.140625" style="98" customWidth="1"/>
    <col min="9729" max="9738" width="13.5703125" style="98" customWidth="1"/>
    <col min="9739" max="9980" width="9.140625" style="98"/>
    <col min="9981" max="9981" width="55.85546875" style="98" customWidth="1"/>
    <col min="9982" max="9982" width="9.42578125" style="98" customWidth="1"/>
    <col min="9983" max="9983" width="13.28515625" style="98" customWidth="1"/>
    <col min="9984" max="9984" width="14.140625" style="98" customWidth="1"/>
    <col min="9985" max="9994" width="13.5703125" style="98" customWidth="1"/>
    <col min="9995" max="10236" width="9.140625" style="98"/>
    <col min="10237" max="10237" width="55.85546875" style="98" customWidth="1"/>
    <col min="10238" max="10238" width="9.42578125" style="98" customWidth="1"/>
    <col min="10239" max="10239" width="13.28515625" style="98" customWidth="1"/>
    <col min="10240" max="10240" width="14.140625" style="98" customWidth="1"/>
    <col min="10241" max="10250" width="13.5703125" style="98" customWidth="1"/>
    <col min="10251" max="10492" width="9.140625" style="98"/>
    <col min="10493" max="10493" width="55.85546875" style="98" customWidth="1"/>
    <col min="10494" max="10494" width="9.42578125" style="98" customWidth="1"/>
    <col min="10495" max="10495" width="13.28515625" style="98" customWidth="1"/>
    <col min="10496" max="10496" width="14.140625" style="98" customWidth="1"/>
    <col min="10497" max="10506" width="13.5703125" style="98" customWidth="1"/>
    <col min="10507" max="10748" width="9.140625" style="98"/>
    <col min="10749" max="10749" width="55.85546875" style="98" customWidth="1"/>
    <col min="10750" max="10750" width="9.42578125" style="98" customWidth="1"/>
    <col min="10751" max="10751" width="13.28515625" style="98" customWidth="1"/>
    <col min="10752" max="10752" width="14.140625" style="98" customWidth="1"/>
    <col min="10753" max="10762" width="13.5703125" style="98" customWidth="1"/>
    <col min="10763" max="11004" width="9.140625" style="98"/>
    <col min="11005" max="11005" width="55.85546875" style="98" customWidth="1"/>
    <col min="11006" max="11006" width="9.42578125" style="98" customWidth="1"/>
    <col min="11007" max="11007" width="13.28515625" style="98" customWidth="1"/>
    <col min="11008" max="11008" width="14.140625" style="98" customWidth="1"/>
    <col min="11009" max="11018" width="13.5703125" style="98" customWidth="1"/>
    <col min="11019" max="11260" width="9.140625" style="98"/>
    <col min="11261" max="11261" width="55.85546875" style="98" customWidth="1"/>
    <col min="11262" max="11262" width="9.42578125" style="98" customWidth="1"/>
    <col min="11263" max="11263" width="13.28515625" style="98" customWidth="1"/>
    <col min="11264" max="11264" width="14.140625" style="98" customWidth="1"/>
    <col min="11265" max="11274" width="13.5703125" style="98" customWidth="1"/>
    <col min="11275" max="11516" width="9.140625" style="98"/>
    <col min="11517" max="11517" width="55.85546875" style="98" customWidth="1"/>
    <col min="11518" max="11518" width="9.42578125" style="98" customWidth="1"/>
    <col min="11519" max="11519" width="13.28515625" style="98" customWidth="1"/>
    <col min="11520" max="11520" width="14.140625" style="98" customWidth="1"/>
    <col min="11521" max="11530" width="13.5703125" style="98" customWidth="1"/>
    <col min="11531" max="11772" width="9.140625" style="98"/>
    <col min="11773" max="11773" width="55.85546875" style="98" customWidth="1"/>
    <col min="11774" max="11774" width="9.42578125" style="98" customWidth="1"/>
    <col min="11775" max="11775" width="13.28515625" style="98" customWidth="1"/>
    <col min="11776" max="11776" width="14.140625" style="98" customWidth="1"/>
    <col min="11777" max="11786" width="13.5703125" style="98" customWidth="1"/>
    <col min="11787" max="12028" width="9.140625" style="98"/>
    <col min="12029" max="12029" width="55.85546875" style="98" customWidth="1"/>
    <col min="12030" max="12030" width="9.42578125" style="98" customWidth="1"/>
    <col min="12031" max="12031" width="13.28515625" style="98" customWidth="1"/>
    <col min="12032" max="12032" width="14.140625" style="98" customWidth="1"/>
    <col min="12033" max="12042" width="13.5703125" style="98" customWidth="1"/>
    <col min="12043" max="12284" width="9.140625" style="98"/>
    <col min="12285" max="12285" width="55.85546875" style="98" customWidth="1"/>
    <col min="12286" max="12286" width="9.42578125" style="98" customWidth="1"/>
    <col min="12287" max="12287" width="13.28515625" style="98" customWidth="1"/>
    <col min="12288" max="12288" width="14.140625" style="98" customWidth="1"/>
    <col min="12289" max="12298" width="13.5703125" style="98" customWidth="1"/>
    <col min="12299" max="12540" width="9.140625" style="98"/>
    <col min="12541" max="12541" width="55.85546875" style="98" customWidth="1"/>
    <col min="12542" max="12542" width="9.42578125" style="98" customWidth="1"/>
    <col min="12543" max="12543" width="13.28515625" style="98" customWidth="1"/>
    <col min="12544" max="12544" width="14.140625" style="98" customWidth="1"/>
    <col min="12545" max="12554" width="13.5703125" style="98" customWidth="1"/>
    <col min="12555" max="12796" width="9.140625" style="98"/>
    <col min="12797" max="12797" width="55.85546875" style="98" customWidth="1"/>
    <col min="12798" max="12798" width="9.42578125" style="98" customWidth="1"/>
    <col min="12799" max="12799" width="13.28515625" style="98" customWidth="1"/>
    <col min="12800" max="12800" width="14.140625" style="98" customWidth="1"/>
    <col min="12801" max="12810" width="13.5703125" style="98" customWidth="1"/>
    <col min="12811" max="13052" width="9.140625" style="98"/>
    <col min="13053" max="13053" width="55.85546875" style="98" customWidth="1"/>
    <col min="13054" max="13054" width="9.42578125" style="98" customWidth="1"/>
    <col min="13055" max="13055" width="13.28515625" style="98" customWidth="1"/>
    <col min="13056" max="13056" width="14.140625" style="98" customWidth="1"/>
    <col min="13057" max="13066" width="13.5703125" style="98" customWidth="1"/>
    <col min="13067" max="13308" width="9.140625" style="98"/>
    <col min="13309" max="13309" width="55.85546875" style="98" customWidth="1"/>
    <col min="13310" max="13310" width="9.42578125" style="98" customWidth="1"/>
    <col min="13311" max="13311" width="13.28515625" style="98" customWidth="1"/>
    <col min="13312" max="13312" width="14.140625" style="98" customWidth="1"/>
    <col min="13313" max="13322" width="13.5703125" style="98" customWidth="1"/>
    <col min="13323" max="13564" width="9.140625" style="98"/>
    <col min="13565" max="13565" width="55.85546875" style="98" customWidth="1"/>
    <col min="13566" max="13566" width="9.42578125" style="98" customWidth="1"/>
    <col min="13567" max="13567" width="13.28515625" style="98" customWidth="1"/>
    <col min="13568" max="13568" width="14.140625" style="98" customWidth="1"/>
    <col min="13569" max="13578" width="13.5703125" style="98" customWidth="1"/>
    <col min="13579" max="13820" width="9.140625" style="98"/>
    <col min="13821" max="13821" width="55.85546875" style="98" customWidth="1"/>
    <col min="13822" max="13822" width="9.42578125" style="98" customWidth="1"/>
    <col min="13823" max="13823" width="13.28515625" style="98" customWidth="1"/>
    <col min="13824" max="13824" width="14.140625" style="98" customWidth="1"/>
    <col min="13825" max="13834" width="13.5703125" style="98" customWidth="1"/>
    <col min="13835" max="14076" width="9.140625" style="98"/>
    <col min="14077" max="14077" width="55.85546875" style="98" customWidth="1"/>
    <col min="14078" max="14078" width="9.42578125" style="98" customWidth="1"/>
    <col min="14079" max="14079" width="13.28515625" style="98" customWidth="1"/>
    <col min="14080" max="14080" width="14.140625" style="98" customWidth="1"/>
    <col min="14081" max="14090" width="13.5703125" style="98" customWidth="1"/>
    <col min="14091" max="14332" width="9.140625" style="98"/>
    <col min="14333" max="14333" width="55.85546875" style="98" customWidth="1"/>
    <col min="14334" max="14334" width="9.42578125" style="98" customWidth="1"/>
    <col min="14335" max="14335" width="13.28515625" style="98" customWidth="1"/>
    <col min="14336" max="14336" width="14.140625" style="98" customWidth="1"/>
    <col min="14337" max="14346" width="13.5703125" style="98" customWidth="1"/>
    <col min="14347" max="14588" width="9.140625" style="98"/>
    <col min="14589" max="14589" width="55.85546875" style="98" customWidth="1"/>
    <col min="14590" max="14590" width="9.42578125" style="98" customWidth="1"/>
    <col min="14591" max="14591" width="13.28515625" style="98" customWidth="1"/>
    <col min="14592" max="14592" width="14.140625" style="98" customWidth="1"/>
    <col min="14593" max="14602" width="13.5703125" style="98" customWidth="1"/>
    <col min="14603" max="14844" width="9.140625" style="98"/>
    <col min="14845" max="14845" width="55.85546875" style="98" customWidth="1"/>
    <col min="14846" max="14846" width="9.42578125" style="98" customWidth="1"/>
    <col min="14847" max="14847" width="13.28515625" style="98" customWidth="1"/>
    <col min="14848" max="14848" width="14.140625" style="98" customWidth="1"/>
    <col min="14849" max="14858" width="13.5703125" style="98" customWidth="1"/>
    <col min="14859" max="15100" width="9.140625" style="98"/>
    <col min="15101" max="15101" width="55.85546875" style="98" customWidth="1"/>
    <col min="15102" max="15102" width="9.42578125" style="98" customWidth="1"/>
    <col min="15103" max="15103" width="13.28515625" style="98" customWidth="1"/>
    <col min="15104" max="15104" width="14.140625" style="98" customWidth="1"/>
    <col min="15105" max="15114" width="13.5703125" style="98" customWidth="1"/>
    <col min="15115" max="15356" width="9.140625" style="98"/>
    <col min="15357" max="15357" width="55.85546875" style="98" customWidth="1"/>
    <col min="15358" max="15358" width="9.42578125" style="98" customWidth="1"/>
    <col min="15359" max="15359" width="13.28515625" style="98" customWidth="1"/>
    <col min="15360" max="15360" width="14.140625" style="98" customWidth="1"/>
    <col min="15361" max="15370" width="13.5703125" style="98" customWidth="1"/>
    <col min="15371" max="15612" width="9.140625" style="98"/>
    <col min="15613" max="15613" width="55.85546875" style="98" customWidth="1"/>
    <col min="15614" max="15614" width="9.42578125" style="98" customWidth="1"/>
    <col min="15615" max="15615" width="13.28515625" style="98" customWidth="1"/>
    <col min="15616" max="15616" width="14.140625" style="98" customWidth="1"/>
    <col min="15617" max="15626" width="13.5703125" style="98" customWidth="1"/>
    <col min="15627" max="15868" width="9.140625" style="98"/>
    <col min="15869" max="15869" width="55.85546875" style="98" customWidth="1"/>
    <col min="15870" max="15870" width="9.42578125" style="98" customWidth="1"/>
    <col min="15871" max="15871" width="13.28515625" style="98" customWidth="1"/>
    <col min="15872" max="15872" width="14.140625" style="98" customWidth="1"/>
    <col min="15873" max="15882" width="13.5703125" style="98" customWidth="1"/>
    <col min="15883" max="16124" width="9.140625" style="98"/>
    <col min="16125" max="16125" width="55.85546875" style="98" customWidth="1"/>
    <col min="16126" max="16126" width="9.42578125" style="98" customWidth="1"/>
    <col min="16127" max="16127" width="13.28515625" style="98" customWidth="1"/>
    <col min="16128" max="16128" width="14.140625" style="98" customWidth="1"/>
    <col min="16129" max="16138" width="13.5703125" style="98" customWidth="1"/>
    <col min="16139" max="16384" width="9.140625" style="98"/>
  </cols>
  <sheetData>
    <row r="1" spans="1:10" s="270" customFormat="1" ht="15.75" x14ac:dyDescent="0.25">
      <c r="A1" s="831" t="s">
        <v>513</v>
      </c>
      <c r="B1" s="831"/>
      <c r="C1" s="831"/>
      <c r="D1" s="831"/>
      <c r="E1" s="831"/>
      <c r="F1" s="831"/>
    </row>
    <row r="2" spans="1:10" x14ac:dyDescent="0.2">
      <c r="A2" s="291"/>
      <c r="B2" s="291"/>
      <c r="C2" s="291"/>
      <c r="D2" s="291"/>
      <c r="E2" s="291"/>
      <c r="F2" s="291"/>
      <c r="G2" s="291"/>
      <c r="H2" s="291"/>
      <c r="I2" s="291"/>
      <c r="J2" s="291"/>
    </row>
    <row r="3" spans="1:10" x14ac:dyDescent="0.2">
      <c r="A3" s="291"/>
      <c r="B3" s="291"/>
      <c r="C3" s="291"/>
      <c r="D3" s="291"/>
      <c r="E3" s="291"/>
      <c r="F3" s="291"/>
      <c r="G3" s="291"/>
      <c r="H3" s="291"/>
      <c r="I3" s="291"/>
      <c r="J3" s="291"/>
    </row>
    <row r="4" spans="1:10" s="292" customFormat="1" ht="15.75" customHeight="1" x14ac:dyDescent="0.25">
      <c r="A4" s="829" t="s">
        <v>476</v>
      </c>
      <c r="B4" s="829"/>
      <c r="C4" s="829"/>
      <c r="D4" s="829"/>
      <c r="E4" s="829"/>
      <c r="F4" s="829"/>
      <c r="G4" s="829"/>
      <c r="H4" s="829"/>
      <c r="I4" s="829"/>
      <c r="J4" s="829"/>
    </row>
    <row r="5" spans="1:10" ht="15.75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5.75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5.75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ht="13.5" thickBot="1" x14ac:dyDescent="0.25">
      <c r="A8" s="832" t="s">
        <v>0</v>
      </c>
      <c r="B8" s="832"/>
      <c r="C8" s="832"/>
      <c r="D8" s="832"/>
      <c r="E8" s="832"/>
      <c r="F8" s="832"/>
      <c r="G8" s="832"/>
      <c r="H8" s="832"/>
      <c r="I8" s="832"/>
      <c r="J8" s="832"/>
    </row>
    <row r="9" spans="1:10" s="293" customFormat="1" ht="15" customHeight="1" thickBot="1" x14ac:dyDescent="0.25">
      <c r="A9" s="833" t="s">
        <v>161</v>
      </c>
      <c r="B9" s="833" t="s">
        <v>249</v>
      </c>
      <c r="C9" s="833" t="s">
        <v>424</v>
      </c>
      <c r="D9" s="835"/>
      <c r="E9" s="836"/>
      <c r="F9" s="836"/>
      <c r="G9" s="836"/>
      <c r="H9" s="836"/>
      <c r="I9" s="836"/>
      <c r="J9" s="837"/>
    </row>
    <row r="10" spans="1:10" s="294" customFormat="1" ht="15" customHeight="1" thickBot="1" x14ac:dyDescent="0.25">
      <c r="A10" s="834"/>
      <c r="B10" s="834"/>
      <c r="C10" s="834"/>
      <c r="D10" s="175" t="s">
        <v>250</v>
      </c>
      <c r="E10" s="175" t="s">
        <v>251</v>
      </c>
      <c r="F10" s="175" t="s">
        <v>252</v>
      </c>
      <c r="G10" s="175" t="s">
        <v>253</v>
      </c>
      <c r="H10" s="175" t="s">
        <v>254</v>
      </c>
      <c r="I10" s="175" t="s">
        <v>448</v>
      </c>
      <c r="J10" s="175" t="s">
        <v>255</v>
      </c>
    </row>
    <row r="11" spans="1:10" x14ac:dyDescent="0.2">
      <c r="A11" s="295" t="s">
        <v>256</v>
      </c>
      <c r="B11" s="295" t="s">
        <v>257</v>
      </c>
      <c r="C11" s="295" t="s">
        <v>258</v>
      </c>
      <c r="D11" s="295" t="s">
        <v>259</v>
      </c>
      <c r="E11" s="295" t="s">
        <v>260</v>
      </c>
      <c r="F11" s="295" t="s">
        <v>261</v>
      </c>
      <c r="G11" s="295" t="s">
        <v>262</v>
      </c>
      <c r="H11" s="295" t="s">
        <v>263</v>
      </c>
      <c r="I11" s="295" t="s">
        <v>263</v>
      </c>
      <c r="J11" s="295" t="s">
        <v>264</v>
      </c>
    </row>
    <row r="12" spans="1:10" ht="15" x14ac:dyDescent="0.2">
      <c r="A12" s="296" t="s">
        <v>265</v>
      </c>
      <c r="B12" s="297" t="s">
        <v>266</v>
      </c>
      <c r="C12" s="298">
        <f>SUM('[1]3. sz. melléklet'!G48)</f>
        <v>620303714</v>
      </c>
      <c r="D12" s="298">
        <v>418608154</v>
      </c>
      <c r="E12" s="298">
        <v>550000000</v>
      </c>
      <c r="F12" s="298">
        <v>650000000</v>
      </c>
      <c r="G12" s="298">
        <v>750000000</v>
      </c>
      <c r="H12" s="298">
        <v>800000000</v>
      </c>
      <c r="I12" s="298">
        <v>850000000</v>
      </c>
      <c r="J12" s="298">
        <f t="shared" ref="J12:J17" si="0">SUM(C12:I12)</f>
        <v>4638911868</v>
      </c>
    </row>
    <row r="13" spans="1:10" ht="30" x14ac:dyDescent="0.2">
      <c r="A13" s="296" t="s">
        <v>267</v>
      </c>
      <c r="B13" s="299" t="s">
        <v>268</v>
      </c>
      <c r="C13" s="300">
        <f>SUM('[1]3. sz. melléklet'!I54+'[1]3. sz. melléklet'!I56+'[1]3. sz. melléklet'!I57)+'[1]3. sz. melléklet'!I55</f>
        <v>177282863</v>
      </c>
      <c r="D13" s="298">
        <v>171070000</v>
      </c>
      <c r="E13" s="298">
        <v>211070000</v>
      </c>
      <c r="F13" s="298">
        <v>211070000</v>
      </c>
      <c r="G13" s="298">
        <v>211070000</v>
      </c>
      <c r="H13" s="298">
        <v>211070000</v>
      </c>
      <c r="I13" s="298">
        <v>211070000</v>
      </c>
      <c r="J13" s="298">
        <f t="shared" si="0"/>
        <v>1403702863</v>
      </c>
    </row>
    <row r="14" spans="1:10" ht="15" x14ac:dyDescent="0.2">
      <c r="A14" s="296" t="s">
        <v>269</v>
      </c>
      <c r="B14" s="299" t="s">
        <v>270</v>
      </c>
      <c r="C14" s="298"/>
      <c r="D14" s="298"/>
      <c r="E14" s="298"/>
      <c r="F14" s="298"/>
      <c r="G14" s="298"/>
      <c r="H14" s="298"/>
      <c r="I14" s="298"/>
      <c r="J14" s="298">
        <f t="shared" si="0"/>
        <v>0</v>
      </c>
    </row>
    <row r="15" spans="1:10" ht="30" x14ac:dyDescent="0.2">
      <c r="A15" s="296" t="s">
        <v>271</v>
      </c>
      <c r="B15" s="299" t="s">
        <v>272</v>
      </c>
      <c r="C15" s="298">
        <f>SUM('[1]3. sz. melléklet'!K94)</f>
        <v>97437910</v>
      </c>
      <c r="D15" s="298"/>
      <c r="E15" s="298"/>
      <c r="F15" s="298"/>
      <c r="G15" s="298"/>
      <c r="H15" s="298"/>
      <c r="I15" s="298"/>
      <c r="J15" s="298">
        <f t="shared" si="0"/>
        <v>97437910</v>
      </c>
    </row>
    <row r="16" spans="1:10" ht="15" x14ac:dyDescent="0.2">
      <c r="A16" s="296" t="s">
        <v>273</v>
      </c>
      <c r="B16" s="299" t="s">
        <v>274</v>
      </c>
      <c r="C16" s="298">
        <f>SUM('[1]3. sz. melléklet'!G51)</f>
        <v>3451161</v>
      </c>
      <c r="D16" s="298">
        <v>3500000</v>
      </c>
      <c r="E16" s="298">
        <v>3500000</v>
      </c>
      <c r="F16" s="298">
        <v>3500000</v>
      </c>
      <c r="G16" s="298">
        <v>3500000</v>
      </c>
      <c r="H16" s="298">
        <v>3500000</v>
      </c>
      <c r="I16" s="298">
        <v>3500000</v>
      </c>
      <c r="J16" s="298">
        <f t="shared" si="0"/>
        <v>24451161</v>
      </c>
    </row>
    <row r="17" spans="1:10" ht="15" x14ac:dyDescent="0.2">
      <c r="A17" s="296" t="s">
        <v>275</v>
      </c>
      <c r="B17" s="299" t="s">
        <v>276</v>
      </c>
      <c r="C17" s="298"/>
      <c r="D17" s="298"/>
      <c r="E17" s="298"/>
      <c r="F17" s="298"/>
      <c r="G17" s="298"/>
      <c r="H17" s="298"/>
      <c r="I17" s="298"/>
      <c r="J17" s="298">
        <f t="shared" si="0"/>
        <v>0</v>
      </c>
    </row>
    <row r="18" spans="1:10" s="294" customFormat="1" ht="14.25" x14ac:dyDescent="0.2">
      <c r="A18" s="301" t="s">
        <v>277</v>
      </c>
      <c r="B18" s="302" t="s">
        <v>278</v>
      </c>
      <c r="C18" s="303">
        <f>SUM(C12:C17)</f>
        <v>898475648</v>
      </c>
      <c r="D18" s="303">
        <f t="shared" ref="D18:I18" si="1">SUM(D12:D17)</f>
        <v>593178154</v>
      </c>
      <c r="E18" s="303">
        <f t="shared" si="1"/>
        <v>764570000</v>
      </c>
      <c r="F18" s="303">
        <f t="shared" si="1"/>
        <v>864570000</v>
      </c>
      <c r="G18" s="303">
        <f t="shared" si="1"/>
        <v>964570000</v>
      </c>
      <c r="H18" s="303">
        <f t="shared" si="1"/>
        <v>1014570000</v>
      </c>
      <c r="I18" s="303">
        <f t="shared" si="1"/>
        <v>1064570000</v>
      </c>
      <c r="J18" s="303">
        <f>SUM(J12:J17)</f>
        <v>6164503802</v>
      </c>
    </row>
    <row r="19" spans="1:10" s="294" customFormat="1" ht="14.25" x14ac:dyDescent="0.2">
      <c r="A19" s="301" t="s">
        <v>279</v>
      </c>
      <c r="B19" s="302" t="s">
        <v>280</v>
      </c>
      <c r="C19" s="303">
        <f>C18/2</f>
        <v>449237824</v>
      </c>
      <c r="D19" s="303">
        <f t="shared" ref="D19:I19" si="2">D18/2</f>
        <v>296589077</v>
      </c>
      <c r="E19" s="303">
        <f t="shared" si="2"/>
        <v>382285000</v>
      </c>
      <c r="F19" s="303">
        <f t="shared" si="2"/>
        <v>432285000</v>
      </c>
      <c r="G19" s="303">
        <f t="shared" si="2"/>
        <v>482285000</v>
      </c>
      <c r="H19" s="303">
        <f t="shared" si="2"/>
        <v>507285000</v>
      </c>
      <c r="I19" s="303">
        <f t="shared" si="2"/>
        <v>532285000</v>
      </c>
      <c r="J19" s="303">
        <f>J18/2</f>
        <v>3082251901</v>
      </c>
    </row>
    <row r="20" spans="1:10" ht="28.5" x14ac:dyDescent="0.2">
      <c r="A20" s="304" t="s">
        <v>281</v>
      </c>
      <c r="B20" s="305" t="s">
        <v>282</v>
      </c>
      <c r="C20" s="306">
        <f>SUM(C21:C27)</f>
        <v>5740566</v>
      </c>
      <c r="D20" s="306">
        <f t="shared" ref="D20:I20" si="3">SUM(D21:D27)</f>
        <v>11481132</v>
      </c>
      <c r="E20" s="306">
        <f t="shared" si="3"/>
        <v>11481132</v>
      </c>
      <c r="F20" s="306">
        <f t="shared" si="3"/>
        <v>11481132</v>
      </c>
      <c r="G20" s="306">
        <f t="shared" si="3"/>
        <v>11481132</v>
      </c>
      <c r="H20" s="306">
        <f t="shared" si="3"/>
        <v>11481132</v>
      </c>
      <c r="I20" s="306">
        <f t="shared" si="3"/>
        <v>11481133</v>
      </c>
      <c r="J20" s="306">
        <f>SUM(C20:I20)</f>
        <v>74627359</v>
      </c>
    </row>
    <row r="21" spans="1:10" ht="15" x14ac:dyDescent="0.2">
      <c r="A21" s="307" t="s">
        <v>283</v>
      </c>
      <c r="B21" s="299" t="s">
        <v>284</v>
      </c>
      <c r="C21" s="298"/>
      <c r="D21" s="298"/>
      <c r="E21" s="298"/>
      <c r="F21" s="298"/>
      <c r="G21" s="298"/>
      <c r="H21" s="298"/>
      <c r="I21" s="298"/>
      <c r="J21" s="298"/>
    </row>
    <row r="22" spans="1:10" ht="15" x14ac:dyDescent="0.2">
      <c r="A22" s="307" t="s">
        <v>285</v>
      </c>
      <c r="B22" s="299" t="s">
        <v>286</v>
      </c>
      <c r="C22" s="298"/>
      <c r="D22" s="298"/>
      <c r="E22" s="298"/>
      <c r="F22" s="298"/>
      <c r="G22" s="298"/>
      <c r="H22" s="298"/>
      <c r="I22" s="298"/>
      <c r="J22" s="298"/>
    </row>
    <row r="23" spans="1:10" ht="15" x14ac:dyDescent="0.2">
      <c r="A23" s="307" t="s">
        <v>287</v>
      </c>
      <c r="B23" s="299" t="s">
        <v>288</v>
      </c>
      <c r="C23" s="298"/>
      <c r="D23" s="298"/>
      <c r="E23" s="298"/>
      <c r="F23" s="298"/>
      <c r="G23" s="298"/>
      <c r="H23" s="298"/>
      <c r="I23" s="298"/>
      <c r="J23" s="298"/>
    </row>
    <row r="24" spans="1:10" ht="15" x14ac:dyDescent="0.2">
      <c r="A24" s="307" t="s">
        <v>289</v>
      </c>
      <c r="B24" s="299" t="s">
        <v>290</v>
      </c>
      <c r="C24" s="298"/>
      <c r="D24" s="298"/>
      <c r="E24" s="298"/>
      <c r="F24" s="298"/>
      <c r="G24" s="298"/>
      <c r="H24" s="298"/>
      <c r="I24" s="298"/>
      <c r="J24" s="298"/>
    </row>
    <row r="25" spans="1:10" ht="15" x14ac:dyDescent="0.2">
      <c r="A25" s="307" t="s">
        <v>291</v>
      </c>
      <c r="B25" s="299" t="s">
        <v>292</v>
      </c>
      <c r="C25" s="298"/>
      <c r="D25" s="298"/>
      <c r="E25" s="298"/>
      <c r="F25" s="298"/>
      <c r="G25" s="298"/>
      <c r="H25" s="298"/>
      <c r="I25" s="298"/>
      <c r="J25" s="298"/>
    </row>
    <row r="26" spans="1:10" ht="15" x14ac:dyDescent="0.2">
      <c r="A26" s="307" t="s">
        <v>293</v>
      </c>
      <c r="B26" s="299" t="s">
        <v>294</v>
      </c>
      <c r="C26" s="298"/>
      <c r="D26" s="298"/>
      <c r="E26" s="298"/>
      <c r="F26" s="298"/>
      <c r="G26" s="298"/>
      <c r="H26" s="298"/>
      <c r="I26" s="298"/>
      <c r="J26" s="298"/>
    </row>
    <row r="27" spans="1:10" ht="60" x14ac:dyDescent="0.2">
      <c r="A27" s="307" t="s">
        <v>295</v>
      </c>
      <c r="B27" s="299" t="s">
        <v>296</v>
      </c>
      <c r="C27" s="300">
        <v>5740566</v>
      </c>
      <c r="D27" s="300">
        <v>11481132</v>
      </c>
      <c r="E27" s="300">
        <v>11481132</v>
      </c>
      <c r="F27" s="300">
        <v>11481132</v>
      </c>
      <c r="G27" s="300">
        <v>11481132</v>
      </c>
      <c r="H27" s="300">
        <v>11481132</v>
      </c>
      <c r="I27" s="300">
        <v>11481133</v>
      </c>
      <c r="J27" s="300">
        <f>SUM(C27:I27)</f>
        <v>74627359</v>
      </c>
    </row>
    <row r="28" spans="1:10" ht="28.5" x14ac:dyDescent="0.2">
      <c r="A28" s="304" t="s">
        <v>297</v>
      </c>
      <c r="B28" s="305" t="s">
        <v>298</v>
      </c>
      <c r="C28" s="306">
        <f>SUM(C29:C35)</f>
        <v>0</v>
      </c>
      <c r="D28" s="306">
        <f t="shared" ref="D28:I28" si="4">SUM(D29:D35)</f>
        <v>0</v>
      </c>
      <c r="E28" s="306">
        <f t="shared" si="4"/>
        <v>0</v>
      </c>
      <c r="F28" s="306">
        <f t="shared" si="4"/>
        <v>0</v>
      </c>
      <c r="G28" s="306">
        <f t="shared" si="4"/>
        <v>0</v>
      </c>
      <c r="H28" s="306">
        <f t="shared" si="4"/>
        <v>0</v>
      </c>
      <c r="I28" s="306">
        <f t="shared" si="4"/>
        <v>0</v>
      </c>
      <c r="J28" s="306">
        <f>SUM(J29:J35)</f>
        <v>0</v>
      </c>
    </row>
    <row r="29" spans="1:10" ht="15" x14ac:dyDescent="0.2">
      <c r="A29" s="307" t="s">
        <v>283</v>
      </c>
      <c r="B29" s="299" t="s">
        <v>299</v>
      </c>
      <c r="C29" s="298"/>
      <c r="D29" s="298"/>
      <c r="E29" s="298"/>
      <c r="F29" s="298"/>
      <c r="G29" s="298"/>
      <c r="H29" s="298"/>
      <c r="I29" s="298"/>
      <c r="J29" s="298"/>
    </row>
    <row r="30" spans="1:10" ht="15" x14ac:dyDescent="0.2">
      <c r="A30" s="307" t="s">
        <v>285</v>
      </c>
      <c r="B30" s="299" t="s">
        <v>300</v>
      </c>
      <c r="C30" s="298"/>
      <c r="D30" s="298"/>
      <c r="E30" s="298"/>
      <c r="F30" s="298"/>
      <c r="G30" s="298"/>
      <c r="H30" s="298"/>
      <c r="I30" s="298"/>
      <c r="J30" s="298"/>
    </row>
    <row r="31" spans="1:10" ht="15" x14ac:dyDescent="0.2">
      <c r="A31" s="307" t="s">
        <v>287</v>
      </c>
      <c r="B31" s="299" t="s">
        <v>301</v>
      </c>
      <c r="C31" s="298"/>
      <c r="D31" s="298"/>
      <c r="E31" s="298"/>
      <c r="F31" s="298"/>
      <c r="G31" s="298"/>
      <c r="H31" s="298"/>
      <c r="I31" s="298"/>
      <c r="J31" s="298"/>
    </row>
    <row r="32" spans="1:10" ht="15" x14ac:dyDescent="0.2">
      <c r="A32" s="307" t="s">
        <v>289</v>
      </c>
      <c r="B32" s="299" t="s">
        <v>302</v>
      </c>
      <c r="C32" s="298"/>
      <c r="D32" s="298"/>
      <c r="E32" s="298"/>
      <c r="F32" s="298"/>
      <c r="G32" s="298"/>
      <c r="H32" s="298"/>
      <c r="I32" s="298"/>
      <c r="J32" s="298"/>
    </row>
    <row r="33" spans="1:10" ht="15" x14ac:dyDescent="0.2">
      <c r="A33" s="307" t="s">
        <v>291</v>
      </c>
      <c r="B33" s="299" t="s">
        <v>303</v>
      </c>
      <c r="C33" s="306"/>
      <c r="D33" s="306"/>
      <c r="E33" s="306"/>
      <c r="F33" s="306"/>
      <c r="G33" s="306"/>
      <c r="H33" s="306"/>
      <c r="I33" s="306"/>
      <c r="J33" s="306"/>
    </row>
    <row r="34" spans="1:10" ht="15" x14ac:dyDescent="0.2">
      <c r="A34" s="307" t="s">
        <v>293</v>
      </c>
      <c r="B34" s="299" t="s">
        <v>304</v>
      </c>
      <c r="C34" s="298"/>
      <c r="D34" s="298"/>
      <c r="E34" s="298"/>
      <c r="F34" s="298"/>
      <c r="G34" s="298"/>
      <c r="H34" s="298"/>
      <c r="I34" s="298"/>
      <c r="J34" s="298"/>
    </row>
    <row r="35" spans="1:10" ht="15.75" thickBot="1" x14ac:dyDescent="0.25">
      <c r="A35" s="308" t="s">
        <v>305</v>
      </c>
      <c r="B35" s="309" t="s">
        <v>306</v>
      </c>
      <c r="C35" s="310"/>
      <c r="D35" s="310"/>
      <c r="E35" s="310"/>
      <c r="F35" s="310"/>
      <c r="G35" s="310"/>
      <c r="H35" s="310"/>
      <c r="I35" s="310"/>
      <c r="J35" s="310"/>
    </row>
    <row r="36" spans="1:10" s="294" customFormat="1" ht="15" thickBot="1" x14ac:dyDescent="0.25">
      <c r="A36" s="311" t="s">
        <v>307</v>
      </c>
      <c r="B36" s="312" t="s">
        <v>308</v>
      </c>
      <c r="C36" s="313">
        <f>C20+C28</f>
        <v>5740566</v>
      </c>
      <c r="D36" s="313">
        <f t="shared" ref="D36:I36" si="5">D20+D28</f>
        <v>11481132</v>
      </c>
      <c r="E36" s="313">
        <f t="shared" si="5"/>
        <v>11481132</v>
      </c>
      <c r="F36" s="313">
        <f t="shared" si="5"/>
        <v>11481132</v>
      </c>
      <c r="G36" s="313">
        <f t="shared" si="5"/>
        <v>11481132</v>
      </c>
      <c r="H36" s="313">
        <f t="shared" si="5"/>
        <v>11481132</v>
      </c>
      <c r="I36" s="313">
        <f t="shared" si="5"/>
        <v>11481133</v>
      </c>
      <c r="J36" s="313">
        <f>J20+J28</f>
        <v>74627359</v>
      </c>
    </row>
    <row r="37" spans="1:10" s="294" customFormat="1" ht="29.25" thickBot="1" x14ac:dyDescent="0.25">
      <c r="A37" s="311" t="s">
        <v>309</v>
      </c>
      <c r="B37" s="312" t="s">
        <v>310</v>
      </c>
      <c r="C37" s="313">
        <f>C19-C36</f>
        <v>443497258</v>
      </c>
      <c r="D37" s="313">
        <f t="shared" ref="D37:I37" si="6">D19-D36</f>
        <v>285107945</v>
      </c>
      <c r="E37" s="313">
        <f t="shared" si="6"/>
        <v>370803868</v>
      </c>
      <c r="F37" s="313">
        <f t="shared" si="6"/>
        <v>420803868</v>
      </c>
      <c r="G37" s="313">
        <f t="shared" si="6"/>
        <v>470803868</v>
      </c>
      <c r="H37" s="313">
        <f t="shared" si="6"/>
        <v>495803868</v>
      </c>
      <c r="I37" s="313">
        <f t="shared" si="6"/>
        <v>520803867</v>
      </c>
      <c r="J37" s="313">
        <f>J19-J36</f>
        <v>3007624542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4:J4"/>
    <mergeCell ref="A8:J8"/>
    <mergeCell ref="A9:A10"/>
    <mergeCell ref="B9:B10"/>
    <mergeCell ref="C9:C10"/>
    <mergeCell ref="D9:J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view="pageBreakPreview" zoomScale="112" zoomScaleSheetLayoutView="112" workbookViewId="0">
      <selection activeCell="B28" sqref="B28"/>
    </sheetView>
  </sheetViews>
  <sheetFormatPr defaultColWidth="15.7109375" defaultRowHeight="15" x14ac:dyDescent="0.25"/>
  <cols>
    <col min="1" max="1" width="9.140625" style="177" customWidth="1"/>
    <col min="2" max="2" width="65.28515625" style="98" customWidth="1"/>
    <col min="3" max="3" width="15.140625" style="98" customWidth="1"/>
    <col min="4" max="5" width="15.7109375" style="98"/>
    <col min="6" max="6" width="17.85546875" style="98" customWidth="1"/>
    <col min="7" max="250" width="9.140625" style="98" customWidth="1"/>
    <col min="251" max="251" width="65.28515625" style="98" customWidth="1"/>
    <col min="252" max="252" width="15.140625" style="98" customWidth="1"/>
    <col min="253" max="16384" width="15.7109375" style="98"/>
  </cols>
  <sheetData>
    <row r="1" spans="1:16384" s="96" customFormat="1" ht="15.75" x14ac:dyDescent="0.25">
      <c r="A1" s="176" t="s">
        <v>514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 t="s">
        <v>196</v>
      </c>
      <c r="BU1" s="176" t="s">
        <v>196</v>
      </c>
      <c r="BV1" s="176" t="s">
        <v>196</v>
      </c>
      <c r="BW1" s="176" t="s">
        <v>196</v>
      </c>
      <c r="BX1" s="176" t="s">
        <v>196</v>
      </c>
      <c r="BY1" s="176" t="s">
        <v>196</v>
      </c>
      <c r="BZ1" s="176" t="s">
        <v>196</v>
      </c>
      <c r="CA1" s="176" t="s">
        <v>196</v>
      </c>
      <c r="CB1" s="176" t="s">
        <v>196</v>
      </c>
      <c r="CC1" s="176" t="s">
        <v>196</v>
      </c>
      <c r="CD1" s="176" t="s">
        <v>196</v>
      </c>
      <c r="CE1" s="176" t="s">
        <v>196</v>
      </c>
      <c r="CF1" s="176" t="s">
        <v>196</v>
      </c>
      <c r="CG1" s="176" t="s">
        <v>196</v>
      </c>
      <c r="CH1" s="176" t="s">
        <v>196</v>
      </c>
      <c r="CI1" s="176" t="s">
        <v>196</v>
      </c>
      <c r="CJ1" s="176" t="s">
        <v>196</v>
      </c>
      <c r="CK1" s="176" t="s">
        <v>196</v>
      </c>
      <c r="CL1" s="176" t="s">
        <v>196</v>
      </c>
      <c r="CM1" s="176" t="s">
        <v>196</v>
      </c>
      <c r="CN1" s="176" t="s">
        <v>196</v>
      </c>
      <c r="CO1" s="176" t="s">
        <v>196</v>
      </c>
      <c r="CP1" s="176" t="s">
        <v>196</v>
      </c>
      <c r="CQ1" s="176" t="s">
        <v>196</v>
      </c>
      <c r="CR1" s="176" t="s">
        <v>196</v>
      </c>
      <c r="CS1" s="176" t="s">
        <v>196</v>
      </c>
      <c r="CT1" s="176" t="s">
        <v>196</v>
      </c>
      <c r="CU1" s="176" t="s">
        <v>196</v>
      </c>
      <c r="CV1" s="176" t="s">
        <v>196</v>
      </c>
      <c r="CW1" s="176" t="s">
        <v>196</v>
      </c>
      <c r="CX1" s="176" t="s">
        <v>196</v>
      </c>
      <c r="CY1" s="176" t="s">
        <v>196</v>
      </c>
      <c r="CZ1" s="176" t="s">
        <v>196</v>
      </c>
      <c r="DA1" s="176" t="s">
        <v>196</v>
      </c>
      <c r="DB1" s="176" t="s">
        <v>196</v>
      </c>
      <c r="DC1" s="176" t="s">
        <v>196</v>
      </c>
      <c r="DD1" s="176" t="s">
        <v>196</v>
      </c>
      <c r="DE1" s="176" t="s">
        <v>196</v>
      </c>
      <c r="DF1" s="176" t="s">
        <v>196</v>
      </c>
      <c r="DG1" s="176" t="s">
        <v>196</v>
      </c>
      <c r="DH1" s="176" t="s">
        <v>196</v>
      </c>
      <c r="DI1" s="176" t="s">
        <v>196</v>
      </c>
      <c r="DJ1" s="176" t="s">
        <v>196</v>
      </c>
      <c r="DK1" s="176" t="s">
        <v>196</v>
      </c>
      <c r="DL1" s="176" t="s">
        <v>196</v>
      </c>
      <c r="DM1" s="176" t="s">
        <v>196</v>
      </c>
      <c r="DN1" s="176" t="s">
        <v>196</v>
      </c>
      <c r="DO1" s="176" t="s">
        <v>196</v>
      </c>
      <c r="DP1" s="176" t="s">
        <v>196</v>
      </c>
      <c r="DQ1" s="176" t="s">
        <v>196</v>
      </c>
      <c r="DR1" s="176" t="s">
        <v>196</v>
      </c>
      <c r="DS1" s="176" t="s">
        <v>196</v>
      </c>
      <c r="DT1" s="176" t="s">
        <v>196</v>
      </c>
      <c r="DU1" s="176" t="s">
        <v>196</v>
      </c>
      <c r="DV1" s="176" t="s">
        <v>196</v>
      </c>
      <c r="DW1" s="176" t="s">
        <v>196</v>
      </c>
      <c r="DX1" s="176" t="s">
        <v>196</v>
      </c>
      <c r="DY1" s="176" t="s">
        <v>196</v>
      </c>
      <c r="DZ1" s="176" t="s">
        <v>196</v>
      </c>
      <c r="EA1" s="176" t="s">
        <v>196</v>
      </c>
      <c r="EB1" s="176" t="s">
        <v>196</v>
      </c>
      <c r="EC1" s="176" t="s">
        <v>196</v>
      </c>
      <c r="ED1" s="176" t="s">
        <v>196</v>
      </c>
      <c r="EE1" s="176" t="s">
        <v>196</v>
      </c>
      <c r="EF1" s="176" t="s">
        <v>196</v>
      </c>
      <c r="EG1" s="176" t="s">
        <v>196</v>
      </c>
      <c r="EH1" s="176" t="s">
        <v>196</v>
      </c>
      <c r="EI1" s="176" t="s">
        <v>196</v>
      </c>
      <c r="EJ1" s="176" t="s">
        <v>196</v>
      </c>
      <c r="EK1" s="176" t="s">
        <v>196</v>
      </c>
      <c r="EL1" s="176" t="s">
        <v>196</v>
      </c>
      <c r="EM1" s="176" t="s">
        <v>196</v>
      </c>
      <c r="EN1" s="176" t="s">
        <v>196</v>
      </c>
      <c r="EO1" s="176" t="s">
        <v>196</v>
      </c>
      <c r="EP1" s="176" t="s">
        <v>196</v>
      </c>
      <c r="EQ1" s="176" t="s">
        <v>196</v>
      </c>
      <c r="ER1" s="176" t="s">
        <v>196</v>
      </c>
      <c r="ES1" s="176" t="s">
        <v>196</v>
      </c>
      <c r="ET1" s="176" t="s">
        <v>196</v>
      </c>
      <c r="EU1" s="176" t="s">
        <v>196</v>
      </c>
      <c r="EV1" s="176" t="s">
        <v>196</v>
      </c>
      <c r="EW1" s="176" t="s">
        <v>196</v>
      </c>
      <c r="EX1" s="176" t="s">
        <v>196</v>
      </c>
      <c r="EY1" s="176" t="s">
        <v>196</v>
      </c>
      <c r="EZ1" s="176" t="s">
        <v>196</v>
      </c>
      <c r="FA1" s="176" t="s">
        <v>196</v>
      </c>
      <c r="FB1" s="176" t="s">
        <v>196</v>
      </c>
      <c r="FC1" s="176" t="s">
        <v>196</v>
      </c>
      <c r="FD1" s="176" t="s">
        <v>196</v>
      </c>
      <c r="FE1" s="176" t="s">
        <v>196</v>
      </c>
      <c r="FF1" s="176" t="s">
        <v>196</v>
      </c>
      <c r="FG1" s="176" t="s">
        <v>196</v>
      </c>
      <c r="FH1" s="176" t="s">
        <v>196</v>
      </c>
      <c r="FI1" s="176" t="s">
        <v>196</v>
      </c>
      <c r="FJ1" s="176" t="s">
        <v>196</v>
      </c>
      <c r="FK1" s="176" t="s">
        <v>196</v>
      </c>
      <c r="FL1" s="176" t="s">
        <v>196</v>
      </c>
      <c r="FM1" s="176" t="s">
        <v>196</v>
      </c>
      <c r="FN1" s="176" t="s">
        <v>196</v>
      </c>
      <c r="FO1" s="176" t="s">
        <v>196</v>
      </c>
      <c r="FP1" s="176" t="s">
        <v>196</v>
      </c>
      <c r="FQ1" s="176" t="s">
        <v>196</v>
      </c>
      <c r="FR1" s="176" t="s">
        <v>196</v>
      </c>
      <c r="FS1" s="176" t="s">
        <v>196</v>
      </c>
      <c r="FT1" s="176" t="s">
        <v>196</v>
      </c>
      <c r="FU1" s="176" t="s">
        <v>196</v>
      </c>
      <c r="FV1" s="176" t="s">
        <v>196</v>
      </c>
      <c r="FW1" s="176" t="s">
        <v>196</v>
      </c>
      <c r="FX1" s="176" t="s">
        <v>196</v>
      </c>
      <c r="FY1" s="176" t="s">
        <v>196</v>
      </c>
      <c r="FZ1" s="176" t="s">
        <v>196</v>
      </c>
      <c r="GA1" s="176" t="s">
        <v>196</v>
      </c>
      <c r="GB1" s="176" t="s">
        <v>196</v>
      </c>
      <c r="GC1" s="176" t="s">
        <v>196</v>
      </c>
      <c r="GD1" s="176" t="s">
        <v>196</v>
      </c>
      <c r="GE1" s="176" t="s">
        <v>196</v>
      </c>
      <c r="GF1" s="176" t="s">
        <v>196</v>
      </c>
      <c r="GG1" s="176" t="s">
        <v>196</v>
      </c>
      <c r="GH1" s="176" t="s">
        <v>196</v>
      </c>
      <c r="GI1" s="176" t="s">
        <v>196</v>
      </c>
      <c r="GJ1" s="176" t="s">
        <v>196</v>
      </c>
      <c r="GK1" s="176" t="s">
        <v>196</v>
      </c>
      <c r="GL1" s="176" t="s">
        <v>196</v>
      </c>
      <c r="GM1" s="176" t="s">
        <v>196</v>
      </c>
      <c r="GN1" s="176" t="s">
        <v>196</v>
      </c>
      <c r="GO1" s="176" t="s">
        <v>196</v>
      </c>
      <c r="GP1" s="176" t="s">
        <v>196</v>
      </c>
      <c r="GQ1" s="176" t="s">
        <v>196</v>
      </c>
      <c r="GR1" s="176" t="s">
        <v>196</v>
      </c>
      <c r="GS1" s="176" t="s">
        <v>196</v>
      </c>
      <c r="GT1" s="176" t="s">
        <v>196</v>
      </c>
      <c r="GU1" s="176" t="s">
        <v>196</v>
      </c>
      <c r="GV1" s="176" t="s">
        <v>196</v>
      </c>
      <c r="GW1" s="176" t="s">
        <v>196</v>
      </c>
      <c r="GX1" s="176" t="s">
        <v>196</v>
      </c>
      <c r="GY1" s="176" t="s">
        <v>196</v>
      </c>
      <c r="GZ1" s="176" t="s">
        <v>196</v>
      </c>
      <c r="HA1" s="176" t="s">
        <v>196</v>
      </c>
      <c r="HB1" s="176" t="s">
        <v>196</v>
      </c>
      <c r="HC1" s="176" t="s">
        <v>196</v>
      </c>
      <c r="HD1" s="176" t="s">
        <v>196</v>
      </c>
      <c r="HE1" s="176" t="s">
        <v>196</v>
      </c>
      <c r="HF1" s="176" t="s">
        <v>196</v>
      </c>
      <c r="HG1" s="176" t="s">
        <v>196</v>
      </c>
      <c r="HH1" s="176" t="s">
        <v>196</v>
      </c>
      <c r="HI1" s="176" t="s">
        <v>196</v>
      </c>
      <c r="HJ1" s="176" t="s">
        <v>196</v>
      </c>
      <c r="HK1" s="176" t="s">
        <v>196</v>
      </c>
      <c r="HL1" s="176" t="s">
        <v>196</v>
      </c>
      <c r="HM1" s="176" t="s">
        <v>196</v>
      </c>
      <c r="HN1" s="176" t="s">
        <v>196</v>
      </c>
      <c r="HO1" s="176" t="s">
        <v>196</v>
      </c>
      <c r="HP1" s="176" t="s">
        <v>196</v>
      </c>
      <c r="HQ1" s="176" t="s">
        <v>196</v>
      </c>
      <c r="HR1" s="176" t="s">
        <v>196</v>
      </c>
      <c r="HS1" s="176" t="s">
        <v>196</v>
      </c>
      <c r="HT1" s="176" t="s">
        <v>196</v>
      </c>
      <c r="HU1" s="176" t="s">
        <v>196</v>
      </c>
      <c r="HV1" s="176" t="s">
        <v>196</v>
      </c>
      <c r="HW1" s="176" t="s">
        <v>196</v>
      </c>
      <c r="HX1" s="176" t="s">
        <v>196</v>
      </c>
      <c r="HY1" s="176" t="s">
        <v>196</v>
      </c>
      <c r="HZ1" s="176" t="s">
        <v>196</v>
      </c>
      <c r="IA1" s="176" t="s">
        <v>196</v>
      </c>
      <c r="IB1" s="176" t="s">
        <v>196</v>
      </c>
      <c r="IC1" s="176" t="s">
        <v>196</v>
      </c>
      <c r="ID1" s="176" t="s">
        <v>196</v>
      </c>
      <c r="IE1" s="176" t="s">
        <v>196</v>
      </c>
      <c r="IF1" s="176" t="s">
        <v>196</v>
      </c>
      <c r="IG1" s="176" t="s">
        <v>196</v>
      </c>
      <c r="IH1" s="176" t="s">
        <v>196</v>
      </c>
      <c r="II1" s="176" t="s">
        <v>196</v>
      </c>
      <c r="IJ1" s="176" t="s">
        <v>196</v>
      </c>
      <c r="IK1" s="176" t="s">
        <v>196</v>
      </c>
      <c r="IL1" s="176" t="s">
        <v>196</v>
      </c>
      <c r="IM1" s="176" t="s">
        <v>196</v>
      </c>
      <c r="IN1" s="176" t="s">
        <v>196</v>
      </c>
      <c r="IO1" s="176" t="s">
        <v>196</v>
      </c>
      <c r="IP1" s="176" t="s">
        <v>196</v>
      </c>
      <c r="IQ1" s="176" t="s">
        <v>196</v>
      </c>
      <c r="IR1" s="176" t="s">
        <v>196</v>
      </c>
      <c r="IS1" s="176" t="s">
        <v>196</v>
      </c>
      <c r="IT1" s="176" t="s">
        <v>196</v>
      </c>
      <c r="IU1" s="176" t="s">
        <v>196</v>
      </c>
      <c r="IV1" s="176" t="s">
        <v>196</v>
      </c>
      <c r="IW1" s="176" t="s">
        <v>196</v>
      </c>
      <c r="IX1" s="176" t="s">
        <v>196</v>
      </c>
      <c r="IY1" s="176" t="s">
        <v>196</v>
      </c>
      <c r="IZ1" s="176" t="s">
        <v>196</v>
      </c>
      <c r="JA1" s="176" t="s">
        <v>196</v>
      </c>
      <c r="JB1" s="176" t="s">
        <v>196</v>
      </c>
      <c r="JC1" s="176" t="s">
        <v>196</v>
      </c>
      <c r="JD1" s="176" t="s">
        <v>196</v>
      </c>
      <c r="JE1" s="176" t="s">
        <v>196</v>
      </c>
      <c r="JF1" s="176" t="s">
        <v>196</v>
      </c>
      <c r="JG1" s="176" t="s">
        <v>196</v>
      </c>
      <c r="JH1" s="176" t="s">
        <v>196</v>
      </c>
      <c r="JI1" s="176" t="s">
        <v>196</v>
      </c>
      <c r="JJ1" s="176" t="s">
        <v>196</v>
      </c>
      <c r="JK1" s="176" t="s">
        <v>196</v>
      </c>
      <c r="JL1" s="176" t="s">
        <v>196</v>
      </c>
      <c r="JM1" s="176" t="s">
        <v>196</v>
      </c>
      <c r="JN1" s="176" t="s">
        <v>196</v>
      </c>
      <c r="JO1" s="176" t="s">
        <v>196</v>
      </c>
      <c r="JP1" s="176" t="s">
        <v>196</v>
      </c>
      <c r="JQ1" s="176" t="s">
        <v>196</v>
      </c>
      <c r="JR1" s="176" t="s">
        <v>196</v>
      </c>
      <c r="JS1" s="176" t="s">
        <v>196</v>
      </c>
      <c r="JT1" s="176" t="s">
        <v>196</v>
      </c>
      <c r="JU1" s="176" t="s">
        <v>196</v>
      </c>
      <c r="JV1" s="176" t="s">
        <v>196</v>
      </c>
      <c r="JW1" s="176" t="s">
        <v>196</v>
      </c>
      <c r="JX1" s="176" t="s">
        <v>196</v>
      </c>
      <c r="JY1" s="176" t="s">
        <v>196</v>
      </c>
      <c r="JZ1" s="176" t="s">
        <v>196</v>
      </c>
      <c r="KA1" s="176" t="s">
        <v>196</v>
      </c>
      <c r="KB1" s="176" t="s">
        <v>196</v>
      </c>
      <c r="KC1" s="176" t="s">
        <v>196</v>
      </c>
      <c r="KD1" s="176" t="s">
        <v>196</v>
      </c>
      <c r="KE1" s="176" t="s">
        <v>196</v>
      </c>
      <c r="KF1" s="176" t="s">
        <v>196</v>
      </c>
      <c r="KG1" s="176" t="s">
        <v>196</v>
      </c>
      <c r="KH1" s="176" t="s">
        <v>196</v>
      </c>
      <c r="KI1" s="176" t="s">
        <v>196</v>
      </c>
      <c r="KJ1" s="176" t="s">
        <v>196</v>
      </c>
      <c r="KK1" s="176" t="s">
        <v>196</v>
      </c>
      <c r="KL1" s="176" t="s">
        <v>196</v>
      </c>
      <c r="KM1" s="176" t="s">
        <v>196</v>
      </c>
      <c r="KN1" s="176" t="s">
        <v>196</v>
      </c>
      <c r="KO1" s="176" t="s">
        <v>196</v>
      </c>
      <c r="KP1" s="176" t="s">
        <v>196</v>
      </c>
      <c r="KQ1" s="176" t="s">
        <v>196</v>
      </c>
      <c r="KR1" s="176" t="s">
        <v>196</v>
      </c>
      <c r="KS1" s="176" t="s">
        <v>196</v>
      </c>
      <c r="KT1" s="176" t="s">
        <v>196</v>
      </c>
      <c r="KU1" s="176" t="s">
        <v>196</v>
      </c>
      <c r="KV1" s="176" t="s">
        <v>196</v>
      </c>
      <c r="KW1" s="176" t="s">
        <v>196</v>
      </c>
      <c r="KX1" s="176" t="s">
        <v>196</v>
      </c>
      <c r="KY1" s="176" t="s">
        <v>196</v>
      </c>
      <c r="KZ1" s="176" t="s">
        <v>196</v>
      </c>
      <c r="LA1" s="176" t="s">
        <v>196</v>
      </c>
      <c r="LB1" s="176" t="s">
        <v>196</v>
      </c>
      <c r="LC1" s="176" t="s">
        <v>196</v>
      </c>
      <c r="LD1" s="176" t="s">
        <v>196</v>
      </c>
      <c r="LE1" s="176" t="s">
        <v>196</v>
      </c>
      <c r="LF1" s="176" t="s">
        <v>196</v>
      </c>
      <c r="LG1" s="176" t="s">
        <v>196</v>
      </c>
      <c r="LH1" s="176" t="s">
        <v>196</v>
      </c>
      <c r="LI1" s="176" t="s">
        <v>196</v>
      </c>
      <c r="LJ1" s="176" t="s">
        <v>196</v>
      </c>
      <c r="LK1" s="176" t="s">
        <v>196</v>
      </c>
      <c r="LL1" s="176" t="s">
        <v>196</v>
      </c>
      <c r="LM1" s="176" t="s">
        <v>196</v>
      </c>
      <c r="LN1" s="176" t="s">
        <v>196</v>
      </c>
      <c r="LO1" s="176" t="s">
        <v>196</v>
      </c>
      <c r="LP1" s="176" t="s">
        <v>196</v>
      </c>
      <c r="LQ1" s="176" t="s">
        <v>196</v>
      </c>
      <c r="LR1" s="176" t="s">
        <v>196</v>
      </c>
      <c r="LS1" s="176" t="s">
        <v>196</v>
      </c>
      <c r="LT1" s="176" t="s">
        <v>196</v>
      </c>
      <c r="LU1" s="176" t="s">
        <v>196</v>
      </c>
      <c r="LV1" s="176" t="s">
        <v>196</v>
      </c>
      <c r="LW1" s="176" t="s">
        <v>196</v>
      </c>
      <c r="LX1" s="176" t="s">
        <v>196</v>
      </c>
      <c r="LY1" s="176" t="s">
        <v>196</v>
      </c>
      <c r="LZ1" s="176" t="s">
        <v>196</v>
      </c>
      <c r="MA1" s="176" t="s">
        <v>196</v>
      </c>
      <c r="MB1" s="176" t="s">
        <v>196</v>
      </c>
      <c r="MC1" s="176" t="s">
        <v>196</v>
      </c>
      <c r="MD1" s="176" t="s">
        <v>196</v>
      </c>
      <c r="ME1" s="176" t="s">
        <v>196</v>
      </c>
      <c r="MF1" s="176" t="s">
        <v>196</v>
      </c>
      <c r="MG1" s="176" t="s">
        <v>196</v>
      </c>
      <c r="MH1" s="176" t="s">
        <v>196</v>
      </c>
      <c r="MI1" s="176" t="s">
        <v>196</v>
      </c>
      <c r="MJ1" s="176" t="s">
        <v>196</v>
      </c>
      <c r="MK1" s="176" t="s">
        <v>196</v>
      </c>
      <c r="ML1" s="176" t="s">
        <v>196</v>
      </c>
      <c r="MM1" s="176" t="s">
        <v>196</v>
      </c>
      <c r="MN1" s="176" t="s">
        <v>196</v>
      </c>
      <c r="MO1" s="176" t="s">
        <v>196</v>
      </c>
      <c r="MP1" s="176" t="s">
        <v>196</v>
      </c>
      <c r="MQ1" s="176" t="s">
        <v>196</v>
      </c>
      <c r="MR1" s="176" t="s">
        <v>196</v>
      </c>
      <c r="MS1" s="176" t="s">
        <v>196</v>
      </c>
      <c r="MT1" s="176" t="s">
        <v>196</v>
      </c>
      <c r="MU1" s="176" t="s">
        <v>196</v>
      </c>
      <c r="MV1" s="176" t="s">
        <v>196</v>
      </c>
      <c r="MW1" s="176" t="s">
        <v>196</v>
      </c>
      <c r="MX1" s="176" t="s">
        <v>196</v>
      </c>
      <c r="MY1" s="176" t="s">
        <v>196</v>
      </c>
      <c r="MZ1" s="176" t="s">
        <v>196</v>
      </c>
      <c r="NA1" s="176" t="s">
        <v>196</v>
      </c>
      <c r="NB1" s="176" t="s">
        <v>196</v>
      </c>
      <c r="NC1" s="176" t="s">
        <v>196</v>
      </c>
      <c r="ND1" s="176" t="s">
        <v>196</v>
      </c>
      <c r="NE1" s="176" t="s">
        <v>196</v>
      </c>
      <c r="NF1" s="176" t="s">
        <v>196</v>
      </c>
      <c r="NG1" s="176" t="s">
        <v>196</v>
      </c>
      <c r="NH1" s="176" t="s">
        <v>196</v>
      </c>
      <c r="NI1" s="176" t="s">
        <v>196</v>
      </c>
      <c r="NJ1" s="176" t="s">
        <v>196</v>
      </c>
      <c r="NK1" s="176" t="s">
        <v>196</v>
      </c>
      <c r="NL1" s="176" t="s">
        <v>196</v>
      </c>
      <c r="NM1" s="176" t="s">
        <v>196</v>
      </c>
      <c r="NN1" s="176" t="s">
        <v>196</v>
      </c>
      <c r="NO1" s="176" t="s">
        <v>196</v>
      </c>
      <c r="NP1" s="176" t="s">
        <v>196</v>
      </c>
      <c r="NQ1" s="176" t="s">
        <v>196</v>
      </c>
      <c r="NR1" s="176" t="s">
        <v>196</v>
      </c>
      <c r="NS1" s="176" t="s">
        <v>196</v>
      </c>
      <c r="NT1" s="176" t="s">
        <v>196</v>
      </c>
      <c r="NU1" s="176" t="s">
        <v>196</v>
      </c>
      <c r="NV1" s="176" t="s">
        <v>196</v>
      </c>
      <c r="NW1" s="176" t="s">
        <v>196</v>
      </c>
      <c r="NX1" s="176" t="s">
        <v>196</v>
      </c>
      <c r="NY1" s="176" t="s">
        <v>196</v>
      </c>
      <c r="NZ1" s="176" t="s">
        <v>196</v>
      </c>
      <c r="OA1" s="176" t="s">
        <v>196</v>
      </c>
      <c r="OB1" s="176" t="s">
        <v>196</v>
      </c>
      <c r="OC1" s="176" t="s">
        <v>196</v>
      </c>
      <c r="OD1" s="176" t="s">
        <v>196</v>
      </c>
      <c r="OE1" s="176" t="s">
        <v>196</v>
      </c>
      <c r="OF1" s="176" t="s">
        <v>196</v>
      </c>
      <c r="OG1" s="176" t="s">
        <v>196</v>
      </c>
      <c r="OH1" s="176" t="s">
        <v>196</v>
      </c>
      <c r="OI1" s="176" t="s">
        <v>196</v>
      </c>
      <c r="OJ1" s="176" t="s">
        <v>196</v>
      </c>
      <c r="OK1" s="176" t="s">
        <v>196</v>
      </c>
      <c r="OL1" s="176" t="s">
        <v>196</v>
      </c>
      <c r="OM1" s="176" t="s">
        <v>196</v>
      </c>
      <c r="ON1" s="176" t="s">
        <v>196</v>
      </c>
      <c r="OO1" s="176" t="s">
        <v>196</v>
      </c>
      <c r="OP1" s="176" t="s">
        <v>196</v>
      </c>
      <c r="OQ1" s="176" t="s">
        <v>196</v>
      </c>
      <c r="OR1" s="176" t="s">
        <v>196</v>
      </c>
      <c r="OS1" s="176" t="s">
        <v>196</v>
      </c>
      <c r="OT1" s="176" t="s">
        <v>196</v>
      </c>
      <c r="OU1" s="176" t="s">
        <v>196</v>
      </c>
      <c r="OV1" s="176" t="s">
        <v>196</v>
      </c>
      <c r="OW1" s="176" t="s">
        <v>196</v>
      </c>
      <c r="OX1" s="176" t="s">
        <v>196</v>
      </c>
      <c r="OY1" s="176" t="s">
        <v>196</v>
      </c>
      <c r="OZ1" s="176" t="s">
        <v>196</v>
      </c>
      <c r="PA1" s="176" t="s">
        <v>196</v>
      </c>
      <c r="PB1" s="176" t="s">
        <v>196</v>
      </c>
      <c r="PC1" s="176" t="s">
        <v>196</v>
      </c>
      <c r="PD1" s="176" t="s">
        <v>196</v>
      </c>
      <c r="PE1" s="176" t="s">
        <v>196</v>
      </c>
      <c r="PF1" s="176" t="s">
        <v>196</v>
      </c>
      <c r="PG1" s="176" t="s">
        <v>196</v>
      </c>
      <c r="PH1" s="176" t="s">
        <v>196</v>
      </c>
      <c r="PI1" s="176" t="s">
        <v>196</v>
      </c>
      <c r="PJ1" s="176" t="s">
        <v>196</v>
      </c>
      <c r="PK1" s="176" t="s">
        <v>196</v>
      </c>
      <c r="PL1" s="176" t="s">
        <v>196</v>
      </c>
      <c r="PM1" s="176" t="s">
        <v>196</v>
      </c>
      <c r="PN1" s="176" t="s">
        <v>196</v>
      </c>
      <c r="PO1" s="176" t="s">
        <v>196</v>
      </c>
      <c r="PP1" s="176" t="s">
        <v>196</v>
      </c>
      <c r="PQ1" s="176" t="s">
        <v>196</v>
      </c>
      <c r="PR1" s="176" t="s">
        <v>196</v>
      </c>
      <c r="PS1" s="176" t="s">
        <v>196</v>
      </c>
      <c r="PT1" s="176" t="s">
        <v>196</v>
      </c>
      <c r="PU1" s="176" t="s">
        <v>196</v>
      </c>
      <c r="PV1" s="176" t="s">
        <v>196</v>
      </c>
      <c r="PW1" s="176" t="s">
        <v>196</v>
      </c>
      <c r="PX1" s="176" t="s">
        <v>196</v>
      </c>
      <c r="PY1" s="176" t="s">
        <v>196</v>
      </c>
      <c r="PZ1" s="176" t="s">
        <v>196</v>
      </c>
      <c r="QA1" s="176" t="s">
        <v>196</v>
      </c>
      <c r="QB1" s="176" t="s">
        <v>196</v>
      </c>
      <c r="QC1" s="176" t="s">
        <v>196</v>
      </c>
      <c r="QD1" s="176" t="s">
        <v>196</v>
      </c>
      <c r="QE1" s="176" t="s">
        <v>196</v>
      </c>
      <c r="QF1" s="176" t="s">
        <v>196</v>
      </c>
      <c r="QG1" s="176" t="s">
        <v>196</v>
      </c>
      <c r="QH1" s="176" t="s">
        <v>196</v>
      </c>
      <c r="QI1" s="176" t="s">
        <v>196</v>
      </c>
      <c r="QJ1" s="176" t="s">
        <v>196</v>
      </c>
      <c r="QK1" s="176" t="s">
        <v>196</v>
      </c>
      <c r="QL1" s="176" t="s">
        <v>196</v>
      </c>
      <c r="QM1" s="176" t="s">
        <v>196</v>
      </c>
      <c r="QN1" s="176" t="s">
        <v>196</v>
      </c>
      <c r="QO1" s="176" t="s">
        <v>196</v>
      </c>
      <c r="QP1" s="176" t="s">
        <v>196</v>
      </c>
      <c r="QQ1" s="176" t="s">
        <v>196</v>
      </c>
      <c r="QR1" s="176" t="s">
        <v>196</v>
      </c>
      <c r="QS1" s="176" t="s">
        <v>196</v>
      </c>
      <c r="QT1" s="176" t="s">
        <v>196</v>
      </c>
      <c r="QU1" s="176" t="s">
        <v>196</v>
      </c>
      <c r="QV1" s="176" t="s">
        <v>196</v>
      </c>
      <c r="QW1" s="176" t="s">
        <v>196</v>
      </c>
      <c r="QX1" s="176" t="s">
        <v>196</v>
      </c>
      <c r="QY1" s="176" t="s">
        <v>196</v>
      </c>
      <c r="QZ1" s="176" t="s">
        <v>196</v>
      </c>
      <c r="RA1" s="176" t="s">
        <v>196</v>
      </c>
      <c r="RB1" s="176" t="s">
        <v>196</v>
      </c>
      <c r="RC1" s="176" t="s">
        <v>196</v>
      </c>
      <c r="RD1" s="176" t="s">
        <v>196</v>
      </c>
      <c r="RE1" s="176" t="s">
        <v>196</v>
      </c>
      <c r="RF1" s="176" t="s">
        <v>196</v>
      </c>
      <c r="RG1" s="176" t="s">
        <v>196</v>
      </c>
      <c r="RH1" s="176" t="s">
        <v>196</v>
      </c>
      <c r="RI1" s="176" t="s">
        <v>196</v>
      </c>
      <c r="RJ1" s="176" t="s">
        <v>196</v>
      </c>
      <c r="RK1" s="176" t="s">
        <v>196</v>
      </c>
      <c r="RL1" s="176" t="s">
        <v>196</v>
      </c>
      <c r="RM1" s="176" t="s">
        <v>196</v>
      </c>
      <c r="RN1" s="176" t="s">
        <v>196</v>
      </c>
      <c r="RO1" s="176" t="s">
        <v>196</v>
      </c>
      <c r="RP1" s="176" t="s">
        <v>196</v>
      </c>
      <c r="RQ1" s="176" t="s">
        <v>196</v>
      </c>
      <c r="RR1" s="176" t="s">
        <v>196</v>
      </c>
      <c r="RS1" s="176" t="s">
        <v>196</v>
      </c>
      <c r="RT1" s="176" t="s">
        <v>196</v>
      </c>
      <c r="RU1" s="176" t="s">
        <v>196</v>
      </c>
      <c r="RV1" s="176" t="s">
        <v>196</v>
      </c>
      <c r="RW1" s="176" t="s">
        <v>196</v>
      </c>
      <c r="RX1" s="176" t="s">
        <v>196</v>
      </c>
      <c r="RY1" s="176" t="s">
        <v>196</v>
      </c>
      <c r="RZ1" s="176" t="s">
        <v>196</v>
      </c>
      <c r="SA1" s="176" t="s">
        <v>196</v>
      </c>
      <c r="SB1" s="176" t="s">
        <v>196</v>
      </c>
      <c r="SC1" s="176" t="s">
        <v>196</v>
      </c>
      <c r="SD1" s="176" t="s">
        <v>196</v>
      </c>
      <c r="SE1" s="176" t="s">
        <v>196</v>
      </c>
      <c r="SF1" s="176" t="s">
        <v>196</v>
      </c>
      <c r="SG1" s="176" t="s">
        <v>196</v>
      </c>
      <c r="SH1" s="176" t="s">
        <v>196</v>
      </c>
      <c r="SI1" s="176" t="s">
        <v>196</v>
      </c>
      <c r="SJ1" s="176" t="s">
        <v>196</v>
      </c>
      <c r="SK1" s="176" t="s">
        <v>196</v>
      </c>
      <c r="SL1" s="176" t="s">
        <v>196</v>
      </c>
      <c r="SM1" s="176" t="s">
        <v>196</v>
      </c>
      <c r="SN1" s="176" t="s">
        <v>196</v>
      </c>
      <c r="SO1" s="176" t="s">
        <v>196</v>
      </c>
      <c r="SP1" s="176" t="s">
        <v>196</v>
      </c>
      <c r="SQ1" s="176" t="s">
        <v>196</v>
      </c>
      <c r="SR1" s="176" t="s">
        <v>196</v>
      </c>
      <c r="SS1" s="176" t="s">
        <v>196</v>
      </c>
      <c r="ST1" s="176" t="s">
        <v>196</v>
      </c>
      <c r="SU1" s="176" t="s">
        <v>196</v>
      </c>
      <c r="SV1" s="176" t="s">
        <v>196</v>
      </c>
      <c r="SW1" s="176" t="s">
        <v>196</v>
      </c>
      <c r="SX1" s="176" t="s">
        <v>196</v>
      </c>
      <c r="SY1" s="176" t="s">
        <v>196</v>
      </c>
      <c r="SZ1" s="176" t="s">
        <v>196</v>
      </c>
      <c r="TA1" s="176" t="s">
        <v>196</v>
      </c>
      <c r="TB1" s="176" t="s">
        <v>196</v>
      </c>
      <c r="TC1" s="176" t="s">
        <v>196</v>
      </c>
      <c r="TD1" s="176" t="s">
        <v>196</v>
      </c>
      <c r="TE1" s="176" t="s">
        <v>196</v>
      </c>
      <c r="TF1" s="176" t="s">
        <v>196</v>
      </c>
      <c r="TG1" s="176" t="s">
        <v>196</v>
      </c>
      <c r="TH1" s="176" t="s">
        <v>196</v>
      </c>
      <c r="TI1" s="176" t="s">
        <v>196</v>
      </c>
      <c r="TJ1" s="176" t="s">
        <v>196</v>
      </c>
      <c r="TK1" s="176" t="s">
        <v>196</v>
      </c>
      <c r="TL1" s="176" t="s">
        <v>196</v>
      </c>
      <c r="TM1" s="176" t="s">
        <v>196</v>
      </c>
      <c r="TN1" s="176" t="s">
        <v>196</v>
      </c>
      <c r="TO1" s="176" t="s">
        <v>196</v>
      </c>
      <c r="TP1" s="176" t="s">
        <v>196</v>
      </c>
      <c r="TQ1" s="176" t="s">
        <v>196</v>
      </c>
      <c r="TR1" s="176" t="s">
        <v>196</v>
      </c>
      <c r="TS1" s="176" t="s">
        <v>196</v>
      </c>
      <c r="TT1" s="176" t="s">
        <v>196</v>
      </c>
      <c r="TU1" s="176" t="s">
        <v>196</v>
      </c>
      <c r="TV1" s="176" t="s">
        <v>196</v>
      </c>
      <c r="TW1" s="176" t="s">
        <v>196</v>
      </c>
      <c r="TX1" s="176" t="s">
        <v>196</v>
      </c>
      <c r="TY1" s="176" t="s">
        <v>196</v>
      </c>
      <c r="TZ1" s="176" t="s">
        <v>196</v>
      </c>
      <c r="UA1" s="176" t="s">
        <v>196</v>
      </c>
      <c r="UB1" s="176" t="s">
        <v>196</v>
      </c>
      <c r="UC1" s="176" t="s">
        <v>196</v>
      </c>
      <c r="UD1" s="176" t="s">
        <v>196</v>
      </c>
      <c r="UE1" s="176" t="s">
        <v>196</v>
      </c>
      <c r="UF1" s="176" t="s">
        <v>196</v>
      </c>
      <c r="UG1" s="176" t="s">
        <v>196</v>
      </c>
      <c r="UH1" s="176" t="s">
        <v>196</v>
      </c>
      <c r="UI1" s="176" t="s">
        <v>196</v>
      </c>
      <c r="UJ1" s="176" t="s">
        <v>196</v>
      </c>
      <c r="UK1" s="176" t="s">
        <v>196</v>
      </c>
      <c r="UL1" s="176" t="s">
        <v>196</v>
      </c>
      <c r="UM1" s="176" t="s">
        <v>196</v>
      </c>
      <c r="UN1" s="176" t="s">
        <v>196</v>
      </c>
      <c r="UO1" s="176" t="s">
        <v>196</v>
      </c>
      <c r="UP1" s="176" t="s">
        <v>196</v>
      </c>
      <c r="UQ1" s="176" t="s">
        <v>196</v>
      </c>
      <c r="UR1" s="176" t="s">
        <v>196</v>
      </c>
      <c r="US1" s="176" t="s">
        <v>196</v>
      </c>
      <c r="UT1" s="176" t="s">
        <v>196</v>
      </c>
      <c r="UU1" s="176" t="s">
        <v>196</v>
      </c>
      <c r="UV1" s="176" t="s">
        <v>196</v>
      </c>
      <c r="UW1" s="176" t="s">
        <v>196</v>
      </c>
      <c r="UX1" s="176" t="s">
        <v>196</v>
      </c>
      <c r="UY1" s="176" t="s">
        <v>196</v>
      </c>
      <c r="UZ1" s="176" t="s">
        <v>196</v>
      </c>
      <c r="VA1" s="176" t="s">
        <v>196</v>
      </c>
      <c r="VB1" s="176" t="s">
        <v>196</v>
      </c>
      <c r="VC1" s="176" t="s">
        <v>196</v>
      </c>
      <c r="VD1" s="176" t="s">
        <v>196</v>
      </c>
      <c r="VE1" s="176" t="s">
        <v>196</v>
      </c>
      <c r="VF1" s="176" t="s">
        <v>196</v>
      </c>
      <c r="VG1" s="176" t="s">
        <v>196</v>
      </c>
      <c r="VH1" s="176" t="s">
        <v>196</v>
      </c>
      <c r="VI1" s="176" t="s">
        <v>196</v>
      </c>
      <c r="VJ1" s="176" t="s">
        <v>196</v>
      </c>
      <c r="VK1" s="176" t="s">
        <v>196</v>
      </c>
      <c r="VL1" s="176" t="s">
        <v>196</v>
      </c>
      <c r="VM1" s="176" t="s">
        <v>196</v>
      </c>
      <c r="VN1" s="176" t="s">
        <v>196</v>
      </c>
      <c r="VO1" s="176" t="s">
        <v>196</v>
      </c>
      <c r="VP1" s="176" t="s">
        <v>196</v>
      </c>
      <c r="VQ1" s="176" t="s">
        <v>196</v>
      </c>
      <c r="VR1" s="176" t="s">
        <v>196</v>
      </c>
      <c r="VS1" s="176" t="s">
        <v>196</v>
      </c>
      <c r="VT1" s="176" t="s">
        <v>196</v>
      </c>
      <c r="VU1" s="176" t="s">
        <v>196</v>
      </c>
      <c r="VV1" s="176" t="s">
        <v>196</v>
      </c>
      <c r="VW1" s="176" t="s">
        <v>196</v>
      </c>
      <c r="VX1" s="176" t="s">
        <v>196</v>
      </c>
      <c r="VY1" s="176" t="s">
        <v>196</v>
      </c>
      <c r="VZ1" s="176" t="s">
        <v>196</v>
      </c>
      <c r="WA1" s="176" t="s">
        <v>196</v>
      </c>
      <c r="WB1" s="176" t="s">
        <v>196</v>
      </c>
      <c r="WC1" s="176" t="s">
        <v>196</v>
      </c>
      <c r="WD1" s="176" t="s">
        <v>196</v>
      </c>
      <c r="WE1" s="176" t="s">
        <v>196</v>
      </c>
      <c r="WF1" s="176" t="s">
        <v>196</v>
      </c>
      <c r="WG1" s="176" t="s">
        <v>196</v>
      </c>
      <c r="WH1" s="176" t="s">
        <v>196</v>
      </c>
      <c r="WI1" s="176" t="s">
        <v>196</v>
      </c>
      <c r="WJ1" s="176" t="s">
        <v>196</v>
      </c>
      <c r="WK1" s="176" t="s">
        <v>196</v>
      </c>
      <c r="WL1" s="176" t="s">
        <v>196</v>
      </c>
      <c r="WM1" s="176" t="s">
        <v>196</v>
      </c>
      <c r="WN1" s="176" t="s">
        <v>196</v>
      </c>
      <c r="WO1" s="176" t="s">
        <v>196</v>
      </c>
      <c r="WP1" s="176" t="s">
        <v>196</v>
      </c>
      <c r="WQ1" s="176" t="s">
        <v>196</v>
      </c>
      <c r="WR1" s="176" t="s">
        <v>196</v>
      </c>
      <c r="WS1" s="176" t="s">
        <v>196</v>
      </c>
      <c r="WT1" s="176" t="s">
        <v>196</v>
      </c>
      <c r="WU1" s="176" t="s">
        <v>196</v>
      </c>
      <c r="WV1" s="176" t="s">
        <v>196</v>
      </c>
      <c r="WW1" s="176" t="s">
        <v>196</v>
      </c>
      <c r="WX1" s="176" t="s">
        <v>196</v>
      </c>
      <c r="WY1" s="176" t="s">
        <v>196</v>
      </c>
      <c r="WZ1" s="176" t="s">
        <v>196</v>
      </c>
      <c r="XA1" s="176" t="s">
        <v>196</v>
      </c>
      <c r="XB1" s="176" t="s">
        <v>196</v>
      </c>
      <c r="XC1" s="176" t="s">
        <v>196</v>
      </c>
      <c r="XD1" s="176" t="s">
        <v>196</v>
      </c>
      <c r="XE1" s="176" t="s">
        <v>196</v>
      </c>
      <c r="XF1" s="176" t="s">
        <v>196</v>
      </c>
      <c r="XG1" s="176" t="s">
        <v>196</v>
      </c>
      <c r="XH1" s="176" t="s">
        <v>196</v>
      </c>
      <c r="XI1" s="176" t="s">
        <v>196</v>
      </c>
      <c r="XJ1" s="176" t="s">
        <v>196</v>
      </c>
      <c r="XK1" s="176" t="s">
        <v>196</v>
      </c>
      <c r="XL1" s="176" t="s">
        <v>196</v>
      </c>
      <c r="XM1" s="176" t="s">
        <v>196</v>
      </c>
      <c r="XN1" s="176" t="s">
        <v>196</v>
      </c>
      <c r="XO1" s="176" t="s">
        <v>196</v>
      </c>
      <c r="XP1" s="176" t="s">
        <v>196</v>
      </c>
      <c r="XQ1" s="176" t="s">
        <v>196</v>
      </c>
      <c r="XR1" s="176" t="s">
        <v>196</v>
      </c>
      <c r="XS1" s="176" t="s">
        <v>196</v>
      </c>
      <c r="XT1" s="176" t="s">
        <v>196</v>
      </c>
      <c r="XU1" s="176" t="s">
        <v>196</v>
      </c>
      <c r="XV1" s="176" t="s">
        <v>196</v>
      </c>
      <c r="XW1" s="176" t="s">
        <v>196</v>
      </c>
      <c r="XX1" s="176" t="s">
        <v>196</v>
      </c>
      <c r="XY1" s="176" t="s">
        <v>196</v>
      </c>
      <c r="XZ1" s="176" t="s">
        <v>196</v>
      </c>
      <c r="YA1" s="176" t="s">
        <v>196</v>
      </c>
      <c r="YB1" s="176" t="s">
        <v>196</v>
      </c>
      <c r="YC1" s="176" t="s">
        <v>196</v>
      </c>
      <c r="YD1" s="176" t="s">
        <v>196</v>
      </c>
      <c r="YE1" s="176" t="s">
        <v>196</v>
      </c>
      <c r="YF1" s="176" t="s">
        <v>196</v>
      </c>
      <c r="YG1" s="176" t="s">
        <v>196</v>
      </c>
      <c r="YH1" s="176" t="s">
        <v>196</v>
      </c>
      <c r="YI1" s="176" t="s">
        <v>196</v>
      </c>
      <c r="YJ1" s="176" t="s">
        <v>196</v>
      </c>
      <c r="YK1" s="176" t="s">
        <v>196</v>
      </c>
      <c r="YL1" s="176" t="s">
        <v>196</v>
      </c>
      <c r="YM1" s="176" t="s">
        <v>196</v>
      </c>
      <c r="YN1" s="176" t="s">
        <v>196</v>
      </c>
      <c r="YO1" s="176" t="s">
        <v>196</v>
      </c>
      <c r="YP1" s="176" t="s">
        <v>196</v>
      </c>
      <c r="YQ1" s="176" t="s">
        <v>196</v>
      </c>
      <c r="YR1" s="176" t="s">
        <v>196</v>
      </c>
      <c r="YS1" s="176" t="s">
        <v>196</v>
      </c>
      <c r="YT1" s="176" t="s">
        <v>196</v>
      </c>
      <c r="YU1" s="176" t="s">
        <v>196</v>
      </c>
      <c r="YV1" s="176" t="s">
        <v>196</v>
      </c>
      <c r="YW1" s="176" t="s">
        <v>196</v>
      </c>
      <c r="YX1" s="176" t="s">
        <v>196</v>
      </c>
      <c r="YY1" s="176" t="s">
        <v>196</v>
      </c>
      <c r="YZ1" s="176" t="s">
        <v>196</v>
      </c>
      <c r="ZA1" s="176" t="s">
        <v>196</v>
      </c>
      <c r="ZB1" s="176" t="s">
        <v>196</v>
      </c>
      <c r="ZC1" s="176" t="s">
        <v>196</v>
      </c>
      <c r="ZD1" s="176" t="s">
        <v>196</v>
      </c>
      <c r="ZE1" s="176" t="s">
        <v>196</v>
      </c>
      <c r="ZF1" s="176" t="s">
        <v>196</v>
      </c>
      <c r="ZG1" s="176" t="s">
        <v>196</v>
      </c>
      <c r="ZH1" s="176" t="s">
        <v>196</v>
      </c>
      <c r="ZI1" s="176" t="s">
        <v>196</v>
      </c>
      <c r="ZJ1" s="176" t="s">
        <v>196</v>
      </c>
      <c r="ZK1" s="176" t="s">
        <v>196</v>
      </c>
      <c r="ZL1" s="176" t="s">
        <v>196</v>
      </c>
      <c r="ZM1" s="176" t="s">
        <v>196</v>
      </c>
      <c r="ZN1" s="176" t="s">
        <v>196</v>
      </c>
      <c r="ZO1" s="176" t="s">
        <v>196</v>
      </c>
      <c r="ZP1" s="176" t="s">
        <v>196</v>
      </c>
      <c r="ZQ1" s="176" t="s">
        <v>196</v>
      </c>
      <c r="ZR1" s="176" t="s">
        <v>196</v>
      </c>
      <c r="ZS1" s="176" t="s">
        <v>196</v>
      </c>
      <c r="ZT1" s="176" t="s">
        <v>196</v>
      </c>
      <c r="ZU1" s="176" t="s">
        <v>196</v>
      </c>
      <c r="ZV1" s="176" t="s">
        <v>196</v>
      </c>
      <c r="ZW1" s="176" t="s">
        <v>196</v>
      </c>
      <c r="ZX1" s="176" t="s">
        <v>196</v>
      </c>
      <c r="ZY1" s="176" t="s">
        <v>196</v>
      </c>
      <c r="ZZ1" s="176" t="s">
        <v>196</v>
      </c>
      <c r="AAA1" s="176" t="s">
        <v>196</v>
      </c>
      <c r="AAB1" s="176" t="s">
        <v>196</v>
      </c>
      <c r="AAC1" s="176" t="s">
        <v>196</v>
      </c>
      <c r="AAD1" s="176" t="s">
        <v>196</v>
      </c>
      <c r="AAE1" s="176" t="s">
        <v>196</v>
      </c>
      <c r="AAF1" s="176" t="s">
        <v>196</v>
      </c>
      <c r="AAG1" s="176" t="s">
        <v>196</v>
      </c>
      <c r="AAH1" s="176" t="s">
        <v>196</v>
      </c>
      <c r="AAI1" s="176" t="s">
        <v>196</v>
      </c>
      <c r="AAJ1" s="176" t="s">
        <v>196</v>
      </c>
      <c r="AAK1" s="176" t="s">
        <v>196</v>
      </c>
      <c r="AAL1" s="176" t="s">
        <v>196</v>
      </c>
      <c r="AAM1" s="176" t="s">
        <v>196</v>
      </c>
      <c r="AAN1" s="176" t="s">
        <v>196</v>
      </c>
      <c r="AAO1" s="176" t="s">
        <v>196</v>
      </c>
      <c r="AAP1" s="176" t="s">
        <v>196</v>
      </c>
      <c r="AAQ1" s="176" t="s">
        <v>196</v>
      </c>
      <c r="AAR1" s="176" t="s">
        <v>196</v>
      </c>
      <c r="AAS1" s="176" t="s">
        <v>196</v>
      </c>
      <c r="AAT1" s="176" t="s">
        <v>196</v>
      </c>
      <c r="AAU1" s="176" t="s">
        <v>196</v>
      </c>
      <c r="AAV1" s="176" t="s">
        <v>196</v>
      </c>
      <c r="AAW1" s="176" t="s">
        <v>196</v>
      </c>
      <c r="AAX1" s="176" t="s">
        <v>196</v>
      </c>
      <c r="AAY1" s="176" t="s">
        <v>196</v>
      </c>
      <c r="AAZ1" s="176" t="s">
        <v>196</v>
      </c>
      <c r="ABA1" s="176" t="s">
        <v>196</v>
      </c>
      <c r="ABB1" s="176" t="s">
        <v>196</v>
      </c>
      <c r="ABC1" s="176" t="s">
        <v>196</v>
      </c>
      <c r="ABD1" s="176" t="s">
        <v>196</v>
      </c>
      <c r="ABE1" s="176" t="s">
        <v>196</v>
      </c>
      <c r="ABF1" s="176" t="s">
        <v>196</v>
      </c>
      <c r="ABG1" s="176" t="s">
        <v>196</v>
      </c>
      <c r="ABH1" s="176" t="s">
        <v>196</v>
      </c>
      <c r="ABI1" s="176" t="s">
        <v>196</v>
      </c>
      <c r="ABJ1" s="176" t="s">
        <v>196</v>
      </c>
      <c r="ABK1" s="176" t="s">
        <v>196</v>
      </c>
      <c r="ABL1" s="176" t="s">
        <v>196</v>
      </c>
      <c r="ABM1" s="176" t="s">
        <v>196</v>
      </c>
      <c r="ABN1" s="176" t="s">
        <v>196</v>
      </c>
      <c r="ABO1" s="176" t="s">
        <v>196</v>
      </c>
      <c r="ABP1" s="176" t="s">
        <v>196</v>
      </c>
      <c r="ABQ1" s="176" t="s">
        <v>196</v>
      </c>
      <c r="ABR1" s="176" t="s">
        <v>196</v>
      </c>
      <c r="ABS1" s="176" t="s">
        <v>196</v>
      </c>
      <c r="ABT1" s="176" t="s">
        <v>196</v>
      </c>
      <c r="ABU1" s="176" t="s">
        <v>196</v>
      </c>
      <c r="ABV1" s="176" t="s">
        <v>196</v>
      </c>
      <c r="ABW1" s="176" t="s">
        <v>196</v>
      </c>
      <c r="ABX1" s="176" t="s">
        <v>196</v>
      </c>
      <c r="ABY1" s="176" t="s">
        <v>196</v>
      </c>
      <c r="ABZ1" s="176" t="s">
        <v>196</v>
      </c>
      <c r="ACA1" s="176" t="s">
        <v>196</v>
      </c>
      <c r="ACB1" s="176" t="s">
        <v>196</v>
      </c>
      <c r="ACC1" s="176" t="s">
        <v>196</v>
      </c>
      <c r="ACD1" s="176" t="s">
        <v>196</v>
      </c>
      <c r="ACE1" s="176" t="s">
        <v>196</v>
      </c>
      <c r="ACF1" s="176" t="s">
        <v>196</v>
      </c>
      <c r="ACG1" s="176" t="s">
        <v>196</v>
      </c>
      <c r="ACH1" s="176" t="s">
        <v>196</v>
      </c>
      <c r="ACI1" s="176" t="s">
        <v>196</v>
      </c>
      <c r="ACJ1" s="176" t="s">
        <v>196</v>
      </c>
      <c r="ACK1" s="176" t="s">
        <v>196</v>
      </c>
      <c r="ACL1" s="176" t="s">
        <v>196</v>
      </c>
      <c r="ACM1" s="176" t="s">
        <v>196</v>
      </c>
      <c r="ACN1" s="176" t="s">
        <v>196</v>
      </c>
      <c r="ACO1" s="176" t="s">
        <v>196</v>
      </c>
      <c r="ACP1" s="176" t="s">
        <v>196</v>
      </c>
      <c r="ACQ1" s="176" t="s">
        <v>196</v>
      </c>
      <c r="ACR1" s="176" t="s">
        <v>196</v>
      </c>
      <c r="ACS1" s="176" t="s">
        <v>196</v>
      </c>
      <c r="ACT1" s="176" t="s">
        <v>196</v>
      </c>
      <c r="ACU1" s="176" t="s">
        <v>196</v>
      </c>
      <c r="ACV1" s="176" t="s">
        <v>196</v>
      </c>
      <c r="ACW1" s="176" t="s">
        <v>196</v>
      </c>
      <c r="ACX1" s="176" t="s">
        <v>196</v>
      </c>
      <c r="ACY1" s="176" t="s">
        <v>196</v>
      </c>
      <c r="ACZ1" s="176" t="s">
        <v>196</v>
      </c>
      <c r="ADA1" s="176" t="s">
        <v>196</v>
      </c>
      <c r="ADB1" s="176" t="s">
        <v>196</v>
      </c>
      <c r="ADC1" s="176" t="s">
        <v>196</v>
      </c>
      <c r="ADD1" s="176" t="s">
        <v>196</v>
      </c>
      <c r="ADE1" s="176" t="s">
        <v>196</v>
      </c>
      <c r="ADF1" s="176" t="s">
        <v>196</v>
      </c>
      <c r="ADG1" s="176" t="s">
        <v>196</v>
      </c>
      <c r="ADH1" s="176" t="s">
        <v>196</v>
      </c>
      <c r="ADI1" s="176" t="s">
        <v>196</v>
      </c>
      <c r="ADJ1" s="176" t="s">
        <v>196</v>
      </c>
      <c r="ADK1" s="176" t="s">
        <v>196</v>
      </c>
      <c r="ADL1" s="176" t="s">
        <v>196</v>
      </c>
      <c r="ADM1" s="176" t="s">
        <v>196</v>
      </c>
      <c r="ADN1" s="176" t="s">
        <v>196</v>
      </c>
      <c r="ADO1" s="176" t="s">
        <v>196</v>
      </c>
      <c r="ADP1" s="176" t="s">
        <v>196</v>
      </c>
      <c r="ADQ1" s="176" t="s">
        <v>196</v>
      </c>
      <c r="ADR1" s="176" t="s">
        <v>196</v>
      </c>
      <c r="ADS1" s="176" t="s">
        <v>196</v>
      </c>
      <c r="ADT1" s="176" t="s">
        <v>196</v>
      </c>
      <c r="ADU1" s="176" t="s">
        <v>196</v>
      </c>
      <c r="ADV1" s="176" t="s">
        <v>196</v>
      </c>
      <c r="ADW1" s="176" t="s">
        <v>196</v>
      </c>
      <c r="ADX1" s="176" t="s">
        <v>196</v>
      </c>
      <c r="ADY1" s="176" t="s">
        <v>196</v>
      </c>
      <c r="ADZ1" s="176" t="s">
        <v>196</v>
      </c>
      <c r="AEA1" s="176" t="s">
        <v>196</v>
      </c>
      <c r="AEB1" s="176" t="s">
        <v>196</v>
      </c>
      <c r="AEC1" s="176" t="s">
        <v>196</v>
      </c>
      <c r="AED1" s="176" t="s">
        <v>196</v>
      </c>
      <c r="AEE1" s="176" t="s">
        <v>196</v>
      </c>
      <c r="AEF1" s="176" t="s">
        <v>196</v>
      </c>
      <c r="AEG1" s="176" t="s">
        <v>196</v>
      </c>
      <c r="AEH1" s="176" t="s">
        <v>196</v>
      </c>
      <c r="AEI1" s="176" t="s">
        <v>196</v>
      </c>
      <c r="AEJ1" s="176" t="s">
        <v>196</v>
      </c>
      <c r="AEK1" s="176" t="s">
        <v>196</v>
      </c>
      <c r="AEL1" s="176" t="s">
        <v>196</v>
      </c>
      <c r="AEM1" s="176" t="s">
        <v>196</v>
      </c>
      <c r="AEN1" s="176" t="s">
        <v>196</v>
      </c>
      <c r="AEO1" s="176" t="s">
        <v>196</v>
      </c>
      <c r="AEP1" s="176" t="s">
        <v>196</v>
      </c>
      <c r="AEQ1" s="176" t="s">
        <v>196</v>
      </c>
      <c r="AER1" s="176" t="s">
        <v>196</v>
      </c>
      <c r="AES1" s="176" t="s">
        <v>196</v>
      </c>
      <c r="AET1" s="176" t="s">
        <v>196</v>
      </c>
      <c r="AEU1" s="176" t="s">
        <v>196</v>
      </c>
      <c r="AEV1" s="176" t="s">
        <v>196</v>
      </c>
      <c r="AEW1" s="176" t="s">
        <v>196</v>
      </c>
      <c r="AEX1" s="176" t="s">
        <v>196</v>
      </c>
      <c r="AEY1" s="176" t="s">
        <v>196</v>
      </c>
      <c r="AEZ1" s="176" t="s">
        <v>196</v>
      </c>
      <c r="AFA1" s="176" t="s">
        <v>196</v>
      </c>
      <c r="AFB1" s="176" t="s">
        <v>196</v>
      </c>
      <c r="AFC1" s="176" t="s">
        <v>196</v>
      </c>
      <c r="AFD1" s="176" t="s">
        <v>196</v>
      </c>
      <c r="AFE1" s="176" t="s">
        <v>196</v>
      </c>
      <c r="AFF1" s="176" t="s">
        <v>196</v>
      </c>
      <c r="AFG1" s="176" t="s">
        <v>196</v>
      </c>
      <c r="AFH1" s="176" t="s">
        <v>196</v>
      </c>
      <c r="AFI1" s="176" t="s">
        <v>196</v>
      </c>
      <c r="AFJ1" s="176" t="s">
        <v>196</v>
      </c>
      <c r="AFK1" s="176" t="s">
        <v>196</v>
      </c>
      <c r="AFL1" s="176" t="s">
        <v>196</v>
      </c>
      <c r="AFM1" s="176" t="s">
        <v>196</v>
      </c>
      <c r="AFN1" s="176" t="s">
        <v>196</v>
      </c>
      <c r="AFO1" s="176" t="s">
        <v>196</v>
      </c>
      <c r="AFP1" s="176" t="s">
        <v>196</v>
      </c>
      <c r="AFQ1" s="176" t="s">
        <v>196</v>
      </c>
      <c r="AFR1" s="176" t="s">
        <v>196</v>
      </c>
      <c r="AFS1" s="176" t="s">
        <v>196</v>
      </c>
      <c r="AFT1" s="176" t="s">
        <v>196</v>
      </c>
      <c r="AFU1" s="176" t="s">
        <v>196</v>
      </c>
      <c r="AFV1" s="176" t="s">
        <v>196</v>
      </c>
      <c r="AFW1" s="176" t="s">
        <v>196</v>
      </c>
      <c r="AFX1" s="176" t="s">
        <v>196</v>
      </c>
      <c r="AFY1" s="176" t="s">
        <v>196</v>
      </c>
      <c r="AFZ1" s="176" t="s">
        <v>196</v>
      </c>
      <c r="AGA1" s="176" t="s">
        <v>196</v>
      </c>
      <c r="AGB1" s="176" t="s">
        <v>196</v>
      </c>
      <c r="AGC1" s="176" t="s">
        <v>196</v>
      </c>
      <c r="AGD1" s="176" t="s">
        <v>196</v>
      </c>
      <c r="AGE1" s="176" t="s">
        <v>196</v>
      </c>
      <c r="AGF1" s="176" t="s">
        <v>196</v>
      </c>
      <c r="AGG1" s="176" t="s">
        <v>196</v>
      </c>
      <c r="AGH1" s="176" t="s">
        <v>196</v>
      </c>
      <c r="AGI1" s="176" t="s">
        <v>196</v>
      </c>
      <c r="AGJ1" s="176" t="s">
        <v>196</v>
      </c>
      <c r="AGK1" s="176" t="s">
        <v>196</v>
      </c>
      <c r="AGL1" s="176" t="s">
        <v>196</v>
      </c>
      <c r="AGM1" s="176" t="s">
        <v>196</v>
      </c>
      <c r="AGN1" s="176" t="s">
        <v>196</v>
      </c>
      <c r="AGO1" s="176" t="s">
        <v>196</v>
      </c>
      <c r="AGP1" s="176" t="s">
        <v>196</v>
      </c>
      <c r="AGQ1" s="176" t="s">
        <v>196</v>
      </c>
      <c r="AGR1" s="176" t="s">
        <v>196</v>
      </c>
      <c r="AGS1" s="176" t="s">
        <v>196</v>
      </c>
      <c r="AGT1" s="176" t="s">
        <v>196</v>
      </c>
      <c r="AGU1" s="176" t="s">
        <v>196</v>
      </c>
      <c r="AGV1" s="176" t="s">
        <v>196</v>
      </c>
      <c r="AGW1" s="176" t="s">
        <v>196</v>
      </c>
      <c r="AGX1" s="176" t="s">
        <v>196</v>
      </c>
      <c r="AGY1" s="176" t="s">
        <v>196</v>
      </c>
      <c r="AGZ1" s="176" t="s">
        <v>196</v>
      </c>
      <c r="AHA1" s="176" t="s">
        <v>196</v>
      </c>
      <c r="AHB1" s="176" t="s">
        <v>196</v>
      </c>
      <c r="AHC1" s="176" t="s">
        <v>196</v>
      </c>
      <c r="AHD1" s="176" t="s">
        <v>196</v>
      </c>
      <c r="AHE1" s="176" t="s">
        <v>196</v>
      </c>
      <c r="AHF1" s="176" t="s">
        <v>196</v>
      </c>
      <c r="AHG1" s="176" t="s">
        <v>196</v>
      </c>
      <c r="AHH1" s="176" t="s">
        <v>196</v>
      </c>
      <c r="AHI1" s="176" t="s">
        <v>196</v>
      </c>
      <c r="AHJ1" s="176" t="s">
        <v>196</v>
      </c>
      <c r="AHK1" s="176" t="s">
        <v>196</v>
      </c>
      <c r="AHL1" s="176" t="s">
        <v>196</v>
      </c>
      <c r="AHM1" s="176" t="s">
        <v>196</v>
      </c>
      <c r="AHN1" s="176" t="s">
        <v>196</v>
      </c>
      <c r="AHO1" s="176" t="s">
        <v>196</v>
      </c>
      <c r="AHP1" s="176" t="s">
        <v>196</v>
      </c>
      <c r="AHQ1" s="176" t="s">
        <v>196</v>
      </c>
      <c r="AHR1" s="176" t="s">
        <v>196</v>
      </c>
      <c r="AHS1" s="176" t="s">
        <v>196</v>
      </c>
      <c r="AHT1" s="176" t="s">
        <v>196</v>
      </c>
      <c r="AHU1" s="176" t="s">
        <v>196</v>
      </c>
      <c r="AHV1" s="176" t="s">
        <v>196</v>
      </c>
      <c r="AHW1" s="176" t="s">
        <v>196</v>
      </c>
      <c r="AHX1" s="176" t="s">
        <v>196</v>
      </c>
      <c r="AHY1" s="176" t="s">
        <v>196</v>
      </c>
      <c r="AHZ1" s="176" t="s">
        <v>196</v>
      </c>
      <c r="AIA1" s="176" t="s">
        <v>196</v>
      </c>
      <c r="AIB1" s="176" t="s">
        <v>196</v>
      </c>
      <c r="AIC1" s="176" t="s">
        <v>196</v>
      </c>
      <c r="AID1" s="176" t="s">
        <v>196</v>
      </c>
      <c r="AIE1" s="176" t="s">
        <v>196</v>
      </c>
      <c r="AIF1" s="176" t="s">
        <v>196</v>
      </c>
      <c r="AIG1" s="176" t="s">
        <v>196</v>
      </c>
      <c r="AIH1" s="176" t="s">
        <v>196</v>
      </c>
      <c r="AII1" s="176" t="s">
        <v>196</v>
      </c>
      <c r="AIJ1" s="176" t="s">
        <v>196</v>
      </c>
      <c r="AIK1" s="176" t="s">
        <v>196</v>
      </c>
      <c r="AIL1" s="176" t="s">
        <v>196</v>
      </c>
      <c r="AIM1" s="176" t="s">
        <v>196</v>
      </c>
      <c r="AIN1" s="176" t="s">
        <v>196</v>
      </c>
      <c r="AIO1" s="176" t="s">
        <v>196</v>
      </c>
      <c r="AIP1" s="176" t="s">
        <v>196</v>
      </c>
      <c r="AIQ1" s="176" t="s">
        <v>196</v>
      </c>
      <c r="AIR1" s="176" t="s">
        <v>196</v>
      </c>
      <c r="AIS1" s="176" t="s">
        <v>196</v>
      </c>
      <c r="AIT1" s="176" t="s">
        <v>196</v>
      </c>
      <c r="AIU1" s="176" t="s">
        <v>196</v>
      </c>
      <c r="AIV1" s="176" t="s">
        <v>196</v>
      </c>
      <c r="AIW1" s="176" t="s">
        <v>196</v>
      </c>
      <c r="AIX1" s="176" t="s">
        <v>196</v>
      </c>
      <c r="AIY1" s="176" t="s">
        <v>196</v>
      </c>
      <c r="AIZ1" s="176" t="s">
        <v>196</v>
      </c>
      <c r="AJA1" s="176" t="s">
        <v>196</v>
      </c>
      <c r="AJB1" s="176" t="s">
        <v>196</v>
      </c>
      <c r="AJC1" s="176" t="s">
        <v>196</v>
      </c>
      <c r="AJD1" s="176" t="s">
        <v>196</v>
      </c>
      <c r="AJE1" s="176" t="s">
        <v>196</v>
      </c>
      <c r="AJF1" s="176" t="s">
        <v>196</v>
      </c>
      <c r="AJG1" s="176" t="s">
        <v>196</v>
      </c>
      <c r="AJH1" s="176" t="s">
        <v>196</v>
      </c>
      <c r="AJI1" s="176" t="s">
        <v>196</v>
      </c>
      <c r="AJJ1" s="176" t="s">
        <v>196</v>
      </c>
      <c r="AJK1" s="176" t="s">
        <v>196</v>
      </c>
      <c r="AJL1" s="176" t="s">
        <v>196</v>
      </c>
      <c r="AJM1" s="176" t="s">
        <v>196</v>
      </c>
      <c r="AJN1" s="176" t="s">
        <v>196</v>
      </c>
      <c r="AJO1" s="176" t="s">
        <v>196</v>
      </c>
      <c r="AJP1" s="176" t="s">
        <v>196</v>
      </c>
      <c r="AJQ1" s="176" t="s">
        <v>196</v>
      </c>
      <c r="AJR1" s="176" t="s">
        <v>196</v>
      </c>
      <c r="AJS1" s="176" t="s">
        <v>196</v>
      </c>
      <c r="AJT1" s="176" t="s">
        <v>196</v>
      </c>
      <c r="AJU1" s="176" t="s">
        <v>196</v>
      </c>
      <c r="AJV1" s="176" t="s">
        <v>196</v>
      </c>
      <c r="AJW1" s="176" t="s">
        <v>196</v>
      </c>
      <c r="AJX1" s="176" t="s">
        <v>196</v>
      </c>
      <c r="AJY1" s="176" t="s">
        <v>196</v>
      </c>
      <c r="AJZ1" s="176" t="s">
        <v>196</v>
      </c>
      <c r="AKA1" s="176" t="s">
        <v>196</v>
      </c>
      <c r="AKB1" s="176" t="s">
        <v>196</v>
      </c>
      <c r="AKC1" s="176" t="s">
        <v>196</v>
      </c>
      <c r="AKD1" s="176" t="s">
        <v>196</v>
      </c>
      <c r="AKE1" s="176" t="s">
        <v>196</v>
      </c>
      <c r="AKF1" s="176" t="s">
        <v>196</v>
      </c>
      <c r="AKG1" s="176" t="s">
        <v>196</v>
      </c>
      <c r="AKH1" s="176" t="s">
        <v>196</v>
      </c>
      <c r="AKI1" s="176" t="s">
        <v>196</v>
      </c>
      <c r="AKJ1" s="176" t="s">
        <v>196</v>
      </c>
      <c r="AKK1" s="176" t="s">
        <v>196</v>
      </c>
      <c r="AKL1" s="176" t="s">
        <v>196</v>
      </c>
      <c r="AKM1" s="176" t="s">
        <v>196</v>
      </c>
      <c r="AKN1" s="176" t="s">
        <v>196</v>
      </c>
      <c r="AKO1" s="176" t="s">
        <v>196</v>
      </c>
      <c r="AKP1" s="176" t="s">
        <v>196</v>
      </c>
      <c r="AKQ1" s="176" t="s">
        <v>196</v>
      </c>
      <c r="AKR1" s="176" t="s">
        <v>196</v>
      </c>
      <c r="AKS1" s="176" t="s">
        <v>196</v>
      </c>
      <c r="AKT1" s="176" t="s">
        <v>196</v>
      </c>
      <c r="AKU1" s="176" t="s">
        <v>196</v>
      </c>
      <c r="AKV1" s="176" t="s">
        <v>196</v>
      </c>
      <c r="AKW1" s="176" t="s">
        <v>196</v>
      </c>
      <c r="AKX1" s="176" t="s">
        <v>196</v>
      </c>
      <c r="AKY1" s="176" t="s">
        <v>196</v>
      </c>
      <c r="AKZ1" s="176" t="s">
        <v>196</v>
      </c>
      <c r="ALA1" s="176" t="s">
        <v>196</v>
      </c>
      <c r="ALB1" s="176" t="s">
        <v>196</v>
      </c>
      <c r="ALC1" s="176" t="s">
        <v>196</v>
      </c>
      <c r="ALD1" s="176" t="s">
        <v>196</v>
      </c>
      <c r="ALE1" s="176" t="s">
        <v>196</v>
      </c>
      <c r="ALF1" s="176" t="s">
        <v>196</v>
      </c>
      <c r="ALG1" s="176" t="s">
        <v>196</v>
      </c>
      <c r="ALH1" s="176" t="s">
        <v>196</v>
      </c>
      <c r="ALI1" s="176" t="s">
        <v>196</v>
      </c>
      <c r="ALJ1" s="176" t="s">
        <v>196</v>
      </c>
      <c r="ALK1" s="176" t="s">
        <v>196</v>
      </c>
      <c r="ALL1" s="176" t="s">
        <v>196</v>
      </c>
      <c r="ALM1" s="176" t="s">
        <v>196</v>
      </c>
      <c r="ALN1" s="176" t="s">
        <v>196</v>
      </c>
      <c r="ALO1" s="176" t="s">
        <v>196</v>
      </c>
      <c r="ALP1" s="176" t="s">
        <v>196</v>
      </c>
      <c r="ALQ1" s="176" t="s">
        <v>196</v>
      </c>
      <c r="ALR1" s="176" t="s">
        <v>196</v>
      </c>
      <c r="ALS1" s="176" t="s">
        <v>196</v>
      </c>
      <c r="ALT1" s="176" t="s">
        <v>196</v>
      </c>
      <c r="ALU1" s="176" t="s">
        <v>196</v>
      </c>
      <c r="ALV1" s="176" t="s">
        <v>196</v>
      </c>
      <c r="ALW1" s="176" t="s">
        <v>196</v>
      </c>
      <c r="ALX1" s="176" t="s">
        <v>196</v>
      </c>
      <c r="ALY1" s="176" t="s">
        <v>196</v>
      </c>
      <c r="ALZ1" s="176" t="s">
        <v>196</v>
      </c>
      <c r="AMA1" s="176" t="s">
        <v>196</v>
      </c>
      <c r="AMB1" s="176" t="s">
        <v>196</v>
      </c>
      <c r="AMC1" s="176" t="s">
        <v>196</v>
      </c>
      <c r="AMD1" s="176" t="s">
        <v>196</v>
      </c>
      <c r="AME1" s="176" t="s">
        <v>196</v>
      </c>
      <c r="AMF1" s="176" t="s">
        <v>196</v>
      </c>
      <c r="AMG1" s="176" t="s">
        <v>196</v>
      </c>
      <c r="AMH1" s="176" t="s">
        <v>196</v>
      </c>
      <c r="AMI1" s="176" t="s">
        <v>196</v>
      </c>
      <c r="AMJ1" s="176" t="s">
        <v>196</v>
      </c>
      <c r="AMK1" s="176" t="s">
        <v>196</v>
      </c>
      <c r="AML1" s="176" t="s">
        <v>196</v>
      </c>
      <c r="AMM1" s="176" t="s">
        <v>196</v>
      </c>
      <c r="AMN1" s="176" t="s">
        <v>196</v>
      </c>
      <c r="AMO1" s="176" t="s">
        <v>196</v>
      </c>
      <c r="AMP1" s="176" t="s">
        <v>196</v>
      </c>
      <c r="AMQ1" s="176" t="s">
        <v>196</v>
      </c>
      <c r="AMR1" s="176" t="s">
        <v>196</v>
      </c>
      <c r="AMS1" s="176" t="s">
        <v>196</v>
      </c>
      <c r="AMT1" s="176" t="s">
        <v>196</v>
      </c>
      <c r="AMU1" s="176" t="s">
        <v>196</v>
      </c>
      <c r="AMV1" s="176" t="s">
        <v>196</v>
      </c>
      <c r="AMW1" s="176" t="s">
        <v>196</v>
      </c>
      <c r="AMX1" s="176" t="s">
        <v>196</v>
      </c>
      <c r="AMY1" s="176" t="s">
        <v>196</v>
      </c>
      <c r="AMZ1" s="176" t="s">
        <v>196</v>
      </c>
      <c r="ANA1" s="176" t="s">
        <v>196</v>
      </c>
      <c r="ANB1" s="176" t="s">
        <v>196</v>
      </c>
      <c r="ANC1" s="176" t="s">
        <v>196</v>
      </c>
      <c r="AND1" s="176" t="s">
        <v>196</v>
      </c>
      <c r="ANE1" s="176" t="s">
        <v>196</v>
      </c>
      <c r="ANF1" s="176" t="s">
        <v>196</v>
      </c>
      <c r="ANG1" s="176" t="s">
        <v>196</v>
      </c>
      <c r="ANH1" s="176" t="s">
        <v>196</v>
      </c>
      <c r="ANI1" s="176" t="s">
        <v>196</v>
      </c>
      <c r="ANJ1" s="176" t="s">
        <v>196</v>
      </c>
      <c r="ANK1" s="176" t="s">
        <v>196</v>
      </c>
      <c r="ANL1" s="176" t="s">
        <v>196</v>
      </c>
      <c r="ANM1" s="176" t="s">
        <v>196</v>
      </c>
      <c r="ANN1" s="176" t="s">
        <v>196</v>
      </c>
      <c r="ANO1" s="176" t="s">
        <v>196</v>
      </c>
      <c r="ANP1" s="176" t="s">
        <v>196</v>
      </c>
      <c r="ANQ1" s="176" t="s">
        <v>196</v>
      </c>
      <c r="ANR1" s="176" t="s">
        <v>196</v>
      </c>
      <c r="ANS1" s="176" t="s">
        <v>196</v>
      </c>
      <c r="ANT1" s="176" t="s">
        <v>196</v>
      </c>
      <c r="ANU1" s="176" t="s">
        <v>196</v>
      </c>
      <c r="ANV1" s="176" t="s">
        <v>196</v>
      </c>
      <c r="ANW1" s="176" t="s">
        <v>196</v>
      </c>
      <c r="ANX1" s="176" t="s">
        <v>196</v>
      </c>
      <c r="ANY1" s="176" t="s">
        <v>196</v>
      </c>
      <c r="ANZ1" s="176" t="s">
        <v>196</v>
      </c>
      <c r="AOA1" s="176" t="s">
        <v>196</v>
      </c>
      <c r="AOB1" s="176" t="s">
        <v>196</v>
      </c>
      <c r="AOC1" s="176" t="s">
        <v>196</v>
      </c>
      <c r="AOD1" s="176" t="s">
        <v>196</v>
      </c>
      <c r="AOE1" s="176" t="s">
        <v>196</v>
      </c>
      <c r="AOF1" s="176" t="s">
        <v>196</v>
      </c>
      <c r="AOG1" s="176" t="s">
        <v>196</v>
      </c>
      <c r="AOH1" s="176" t="s">
        <v>196</v>
      </c>
      <c r="AOI1" s="176" t="s">
        <v>196</v>
      </c>
      <c r="AOJ1" s="176" t="s">
        <v>196</v>
      </c>
      <c r="AOK1" s="176" t="s">
        <v>196</v>
      </c>
      <c r="AOL1" s="176" t="s">
        <v>196</v>
      </c>
      <c r="AOM1" s="176" t="s">
        <v>196</v>
      </c>
      <c r="AON1" s="176" t="s">
        <v>196</v>
      </c>
      <c r="AOO1" s="176" t="s">
        <v>196</v>
      </c>
      <c r="AOP1" s="176" t="s">
        <v>196</v>
      </c>
      <c r="AOQ1" s="176" t="s">
        <v>196</v>
      </c>
      <c r="AOR1" s="176" t="s">
        <v>196</v>
      </c>
      <c r="AOS1" s="176" t="s">
        <v>196</v>
      </c>
      <c r="AOT1" s="176" t="s">
        <v>196</v>
      </c>
      <c r="AOU1" s="176" t="s">
        <v>196</v>
      </c>
      <c r="AOV1" s="176" t="s">
        <v>196</v>
      </c>
      <c r="AOW1" s="176" t="s">
        <v>196</v>
      </c>
      <c r="AOX1" s="176" t="s">
        <v>196</v>
      </c>
      <c r="AOY1" s="176" t="s">
        <v>196</v>
      </c>
      <c r="AOZ1" s="176" t="s">
        <v>196</v>
      </c>
      <c r="APA1" s="176" t="s">
        <v>196</v>
      </c>
      <c r="APB1" s="176" t="s">
        <v>196</v>
      </c>
      <c r="APC1" s="176" t="s">
        <v>196</v>
      </c>
      <c r="APD1" s="176" t="s">
        <v>196</v>
      </c>
      <c r="APE1" s="176" t="s">
        <v>196</v>
      </c>
      <c r="APF1" s="176" t="s">
        <v>196</v>
      </c>
      <c r="APG1" s="176" t="s">
        <v>196</v>
      </c>
      <c r="APH1" s="176" t="s">
        <v>196</v>
      </c>
      <c r="API1" s="176" t="s">
        <v>196</v>
      </c>
      <c r="APJ1" s="176" t="s">
        <v>196</v>
      </c>
      <c r="APK1" s="176" t="s">
        <v>196</v>
      </c>
      <c r="APL1" s="176" t="s">
        <v>196</v>
      </c>
      <c r="APM1" s="176" t="s">
        <v>196</v>
      </c>
      <c r="APN1" s="176" t="s">
        <v>196</v>
      </c>
      <c r="APO1" s="176" t="s">
        <v>196</v>
      </c>
      <c r="APP1" s="176" t="s">
        <v>196</v>
      </c>
      <c r="APQ1" s="176" t="s">
        <v>196</v>
      </c>
      <c r="APR1" s="176" t="s">
        <v>196</v>
      </c>
      <c r="APS1" s="176" t="s">
        <v>196</v>
      </c>
      <c r="APT1" s="176" t="s">
        <v>196</v>
      </c>
      <c r="APU1" s="176" t="s">
        <v>196</v>
      </c>
      <c r="APV1" s="176" t="s">
        <v>196</v>
      </c>
      <c r="APW1" s="176" t="s">
        <v>196</v>
      </c>
      <c r="APX1" s="176" t="s">
        <v>196</v>
      </c>
      <c r="APY1" s="176" t="s">
        <v>196</v>
      </c>
      <c r="APZ1" s="176" t="s">
        <v>196</v>
      </c>
      <c r="AQA1" s="176" t="s">
        <v>196</v>
      </c>
      <c r="AQB1" s="176" t="s">
        <v>196</v>
      </c>
      <c r="AQC1" s="176" t="s">
        <v>196</v>
      </c>
      <c r="AQD1" s="176" t="s">
        <v>196</v>
      </c>
      <c r="AQE1" s="176" t="s">
        <v>196</v>
      </c>
      <c r="AQF1" s="176" t="s">
        <v>196</v>
      </c>
      <c r="AQG1" s="176" t="s">
        <v>196</v>
      </c>
      <c r="AQH1" s="176" t="s">
        <v>196</v>
      </c>
      <c r="AQI1" s="176" t="s">
        <v>196</v>
      </c>
      <c r="AQJ1" s="176" t="s">
        <v>196</v>
      </c>
      <c r="AQK1" s="176" t="s">
        <v>196</v>
      </c>
      <c r="AQL1" s="176" t="s">
        <v>196</v>
      </c>
      <c r="AQM1" s="176" t="s">
        <v>196</v>
      </c>
      <c r="AQN1" s="176" t="s">
        <v>196</v>
      </c>
      <c r="AQO1" s="176" t="s">
        <v>196</v>
      </c>
      <c r="AQP1" s="176" t="s">
        <v>196</v>
      </c>
      <c r="AQQ1" s="176" t="s">
        <v>196</v>
      </c>
      <c r="AQR1" s="176" t="s">
        <v>196</v>
      </c>
      <c r="AQS1" s="176" t="s">
        <v>196</v>
      </c>
      <c r="AQT1" s="176" t="s">
        <v>196</v>
      </c>
      <c r="AQU1" s="176" t="s">
        <v>196</v>
      </c>
      <c r="AQV1" s="176" t="s">
        <v>196</v>
      </c>
      <c r="AQW1" s="176" t="s">
        <v>196</v>
      </c>
      <c r="AQX1" s="176" t="s">
        <v>196</v>
      </c>
      <c r="AQY1" s="176" t="s">
        <v>196</v>
      </c>
      <c r="AQZ1" s="176" t="s">
        <v>196</v>
      </c>
      <c r="ARA1" s="176" t="s">
        <v>196</v>
      </c>
      <c r="ARB1" s="176" t="s">
        <v>196</v>
      </c>
      <c r="ARC1" s="176" t="s">
        <v>196</v>
      </c>
      <c r="ARD1" s="176" t="s">
        <v>196</v>
      </c>
      <c r="ARE1" s="176" t="s">
        <v>196</v>
      </c>
      <c r="ARF1" s="176" t="s">
        <v>196</v>
      </c>
      <c r="ARG1" s="176" t="s">
        <v>196</v>
      </c>
      <c r="ARH1" s="176" t="s">
        <v>196</v>
      </c>
      <c r="ARI1" s="176" t="s">
        <v>196</v>
      </c>
      <c r="ARJ1" s="176" t="s">
        <v>196</v>
      </c>
      <c r="ARK1" s="176" t="s">
        <v>196</v>
      </c>
      <c r="ARL1" s="176" t="s">
        <v>196</v>
      </c>
      <c r="ARM1" s="176" t="s">
        <v>196</v>
      </c>
      <c r="ARN1" s="176" t="s">
        <v>196</v>
      </c>
      <c r="ARO1" s="176" t="s">
        <v>196</v>
      </c>
      <c r="ARP1" s="176" t="s">
        <v>196</v>
      </c>
      <c r="ARQ1" s="176" t="s">
        <v>196</v>
      </c>
      <c r="ARR1" s="176" t="s">
        <v>196</v>
      </c>
      <c r="ARS1" s="176" t="s">
        <v>196</v>
      </c>
      <c r="ART1" s="176" t="s">
        <v>196</v>
      </c>
      <c r="ARU1" s="176" t="s">
        <v>196</v>
      </c>
      <c r="ARV1" s="176" t="s">
        <v>196</v>
      </c>
      <c r="ARW1" s="176" t="s">
        <v>196</v>
      </c>
      <c r="ARX1" s="176" t="s">
        <v>196</v>
      </c>
      <c r="ARY1" s="176" t="s">
        <v>196</v>
      </c>
      <c r="ARZ1" s="176" t="s">
        <v>196</v>
      </c>
      <c r="ASA1" s="176" t="s">
        <v>196</v>
      </c>
      <c r="ASB1" s="176" t="s">
        <v>196</v>
      </c>
      <c r="ASC1" s="176" t="s">
        <v>196</v>
      </c>
      <c r="ASD1" s="176" t="s">
        <v>196</v>
      </c>
      <c r="ASE1" s="176" t="s">
        <v>196</v>
      </c>
      <c r="ASF1" s="176" t="s">
        <v>196</v>
      </c>
      <c r="ASG1" s="176" t="s">
        <v>196</v>
      </c>
      <c r="ASH1" s="176" t="s">
        <v>196</v>
      </c>
      <c r="ASI1" s="176" t="s">
        <v>196</v>
      </c>
      <c r="ASJ1" s="176" t="s">
        <v>196</v>
      </c>
      <c r="ASK1" s="176" t="s">
        <v>196</v>
      </c>
      <c r="ASL1" s="176" t="s">
        <v>196</v>
      </c>
      <c r="ASM1" s="176" t="s">
        <v>196</v>
      </c>
      <c r="ASN1" s="176" t="s">
        <v>196</v>
      </c>
      <c r="ASO1" s="176" t="s">
        <v>196</v>
      </c>
      <c r="ASP1" s="176" t="s">
        <v>196</v>
      </c>
      <c r="ASQ1" s="176" t="s">
        <v>196</v>
      </c>
      <c r="ASR1" s="176" t="s">
        <v>196</v>
      </c>
      <c r="ASS1" s="176" t="s">
        <v>196</v>
      </c>
      <c r="AST1" s="176" t="s">
        <v>196</v>
      </c>
      <c r="ASU1" s="176" t="s">
        <v>196</v>
      </c>
      <c r="ASV1" s="176" t="s">
        <v>196</v>
      </c>
      <c r="ASW1" s="176" t="s">
        <v>196</v>
      </c>
      <c r="ASX1" s="176" t="s">
        <v>196</v>
      </c>
      <c r="ASY1" s="176" t="s">
        <v>196</v>
      </c>
      <c r="ASZ1" s="176" t="s">
        <v>196</v>
      </c>
      <c r="ATA1" s="176" t="s">
        <v>196</v>
      </c>
      <c r="ATB1" s="176" t="s">
        <v>196</v>
      </c>
      <c r="ATC1" s="176" t="s">
        <v>196</v>
      </c>
      <c r="ATD1" s="176" t="s">
        <v>196</v>
      </c>
      <c r="ATE1" s="176" t="s">
        <v>196</v>
      </c>
      <c r="ATF1" s="176" t="s">
        <v>196</v>
      </c>
      <c r="ATG1" s="176" t="s">
        <v>196</v>
      </c>
      <c r="ATH1" s="176" t="s">
        <v>196</v>
      </c>
      <c r="ATI1" s="176" t="s">
        <v>196</v>
      </c>
      <c r="ATJ1" s="176" t="s">
        <v>196</v>
      </c>
      <c r="ATK1" s="176" t="s">
        <v>196</v>
      </c>
      <c r="ATL1" s="176" t="s">
        <v>196</v>
      </c>
      <c r="ATM1" s="176" t="s">
        <v>196</v>
      </c>
      <c r="ATN1" s="176" t="s">
        <v>196</v>
      </c>
      <c r="ATO1" s="176" t="s">
        <v>196</v>
      </c>
      <c r="ATP1" s="176" t="s">
        <v>196</v>
      </c>
      <c r="ATQ1" s="176" t="s">
        <v>196</v>
      </c>
      <c r="ATR1" s="176" t="s">
        <v>196</v>
      </c>
      <c r="ATS1" s="176" t="s">
        <v>196</v>
      </c>
      <c r="ATT1" s="176" t="s">
        <v>196</v>
      </c>
      <c r="ATU1" s="176" t="s">
        <v>196</v>
      </c>
      <c r="ATV1" s="176" t="s">
        <v>196</v>
      </c>
      <c r="ATW1" s="176" t="s">
        <v>196</v>
      </c>
      <c r="ATX1" s="176" t="s">
        <v>196</v>
      </c>
      <c r="ATY1" s="176" t="s">
        <v>196</v>
      </c>
      <c r="ATZ1" s="176" t="s">
        <v>196</v>
      </c>
      <c r="AUA1" s="176" t="s">
        <v>196</v>
      </c>
      <c r="AUB1" s="176" t="s">
        <v>196</v>
      </c>
      <c r="AUC1" s="176" t="s">
        <v>196</v>
      </c>
      <c r="AUD1" s="176" t="s">
        <v>196</v>
      </c>
      <c r="AUE1" s="176" t="s">
        <v>196</v>
      </c>
      <c r="AUF1" s="176" t="s">
        <v>196</v>
      </c>
      <c r="AUG1" s="176" t="s">
        <v>196</v>
      </c>
      <c r="AUH1" s="176" t="s">
        <v>196</v>
      </c>
      <c r="AUI1" s="176" t="s">
        <v>196</v>
      </c>
      <c r="AUJ1" s="176" t="s">
        <v>196</v>
      </c>
      <c r="AUK1" s="176" t="s">
        <v>196</v>
      </c>
      <c r="AUL1" s="176" t="s">
        <v>196</v>
      </c>
      <c r="AUM1" s="176" t="s">
        <v>196</v>
      </c>
      <c r="AUN1" s="176" t="s">
        <v>196</v>
      </c>
      <c r="AUO1" s="176" t="s">
        <v>196</v>
      </c>
      <c r="AUP1" s="176" t="s">
        <v>196</v>
      </c>
      <c r="AUQ1" s="176" t="s">
        <v>196</v>
      </c>
      <c r="AUR1" s="176" t="s">
        <v>196</v>
      </c>
      <c r="AUS1" s="176" t="s">
        <v>196</v>
      </c>
      <c r="AUT1" s="176" t="s">
        <v>196</v>
      </c>
      <c r="AUU1" s="176" t="s">
        <v>196</v>
      </c>
      <c r="AUV1" s="176" t="s">
        <v>196</v>
      </c>
      <c r="AUW1" s="176" t="s">
        <v>196</v>
      </c>
      <c r="AUX1" s="176" t="s">
        <v>196</v>
      </c>
      <c r="AUY1" s="176" t="s">
        <v>196</v>
      </c>
      <c r="AUZ1" s="176" t="s">
        <v>196</v>
      </c>
      <c r="AVA1" s="176" t="s">
        <v>196</v>
      </c>
      <c r="AVB1" s="176" t="s">
        <v>196</v>
      </c>
      <c r="AVC1" s="176" t="s">
        <v>196</v>
      </c>
      <c r="AVD1" s="176" t="s">
        <v>196</v>
      </c>
      <c r="AVE1" s="176" t="s">
        <v>196</v>
      </c>
      <c r="AVF1" s="176" t="s">
        <v>196</v>
      </c>
      <c r="AVG1" s="176" t="s">
        <v>196</v>
      </c>
      <c r="AVH1" s="176" t="s">
        <v>196</v>
      </c>
      <c r="AVI1" s="176" t="s">
        <v>196</v>
      </c>
      <c r="AVJ1" s="176" t="s">
        <v>196</v>
      </c>
      <c r="AVK1" s="176" t="s">
        <v>196</v>
      </c>
      <c r="AVL1" s="176" t="s">
        <v>196</v>
      </c>
      <c r="AVM1" s="176" t="s">
        <v>196</v>
      </c>
      <c r="AVN1" s="176" t="s">
        <v>196</v>
      </c>
      <c r="AVO1" s="176" t="s">
        <v>196</v>
      </c>
      <c r="AVP1" s="176" t="s">
        <v>196</v>
      </c>
      <c r="AVQ1" s="176" t="s">
        <v>196</v>
      </c>
      <c r="AVR1" s="176" t="s">
        <v>196</v>
      </c>
      <c r="AVS1" s="176" t="s">
        <v>196</v>
      </c>
      <c r="AVT1" s="176" t="s">
        <v>196</v>
      </c>
      <c r="AVU1" s="176" t="s">
        <v>196</v>
      </c>
      <c r="AVV1" s="176" t="s">
        <v>196</v>
      </c>
      <c r="AVW1" s="176" t="s">
        <v>196</v>
      </c>
      <c r="AVX1" s="176" t="s">
        <v>196</v>
      </c>
      <c r="AVY1" s="176" t="s">
        <v>196</v>
      </c>
      <c r="AVZ1" s="176" t="s">
        <v>196</v>
      </c>
      <c r="AWA1" s="176" t="s">
        <v>196</v>
      </c>
      <c r="AWB1" s="176" t="s">
        <v>196</v>
      </c>
      <c r="AWC1" s="176" t="s">
        <v>196</v>
      </c>
      <c r="AWD1" s="176" t="s">
        <v>196</v>
      </c>
      <c r="AWE1" s="176" t="s">
        <v>196</v>
      </c>
      <c r="AWF1" s="176" t="s">
        <v>196</v>
      </c>
      <c r="AWG1" s="176" t="s">
        <v>196</v>
      </c>
      <c r="AWH1" s="176" t="s">
        <v>196</v>
      </c>
      <c r="AWI1" s="176" t="s">
        <v>196</v>
      </c>
      <c r="AWJ1" s="176" t="s">
        <v>196</v>
      </c>
      <c r="AWK1" s="176" t="s">
        <v>196</v>
      </c>
      <c r="AWL1" s="176" t="s">
        <v>196</v>
      </c>
      <c r="AWM1" s="176" t="s">
        <v>196</v>
      </c>
      <c r="AWN1" s="176" t="s">
        <v>196</v>
      </c>
      <c r="AWO1" s="176" t="s">
        <v>196</v>
      </c>
      <c r="AWP1" s="176" t="s">
        <v>196</v>
      </c>
      <c r="AWQ1" s="176" t="s">
        <v>196</v>
      </c>
      <c r="AWR1" s="176" t="s">
        <v>196</v>
      </c>
      <c r="AWS1" s="176" t="s">
        <v>196</v>
      </c>
      <c r="AWT1" s="176" t="s">
        <v>196</v>
      </c>
      <c r="AWU1" s="176" t="s">
        <v>196</v>
      </c>
      <c r="AWV1" s="176" t="s">
        <v>196</v>
      </c>
      <c r="AWW1" s="176" t="s">
        <v>196</v>
      </c>
      <c r="AWX1" s="176" t="s">
        <v>196</v>
      </c>
      <c r="AWY1" s="176" t="s">
        <v>196</v>
      </c>
      <c r="AWZ1" s="176" t="s">
        <v>196</v>
      </c>
      <c r="AXA1" s="176" t="s">
        <v>196</v>
      </c>
      <c r="AXB1" s="176" t="s">
        <v>196</v>
      </c>
      <c r="AXC1" s="176" t="s">
        <v>196</v>
      </c>
      <c r="AXD1" s="176" t="s">
        <v>196</v>
      </c>
      <c r="AXE1" s="176" t="s">
        <v>196</v>
      </c>
      <c r="AXF1" s="176" t="s">
        <v>196</v>
      </c>
      <c r="AXG1" s="176" t="s">
        <v>196</v>
      </c>
      <c r="AXH1" s="176" t="s">
        <v>196</v>
      </c>
      <c r="AXI1" s="176" t="s">
        <v>196</v>
      </c>
      <c r="AXJ1" s="176" t="s">
        <v>196</v>
      </c>
      <c r="AXK1" s="176" t="s">
        <v>196</v>
      </c>
      <c r="AXL1" s="176" t="s">
        <v>196</v>
      </c>
      <c r="AXM1" s="176" t="s">
        <v>196</v>
      </c>
      <c r="AXN1" s="176" t="s">
        <v>196</v>
      </c>
      <c r="AXO1" s="176" t="s">
        <v>196</v>
      </c>
      <c r="AXP1" s="176" t="s">
        <v>196</v>
      </c>
      <c r="AXQ1" s="176" t="s">
        <v>196</v>
      </c>
      <c r="AXR1" s="176" t="s">
        <v>196</v>
      </c>
      <c r="AXS1" s="176" t="s">
        <v>196</v>
      </c>
      <c r="AXT1" s="176" t="s">
        <v>196</v>
      </c>
      <c r="AXU1" s="176" t="s">
        <v>196</v>
      </c>
      <c r="AXV1" s="176" t="s">
        <v>196</v>
      </c>
      <c r="AXW1" s="176" t="s">
        <v>196</v>
      </c>
      <c r="AXX1" s="176" t="s">
        <v>196</v>
      </c>
      <c r="AXY1" s="176" t="s">
        <v>196</v>
      </c>
      <c r="AXZ1" s="176" t="s">
        <v>196</v>
      </c>
      <c r="AYA1" s="176" t="s">
        <v>196</v>
      </c>
      <c r="AYB1" s="176" t="s">
        <v>196</v>
      </c>
      <c r="AYC1" s="176" t="s">
        <v>196</v>
      </c>
      <c r="AYD1" s="176" t="s">
        <v>196</v>
      </c>
      <c r="AYE1" s="176" t="s">
        <v>196</v>
      </c>
      <c r="AYF1" s="176" t="s">
        <v>196</v>
      </c>
      <c r="AYG1" s="176" t="s">
        <v>196</v>
      </c>
      <c r="AYH1" s="176" t="s">
        <v>196</v>
      </c>
      <c r="AYI1" s="176" t="s">
        <v>196</v>
      </c>
      <c r="AYJ1" s="176" t="s">
        <v>196</v>
      </c>
      <c r="AYK1" s="176" t="s">
        <v>196</v>
      </c>
      <c r="AYL1" s="176" t="s">
        <v>196</v>
      </c>
      <c r="AYM1" s="176" t="s">
        <v>196</v>
      </c>
      <c r="AYN1" s="176" t="s">
        <v>196</v>
      </c>
      <c r="AYO1" s="176" t="s">
        <v>196</v>
      </c>
      <c r="AYP1" s="176" t="s">
        <v>196</v>
      </c>
      <c r="AYQ1" s="176" t="s">
        <v>196</v>
      </c>
      <c r="AYR1" s="176" t="s">
        <v>196</v>
      </c>
      <c r="AYS1" s="176" t="s">
        <v>196</v>
      </c>
      <c r="AYT1" s="176" t="s">
        <v>196</v>
      </c>
      <c r="AYU1" s="176" t="s">
        <v>196</v>
      </c>
      <c r="AYV1" s="176" t="s">
        <v>196</v>
      </c>
      <c r="AYW1" s="176" t="s">
        <v>196</v>
      </c>
      <c r="AYX1" s="176" t="s">
        <v>196</v>
      </c>
      <c r="AYY1" s="176" t="s">
        <v>196</v>
      </c>
      <c r="AYZ1" s="176" t="s">
        <v>196</v>
      </c>
      <c r="AZA1" s="176" t="s">
        <v>196</v>
      </c>
      <c r="AZB1" s="176" t="s">
        <v>196</v>
      </c>
      <c r="AZC1" s="176" t="s">
        <v>196</v>
      </c>
      <c r="AZD1" s="176" t="s">
        <v>196</v>
      </c>
      <c r="AZE1" s="176" t="s">
        <v>196</v>
      </c>
      <c r="AZF1" s="176" t="s">
        <v>196</v>
      </c>
      <c r="AZG1" s="176" t="s">
        <v>196</v>
      </c>
      <c r="AZH1" s="176" t="s">
        <v>196</v>
      </c>
      <c r="AZI1" s="176" t="s">
        <v>196</v>
      </c>
      <c r="AZJ1" s="176" t="s">
        <v>196</v>
      </c>
      <c r="AZK1" s="176" t="s">
        <v>196</v>
      </c>
      <c r="AZL1" s="176" t="s">
        <v>196</v>
      </c>
      <c r="AZM1" s="176" t="s">
        <v>196</v>
      </c>
      <c r="AZN1" s="176" t="s">
        <v>196</v>
      </c>
      <c r="AZO1" s="176" t="s">
        <v>196</v>
      </c>
      <c r="AZP1" s="176" t="s">
        <v>196</v>
      </c>
      <c r="AZQ1" s="176" t="s">
        <v>196</v>
      </c>
      <c r="AZR1" s="176" t="s">
        <v>196</v>
      </c>
      <c r="AZS1" s="176" t="s">
        <v>196</v>
      </c>
      <c r="AZT1" s="176" t="s">
        <v>196</v>
      </c>
      <c r="AZU1" s="176" t="s">
        <v>196</v>
      </c>
      <c r="AZV1" s="176" t="s">
        <v>196</v>
      </c>
      <c r="AZW1" s="176" t="s">
        <v>196</v>
      </c>
      <c r="AZX1" s="176" t="s">
        <v>196</v>
      </c>
      <c r="AZY1" s="176" t="s">
        <v>196</v>
      </c>
      <c r="AZZ1" s="176" t="s">
        <v>196</v>
      </c>
      <c r="BAA1" s="176" t="s">
        <v>196</v>
      </c>
      <c r="BAB1" s="176" t="s">
        <v>196</v>
      </c>
      <c r="BAC1" s="176" t="s">
        <v>196</v>
      </c>
      <c r="BAD1" s="176" t="s">
        <v>196</v>
      </c>
      <c r="BAE1" s="176" t="s">
        <v>196</v>
      </c>
      <c r="BAF1" s="176" t="s">
        <v>196</v>
      </c>
      <c r="BAG1" s="176" t="s">
        <v>196</v>
      </c>
      <c r="BAH1" s="176" t="s">
        <v>196</v>
      </c>
      <c r="BAI1" s="176" t="s">
        <v>196</v>
      </c>
      <c r="BAJ1" s="176" t="s">
        <v>196</v>
      </c>
      <c r="BAK1" s="176" t="s">
        <v>196</v>
      </c>
      <c r="BAL1" s="176" t="s">
        <v>196</v>
      </c>
      <c r="BAM1" s="176" t="s">
        <v>196</v>
      </c>
      <c r="BAN1" s="176" t="s">
        <v>196</v>
      </c>
      <c r="BAO1" s="176" t="s">
        <v>196</v>
      </c>
      <c r="BAP1" s="176" t="s">
        <v>196</v>
      </c>
      <c r="BAQ1" s="176" t="s">
        <v>196</v>
      </c>
      <c r="BAR1" s="176" t="s">
        <v>196</v>
      </c>
      <c r="BAS1" s="176" t="s">
        <v>196</v>
      </c>
      <c r="BAT1" s="176" t="s">
        <v>196</v>
      </c>
      <c r="BAU1" s="176" t="s">
        <v>196</v>
      </c>
      <c r="BAV1" s="176" t="s">
        <v>196</v>
      </c>
      <c r="BAW1" s="176" t="s">
        <v>196</v>
      </c>
      <c r="BAX1" s="176" t="s">
        <v>196</v>
      </c>
      <c r="BAY1" s="176" t="s">
        <v>196</v>
      </c>
      <c r="BAZ1" s="176" t="s">
        <v>196</v>
      </c>
      <c r="BBA1" s="176" t="s">
        <v>196</v>
      </c>
      <c r="BBB1" s="176" t="s">
        <v>196</v>
      </c>
      <c r="BBC1" s="176" t="s">
        <v>196</v>
      </c>
      <c r="BBD1" s="176" t="s">
        <v>196</v>
      </c>
      <c r="BBE1" s="176" t="s">
        <v>196</v>
      </c>
      <c r="BBF1" s="176" t="s">
        <v>196</v>
      </c>
      <c r="BBG1" s="176" t="s">
        <v>196</v>
      </c>
      <c r="BBH1" s="176" t="s">
        <v>196</v>
      </c>
      <c r="BBI1" s="176" t="s">
        <v>196</v>
      </c>
      <c r="BBJ1" s="176" t="s">
        <v>196</v>
      </c>
      <c r="BBK1" s="176" t="s">
        <v>196</v>
      </c>
      <c r="BBL1" s="176" t="s">
        <v>196</v>
      </c>
      <c r="BBM1" s="176" t="s">
        <v>196</v>
      </c>
      <c r="BBN1" s="176" t="s">
        <v>196</v>
      </c>
      <c r="BBO1" s="176" t="s">
        <v>196</v>
      </c>
      <c r="BBP1" s="176" t="s">
        <v>196</v>
      </c>
      <c r="BBQ1" s="176" t="s">
        <v>196</v>
      </c>
      <c r="BBR1" s="176" t="s">
        <v>196</v>
      </c>
      <c r="BBS1" s="176" t="s">
        <v>196</v>
      </c>
      <c r="BBT1" s="176" t="s">
        <v>196</v>
      </c>
      <c r="BBU1" s="176" t="s">
        <v>196</v>
      </c>
      <c r="BBV1" s="176" t="s">
        <v>196</v>
      </c>
      <c r="BBW1" s="176" t="s">
        <v>196</v>
      </c>
      <c r="BBX1" s="176" t="s">
        <v>196</v>
      </c>
      <c r="BBY1" s="176" t="s">
        <v>196</v>
      </c>
      <c r="BBZ1" s="176" t="s">
        <v>196</v>
      </c>
      <c r="BCA1" s="176" t="s">
        <v>196</v>
      </c>
      <c r="BCB1" s="176" t="s">
        <v>196</v>
      </c>
      <c r="BCC1" s="176" t="s">
        <v>196</v>
      </c>
      <c r="BCD1" s="176" t="s">
        <v>196</v>
      </c>
      <c r="BCE1" s="176" t="s">
        <v>196</v>
      </c>
      <c r="BCF1" s="176" t="s">
        <v>196</v>
      </c>
      <c r="BCG1" s="176" t="s">
        <v>196</v>
      </c>
      <c r="BCH1" s="176" t="s">
        <v>196</v>
      </c>
      <c r="BCI1" s="176" t="s">
        <v>196</v>
      </c>
      <c r="BCJ1" s="176" t="s">
        <v>196</v>
      </c>
      <c r="BCK1" s="176" t="s">
        <v>196</v>
      </c>
      <c r="BCL1" s="176" t="s">
        <v>196</v>
      </c>
      <c r="BCM1" s="176" t="s">
        <v>196</v>
      </c>
      <c r="BCN1" s="176" t="s">
        <v>196</v>
      </c>
      <c r="BCO1" s="176" t="s">
        <v>196</v>
      </c>
      <c r="BCP1" s="176" t="s">
        <v>196</v>
      </c>
      <c r="BCQ1" s="176" t="s">
        <v>196</v>
      </c>
      <c r="BCR1" s="176" t="s">
        <v>196</v>
      </c>
      <c r="BCS1" s="176" t="s">
        <v>196</v>
      </c>
      <c r="BCT1" s="176" t="s">
        <v>196</v>
      </c>
      <c r="BCU1" s="176" t="s">
        <v>196</v>
      </c>
      <c r="BCV1" s="176" t="s">
        <v>196</v>
      </c>
      <c r="BCW1" s="176" t="s">
        <v>196</v>
      </c>
      <c r="BCX1" s="176" t="s">
        <v>196</v>
      </c>
      <c r="BCY1" s="176" t="s">
        <v>196</v>
      </c>
      <c r="BCZ1" s="176" t="s">
        <v>196</v>
      </c>
      <c r="BDA1" s="176" t="s">
        <v>196</v>
      </c>
      <c r="BDB1" s="176" t="s">
        <v>196</v>
      </c>
      <c r="BDC1" s="176" t="s">
        <v>196</v>
      </c>
      <c r="BDD1" s="176" t="s">
        <v>196</v>
      </c>
      <c r="BDE1" s="176" t="s">
        <v>196</v>
      </c>
      <c r="BDF1" s="176" t="s">
        <v>196</v>
      </c>
      <c r="BDG1" s="176" t="s">
        <v>196</v>
      </c>
      <c r="BDH1" s="176" t="s">
        <v>196</v>
      </c>
      <c r="BDI1" s="176" t="s">
        <v>196</v>
      </c>
      <c r="BDJ1" s="176" t="s">
        <v>196</v>
      </c>
      <c r="BDK1" s="176" t="s">
        <v>196</v>
      </c>
      <c r="BDL1" s="176" t="s">
        <v>196</v>
      </c>
      <c r="BDM1" s="176" t="s">
        <v>196</v>
      </c>
      <c r="BDN1" s="176" t="s">
        <v>196</v>
      </c>
      <c r="BDO1" s="176" t="s">
        <v>196</v>
      </c>
      <c r="BDP1" s="176" t="s">
        <v>196</v>
      </c>
      <c r="BDQ1" s="176" t="s">
        <v>196</v>
      </c>
      <c r="BDR1" s="176" t="s">
        <v>196</v>
      </c>
      <c r="BDS1" s="176" t="s">
        <v>196</v>
      </c>
      <c r="BDT1" s="176" t="s">
        <v>196</v>
      </c>
      <c r="BDU1" s="176" t="s">
        <v>196</v>
      </c>
      <c r="BDV1" s="176" t="s">
        <v>196</v>
      </c>
      <c r="BDW1" s="176" t="s">
        <v>196</v>
      </c>
      <c r="BDX1" s="176" t="s">
        <v>196</v>
      </c>
      <c r="BDY1" s="176" t="s">
        <v>196</v>
      </c>
      <c r="BDZ1" s="176" t="s">
        <v>196</v>
      </c>
      <c r="BEA1" s="176" t="s">
        <v>196</v>
      </c>
      <c r="BEB1" s="176" t="s">
        <v>196</v>
      </c>
      <c r="BEC1" s="176" t="s">
        <v>196</v>
      </c>
      <c r="BED1" s="176" t="s">
        <v>196</v>
      </c>
      <c r="BEE1" s="176" t="s">
        <v>196</v>
      </c>
      <c r="BEF1" s="176" t="s">
        <v>196</v>
      </c>
      <c r="BEG1" s="176" t="s">
        <v>196</v>
      </c>
      <c r="BEH1" s="176" t="s">
        <v>196</v>
      </c>
      <c r="BEI1" s="176" t="s">
        <v>196</v>
      </c>
      <c r="BEJ1" s="176" t="s">
        <v>196</v>
      </c>
      <c r="BEK1" s="176" t="s">
        <v>196</v>
      </c>
      <c r="BEL1" s="176" t="s">
        <v>196</v>
      </c>
      <c r="BEM1" s="176" t="s">
        <v>196</v>
      </c>
      <c r="BEN1" s="176" t="s">
        <v>196</v>
      </c>
      <c r="BEO1" s="176" t="s">
        <v>196</v>
      </c>
      <c r="BEP1" s="176" t="s">
        <v>196</v>
      </c>
      <c r="BEQ1" s="176" t="s">
        <v>196</v>
      </c>
      <c r="BER1" s="176" t="s">
        <v>196</v>
      </c>
      <c r="BES1" s="176" t="s">
        <v>196</v>
      </c>
      <c r="BET1" s="176" t="s">
        <v>196</v>
      </c>
      <c r="BEU1" s="176" t="s">
        <v>196</v>
      </c>
      <c r="BEV1" s="176" t="s">
        <v>196</v>
      </c>
      <c r="BEW1" s="176" t="s">
        <v>196</v>
      </c>
      <c r="BEX1" s="176" t="s">
        <v>196</v>
      </c>
      <c r="BEY1" s="176" t="s">
        <v>196</v>
      </c>
      <c r="BEZ1" s="176" t="s">
        <v>196</v>
      </c>
      <c r="BFA1" s="176" t="s">
        <v>196</v>
      </c>
      <c r="BFB1" s="176" t="s">
        <v>196</v>
      </c>
      <c r="BFC1" s="176" t="s">
        <v>196</v>
      </c>
      <c r="BFD1" s="176" t="s">
        <v>196</v>
      </c>
      <c r="BFE1" s="176" t="s">
        <v>196</v>
      </c>
      <c r="BFF1" s="176" t="s">
        <v>196</v>
      </c>
      <c r="BFG1" s="176" t="s">
        <v>196</v>
      </c>
      <c r="BFH1" s="176" t="s">
        <v>196</v>
      </c>
      <c r="BFI1" s="176" t="s">
        <v>196</v>
      </c>
      <c r="BFJ1" s="176" t="s">
        <v>196</v>
      </c>
      <c r="BFK1" s="176" t="s">
        <v>196</v>
      </c>
      <c r="BFL1" s="176" t="s">
        <v>196</v>
      </c>
      <c r="BFM1" s="176" t="s">
        <v>196</v>
      </c>
      <c r="BFN1" s="176" t="s">
        <v>196</v>
      </c>
      <c r="BFO1" s="176" t="s">
        <v>196</v>
      </c>
      <c r="BFP1" s="176" t="s">
        <v>196</v>
      </c>
      <c r="BFQ1" s="176" t="s">
        <v>196</v>
      </c>
      <c r="BFR1" s="176" t="s">
        <v>196</v>
      </c>
      <c r="BFS1" s="176" t="s">
        <v>196</v>
      </c>
      <c r="BFT1" s="176" t="s">
        <v>196</v>
      </c>
      <c r="BFU1" s="176" t="s">
        <v>196</v>
      </c>
      <c r="BFV1" s="176" t="s">
        <v>196</v>
      </c>
      <c r="BFW1" s="176" t="s">
        <v>196</v>
      </c>
      <c r="BFX1" s="176" t="s">
        <v>196</v>
      </c>
      <c r="BFY1" s="176" t="s">
        <v>196</v>
      </c>
      <c r="BFZ1" s="176" t="s">
        <v>196</v>
      </c>
      <c r="BGA1" s="176" t="s">
        <v>196</v>
      </c>
      <c r="BGB1" s="176" t="s">
        <v>196</v>
      </c>
      <c r="BGC1" s="176" t="s">
        <v>196</v>
      </c>
      <c r="BGD1" s="176" t="s">
        <v>196</v>
      </c>
      <c r="BGE1" s="176" t="s">
        <v>196</v>
      </c>
      <c r="BGF1" s="176" t="s">
        <v>196</v>
      </c>
      <c r="BGG1" s="176" t="s">
        <v>196</v>
      </c>
      <c r="BGH1" s="176" t="s">
        <v>196</v>
      </c>
      <c r="BGI1" s="176" t="s">
        <v>196</v>
      </c>
      <c r="BGJ1" s="176" t="s">
        <v>196</v>
      </c>
      <c r="BGK1" s="176" t="s">
        <v>196</v>
      </c>
      <c r="BGL1" s="176" t="s">
        <v>196</v>
      </c>
      <c r="BGM1" s="176" t="s">
        <v>196</v>
      </c>
      <c r="BGN1" s="176" t="s">
        <v>196</v>
      </c>
      <c r="BGO1" s="176" t="s">
        <v>196</v>
      </c>
      <c r="BGP1" s="176" t="s">
        <v>196</v>
      </c>
      <c r="BGQ1" s="176" t="s">
        <v>196</v>
      </c>
      <c r="BGR1" s="176" t="s">
        <v>196</v>
      </c>
      <c r="BGS1" s="176" t="s">
        <v>196</v>
      </c>
      <c r="BGT1" s="176" t="s">
        <v>196</v>
      </c>
      <c r="BGU1" s="176" t="s">
        <v>196</v>
      </c>
      <c r="BGV1" s="176" t="s">
        <v>196</v>
      </c>
      <c r="BGW1" s="176" t="s">
        <v>196</v>
      </c>
      <c r="BGX1" s="176" t="s">
        <v>196</v>
      </c>
      <c r="BGY1" s="176" t="s">
        <v>196</v>
      </c>
      <c r="BGZ1" s="176" t="s">
        <v>196</v>
      </c>
      <c r="BHA1" s="176" t="s">
        <v>196</v>
      </c>
      <c r="BHB1" s="176" t="s">
        <v>196</v>
      </c>
      <c r="BHC1" s="176" t="s">
        <v>196</v>
      </c>
      <c r="BHD1" s="176" t="s">
        <v>196</v>
      </c>
      <c r="BHE1" s="176" t="s">
        <v>196</v>
      </c>
      <c r="BHF1" s="176" t="s">
        <v>196</v>
      </c>
      <c r="BHG1" s="176" t="s">
        <v>196</v>
      </c>
      <c r="BHH1" s="176" t="s">
        <v>196</v>
      </c>
      <c r="BHI1" s="176" t="s">
        <v>196</v>
      </c>
      <c r="BHJ1" s="176" t="s">
        <v>196</v>
      </c>
      <c r="BHK1" s="176" t="s">
        <v>196</v>
      </c>
      <c r="BHL1" s="176" t="s">
        <v>196</v>
      </c>
      <c r="BHM1" s="176" t="s">
        <v>196</v>
      </c>
      <c r="BHN1" s="176" t="s">
        <v>196</v>
      </c>
      <c r="BHO1" s="176" t="s">
        <v>196</v>
      </c>
      <c r="BHP1" s="176" t="s">
        <v>196</v>
      </c>
      <c r="BHQ1" s="176" t="s">
        <v>196</v>
      </c>
      <c r="BHR1" s="176" t="s">
        <v>196</v>
      </c>
      <c r="BHS1" s="176" t="s">
        <v>196</v>
      </c>
      <c r="BHT1" s="176" t="s">
        <v>196</v>
      </c>
      <c r="BHU1" s="176" t="s">
        <v>196</v>
      </c>
      <c r="BHV1" s="176" t="s">
        <v>196</v>
      </c>
      <c r="BHW1" s="176" t="s">
        <v>196</v>
      </c>
      <c r="BHX1" s="176" t="s">
        <v>196</v>
      </c>
      <c r="BHY1" s="176" t="s">
        <v>196</v>
      </c>
      <c r="BHZ1" s="176" t="s">
        <v>196</v>
      </c>
      <c r="BIA1" s="176" t="s">
        <v>196</v>
      </c>
      <c r="BIB1" s="176" t="s">
        <v>196</v>
      </c>
      <c r="BIC1" s="176" t="s">
        <v>196</v>
      </c>
      <c r="BID1" s="176" t="s">
        <v>196</v>
      </c>
      <c r="BIE1" s="176" t="s">
        <v>196</v>
      </c>
      <c r="BIF1" s="176" t="s">
        <v>196</v>
      </c>
      <c r="BIG1" s="176" t="s">
        <v>196</v>
      </c>
      <c r="BIH1" s="176" t="s">
        <v>196</v>
      </c>
      <c r="BII1" s="176" t="s">
        <v>196</v>
      </c>
      <c r="BIJ1" s="176" t="s">
        <v>196</v>
      </c>
      <c r="BIK1" s="176" t="s">
        <v>196</v>
      </c>
      <c r="BIL1" s="176" t="s">
        <v>196</v>
      </c>
      <c r="BIM1" s="176" t="s">
        <v>196</v>
      </c>
      <c r="BIN1" s="176" t="s">
        <v>196</v>
      </c>
      <c r="BIO1" s="176" t="s">
        <v>196</v>
      </c>
      <c r="BIP1" s="176" t="s">
        <v>196</v>
      </c>
      <c r="BIQ1" s="176" t="s">
        <v>196</v>
      </c>
      <c r="BIR1" s="176" t="s">
        <v>196</v>
      </c>
      <c r="BIS1" s="176" t="s">
        <v>196</v>
      </c>
      <c r="BIT1" s="176" t="s">
        <v>196</v>
      </c>
      <c r="BIU1" s="176" t="s">
        <v>196</v>
      </c>
      <c r="BIV1" s="176" t="s">
        <v>196</v>
      </c>
      <c r="BIW1" s="176" t="s">
        <v>196</v>
      </c>
      <c r="BIX1" s="176" t="s">
        <v>196</v>
      </c>
      <c r="BIY1" s="176" t="s">
        <v>196</v>
      </c>
      <c r="BIZ1" s="176" t="s">
        <v>196</v>
      </c>
      <c r="BJA1" s="176" t="s">
        <v>196</v>
      </c>
      <c r="BJB1" s="176" t="s">
        <v>196</v>
      </c>
      <c r="BJC1" s="176" t="s">
        <v>196</v>
      </c>
      <c r="BJD1" s="176" t="s">
        <v>196</v>
      </c>
      <c r="BJE1" s="176" t="s">
        <v>196</v>
      </c>
      <c r="BJF1" s="176" t="s">
        <v>196</v>
      </c>
      <c r="BJG1" s="176" t="s">
        <v>196</v>
      </c>
      <c r="BJH1" s="176" t="s">
        <v>196</v>
      </c>
      <c r="BJI1" s="176" t="s">
        <v>196</v>
      </c>
      <c r="BJJ1" s="176" t="s">
        <v>196</v>
      </c>
      <c r="BJK1" s="176" t="s">
        <v>196</v>
      </c>
      <c r="BJL1" s="176" t="s">
        <v>196</v>
      </c>
      <c r="BJM1" s="176" t="s">
        <v>196</v>
      </c>
      <c r="BJN1" s="176" t="s">
        <v>196</v>
      </c>
      <c r="BJO1" s="176" t="s">
        <v>196</v>
      </c>
      <c r="BJP1" s="176" t="s">
        <v>196</v>
      </c>
      <c r="BJQ1" s="176" t="s">
        <v>196</v>
      </c>
      <c r="BJR1" s="176" t="s">
        <v>196</v>
      </c>
      <c r="BJS1" s="176" t="s">
        <v>196</v>
      </c>
      <c r="BJT1" s="176" t="s">
        <v>196</v>
      </c>
      <c r="BJU1" s="176" t="s">
        <v>196</v>
      </c>
      <c r="BJV1" s="176" t="s">
        <v>196</v>
      </c>
      <c r="BJW1" s="176" t="s">
        <v>196</v>
      </c>
      <c r="BJX1" s="176" t="s">
        <v>196</v>
      </c>
      <c r="BJY1" s="176" t="s">
        <v>196</v>
      </c>
      <c r="BJZ1" s="176" t="s">
        <v>196</v>
      </c>
      <c r="BKA1" s="176" t="s">
        <v>196</v>
      </c>
      <c r="BKB1" s="176" t="s">
        <v>196</v>
      </c>
      <c r="BKC1" s="176" t="s">
        <v>196</v>
      </c>
      <c r="BKD1" s="176" t="s">
        <v>196</v>
      </c>
      <c r="BKE1" s="176" t="s">
        <v>196</v>
      </c>
      <c r="BKF1" s="176" t="s">
        <v>196</v>
      </c>
      <c r="BKG1" s="176" t="s">
        <v>196</v>
      </c>
      <c r="BKH1" s="176" t="s">
        <v>196</v>
      </c>
      <c r="BKI1" s="176" t="s">
        <v>196</v>
      </c>
      <c r="BKJ1" s="176" t="s">
        <v>196</v>
      </c>
      <c r="BKK1" s="176" t="s">
        <v>196</v>
      </c>
      <c r="BKL1" s="176" t="s">
        <v>196</v>
      </c>
      <c r="BKM1" s="176" t="s">
        <v>196</v>
      </c>
      <c r="BKN1" s="176" t="s">
        <v>196</v>
      </c>
      <c r="BKO1" s="176" t="s">
        <v>196</v>
      </c>
      <c r="BKP1" s="176" t="s">
        <v>196</v>
      </c>
      <c r="BKQ1" s="176" t="s">
        <v>196</v>
      </c>
      <c r="BKR1" s="176" t="s">
        <v>196</v>
      </c>
      <c r="BKS1" s="176" t="s">
        <v>196</v>
      </c>
      <c r="BKT1" s="176" t="s">
        <v>196</v>
      </c>
      <c r="BKU1" s="176" t="s">
        <v>196</v>
      </c>
      <c r="BKV1" s="176" t="s">
        <v>196</v>
      </c>
      <c r="BKW1" s="176" t="s">
        <v>196</v>
      </c>
      <c r="BKX1" s="176" t="s">
        <v>196</v>
      </c>
      <c r="BKY1" s="176" t="s">
        <v>196</v>
      </c>
      <c r="BKZ1" s="176" t="s">
        <v>196</v>
      </c>
      <c r="BLA1" s="176" t="s">
        <v>196</v>
      </c>
      <c r="BLB1" s="176" t="s">
        <v>196</v>
      </c>
      <c r="BLC1" s="176" t="s">
        <v>196</v>
      </c>
      <c r="BLD1" s="176" t="s">
        <v>196</v>
      </c>
      <c r="BLE1" s="176" t="s">
        <v>196</v>
      </c>
      <c r="BLF1" s="176" t="s">
        <v>196</v>
      </c>
      <c r="BLG1" s="176" t="s">
        <v>196</v>
      </c>
      <c r="BLH1" s="176" t="s">
        <v>196</v>
      </c>
      <c r="BLI1" s="176" t="s">
        <v>196</v>
      </c>
      <c r="BLJ1" s="176" t="s">
        <v>196</v>
      </c>
      <c r="BLK1" s="176" t="s">
        <v>196</v>
      </c>
      <c r="BLL1" s="176" t="s">
        <v>196</v>
      </c>
      <c r="BLM1" s="176" t="s">
        <v>196</v>
      </c>
      <c r="BLN1" s="176" t="s">
        <v>196</v>
      </c>
      <c r="BLO1" s="176" t="s">
        <v>196</v>
      </c>
      <c r="BLP1" s="176" t="s">
        <v>196</v>
      </c>
      <c r="BLQ1" s="176" t="s">
        <v>196</v>
      </c>
      <c r="BLR1" s="176" t="s">
        <v>196</v>
      </c>
      <c r="BLS1" s="176" t="s">
        <v>196</v>
      </c>
      <c r="BLT1" s="176" t="s">
        <v>196</v>
      </c>
      <c r="BLU1" s="176" t="s">
        <v>196</v>
      </c>
      <c r="BLV1" s="176" t="s">
        <v>196</v>
      </c>
      <c r="BLW1" s="176" t="s">
        <v>196</v>
      </c>
      <c r="BLX1" s="176" t="s">
        <v>196</v>
      </c>
      <c r="BLY1" s="176" t="s">
        <v>196</v>
      </c>
      <c r="BLZ1" s="176" t="s">
        <v>196</v>
      </c>
      <c r="BMA1" s="176" t="s">
        <v>196</v>
      </c>
      <c r="BMB1" s="176" t="s">
        <v>196</v>
      </c>
      <c r="BMC1" s="176" t="s">
        <v>196</v>
      </c>
      <c r="BMD1" s="176" t="s">
        <v>196</v>
      </c>
      <c r="BME1" s="176" t="s">
        <v>196</v>
      </c>
      <c r="BMF1" s="176" t="s">
        <v>196</v>
      </c>
      <c r="BMG1" s="176" t="s">
        <v>196</v>
      </c>
      <c r="BMH1" s="176" t="s">
        <v>196</v>
      </c>
      <c r="BMI1" s="176" t="s">
        <v>196</v>
      </c>
      <c r="BMJ1" s="176" t="s">
        <v>196</v>
      </c>
      <c r="BMK1" s="176" t="s">
        <v>196</v>
      </c>
      <c r="BML1" s="176" t="s">
        <v>196</v>
      </c>
      <c r="BMM1" s="176" t="s">
        <v>196</v>
      </c>
      <c r="BMN1" s="176" t="s">
        <v>196</v>
      </c>
      <c r="BMO1" s="176" t="s">
        <v>196</v>
      </c>
      <c r="BMP1" s="176" t="s">
        <v>196</v>
      </c>
      <c r="BMQ1" s="176" t="s">
        <v>196</v>
      </c>
      <c r="BMR1" s="176" t="s">
        <v>196</v>
      </c>
      <c r="BMS1" s="176" t="s">
        <v>196</v>
      </c>
      <c r="BMT1" s="176" t="s">
        <v>196</v>
      </c>
      <c r="BMU1" s="176" t="s">
        <v>196</v>
      </c>
      <c r="BMV1" s="176" t="s">
        <v>196</v>
      </c>
      <c r="BMW1" s="176" t="s">
        <v>196</v>
      </c>
      <c r="BMX1" s="176" t="s">
        <v>196</v>
      </c>
      <c r="BMY1" s="176" t="s">
        <v>196</v>
      </c>
      <c r="BMZ1" s="176" t="s">
        <v>196</v>
      </c>
      <c r="BNA1" s="176" t="s">
        <v>196</v>
      </c>
      <c r="BNB1" s="176" t="s">
        <v>196</v>
      </c>
      <c r="BNC1" s="176" t="s">
        <v>196</v>
      </c>
      <c r="BND1" s="176" t="s">
        <v>196</v>
      </c>
      <c r="BNE1" s="176" t="s">
        <v>196</v>
      </c>
      <c r="BNF1" s="176" t="s">
        <v>196</v>
      </c>
      <c r="BNG1" s="176" t="s">
        <v>196</v>
      </c>
      <c r="BNH1" s="176" t="s">
        <v>196</v>
      </c>
      <c r="BNI1" s="176" t="s">
        <v>196</v>
      </c>
      <c r="BNJ1" s="176" t="s">
        <v>196</v>
      </c>
      <c r="BNK1" s="176" t="s">
        <v>196</v>
      </c>
      <c r="BNL1" s="176" t="s">
        <v>196</v>
      </c>
      <c r="BNM1" s="176" t="s">
        <v>196</v>
      </c>
      <c r="BNN1" s="176" t="s">
        <v>196</v>
      </c>
      <c r="BNO1" s="176" t="s">
        <v>196</v>
      </c>
      <c r="BNP1" s="176" t="s">
        <v>196</v>
      </c>
      <c r="BNQ1" s="176" t="s">
        <v>196</v>
      </c>
      <c r="BNR1" s="176" t="s">
        <v>196</v>
      </c>
      <c r="BNS1" s="176" t="s">
        <v>196</v>
      </c>
      <c r="BNT1" s="176" t="s">
        <v>196</v>
      </c>
      <c r="BNU1" s="176" t="s">
        <v>196</v>
      </c>
      <c r="BNV1" s="176" t="s">
        <v>196</v>
      </c>
      <c r="BNW1" s="176" t="s">
        <v>196</v>
      </c>
      <c r="BNX1" s="176" t="s">
        <v>196</v>
      </c>
      <c r="BNY1" s="176" t="s">
        <v>196</v>
      </c>
      <c r="BNZ1" s="176" t="s">
        <v>196</v>
      </c>
      <c r="BOA1" s="176" t="s">
        <v>196</v>
      </c>
      <c r="BOB1" s="176" t="s">
        <v>196</v>
      </c>
      <c r="BOC1" s="176" t="s">
        <v>196</v>
      </c>
      <c r="BOD1" s="176" t="s">
        <v>196</v>
      </c>
      <c r="BOE1" s="176" t="s">
        <v>196</v>
      </c>
      <c r="BOF1" s="176" t="s">
        <v>196</v>
      </c>
      <c r="BOG1" s="176" t="s">
        <v>196</v>
      </c>
      <c r="BOH1" s="176" t="s">
        <v>196</v>
      </c>
      <c r="BOI1" s="176" t="s">
        <v>196</v>
      </c>
      <c r="BOJ1" s="176" t="s">
        <v>196</v>
      </c>
      <c r="BOK1" s="176" t="s">
        <v>196</v>
      </c>
      <c r="BOL1" s="176" t="s">
        <v>196</v>
      </c>
      <c r="BOM1" s="176" t="s">
        <v>196</v>
      </c>
      <c r="BON1" s="176" t="s">
        <v>196</v>
      </c>
      <c r="BOO1" s="176" t="s">
        <v>196</v>
      </c>
      <c r="BOP1" s="176" t="s">
        <v>196</v>
      </c>
      <c r="BOQ1" s="176" t="s">
        <v>196</v>
      </c>
      <c r="BOR1" s="176" t="s">
        <v>196</v>
      </c>
      <c r="BOS1" s="176" t="s">
        <v>196</v>
      </c>
      <c r="BOT1" s="176" t="s">
        <v>196</v>
      </c>
      <c r="BOU1" s="176" t="s">
        <v>196</v>
      </c>
      <c r="BOV1" s="176" t="s">
        <v>196</v>
      </c>
      <c r="BOW1" s="176" t="s">
        <v>196</v>
      </c>
      <c r="BOX1" s="176" t="s">
        <v>196</v>
      </c>
      <c r="BOY1" s="176" t="s">
        <v>196</v>
      </c>
      <c r="BOZ1" s="176" t="s">
        <v>196</v>
      </c>
      <c r="BPA1" s="176" t="s">
        <v>196</v>
      </c>
      <c r="BPB1" s="176" t="s">
        <v>196</v>
      </c>
      <c r="BPC1" s="176" t="s">
        <v>196</v>
      </c>
      <c r="BPD1" s="176" t="s">
        <v>196</v>
      </c>
      <c r="BPE1" s="176" t="s">
        <v>196</v>
      </c>
      <c r="BPF1" s="176" t="s">
        <v>196</v>
      </c>
      <c r="BPG1" s="176" t="s">
        <v>196</v>
      </c>
      <c r="BPH1" s="176" t="s">
        <v>196</v>
      </c>
      <c r="BPI1" s="176" t="s">
        <v>196</v>
      </c>
      <c r="BPJ1" s="176" t="s">
        <v>196</v>
      </c>
      <c r="BPK1" s="176" t="s">
        <v>196</v>
      </c>
      <c r="BPL1" s="176" t="s">
        <v>196</v>
      </c>
      <c r="BPM1" s="176" t="s">
        <v>196</v>
      </c>
      <c r="BPN1" s="176" t="s">
        <v>196</v>
      </c>
      <c r="BPO1" s="176" t="s">
        <v>196</v>
      </c>
      <c r="BPP1" s="176" t="s">
        <v>196</v>
      </c>
      <c r="BPQ1" s="176" t="s">
        <v>196</v>
      </c>
      <c r="BPR1" s="176" t="s">
        <v>196</v>
      </c>
      <c r="BPS1" s="176" t="s">
        <v>196</v>
      </c>
      <c r="BPT1" s="176" t="s">
        <v>196</v>
      </c>
      <c r="BPU1" s="176" t="s">
        <v>196</v>
      </c>
      <c r="BPV1" s="176" t="s">
        <v>196</v>
      </c>
      <c r="BPW1" s="176" t="s">
        <v>196</v>
      </c>
      <c r="BPX1" s="176" t="s">
        <v>196</v>
      </c>
      <c r="BPY1" s="176" t="s">
        <v>196</v>
      </c>
      <c r="BPZ1" s="176" t="s">
        <v>196</v>
      </c>
      <c r="BQA1" s="176" t="s">
        <v>196</v>
      </c>
      <c r="BQB1" s="176" t="s">
        <v>196</v>
      </c>
      <c r="BQC1" s="176" t="s">
        <v>196</v>
      </c>
      <c r="BQD1" s="176" t="s">
        <v>196</v>
      </c>
      <c r="BQE1" s="176" t="s">
        <v>196</v>
      </c>
      <c r="BQF1" s="176" t="s">
        <v>196</v>
      </c>
      <c r="BQG1" s="176" t="s">
        <v>196</v>
      </c>
      <c r="BQH1" s="176" t="s">
        <v>196</v>
      </c>
      <c r="BQI1" s="176" t="s">
        <v>196</v>
      </c>
      <c r="BQJ1" s="176" t="s">
        <v>196</v>
      </c>
      <c r="BQK1" s="176" t="s">
        <v>196</v>
      </c>
      <c r="BQL1" s="176" t="s">
        <v>196</v>
      </c>
      <c r="BQM1" s="176" t="s">
        <v>196</v>
      </c>
      <c r="BQN1" s="176" t="s">
        <v>196</v>
      </c>
      <c r="BQO1" s="176" t="s">
        <v>196</v>
      </c>
      <c r="BQP1" s="176" t="s">
        <v>196</v>
      </c>
      <c r="BQQ1" s="176" t="s">
        <v>196</v>
      </c>
      <c r="BQR1" s="176" t="s">
        <v>196</v>
      </c>
      <c r="BQS1" s="176" t="s">
        <v>196</v>
      </c>
      <c r="BQT1" s="176" t="s">
        <v>196</v>
      </c>
      <c r="BQU1" s="176" t="s">
        <v>196</v>
      </c>
      <c r="BQV1" s="176" t="s">
        <v>196</v>
      </c>
      <c r="BQW1" s="176" t="s">
        <v>196</v>
      </c>
      <c r="BQX1" s="176" t="s">
        <v>196</v>
      </c>
      <c r="BQY1" s="176" t="s">
        <v>196</v>
      </c>
      <c r="BQZ1" s="176" t="s">
        <v>196</v>
      </c>
      <c r="BRA1" s="176" t="s">
        <v>196</v>
      </c>
      <c r="BRB1" s="176" t="s">
        <v>196</v>
      </c>
      <c r="BRC1" s="176" t="s">
        <v>196</v>
      </c>
      <c r="BRD1" s="176" t="s">
        <v>196</v>
      </c>
      <c r="BRE1" s="176" t="s">
        <v>196</v>
      </c>
      <c r="BRF1" s="176" t="s">
        <v>196</v>
      </c>
      <c r="BRG1" s="176" t="s">
        <v>196</v>
      </c>
      <c r="BRH1" s="176" t="s">
        <v>196</v>
      </c>
      <c r="BRI1" s="176" t="s">
        <v>196</v>
      </c>
      <c r="BRJ1" s="176" t="s">
        <v>196</v>
      </c>
      <c r="BRK1" s="176" t="s">
        <v>196</v>
      </c>
      <c r="BRL1" s="176" t="s">
        <v>196</v>
      </c>
      <c r="BRM1" s="176" t="s">
        <v>196</v>
      </c>
      <c r="BRN1" s="176" t="s">
        <v>196</v>
      </c>
      <c r="BRO1" s="176" t="s">
        <v>196</v>
      </c>
      <c r="BRP1" s="176" t="s">
        <v>196</v>
      </c>
      <c r="BRQ1" s="176" t="s">
        <v>196</v>
      </c>
      <c r="BRR1" s="176" t="s">
        <v>196</v>
      </c>
      <c r="BRS1" s="176" t="s">
        <v>196</v>
      </c>
      <c r="BRT1" s="176" t="s">
        <v>196</v>
      </c>
      <c r="BRU1" s="176" t="s">
        <v>196</v>
      </c>
      <c r="BRV1" s="176" t="s">
        <v>196</v>
      </c>
      <c r="BRW1" s="176" t="s">
        <v>196</v>
      </c>
      <c r="BRX1" s="176" t="s">
        <v>196</v>
      </c>
      <c r="BRY1" s="176" t="s">
        <v>196</v>
      </c>
      <c r="BRZ1" s="176" t="s">
        <v>196</v>
      </c>
      <c r="BSA1" s="176" t="s">
        <v>196</v>
      </c>
      <c r="BSB1" s="176" t="s">
        <v>196</v>
      </c>
      <c r="BSC1" s="176" t="s">
        <v>196</v>
      </c>
      <c r="BSD1" s="176" t="s">
        <v>196</v>
      </c>
      <c r="BSE1" s="176" t="s">
        <v>196</v>
      </c>
      <c r="BSF1" s="176" t="s">
        <v>196</v>
      </c>
      <c r="BSG1" s="176" t="s">
        <v>196</v>
      </c>
      <c r="BSH1" s="176" t="s">
        <v>196</v>
      </c>
      <c r="BSI1" s="176" t="s">
        <v>196</v>
      </c>
      <c r="BSJ1" s="176" t="s">
        <v>196</v>
      </c>
      <c r="BSK1" s="176" t="s">
        <v>196</v>
      </c>
      <c r="BSL1" s="176" t="s">
        <v>196</v>
      </c>
      <c r="BSM1" s="176" t="s">
        <v>196</v>
      </c>
      <c r="BSN1" s="176" t="s">
        <v>196</v>
      </c>
      <c r="BSO1" s="176" t="s">
        <v>196</v>
      </c>
      <c r="BSP1" s="176" t="s">
        <v>196</v>
      </c>
      <c r="BSQ1" s="176" t="s">
        <v>196</v>
      </c>
      <c r="BSR1" s="176" t="s">
        <v>196</v>
      </c>
      <c r="BSS1" s="176" t="s">
        <v>196</v>
      </c>
      <c r="BST1" s="176" t="s">
        <v>196</v>
      </c>
      <c r="BSU1" s="176" t="s">
        <v>196</v>
      </c>
      <c r="BSV1" s="176" t="s">
        <v>196</v>
      </c>
      <c r="BSW1" s="176" t="s">
        <v>196</v>
      </c>
      <c r="BSX1" s="176" t="s">
        <v>196</v>
      </c>
      <c r="BSY1" s="176" t="s">
        <v>196</v>
      </c>
      <c r="BSZ1" s="176" t="s">
        <v>196</v>
      </c>
      <c r="BTA1" s="176" t="s">
        <v>196</v>
      </c>
      <c r="BTB1" s="176" t="s">
        <v>196</v>
      </c>
      <c r="BTC1" s="176" t="s">
        <v>196</v>
      </c>
      <c r="BTD1" s="176" t="s">
        <v>196</v>
      </c>
      <c r="BTE1" s="176" t="s">
        <v>196</v>
      </c>
      <c r="BTF1" s="176" t="s">
        <v>196</v>
      </c>
      <c r="BTG1" s="176" t="s">
        <v>196</v>
      </c>
      <c r="BTH1" s="176" t="s">
        <v>196</v>
      </c>
      <c r="BTI1" s="176" t="s">
        <v>196</v>
      </c>
      <c r="BTJ1" s="176" t="s">
        <v>196</v>
      </c>
      <c r="BTK1" s="176" t="s">
        <v>196</v>
      </c>
      <c r="BTL1" s="176" t="s">
        <v>196</v>
      </c>
      <c r="BTM1" s="176" t="s">
        <v>196</v>
      </c>
      <c r="BTN1" s="176" t="s">
        <v>196</v>
      </c>
      <c r="BTO1" s="176" t="s">
        <v>196</v>
      </c>
      <c r="BTP1" s="176" t="s">
        <v>196</v>
      </c>
      <c r="BTQ1" s="176" t="s">
        <v>196</v>
      </c>
      <c r="BTR1" s="176" t="s">
        <v>196</v>
      </c>
      <c r="BTS1" s="176" t="s">
        <v>196</v>
      </c>
      <c r="BTT1" s="176" t="s">
        <v>196</v>
      </c>
      <c r="BTU1" s="176" t="s">
        <v>196</v>
      </c>
      <c r="BTV1" s="176" t="s">
        <v>196</v>
      </c>
      <c r="BTW1" s="176" t="s">
        <v>196</v>
      </c>
      <c r="BTX1" s="176" t="s">
        <v>196</v>
      </c>
      <c r="BTY1" s="176" t="s">
        <v>196</v>
      </c>
      <c r="BTZ1" s="176" t="s">
        <v>196</v>
      </c>
      <c r="BUA1" s="176" t="s">
        <v>196</v>
      </c>
      <c r="BUB1" s="176" t="s">
        <v>196</v>
      </c>
      <c r="BUC1" s="176" t="s">
        <v>196</v>
      </c>
      <c r="BUD1" s="176" t="s">
        <v>196</v>
      </c>
      <c r="BUE1" s="176" t="s">
        <v>196</v>
      </c>
      <c r="BUF1" s="176" t="s">
        <v>196</v>
      </c>
      <c r="BUG1" s="176" t="s">
        <v>196</v>
      </c>
      <c r="BUH1" s="176" t="s">
        <v>196</v>
      </c>
      <c r="BUI1" s="176" t="s">
        <v>196</v>
      </c>
      <c r="BUJ1" s="176" t="s">
        <v>196</v>
      </c>
      <c r="BUK1" s="176" t="s">
        <v>196</v>
      </c>
      <c r="BUL1" s="176" t="s">
        <v>196</v>
      </c>
      <c r="BUM1" s="176" t="s">
        <v>196</v>
      </c>
      <c r="BUN1" s="176" t="s">
        <v>196</v>
      </c>
      <c r="BUO1" s="176" t="s">
        <v>196</v>
      </c>
      <c r="BUP1" s="176" t="s">
        <v>196</v>
      </c>
      <c r="BUQ1" s="176" t="s">
        <v>196</v>
      </c>
      <c r="BUR1" s="176" t="s">
        <v>196</v>
      </c>
      <c r="BUS1" s="176" t="s">
        <v>196</v>
      </c>
      <c r="BUT1" s="176" t="s">
        <v>196</v>
      </c>
      <c r="BUU1" s="176" t="s">
        <v>196</v>
      </c>
      <c r="BUV1" s="176" t="s">
        <v>196</v>
      </c>
      <c r="BUW1" s="176" t="s">
        <v>196</v>
      </c>
      <c r="BUX1" s="176" t="s">
        <v>196</v>
      </c>
      <c r="BUY1" s="176" t="s">
        <v>196</v>
      </c>
      <c r="BUZ1" s="176" t="s">
        <v>196</v>
      </c>
      <c r="BVA1" s="176" t="s">
        <v>196</v>
      </c>
      <c r="BVB1" s="176" t="s">
        <v>196</v>
      </c>
      <c r="BVC1" s="176" t="s">
        <v>196</v>
      </c>
      <c r="BVD1" s="176" t="s">
        <v>196</v>
      </c>
      <c r="BVE1" s="176" t="s">
        <v>196</v>
      </c>
      <c r="BVF1" s="176" t="s">
        <v>196</v>
      </c>
      <c r="BVG1" s="176" t="s">
        <v>196</v>
      </c>
      <c r="BVH1" s="176" t="s">
        <v>196</v>
      </c>
      <c r="BVI1" s="176" t="s">
        <v>196</v>
      </c>
      <c r="BVJ1" s="176" t="s">
        <v>196</v>
      </c>
      <c r="BVK1" s="176" t="s">
        <v>196</v>
      </c>
      <c r="BVL1" s="176" t="s">
        <v>196</v>
      </c>
      <c r="BVM1" s="176" t="s">
        <v>196</v>
      </c>
      <c r="BVN1" s="176" t="s">
        <v>196</v>
      </c>
      <c r="BVO1" s="176" t="s">
        <v>196</v>
      </c>
      <c r="BVP1" s="176" t="s">
        <v>196</v>
      </c>
      <c r="BVQ1" s="176" t="s">
        <v>196</v>
      </c>
      <c r="BVR1" s="176" t="s">
        <v>196</v>
      </c>
      <c r="BVS1" s="176" t="s">
        <v>196</v>
      </c>
      <c r="BVT1" s="176" t="s">
        <v>196</v>
      </c>
      <c r="BVU1" s="176" t="s">
        <v>196</v>
      </c>
      <c r="BVV1" s="176" t="s">
        <v>196</v>
      </c>
      <c r="BVW1" s="176" t="s">
        <v>196</v>
      </c>
      <c r="BVX1" s="176" t="s">
        <v>196</v>
      </c>
      <c r="BVY1" s="176" t="s">
        <v>196</v>
      </c>
      <c r="BVZ1" s="176" t="s">
        <v>196</v>
      </c>
      <c r="BWA1" s="176" t="s">
        <v>196</v>
      </c>
      <c r="BWB1" s="176" t="s">
        <v>196</v>
      </c>
      <c r="BWC1" s="176" t="s">
        <v>196</v>
      </c>
      <c r="BWD1" s="176" t="s">
        <v>196</v>
      </c>
      <c r="BWE1" s="176" t="s">
        <v>196</v>
      </c>
      <c r="BWF1" s="176" t="s">
        <v>196</v>
      </c>
      <c r="BWG1" s="176" t="s">
        <v>196</v>
      </c>
      <c r="BWH1" s="176" t="s">
        <v>196</v>
      </c>
      <c r="BWI1" s="176" t="s">
        <v>196</v>
      </c>
      <c r="BWJ1" s="176" t="s">
        <v>196</v>
      </c>
      <c r="BWK1" s="176" t="s">
        <v>196</v>
      </c>
      <c r="BWL1" s="176" t="s">
        <v>196</v>
      </c>
      <c r="BWM1" s="176" t="s">
        <v>196</v>
      </c>
      <c r="BWN1" s="176" t="s">
        <v>196</v>
      </c>
      <c r="BWO1" s="176" t="s">
        <v>196</v>
      </c>
      <c r="BWP1" s="176" t="s">
        <v>196</v>
      </c>
      <c r="BWQ1" s="176" t="s">
        <v>196</v>
      </c>
      <c r="BWR1" s="176" t="s">
        <v>196</v>
      </c>
      <c r="BWS1" s="176" t="s">
        <v>196</v>
      </c>
      <c r="BWT1" s="176" t="s">
        <v>196</v>
      </c>
      <c r="BWU1" s="176" t="s">
        <v>196</v>
      </c>
      <c r="BWV1" s="176" t="s">
        <v>196</v>
      </c>
      <c r="BWW1" s="176" t="s">
        <v>196</v>
      </c>
      <c r="BWX1" s="176" t="s">
        <v>196</v>
      </c>
      <c r="BWY1" s="176" t="s">
        <v>196</v>
      </c>
      <c r="BWZ1" s="176" t="s">
        <v>196</v>
      </c>
      <c r="BXA1" s="176" t="s">
        <v>196</v>
      </c>
      <c r="BXB1" s="176" t="s">
        <v>196</v>
      </c>
      <c r="BXC1" s="176" t="s">
        <v>196</v>
      </c>
      <c r="BXD1" s="176" t="s">
        <v>196</v>
      </c>
      <c r="BXE1" s="176" t="s">
        <v>196</v>
      </c>
      <c r="BXF1" s="176" t="s">
        <v>196</v>
      </c>
      <c r="BXG1" s="176" t="s">
        <v>196</v>
      </c>
      <c r="BXH1" s="176" t="s">
        <v>196</v>
      </c>
      <c r="BXI1" s="176" t="s">
        <v>196</v>
      </c>
      <c r="BXJ1" s="176" t="s">
        <v>196</v>
      </c>
      <c r="BXK1" s="176" t="s">
        <v>196</v>
      </c>
      <c r="BXL1" s="176" t="s">
        <v>196</v>
      </c>
      <c r="BXM1" s="176" t="s">
        <v>196</v>
      </c>
      <c r="BXN1" s="176" t="s">
        <v>196</v>
      </c>
      <c r="BXO1" s="176" t="s">
        <v>196</v>
      </c>
      <c r="BXP1" s="176" t="s">
        <v>196</v>
      </c>
      <c r="BXQ1" s="176" t="s">
        <v>196</v>
      </c>
      <c r="BXR1" s="176" t="s">
        <v>196</v>
      </c>
      <c r="BXS1" s="176" t="s">
        <v>196</v>
      </c>
      <c r="BXT1" s="176" t="s">
        <v>196</v>
      </c>
      <c r="BXU1" s="176" t="s">
        <v>196</v>
      </c>
      <c r="BXV1" s="176" t="s">
        <v>196</v>
      </c>
      <c r="BXW1" s="176" t="s">
        <v>196</v>
      </c>
      <c r="BXX1" s="176" t="s">
        <v>196</v>
      </c>
      <c r="BXY1" s="176" t="s">
        <v>196</v>
      </c>
      <c r="BXZ1" s="176" t="s">
        <v>196</v>
      </c>
      <c r="BYA1" s="176" t="s">
        <v>196</v>
      </c>
      <c r="BYB1" s="176" t="s">
        <v>196</v>
      </c>
      <c r="BYC1" s="176" t="s">
        <v>196</v>
      </c>
      <c r="BYD1" s="176" t="s">
        <v>196</v>
      </c>
      <c r="BYE1" s="176" t="s">
        <v>196</v>
      </c>
      <c r="BYF1" s="176" t="s">
        <v>196</v>
      </c>
      <c r="BYG1" s="176" t="s">
        <v>196</v>
      </c>
      <c r="BYH1" s="176" t="s">
        <v>196</v>
      </c>
      <c r="BYI1" s="176" t="s">
        <v>196</v>
      </c>
      <c r="BYJ1" s="176" t="s">
        <v>196</v>
      </c>
      <c r="BYK1" s="176" t="s">
        <v>196</v>
      </c>
      <c r="BYL1" s="176" t="s">
        <v>196</v>
      </c>
      <c r="BYM1" s="176" t="s">
        <v>196</v>
      </c>
      <c r="BYN1" s="176" t="s">
        <v>196</v>
      </c>
      <c r="BYO1" s="176" t="s">
        <v>196</v>
      </c>
      <c r="BYP1" s="176" t="s">
        <v>196</v>
      </c>
      <c r="BYQ1" s="176" t="s">
        <v>196</v>
      </c>
      <c r="BYR1" s="176" t="s">
        <v>196</v>
      </c>
      <c r="BYS1" s="176" t="s">
        <v>196</v>
      </c>
      <c r="BYT1" s="176" t="s">
        <v>196</v>
      </c>
      <c r="BYU1" s="176" t="s">
        <v>196</v>
      </c>
      <c r="BYV1" s="176" t="s">
        <v>196</v>
      </c>
      <c r="BYW1" s="176" t="s">
        <v>196</v>
      </c>
      <c r="BYX1" s="176" t="s">
        <v>196</v>
      </c>
      <c r="BYY1" s="176" t="s">
        <v>196</v>
      </c>
      <c r="BYZ1" s="176" t="s">
        <v>196</v>
      </c>
      <c r="BZA1" s="176" t="s">
        <v>196</v>
      </c>
      <c r="BZB1" s="176" t="s">
        <v>196</v>
      </c>
      <c r="BZC1" s="176" t="s">
        <v>196</v>
      </c>
      <c r="BZD1" s="176" t="s">
        <v>196</v>
      </c>
      <c r="BZE1" s="176" t="s">
        <v>196</v>
      </c>
      <c r="BZF1" s="176" t="s">
        <v>196</v>
      </c>
      <c r="BZG1" s="176" t="s">
        <v>196</v>
      </c>
      <c r="BZH1" s="176" t="s">
        <v>196</v>
      </c>
      <c r="BZI1" s="176" t="s">
        <v>196</v>
      </c>
      <c r="BZJ1" s="176" t="s">
        <v>196</v>
      </c>
      <c r="BZK1" s="176" t="s">
        <v>196</v>
      </c>
      <c r="BZL1" s="176" t="s">
        <v>196</v>
      </c>
      <c r="BZM1" s="176" t="s">
        <v>196</v>
      </c>
      <c r="BZN1" s="176" t="s">
        <v>196</v>
      </c>
      <c r="BZO1" s="176" t="s">
        <v>196</v>
      </c>
      <c r="BZP1" s="176" t="s">
        <v>196</v>
      </c>
      <c r="BZQ1" s="176" t="s">
        <v>196</v>
      </c>
      <c r="BZR1" s="176" t="s">
        <v>196</v>
      </c>
      <c r="BZS1" s="176" t="s">
        <v>196</v>
      </c>
      <c r="BZT1" s="176" t="s">
        <v>196</v>
      </c>
      <c r="BZU1" s="176" t="s">
        <v>196</v>
      </c>
      <c r="BZV1" s="176" t="s">
        <v>196</v>
      </c>
      <c r="BZW1" s="176" t="s">
        <v>196</v>
      </c>
      <c r="BZX1" s="176" t="s">
        <v>196</v>
      </c>
      <c r="BZY1" s="176" t="s">
        <v>196</v>
      </c>
      <c r="BZZ1" s="176" t="s">
        <v>196</v>
      </c>
      <c r="CAA1" s="176" t="s">
        <v>196</v>
      </c>
      <c r="CAB1" s="176" t="s">
        <v>196</v>
      </c>
      <c r="CAC1" s="176" t="s">
        <v>196</v>
      </c>
      <c r="CAD1" s="176" t="s">
        <v>196</v>
      </c>
      <c r="CAE1" s="176" t="s">
        <v>196</v>
      </c>
      <c r="CAF1" s="176" t="s">
        <v>196</v>
      </c>
      <c r="CAG1" s="176" t="s">
        <v>196</v>
      </c>
      <c r="CAH1" s="176" t="s">
        <v>196</v>
      </c>
      <c r="CAI1" s="176" t="s">
        <v>196</v>
      </c>
      <c r="CAJ1" s="176" t="s">
        <v>196</v>
      </c>
      <c r="CAK1" s="176" t="s">
        <v>196</v>
      </c>
      <c r="CAL1" s="176" t="s">
        <v>196</v>
      </c>
      <c r="CAM1" s="176" t="s">
        <v>196</v>
      </c>
      <c r="CAN1" s="176" t="s">
        <v>196</v>
      </c>
      <c r="CAO1" s="176" t="s">
        <v>196</v>
      </c>
      <c r="CAP1" s="176" t="s">
        <v>196</v>
      </c>
      <c r="CAQ1" s="176" t="s">
        <v>196</v>
      </c>
      <c r="CAR1" s="176" t="s">
        <v>196</v>
      </c>
      <c r="CAS1" s="176" t="s">
        <v>196</v>
      </c>
      <c r="CAT1" s="176" t="s">
        <v>196</v>
      </c>
      <c r="CAU1" s="176" t="s">
        <v>196</v>
      </c>
      <c r="CAV1" s="176" t="s">
        <v>196</v>
      </c>
      <c r="CAW1" s="176" t="s">
        <v>196</v>
      </c>
      <c r="CAX1" s="176" t="s">
        <v>196</v>
      </c>
      <c r="CAY1" s="176" t="s">
        <v>196</v>
      </c>
      <c r="CAZ1" s="176" t="s">
        <v>196</v>
      </c>
      <c r="CBA1" s="176" t="s">
        <v>196</v>
      </c>
      <c r="CBB1" s="176" t="s">
        <v>196</v>
      </c>
      <c r="CBC1" s="176" t="s">
        <v>196</v>
      </c>
      <c r="CBD1" s="176" t="s">
        <v>196</v>
      </c>
      <c r="CBE1" s="176" t="s">
        <v>196</v>
      </c>
      <c r="CBF1" s="176" t="s">
        <v>196</v>
      </c>
      <c r="CBG1" s="176" t="s">
        <v>196</v>
      </c>
      <c r="CBH1" s="176" t="s">
        <v>196</v>
      </c>
      <c r="CBI1" s="176" t="s">
        <v>196</v>
      </c>
      <c r="CBJ1" s="176" t="s">
        <v>196</v>
      </c>
      <c r="CBK1" s="176" t="s">
        <v>196</v>
      </c>
      <c r="CBL1" s="176" t="s">
        <v>196</v>
      </c>
      <c r="CBM1" s="176" t="s">
        <v>196</v>
      </c>
      <c r="CBN1" s="176" t="s">
        <v>196</v>
      </c>
      <c r="CBO1" s="176" t="s">
        <v>196</v>
      </c>
      <c r="CBP1" s="176" t="s">
        <v>196</v>
      </c>
      <c r="CBQ1" s="176" t="s">
        <v>196</v>
      </c>
      <c r="CBR1" s="176" t="s">
        <v>196</v>
      </c>
      <c r="CBS1" s="176" t="s">
        <v>196</v>
      </c>
      <c r="CBT1" s="176" t="s">
        <v>196</v>
      </c>
      <c r="CBU1" s="176" t="s">
        <v>196</v>
      </c>
      <c r="CBV1" s="176" t="s">
        <v>196</v>
      </c>
      <c r="CBW1" s="176" t="s">
        <v>196</v>
      </c>
      <c r="CBX1" s="176" t="s">
        <v>196</v>
      </c>
      <c r="CBY1" s="176" t="s">
        <v>196</v>
      </c>
      <c r="CBZ1" s="176" t="s">
        <v>196</v>
      </c>
      <c r="CCA1" s="176" t="s">
        <v>196</v>
      </c>
      <c r="CCB1" s="176" t="s">
        <v>196</v>
      </c>
      <c r="CCC1" s="176" t="s">
        <v>196</v>
      </c>
      <c r="CCD1" s="176" t="s">
        <v>196</v>
      </c>
      <c r="CCE1" s="176" t="s">
        <v>196</v>
      </c>
      <c r="CCF1" s="176" t="s">
        <v>196</v>
      </c>
      <c r="CCG1" s="176" t="s">
        <v>196</v>
      </c>
      <c r="CCH1" s="176" t="s">
        <v>196</v>
      </c>
      <c r="CCI1" s="176" t="s">
        <v>196</v>
      </c>
      <c r="CCJ1" s="176" t="s">
        <v>196</v>
      </c>
      <c r="CCK1" s="176" t="s">
        <v>196</v>
      </c>
      <c r="CCL1" s="176" t="s">
        <v>196</v>
      </c>
      <c r="CCM1" s="176" t="s">
        <v>196</v>
      </c>
      <c r="CCN1" s="176" t="s">
        <v>196</v>
      </c>
      <c r="CCO1" s="176" t="s">
        <v>196</v>
      </c>
      <c r="CCP1" s="176" t="s">
        <v>196</v>
      </c>
      <c r="CCQ1" s="176" t="s">
        <v>196</v>
      </c>
      <c r="CCR1" s="176" t="s">
        <v>196</v>
      </c>
      <c r="CCS1" s="176" t="s">
        <v>196</v>
      </c>
      <c r="CCT1" s="176" t="s">
        <v>196</v>
      </c>
      <c r="CCU1" s="176" t="s">
        <v>196</v>
      </c>
      <c r="CCV1" s="176" t="s">
        <v>196</v>
      </c>
      <c r="CCW1" s="176" t="s">
        <v>196</v>
      </c>
      <c r="CCX1" s="176" t="s">
        <v>196</v>
      </c>
      <c r="CCY1" s="176" t="s">
        <v>196</v>
      </c>
      <c r="CCZ1" s="176" t="s">
        <v>196</v>
      </c>
      <c r="CDA1" s="176" t="s">
        <v>196</v>
      </c>
      <c r="CDB1" s="176" t="s">
        <v>196</v>
      </c>
      <c r="CDC1" s="176" t="s">
        <v>196</v>
      </c>
      <c r="CDD1" s="176" t="s">
        <v>196</v>
      </c>
      <c r="CDE1" s="176" t="s">
        <v>196</v>
      </c>
      <c r="CDF1" s="176" t="s">
        <v>196</v>
      </c>
      <c r="CDG1" s="176" t="s">
        <v>196</v>
      </c>
      <c r="CDH1" s="176" t="s">
        <v>196</v>
      </c>
      <c r="CDI1" s="176" t="s">
        <v>196</v>
      </c>
      <c r="CDJ1" s="176" t="s">
        <v>196</v>
      </c>
      <c r="CDK1" s="176" t="s">
        <v>196</v>
      </c>
      <c r="CDL1" s="176" t="s">
        <v>196</v>
      </c>
      <c r="CDM1" s="176" t="s">
        <v>196</v>
      </c>
      <c r="CDN1" s="176" t="s">
        <v>196</v>
      </c>
      <c r="CDO1" s="176" t="s">
        <v>196</v>
      </c>
      <c r="CDP1" s="176" t="s">
        <v>196</v>
      </c>
      <c r="CDQ1" s="176" t="s">
        <v>196</v>
      </c>
      <c r="CDR1" s="176" t="s">
        <v>196</v>
      </c>
      <c r="CDS1" s="176" t="s">
        <v>196</v>
      </c>
      <c r="CDT1" s="176" t="s">
        <v>196</v>
      </c>
      <c r="CDU1" s="176" t="s">
        <v>196</v>
      </c>
      <c r="CDV1" s="176" t="s">
        <v>196</v>
      </c>
      <c r="CDW1" s="176" t="s">
        <v>196</v>
      </c>
      <c r="CDX1" s="176" t="s">
        <v>196</v>
      </c>
      <c r="CDY1" s="176" t="s">
        <v>196</v>
      </c>
      <c r="CDZ1" s="176" t="s">
        <v>196</v>
      </c>
      <c r="CEA1" s="176" t="s">
        <v>196</v>
      </c>
      <c r="CEB1" s="176" t="s">
        <v>196</v>
      </c>
      <c r="CEC1" s="176" t="s">
        <v>196</v>
      </c>
      <c r="CED1" s="176" t="s">
        <v>196</v>
      </c>
      <c r="CEE1" s="176" t="s">
        <v>196</v>
      </c>
      <c r="CEF1" s="176" t="s">
        <v>196</v>
      </c>
      <c r="CEG1" s="176" t="s">
        <v>196</v>
      </c>
      <c r="CEH1" s="176" t="s">
        <v>196</v>
      </c>
      <c r="CEI1" s="176" t="s">
        <v>196</v>
      </c>
      <c r="CEJ1" s="176" t="s">
        <v>196</v>
      </c>
      <c r="CEK1" s="176" t="s">
        <v>196</v>
      </c>
      <c r="CEL1" s="176" t="s">
        <v>196</v>
      </c>
      <c r="CEM1" s="176" t="s">
        <v>196</v>
      </c>
      <c r="CEN1" s="176" t="s">
        <v>196</v>
      </c>
      <c r="CEO1" s="176" t="s">
        <v>196</v>
      </c>
      <c r="CEP1" s="176" t="s">
        <v>196</v>
      </c>
      <c r="CEQ1" s="176" t="s">
        <v>196</v>
      </c>
      <c r="CER1" s="176" t="s">
        <v>196</v>
      </c>
      <c r="CES1" s="176" t="s">
        <v>196</v>
      </c>
      <c r="CET1" s="176" t="s">
        <v>196</v>
      </c>
      <c r="CEU1" s="176" t="s">
        <v>196</v>
      </c>
      <c r="CEV1" s="176" t="s">
        <v>196</v>
      </c>
      <c r="CEW1" s="176" t="s">
        <v>196</v>
      </c>
      <c r="CEX1" s="176" t="s">
        <v>196</v>
      </c>
      <c r="CEY1" s="176" t="s">
        <v>196</v>
      </c>
      <c r="CEZ1" s="176" t="s">
        <v>196</v>
      </c>
      <c r="CFA1" s="176" t="s">
        <v>196</v>
      </c>
      <c r="CFB1" s="176" t="s">
        <v>196</v>
      </c>
      <c r="CFC1" s="176" t="s">
        <v>196</v>
      </c>
      <c r="CFD1" s="176" t="s">
        <v>196</v>
      </c>
      <c r="CFE1" s="176" t="s">
        <v>196</v>
      </c>
      <c r="CFF1" s="176" t="s">
        <v>196</v>
      </c>
      <c r="CFG1" s="176" t="s">
        <v>196</v>
      </c>
      <c r="CFH1" s="176" t="s">
        <v>196</v>
      </c>
      <c r="CFI1" s="176" t="s">
        <v>196</v>
      </c>
      <c r="CFJ1" s="176" t="s">
        <v>196</v>
      </c>
      <c r="CFK1" s="176" t="s">
        <v>196</v>
      </c>
      <c r="CFL1" s="176" t="s">
        <v>196</v>
      </c>
      <c r="CFM1" s="176" t="s">
        <v>196</v>
      </c>
      <c r="CFN1" s="176" t="s">
        <v>196</v>
      </c>
      <c r="CFO1" s="176" t="s">
        <v>196</v>
      </c>
      <c r="CFP1" s="176" t="s">
        <v>196</v>
      </c>
      <c r="CFQ1" s="176" t="s">
        <v>196</v>
      </c>
      <c r="CFR1" s="176" t="s">
        <v>196</v>
      </c>
      <c r="CFS1" s="176" t="s">
        <v>196</v>
      </c>
      <c r="CFT1" s="176" t="s">
        <v>196</v>
      </c>
      <c r="CFU1" s="176" t="s">
        <v>196</v>
      </c>
      <c r="CFV1" s="176" t="s">
        <v>196</v>
      </c>
      <c r="CFW1" s="176" t="s">
        <v>196</v>
      </c>
      <c r="CFX1" s="176" t="s">
        <v>196</v>
      </c>
      <c r="CFY1" s="176" t="s">
        <v>196</v>
      </c>
      <c r="CFZ1" s="176" t="s">
        <v>196</v>
      </c>
      <c r="CGA1" s="176" t="s">
        <v>196</v>
      </c>
      <c r="CGB1" s="176" t="s">
        <v>196</v>
      </c>
      <c r="CGC1" s="176" t="s">
        <v>196</v>
      </c>
      <c r="CGD1" s="176" t="s">
        <v>196</v>
      </c>
      <c r="CGE1" s="176" t="s">
        <v>196</v>
      </c>
      <c r="CGF1" s="176" t="s">
        <v>196</v>
      </c>
      <c r="CGG1" s="176" t="s">
        <v>196</v>
      </c>
      <c r="CGH1" s="176" t="s">
        <v>196</v>
      </c>
      <c r="CGI1" s="176" t="s">
        <v>196</v>
      </c>
      <c r="CGJ1" s="176" t="s">
        <v>196</v>
      </c>
      <c r="CGK1" s="176" t="s">
        <v>196</v>
      </c>
      <c r="CGL1" s="176" t="s">
        <v>196</v>
      </c>
      <c r="CGM1" s="176" t="s">
        <v>196</v>
      </c>
      <c r="CGN1" s="176" t="s">
        <v>196</v>
      </c>
      <c r="CGO1" s="176" t="s">
        <v>196</v>
      </c>
      <c r="CGP1" s="176" t="s">
        <v>196</v>
      </c>
      <c r="CGQ1" s="176" t="s">
        <v>196</v>
      </c>
      <c r="CGR1" s="176" t="s">
        <v>196</v>
      </c>
      <c r="CGS1" s="176" t="s">
        <v>196</v>
      </c>
      <c r="CGT1" s="176" t="s">
        <v>196</v>
      </c>
      <c r="CGU1" s="176" t="s">
        <v>196</v>
      </c>
      <c r="CGV1" s="176" t="s">
        <v>196</v>
      </c>
      <c r="CGW1" s="176" t="s">
        <v>196</v>
      </c>
      <c r="CGX1" s="176" t="s">
        <v>196</v>
      </c>
      <c r="CGY1" s="176" t="s">
        <v>196</v>
      </c>
      <c r="CGZ1" s="176" t="s">
        <v>196</v>
      </c>
      <c r="CHA1" s="176" t="s">
        <v>196</v>
      </c>
      <c r="CHB1" s="176" t="s">
        <v>196</v>
      </c>
      <c r="CHC1" s="176" t="s">
        <v>196</v>
      </c>
      <c r="CHD1" s="176" t="s">
        <v>196</v>
      </c>
      <c r="CHE1" s="176" t="s">
        <v>196</v>
      </c>
      <c r="CHF1" s="176" t="s">
        <v>196</v>
      </c>
      <c r="CHG1" s="176" t="s">
        <v>196</v>
      </c>
      <c r="CHH1" s="176" t="s">
        <v>196</v>
      </c>
      <c r="CHI1" s="176" t="s">
        <v>196</v>
      </c>
      <c r="CHJ1" s="176" t="s">
        <v>196</v>
      </c>
      <c r="CHK1" s="176" t="s">
        <v>196</v>
      </c>
      <c r="CHL1" s="176" t="s">
        <v>196</v>
      </c>
      <c r="CHM1" s="176" t="s">
        <v>196</v>
      </c>
      <c r="CHN1" s="176" t="s">
        <v>196</v>
      </c>
      <c r="CHO1" s="176" t="s">
        <v>196</v>
      </c>
      <c r="CHP1" s="176" t="s">
        <v>196</v>
      </c>
      <c r="CHQ1" s="176" t="s">
        <v>196</v>
      </c>
      <c r="CHR1" s="176" t="s">
        <v>196</v>
      </c>
      <c r="CHS1" s="176" t="s">
        <v>196</v>
      </c>
      <c r="CHT1" s="176" t="s">
        <v>196</v>
      </c>
      <c r="CHU1" s="176" t="s">
        <v>196</v>
      </c>
      <c r="CHV1" s="176" t="s">
        <v>196</v>
      </c>
      <c r="CHW1" s="176" t="s">
        <v>196</v>
      </c>
      <c r="CHX1" s="176" t="s">
        <v>196</v>
      </c>
      <c r="CHY1" s="176" t="s">
        <v>196</v>
      </c>
      <c r="CHZ1" s="176" t="s">
        <v>196</v>
      </c>
      <c r="CIA1" s="176" t="s">
        <v>196</v>
      </c>
      <c r="CIB1" s="176" t="s">
        <v>196</v>
      </c>
      <c r="CIC1" s="176" t="s">
        <v>196</v>
      </c>
      <c r="CID1" s="176" t="s">
        <v>196</v>
      </c>
      <c r="CIE1" s="176" t="s">
        <v>196</v>
      </c>
      <c r="CIF1" s="176" t="s">
        <v>196</v>
      </c>
      <c r="CIG1" s="176" t="s">
        <v>196</v>
      </c>
      <c r="CIH1" s="176" t="s">
        <v>196</v>
      </c>
      <c r="CII1" s="176" t="s">
        <v>196</v>
      </c>
      <c r="CIJ1" s="176" t="s">
        <v>196</v>
      </c>
      <c r="CIK1" s="176" t="s">
        <v>196</v>
      </c>
      <c r="CIL1" s="176" t="s">
        <v>196</v>
      </c>
      <c r="CIM1" s="176" t="s">
        <v>196</v>
      </c>
      <c r="CIN1" s="176" t="s">
        <v>196</v>
      </c>
      <c r="CIO1" s="176" t="s">
        <v>196</v>
      </c>
      <c r="CIP1" s="176" t="s">
        <v>196</v>
      </c>
      <c r="CIQ1" s="176" t="s">
        <v>196</v>
      </c>
      <c r="CIR1" s="176" t="s">
        <v>196</v>
      </c>
      <c r="CIS1" s="176" t="s">
        <v>196</v>
      </c>
      <c r="CIT1" s="176" t="s">
        <v>196</v>
      </c>
      <c r="CIU1" s="176" t="s">
        <v>196</v>
      </c>
      <c r="CIV1" s="176" t="s">
        <v>196</v>
      </c>
      <c r="CIW1" s="176" t="s">
        <v>196</v>
      </c>
      <c r="CIX1" s="176" t="s">
        <v>196</v>
      </c>
      <c r="CIY1" s="176" t="s">
        <v>196</v>
      </c>
      <c r="CIZ1" s="176" t="s">
        <v>196</v>
      </c>
      <c r="CJA1" s="176" t="s">
        <v>196</v>
      </c>
      <c r="CJB1" s="176" t="s">
        <v>196</v>
      </c>
      <c r="CJC1" s="176" t="s">
        <v>196</v>
      </c>
      <c r="CJD1" s="176" t="s">
        <v>196</v>
      </c>
      <c r="CJE1" s="176" t="s">
        <v>196</v>
      </c>
      <c r="CJF1" s="176" t="s">
        <v>196</v>
      </c>
      <c r="CJG1" s="176" t="s">
        <v>196</v>
      </c>
      <c r="CJH1" s="176" t="s">
        <v>196</v>
      </c>
      <c r="CJI1" s="176" t="s">
        <v>196</v>
      </c>
      <c r="CJJ1" s="176" t="s">
        <v>196</v>
      </c>
      <c r="CJK1" s="176" t="s">
        <v>196</v>
      </c>
      <c r="CJL1" s="176" t="s">
        <v>196</v>
      </c>
      <c r="CJM1" s="176" t="s">
        <v>196</v>
      </c>
      <c r="CJN1" s="176" t="s">
        <v>196</v>
      </c>
      <c r="CJO1" s="176" t="s">
        <v>196</v>
      </c>
      <c r="CJP1" s="176" t="s">
        <v>196</v>
      </c>
      <c r="CJQ1" s="176" t="s">
        <v>196</v>
      </c>
      <c r="CJR1" s="176" t="s">
        <v>196</v>
      </c>
      <c r="CJS1" s="176" t="s">
        <v>196</v>
      </c>
      <c r="CJT1" s="176" t="s">
        <v>196</v>
      </c>
      <c r="CJU1" s="176" t="s">
        <v>196</v>
      </c>
      <c r="CJV1" s="176" t="s">
        <v>196</v>
      </c>
      <c r="CJW1" s="176" t="s">
        <v>196</v>
      </c>
      <c r="CJX1" s="176" t="s">
        <v>196</v>
      </c>
      <c r="CJY1" s="176" t="s">
        <v>196</v>
      </c>
      <c r="CJZ1" s="176" t="s">
        <v>196</v>
      </c>
      <c r="CKA1" s="176" t="s">
        <v>196</v>
      </c>
      <c r="CKB1" s="176" t="s">
        <v>196</v>
      </c>
      <c r="CKC1" s="176" t="s">
        <v>196</v>
      </c>
      <c r="CKD1" s="176" t="s">
        <v>196</v>
      </c>
      <c r="CKE1" s="176" t="s">
        <v>196</v>
      </c>
      <c r="CKF1" s="176" t="s">
        <v>196</v>
      </c>
      <c r="CKG1" s="176" t="s">
        <v>196</v>
      </c>
      <c r="CKH1" s="176" t="s">
        <v>196</v>
      </c>
      <c r="CKI1" s="176" t="s">
        <v>196</v>
      </c>
      <c r="CKJ1" s="176" t="s">
        <v>196</v>
      </c>
      <c r="CKK1" s="176" t="s">
        <v>196</v>
      </c>
      <c r="CKL1" s="176" t="s">
        <v>196</v>
      </c>
      <c r="CKM1" s="176" t="s">
        <v>196</v>
      </c>
      <c r="CKN1" s="176" t="s">
        <v>196</v>
      </c>
      <c r="CKO1" s="176" t="s">
        <v>196</v>
      </c>
      <c r="CKP1" s="176" t="s">
        <v>196</v>
      </c>
      <c r="CKQ1" s="176" t="s">
        <v>196</v>
      </c>
      <c r="CKR1" s="176" t="s">
        <v>196</v>
      </c>
      <c r="CKS1" s="176" t="s">
        <v>196</v>
      </c>
      <c r="CKT1" s="176" t="s">
        <v>196</v>
      </c>
      <c r="CKU1" s="176" t="s">
        <v>196</v>
      </c>
      <c r="CKV1" s="176" t="s">
        <v>196</v>
      </c>
      <c r="CKW1" s="176" t="s">
        <v>196</v>
      </c>
      <c r="CKX1" s="176" t="s">
        <v>196</v>
      </c>
      <c r="CKY1" s="176" t="s">
        <v>196</v>
      </c>
      <c r="CKZ1" s="176" t="s">
        <v>196</v>
      </c>
      <c r="CLA1" s="176" t="s">
        <v>196</v>
      </c>
      <c r="CLB1" s="176" t="s">
        <v>196</v>
      </c>
      <c r="CLC1" s="176" t="s">
        <v>196</v>
      </c>
      <c r="CLD1" s="176" t="s">
        <v>196</v>
      </c>
      <c r="CLE1" s="176" t="s">
        <v>196</v>
      </c>
      <c r="CLF1" s="176" t="s">
        <v>196</v>
      </c>
      <c r="CLG1" s="176" t="s">
        <v>196</v>
      </c>
      <c r="CLH1" s="176" t="s">
        <v>196</v>
      </c>
      <c r="CLI1" s="176" t="s">
        <v>196</v>
      </c>
      <c r="CLJ1" s="176" t="s">
        <v>196</v>
      </c>
      <c r="CLK1" s="176" t="s">
        <v>196</v>
      </c>
      <c r="CLL1" s="176" t="s">
        <v>196</v>
      </c>
      <c r="CLM1" s="176" t="s">
        <v>196</v>
      </c>
      <c r="CLN1" s="176" t="s">
        <v>196</v>
      </c>
      <c r="CLO1" s="176" t="s">
        <v>196</v>
      </c>
      <c r="CLP1" s="176" t="s">
        <v>196</v>
      </c>
      <c r="CLQ1" s="176" t="s">
        <v>196</v>
      </c>
      <c r="CLR1" s="176" t="s">
        <v>196</v>
      </c>
      <c r="CLS1" s="176" t="s">
        <v>196</v>
      </c>
      <c r="CLT1" s="176" t="s">
        <v>196</v>
      </c>
      <c r="CLU1" s="176" t="s">
        <v>196</v>
      </c>
      <c r="CLV1" s="176" t="s">
        <v>196</v>
      </c>
      <c r="CLW1" s="176" t="s">
        <v>196</v>
      </c>
      <c r="CLX1" s="176" t="s">
        <v>196</v>
      </c>
      <c r="CLY1" s="176" t="s">
        <v>196</v>
      </c>
      <c r="CLZ1" s="176" t="s">
        <v>196</v>
      </c>
      <c r="CMA1" s="176" t="s">
        <v>196</v>
      </c>
      <c r="CMB1" s="176" t="s">
        <v>196</v>
      </c>
      <c r="CMC1" s="176" t="s">
        <v>196</v>
      </c>
      <c r="CMD1" s="176" t="s">
        <v>196</v>
      </c>
      <c r="CME1" s="176" t="s">
        <v>196</v>
      </c>
      <c r="CMF1" s="176" t="s">
        <v>196</v>
      </c>
      <c r="CMG1" s="176" t="s">
        <v>196</v>
      </c>
      <c r="CMH1" s="176" t="s">
        <v>196</v>
      </c>
      <c r="CMI1" s="176" t="s">
        <v>196</v>
      </c>
      <c r="CMJ1" s="176" t="s">
        <v>196</v>
      </c>
      <c r="CMK1" s="176" t="s">
        <v>196</v>
      </c>
      <c r="CML1" s="176" t="s">
        <v>196</v>
      </c>
      <c r="CMM1" s="176" t="s">
        <v>196</v>
      </c>
      <c r="CMN1" s="176" t="s">
        <v>196</v>
      </c>
      <c r="CMO1" s="176" t="s">
        <v>196</v>
      </c>
      <c r="CMP1" s="176" t="s">
        <v>196</v>
      </c>
      <c r="CMQ1" s="176" t="s">
        <v>196</v>
      </c>
      <c r="CMR1" s="176" t="s">
        <v>196</v>
      </c>
      <c r="CMS1" s="176" t="s">
        <v>196</v>
      </c>
      <c r="CMT1" s="176" t="s">
        <v>196</v>
      </c>
      <c r="CMU1" s="176" t="s">
        <v>196</v>
      </c>
      <c r="CMV1" s="176" t="s">
        <v>196</v>
      </c>
      <c r="CMW1" s="176" t="s">
        <v>196</v>
      </c>
      <c r="CMX1" s="176" t="s">
        <v>196</v>
      </c>
      <c r="CMY1" s="176" t="s">
        <v>196</v>
      </c>
      <c r="CMZ1" s="176" t="s">
        <v>196</v>
      </c>
      <c r="CNA1" s="176" t="s">
        <v>196</v>
      </c>
      <c r="CNB1" s="176" t="s">
        <v>196</v>
      </c>
      <c r="CNC1" s="176" t="s">
        <v>196</v>
      </c>
      <c r="CND1" s="176" t="s">
        <v>196</v>
      </c>
      <c r="CNE1" s="176" t="s">
        <v>196</v>
      </c>
      <c r="CNF1" s="176" t="s">
        <v>196</v>
      </c>
      <c r="CNG1" s="176" t="s">
        <v>196</v>
      </c>
      <c r="CNH1" s="176" t="s">
        <v>196</v>
      </c>
      <c r="CNI1" s="176" t="s">
        <v>196</v>
      </c>
      <c r="CNJ1" s="176" t="s">
        <v>196</v>
      </c>
      <c r="CNK1" s="176" t="s">
        <v>196</v>
      </c>
      <c r="CNL1" s="176" t="s">
        <v>196</v>
      </c>
      <c r="CNM1" s="176" t="s">
        <v>196</v>
      </c>
      <c r="CNN1" s="176" t="s">
        <v>196</v>
      </c>
      <c r="CNO1" s="176" t="s">
        <v>196</v>
      </c>
      <c r="CNP1" s="176" t="s">
        <v>196</v>
      </c>
      <c r="CNQ1" s="176" t="s">
        <v>196</v>
      </c>
      <c r="CNR1" s="176" t="s">
        <v>196</v>
      </c>
      <c r="CNS1" s="176" t="s">
        <v>196</v>
      </c>
      <c r="CNT1" s="176" t="s">
        <v>196</v>
      </c>
      <c r="CNU1" s="176" t="s">
        <v>196</v>
      </c>
      <c r="CNV1" s="176" t="s">
        <v>196</v>
      </c>
      <c r="CNW1" s="176" t="s">
        <v>196</v>
      </c>
      <c r="CNX1" s="176" t="s">
        <v>196</v>
      </c>
      <c r="CNY1" s="176" t="s">
        <v>196</v>
      </c>
      <c r="CNZ1" s="176" t="s">
        <v>196</v>
      </c>
      <c r="COA1" s="176" t="s">
        <v>196</v>
      </c>
      <c r="COB1" s="176" t="s">
        <v>196</v>
      </c>
      <c r="COC1" s="176" t="s">
        <v>196</v>
      </c>
      <c r="COD1" s="176" t="s">
        <v>196</v>
      </c>
      <c r="COE1" s="176" t="s">
        <v>196</v>
      </c>
      <c r="COF1" s="176" t="s">
        <v>196</v>
      </c>
      <c r="COG1" s="176" t="s">
        <v>196</v>
      </c>
      <c r="COH1" s="176" t="s">
        <v>196</v>
      </c>
      <c r="COI1" s="176" t="s">
        <v>196</v>
      </c>
      <c r="COJ1" s="176" t="s">
        <v>196</v>
      </c>
      <c r="COK1" s="176" t="s">
        <v>196</v>
      </c>
      <c r="COL1" s="176" t="s">
        <v>196</v>
      </c>
      <c r="COM1" s="176" t="s">
        <v>196</v>
      </c>
      <c r="CON1" s="176" t="s">
        <v>196</v>
      </c>
      <c r="COO1" s="176" t="s">
        <v>196</v>
      </c>
      <c r="COP1" s="176" t="s">
        <v>196</v>
      </c>
      <c r="COQ1" s="176" t="s">
        <v>196</v>
      </c>
      <c r="COR1" s="176" t="s">
        <v>196</v>
      </c>
      <c r="COS1" s="176" t="s">
        <v>196</v>
      </c>
      <c r="COT1" s="176" t="s">
        <v>196</v>
      </c>
      <c r="COU1" s="176" t="s">
        <v>196</v>
      </c>
      <c r="COV1" s="176" t="s">
        <v>196</v>
      </c>
      <c r="COW1" s="176" t="s">
        <v>196</v>
      </c>
      <c r="COX1" s="176" t="s">
        <v>196</v>
      </c>
      <c r="COY1" s="176" t="s">
        <v>196</v>
      </c>
      <c r="COZ1" s="176" t="s">
        <v>196</v>
      </c>
      <c r="CPA1" s="176" t="s">
        <v>196</v>
      </c>
      <c r="CPB1" s="176" t="s">
        <v>196</v>
      </c>
      <c r="CPC1" s="176" t="s">
        <v>196</v>
      </c>
      <c r="CPD1" s="176" t="s">
        <v>196</v>
      </c>
      <c r="CPE1" s="176" t="s">
        <v>196</v>
      </c>
      <c r="CPF1" s="176" t="s">
        <v>196</v>
      </c>
      <c r="CPG1" s="176" t="s">
        <v>196</v>
      </c>
      <c r="CPH1" s="176" t="s">
        <v>196</v>
      </c>
      <c r="CPI1" s="176" t="s">
        <v>196</v>
      </c>
      <c r="CPJ1" s="176" t="s">
        <v>196</v>
      </c>
      <c r="CPK1" s="176" t="s">
        <v>196</v>
      </c>
      <c r="CPL1" s="176" t="s">
        <v>196</v>
      </c>
      <c r="CPM1" s="176" t="s">
        <v>196</v>
      </c>
      <c r="CPN1" s="176" t="s">
        <v>196</v>
      </c>
      <c r="CPO1" s="176" t="s">
        <v>196</v>
      </c>
      <c r="CPP1" s="176" t="s">
        <v>196</v>
      </c>
      <c r="CPQ1" s="176" t="s">
        <v>196</v>
      </c>
      <c r="CPR1" s="176" t="s">
        <v>196</v>
      </c>
      <c r="CPS1" s="176" t="s">
        <v>196</v>
      </c>
      <c r="CPT1" s="176" t="s">
        <v>196</v>
      </c>
      <c r="CPU1" s="176" t="s">
        <v>196</v>
      </c>
      <c r="CPV1" s="176" t="s">
        <v>196</v>
      </c>
      <c r="CPW1" s="176" t="s">
        <v>196</v>
      </c>
      <c r="CPX1" s="176" t="s">
        <v>196</v>
      </c>
      <c r="CPY1" s="176" t="s">
        <v>196</v>
      </c>
      <c r="CPZ1" s="176" t="s">
        <v>196</v>
      </c>
      <c r="CQA1" s="176" t="s">
        <v>196</v>
      </c>
      <c r="CQB1" s="176" t="s">
        <v>196</v>
      </c>
      <c r="CQC1" s="176" t="s">
        <v>196</v>
      </c>
      <c r="CQD1" s="176" t="s">
        <v>196</v>
      </c>
      <c r="CQE1" s="176" t="s">
        <v>196</v>
      </c>
      <c r="CQF1" s="176" t="s">
        <v>196</v>
      </c>
      <c r="CQG1" s="176" t="s">
        <v>196</v>
      </c>
      <c r="CQH1" s="176" t="s">
        <v>196</v>
      </c>
      <c r="CQI1" s="176" t="s">
        <v>196</v>
      </c>
      <c r="CQJ1" s="176" t="s">
        <v>196</v>
      </c>
      <c r="CQK1" s="176" t="s">
        <v>196</v>
      </c>
      <c r="CQL1" s="176" t="s">
        <v>196</v>
      </c>
      <c r="CQM1" s="176" t="s">
        <v>196</v>
      </c>
      <c r="CQN1" s="176" t="s">
        <v>196</v>
      </c>
      <c r="CQO1" s="176" t="s">
        <v>196</v>
      </c>
      <c r="CQP1" s="176" t="s">
        <v>196</v>
      </c>
      <c r="CQQ1" s="176" t="s">
        <v>196</v>
      </c>
      <c r="CQR1" s="176" t="s">
        <v>196</v>
      </c>
      <c r="CQS1" s="176" t="s">
        <v>196</v>
      </c>
      <c r="CQT1" s="176" t="s">
        <v>196</v>
      </c>
      <c r="CQU1" s="176" t="s">
        <v>196</v>
      </c>
      <c r="CQV1" s="176" t="s">
        <v>196</v>
      </c>
      <c r="CQW1" s="176" t="s">
        <v>196</v>
      </c>
      <c r="CQX1" s="176" t="s">
        <v>196</v>
      </c>
      <c r="CQY1" s="176" t="s">
        <v>196</v>
      </c>
      <c r="CQZ1" s="176" t="s">
        <v>196</v>
      </c>
      <c r="CRA1" s="176" t="s">
        <v>196</v>
      </c>
      <c r="CRB1" s="176" t="s">
        <v>196</v>
      </c>
      <c r="CRC1" s="176" t="s">
        <v>196</v>
      </c>
      <c r="CRD1" s="176" t="s">
        <v>196</v>
      </c>
      <c r="CRE1" s="176" t="s">
        <v>196</v>
      </c>
      <c r="CRF1" s="176" t="s">
        <v>196</v>
      </c>
      <c r="CRG1" s="176" t="s">
        <v>196</v>
      </c>
      <c r="CRH1" s="176" t="s">
        <v>196</v>
      </c>
      <c r="CRI1" s="176" t="s">
        <v>196</v>
      </c>
      <c r="CRJ1" s="176" t="s">
        <v>196</v>
      </c>
      <c r="CRK1" s="176" t="s">
        <v>196</v>
      </c>
      <c r="CRL1" s="176" t="s">
        <v>196</v>
      </c>
      <c r="CRM1" s="176" t="s">
        <v>196</v>
      </c>
      <c r="CRN1" s="176" t="s">
        <v>196</v>
      </c>
      <c r="CRO1" s="176" t="s">
        <v>196</v>
      </c>
      <c r="CRP1" s="176" t="s">
        <v>196</v>
      </c>
      <c r="CRQ1" s="176" t="s">
        <v>196</v>
      </c>
      <c r="CRR1" s="176" t="s">
        <v>196</v>
      </c>
      <c r="CRS1" s="176" t="s">
        <v>196</v>
      </c>
      <c r="CRT1" s="176" t="s">
        <v>196</v>
      </c>
      <c r="CRU1" s="176" t="s">
        <v>196</v>
      </c>
      <c r="CRV1" s="176" t="s">
        <v>196</v>
      </c>
      <c r="CRW1" s="176" t="s">
        <v>196</v>
      </c>
      <c r="CRX1" s="176" t="s">
        <v>196</v>
      </c>
      <c r="CRY1" s="176" t="s">
        <v>196</v>
      </c>
      <c r="CRZ1" s="176" t="s">
        <v>196</v>
      </c>
      <c r="CSA1" s="176" t="s">
        <v>196</v>
      </c>
      <c r="CSB1" s="176" t="s">
        <v>196</v>
      </c>
      <c r="CSC1" s="176" t="s">
        <v>196</v>
      </c>
      <c r="CSD1" s="176" t="s">
        <v>196</v>
      </c>
      <c r="CSE1" s="176" t="s">
        <v>196</v>
      </c>
      <c r="CSF1" s="176" t="s">
        <v>196</v>
      </c>
      <c r="CSG1" s="176" t="s">
        <v>196</v>
      </c>
      <c r="CSH1" s="176" t="s">
        <v>196</v>
      </c>
      <c r="CSI1" s="176" t="s">
        <v>196</v>
      </c>
      <c r="CSJ1" s="176" t="s">
        <v>196</v>
      </c>
      <c r="CSK1" s="176" t="s">
        <v>196</v>
      </c>
      <c r="CSL1" s="176" t="s">
        <v>196</v>
      </c>
      <c r="CSM1" s="176" t="s">
        <v>196</v>
      </c>
      <c r="CSN1" s="176" t="s">
        <v>196</v>
      </c>
      <c r="CSO1" s="176" t="s">
        <v>196</v>
      </c>
      <c r="CSP1" s="176" t="s">
        <v>196</v>
      </c>
      <c r="CSQ1" s="176" t="s">
        <v>196</v>
      </c>
      <c r="CSR1" s="176" t="s">
        <v>196</v>
      </c>
      <c r="CSS1" s="176" t="s">
        <v>196</v>
      </c>
      <c r="CST1" s="176" t="s">
        <v>196</v>
      </c>
      <c r="CSU1" s="176" t="s">
        <v>196</v>
      </c>
      <c r="CSV1" s="176" t="s">
        <v>196</v>
      </c>
      <c r="CSW1" s="176" t="s">
        <v>196</v>
      </c>
      <c r="CSX1" s="176" t="s">
        <v>196</v>
      </c>
      <c r="CSY1" s="176" t="s">
        <v>196</v>
      </c>
      <c r="CSZ1" s="176" t="s">
        <v>196</v>
      </c>
      <c r="CTA1" s="176" t="s">
        <v>196</v>
      </c>
      <c r="CTB1" s="176" t="s">
        <v>196</v>
      </c>
      <c r="CTC1" s="176" t="s">
        <v>196</v>
      </c>
      <c r="CTD1" s="176" t="s">
        <v>196</v>
      </c>
      <c r="CTE1" s="176" t="s">
        <v>196</v>
      </c>
      <c r="CTF1" s="176" t="s">
        <v>196</v>
      </c>
      <c r="CTG1" s="176" t="s">
        <v>196</v>
      </c>
      <c r="CTH1" s="176" t="s">
        <v>196</v>
      </c>
      <c r="CTI1" s="176" t="s">
        <v>196</v>
      </c>
      <c r="CTJ1" s="176" t="s">
        <v>196</v>
      </c>
      <c r="CTK1" s="176" t="s">
        <v>196</v>
      </c>
      <c r="CTL1" s="176" t="s">
        <v>196</v>
      </c>
      <c r="CTM1" s="176" t="s">
        <v>196</v>
      </c>
      <c r="CTN1" s="176" t="s">
        <v>196</v>
      </c>
      <c r="CTO1" s="176" t="s">
        <v>196</v>
      </c>
      <c r="CTP1" s="176" t="s">
        <v>196</v>
      </c>
      <c r="CTQ1" s="176" t="s">
        <v>196</v>
      </c>
      <c r="CTR1" s="176" t="s">
        <v>196</v>
      </c>
      <c r="CTS1" s="176" t="s">
        <v>196</v>
      </c>
      <c r="CTT1" s="176" t="s">
        <v>196</v>
      </c>
      <c r="CTU1" s="176" t="s">
        <v>196</v>
      </c>
      <c r="CTV1" s="176" t="s">
        <v>196</v>
      </c>
      <c r="CTW1" s="176" t="s">
        <v>196</v>
      </c>
      <c r="CTX1" s="176" t="s">
        <v>196</v>
      </c>
      <c r="CTY1" s="176" t="s">
        <v>196</v>
      </c>
      <c r="CTZ1" s="176" t="s">
        <v>196</v>
      </c>
      <c r="CUA1" s="176" t="s">
        <v>196</v>
      </c>
      <c r="CUB1" s="176" t="s">
        <v>196</v>
      </c>
      <c r="CUC1" s="176" t="s">
        <v>196</v>
      </c>
      <c r="CUD1" s="176" t="s">
        <v>196</v>
      </c>
      <c r="CUE1" s="176" t="s">
        <v>196</v>
      </c>
      <c r="CUF1" s="176" t="s">
        <v>196</v>
      </c>
      <c r="CUG1" s="176" t="s">
        <v>196</v>
      </c>
      <c r="CUH1" s="176" t="s">
        <v>196</v>
      </c>
      <c r="CUI1" s="176" t="s">
        <v>196</v>
      </c>
      <c r="CUJ1" s="176" t="s">
        <v>196</v>
      </c>
      <c r="CUK1" s="176" t="s">
        <v>196</v>
      </c>
      <c r="CUL1" s="176" t="s">
        <v>196</v>
      </c>
      <c r="CUM1" s="176" t="s">
        <v>196</v>
      </c>
      <c r="CUN1" s="176" t="s">
        <v>196</v>
      </c>
      <c r="CUO1" s="176" t="s">
        <v>196</v>
      </c>
      <c r="CUP1" s="176" t="s">
        <v>196</v>
      </c>
      <c r="CUQ1" s="176" t="s">
        <v>196</v>
      </c>
      <c r="CUR1" s="176" t="s">
        <v>196</v>
      </c>
      <c r="CUS1" s="176" t="s">
        <v>196</v>
      </c>
      <c r="CUT1" s="176" t="s">
        <v>196</v>
      </c>
      <c r="CUU1" s="176" t="s">
        <v>196</v>
      </c>
      <c r="CUV1" s="176" t="s">
        <v>196</v>
      </c>
      <c r="CUW1" s="176" t="s">
        <v>196</v>
      </c>
      <c r="CUX1" s="176" t="s">
        <v>196</v>
      </c>
      <c r="CUY1" s="176" t="s">
        <v>196</v>
      </c>
      <c r="CUZ1" s="176" t="s">
        <v>196</v>
      </c>
      <c r="CVA1" s="176" t="s">
        <v>196</v>
      </c>
      <c r="CVB1" s="176" t="s">
        <v>196</v>
      </c>
      <c r="CVC1" s="176" t="s">
        <v>196</v>
      </c>
      <c r="CVD1" s="176" t="s">
        <v>196</v>
      </c>
      <c r="CVE1" s="176" t="s">
        <v>196</v>
      </c>
      <c r="CVF1" s="176" t="s">
        <v>196</v>
      </c>
      <c r="CVG1" s="176" t="s">
        <v>196</v>
      </c>
      <c r="CVH1" s="176" t="s">
        <v>196</v>
      </c>
      <c r="CVI1" s="176" t="s">
        <v>196</v>
      </c>
      <c r="CVJ1" s="176" t="s">
        <v>196</v>
      </c>
      <c r="CVK1" s="176" t="s">
        <v>196</v>
      </c>
      <c r="CVL1" s="176" t="s">
        <v>196</v>
      </c>
      <c r="CVM1" s="176" t="s">
        <v>196</v>
      </c>
      <c r="CVN1" s="176" t="s">
        <v>196</v>
      </c>
      <c r="CVO1" s="176" t="s">
        <v>196</v>
      </c>
      <c r="CVP1" s="176" t="s">
        <v>196</v>
      </c>
      <c r="CVQ1" s="176" t="s">
        <v>196</v>
      </c>
      <c r="CVR1" s="176" t="s">
        <v>196</v>
      </c>
      <c r="CVS1" s="176" t="s">
        <v>196</v>
      </c>
      <c r="CVT1" s="176" t="s">
        <v>196</v>
      </c>
      <c r="CVU1" s="176" t="s">
        <v>196</v>
      </c>
      <c r="CVV1" s="176" t="s">
        <v>196</v>
      </c>
      <c r="CVW1" s="176" t="s">
        <v>196</v>
      </c>
      <c r="CVX1" s="176" t="s">
        <v>196</v>
      </c>
      <c r="CVY1" s="176" t="s">
        <v>196</v>
      </c>
      <c r="CVZ1" s="176" t="s">
        <v>196</v>
      </c>
      <c r="CWA1" s="176" t="s">
        <v>196</v>
      </c>
      <c r="CWB1" s="176" t="s">
        <v>196</v>
      </c>
      <c r="CWC1" s="176" t="s">
        <v>196</v>
      </c>
      <c r="CWD1" s="176" t="s">
        <v>196</v>
      </c>
      <c r="CWE1" s="176" t="s">
        <v>196</v>
      </c>
      <c r="CWF1" s="176" t="s">
        <v>196</v>
      </c>
      <c r="CWG1" s="176" t="s">
        <v>196</v>
      </c>
      <c r="CWH1" s="176" t="s">
        <v>196</v>
      </c>
      <c r="CWI1" s="176" t="s">
        <v>196</v>
      </c>
      <c r="CWJ1" s="176" t="s">
        <v>196</v>
      </c>
      <c r="CWK1" s="176" t="s">
        <v>196</v>
      </c>
      <c r="CWL1" s="176" t="s">
        <v>196</v>
      </c>
      <c r="CWM1" s="176" t="s">
        <v>196</v>
      </c>
      <c r="CWN1" s="176" t="s">
        <v>196</v>
      </c>
      <c r="CWO1" s="176" t="s">
        <v>196</v>
      </c>
      <c r="CWP1" s="176" t="s">
        <v>196</v>
      </c>
      <c r="CWQ1" s="176" t="s">
        <v>196</v>
      </c>
      <c r="CWR1" s="176" t="s">
        <v>196</v>
      </c>
      <c r="CWS1" s="176" t="s">
        <v>196</v>
      </c>
      <c r="CWT1" s="176" t="s">
        <v>196</v>
      </c>
      <c r="CWU1" s="176" t="s">
        <v>196</v>
      </c>
      <c r="CWV1" s="176" t="s">
        <v>196</v>
      </c>
      <c r="CWW1" s="176" t="s">
        <v>196</v>
      </c>
      <c r="CWX1" s="176" t="s">
        <v>196</v>
      </c>
      <c r="CWY1" s="176" t="s">
        <v>196</v>
      </c>
      <c r="CWZ1" s="176" t="s">
        <v>196</v>
      </c>
      <c r="CXA1" s="176" t="s">
        <v>196</v>
      </c>
      <c r="CXB1" s="176" t="s">
        <v>196</v>
      </c>
      <c r="CXC1" s="176" t="s">
        <v>196</v>
      </c>
      <c r="CXD1" s="176" t="s">
        <v>196</v>
      </c>
      <c r="CXE1" s="176" t="s">
        <v>196</v>
      </c>
      <c r="CXF1" s="176" t="s">
        <v>196</v>
      </c>
      <c r="CXG1" s="176" t="s">
        <v>196</v>
      </c>
      <c r="CXH1" s="176" t="s">
        <v>196</v>
      </c>
      <c r="CXI1" s="176" t="s">
        <v>196</v>
      </c>
      <c r="CXJ1" s="176" t="s">
        <v>196</v>
      </c>
      <c r="CXK1" s="176" t="s">
        <v>196</v>
      </c>
      <c r="CXL1" s="176" t="s">
        <v>196</v>
      </c>
      <c r="CXM1" s="176" t="s">
        <v>196</v>
      </c>
      <c r="CXN1" s="176" t="s">
        <v>196</v>
      </c>
      <c r="CXO1" s="176" t="s">
        <v>196</v>
      </c>
      <c r="CXP1" s="176" t="s">
        <v>196</v>
      </c>
      <c r="CXQ1" s="176" t="s">
        <v>196</v>
      </c>
      <c r="CXR1" s="176" t="s">
        <v>196</v>
      </c>
      <c r="CXS1" s="176" t="s">
        <v>196</v>
      </c>
      <c r="CXT1" s="176" t="s">
        <v>196</v>
      </c>
      <c r="CXU1" s="176" t="s">
        <v>196</v>
      </c>
      <c r="CXV1" s="176" t="s">
        <v>196</v>
      </c>
      <c r="CXW1" s="176" t="s">
        <v>196</v>
      </c>
      <c r="CXX1" s="176" t="s">
        <v>196</v>
      </c>
      <c r="CXY1" s="176" t="s">
        <v>196</v>
      </c>
      <c r="CXZ1" s="176" t="s">
        <v>196</v>
      </c>
      <c r="CYA1" s="176" t="s">
        <v>196</v>
      </c>
      <c r="CYB1" s="176" t="s">
        <v>196</v>
      </c>
      <c r="CYC1" s="176" t="s">
        <v>196</v>
      </c>
      <c r="CYD1" s="176" t="s">
        <v>196</v>
      </c>
      <c r="CYE1" s="176" t="s">
        <v>196</v>
      </c>
      <c r="CYF1" s="176" t="s">
        <v>196</v>
      </c>
      <c r="CYG1" s="176" t="s">
        <v>196</v>
      </c>
      <c r="CYH1" s="176" t="s">
        <v>196</v>
      </c>
      <c r="CYI1" s="176" t="s">
        <v>196</v>
      </c>
      <c r="CYJ1" s="176" t="s">
        <v>196</v>
      </c>
      <c r="CYK1" s="176" t="s">
        <v>196</v>
      </c>
      <c r="CYL1" s="176" t="s">
        <v>196</v>
      </c>
      <c r="CYM1" s="176" t="s">
        <v>196</v>
      </c>
      <c r="CYN1" s="176" t="s">
        <v>196</v>
      </c>
      <c r="CYO1" s="176" t="s">
        <v>196</v>
      </c>
      <c r="CYP1" s="176" t="s">
        <v>196</v>
      </c>
      <c r="CYQ1" s="176" t="s">
        <v>196</v>
      </c>
      <c r="CYR1" s="176" t="s">
        <v>196</v>
      </c>
      <c r="CYS1" s="176" t="s">
        <v>196</v>
      </c>
      <c r="CYT1" s="176" t="s">
        <v>196</v>
      </c>
      <c r="CYU1" s="176" t="s">
        <v>196</v>
      </c>
      <c r="CYV1" s="176" t="s">
        <v>196</v>
      </c>
      <c r="CYW1" s="176" t="s">
        <v>196</v>
      </c>
      <c r="CYX1" s="176" t="s">
        <v>196</v>
      </c>
      <c r="CYY1" s="176" t="s">
        <v>196</v>
      </c>
      <c r="CYZ1" s="176" t="s">
        <v>196</v>
      </c>
      <c r="CZA1" s="176" t="s">
        <v>196</v>
      </c>
      <c r="CZB1" s="176" t="s">
        <v>196</v>
      </c>
      <c r="CZC1" s="176" t="s">
        <v>196</v>
      </c>
      <c r="CZD1" s="176" t="s">
        <v>196</v>
      </c>
      <c r="CZE1" s="176" t="s">
        <v>196</v>
      </c>
      <c r="CZF1" s="176" t="s">
        <v>196</v>
      </c>
      <c r="CZG1" s="176" t="s">
        <v>196</v>
      </c>
      <c r="CZH1" s="176" t="s">
        <v>196</v>
      </c>
      <c r="CZI1" s="176" t="s">
        <v>196</v>
      </c>
      <c r="CZJ1" s="176" t="s">
        <v>196</v>
      </c>
      <c r="CZK1" s="176" t="s">
        <v>196</v>
      </c>
      <c r="CZL1" s="176" t="s">
        <v>196</v>
      </c>
      <c r="CZM1" s="176" t="s">
        <v>196</v>
      </c>
      <c r="CZN1" s="176" t="s">
        <v>196</v>
      </c>
      <c r="CZO1" s="176" t="s">
        <v>196</v>
      </c>
      <c r="CZP1" s="176" t="s">
        <v>196</v>
      </c>
      <c r="CZQ1" s="176" t="s">
        <v>196</v>
      </c>
      <c r="CZR1" s="176" t="s">
        <v>196</v>
      </c>
      <c r="CZS1" s="176" t="s">
        <v>196</v>
      </c>
      <c r="CZT1" s="176" t="s">
        <v>196</v>
      </c>
      <c r="CZU1" s="176" t="s">
        <v>196</v>
      </c>
      <c r="CZV1" s="176" t="s">
        <v>196</v>
      </c>
      <c r="CZW1" s="176" t="s">
        <v>196</v>
      </c>
      <c r="CZX1" s="176" t="s">
        <v>196</v>
      </c>
      <c r="CZY1" s="176" t="s">
        <v>196</v>
      </c>
      <c r="CZZ1" s="176" t="s">
        <v>196</v>
      </c>
      <c r="DAA1" s="176" t="s">
        <v>196</v>
      </c>
      <c r="DAB1" s="176" t="s">
        <v>196</v>
      </c>
      <c r="DAC1" s="176" t="s">
        <v>196</v>
      </c>
      <c r="DAD1" s="176" t="s">
        <v>196</v>
      </c>
      <c r="DAE1" s="176" t="s">
        <v>196</v>
      </c>
      <c r="DAF1" s="176" t="s">
        <v>196</v>
      </c>
      <c r="DAG1" s="176" t="s">
        <v>196</v>
      </c>
      <c r="DAH1" s="176" t="s">
        <v>196</v>
      </c>
      <c r="DAI1" s="176" t="s">
        <v>196</v>
      </c>
      <c r="DAJ1" s="176" t="s">
        <v>196</v>
      </c>
      <c r="DAK1" s="176" t="s">
        <v>196</v>
      </c>
      <c r="DAL1" s="176" t="s">
        <v>196</v>
      </c>
      <c r="DAM1" s="176" t="s">
        <v>196</v>
      </c>
      <c r="DAN1" s="176" t="s">
        <v>196</v>
      </c>
      <c r="DAO1" s="176" t="s">
        <v>196</v>
      </c>
      <c r="DAP1" s="176" t="s">
        <v>196</v>
      </c>
      <c r="DAQ1" s="176" t="s">
        <v>196</v>
      </c>
      <c r="DAR1" s="176" t="s">
        <v>196</v>
      </c>
      <c r="DAS1" s="176" t="s">
        <v>196</v>
      </c>
      <c r="DAT1" s="176" t="s">
        <v>196</v>
      </c>
      <c r="DAU1" s="176" t="s">
        <v>196</v>
      </c>
      <c r="DAV1" s="176" t="s">
        <v>196</v>
      </c>
      <c r="DAW1" s="176" t="s">
        <v>196</v>
      </c>
      <c r="DAX1" s="176" t="s">
        <v>196</v>
      </c>
      <c r="DAY1" s="176" t="s">
        <v>196</v>
      </c>
      <c r="DAZ1" s="176" t="s">
        <v>196</v>
      </c>
      <c r="DBA1" s="176" t="s">
        <v>196</v>
      </c>
      <c r="DBB1" s="176" t="s">
        <v>196</v>
      </c>
      <c r="DBC1" s="176" t="s">
        <v>196</v>
      </c>
      <c r="DBD1" s="176" t="s">
        <v>196</v>
      </c>
      <c r="DBE1" s="176" t="s">
        <v>196</v>
      </c>
      <c r="DBF1" s="176" t="s">
        <v>196</v>
      </c>
      <c r="DBG1" s="176" t="s">
        <v>196</v>
      </c>
      <c r="DBH1" s="176" t="s">
        <v>196</v>
      </c>
      <c r="DBI1" s="176" t="s">
        <v>196</v>
      </c>
      <c r="DBJ1" s="176" t="s">
        <v>196</v>
      </c>
      <c r="DBK1" s="176" t="s">
        <v>196</v>
      </c>
      <c r="DBL1" s="176" t="s">
        <v>196</v>
      </c>
      <c r="DBM1" s="176" t="s">
        <v>196</v>
      </c>
      <c r="DBN1" s="176" t="s">
        <v>196</v>
      </c>
      <c r="DBO1" s="176" t="s">
        <v>196</v>
      </c>
      <c r="DBP1" s="176" t="s">
        <v>196</v>
      </c>
      <c r="DBQ1" s="176" t="s">
        <v>196</v>
      </c>
      <c r="DBR1" s="176" t="s">
        <v>196</v>
      </c>
      <c r="DBS1" s="176" t="s">
        <v>196</v>
      </c>
      <c r="DBT1" s="176" t="s">
        <v>196</v>
      </c>
      <c r="DBU1" s="176" t="s">
        <v>196</v>
      </c>
      <c r="DBV1" s="176" t="s">
        <v>196</v>
      </c>
      <c r="DBW1" s="176" t="s">
        <v>196</v>
      </c>
      <c r="DBX1" s="176" t="s">
        <v>196</v>
      </c>
      <c r="DBY1" s="176" t="s">
        <v>196</v>
      </c>
      <c r="DBZ1" s="176" t="s">
        <v>196</v>
      </c>
      <c r="DCA1" s="176" t="s">
        <v>196</v>
      </c>
      <c r="DCB1" s="176" t="s">
        <v>196</v>
      </c>
      <c r="DCC1" s="176" t="s">
        <v>196</v>
      </c>
      <c r="DCD1" s="176" t="s">
        <v>196</v>
      </c>
      <c r="DCE1" s="176" t="s">
        <v>196</v>
      </c>
      <c r="DCF1" s="176" t="s">
        <v>196</v>
      </c>
      <c r="DCG1" s="176" t="s">
        <v>196</v>
      </c>
      <c r="DCH1" s="176" t="s">
        <v>196</v>
      </c>
      <c r="DCI1" s="176" t="s">
        <v>196</v>
      </c>
      <c r="DCJ1" s="176" t="s">
        <v>196</v>
      </c>
      <c r="DCK1" s="176" t="s">
        <v>196</v>
      </c>
      <c r="DCL1" s="176" t="s">
        <v>196</v>
      </c>
      <c r="DCM1" s="176" t="s">
        <v>196</v>
      </c>
      <c r="DCN1" s="176" t="s">
        <v>196</v>
      </c>
      <c r="DCO1" s="176" t="s">
        <v>196</v>
      </c>
      <c r="DCP1" s="176" t="s">
        <v>196</v>
      </c>
      <c r="DCQ1" s="176" t="s">
        <v>196</v>
      </c>
      <c r="DCR1" s="176" t="s">
        <v>196</v>
      </c>
      <c r="DCS1" s="176" t="s">
        <v>196</v>
      </c>
      <c r="DCT1" s="176" t="s">
        <v>196</v>
      </c>
      <c r="DCU1" s="176" t="s">
        <v>196</v>
      </c>
      <c r="DCV1" s="176" t="s">
        <v>196</v>
      </c>
      <c r="DCW1" s="176" t="s">
        <v>196</v>
      </c>
      <c r="DCX1" s="176" t="s">
        <v>196</v>
      </c>
      <c r="DCY1" s="176" t="s">
        <v>196</v>
      </c>
      <c r="DCZ1" s="176" t="s">
        <v>196</v>
      </c>
      <c r="DDA1" s="176" t="s">
        <v>196</v>
      </c>
      <c r="DDB1" s="176" t="s">
        <v>196</v>
      </c>
      <c r="DDC1" s="176" t="s">
        <v>196</v>
      </c>
      <c r="DDD1" s="176" t="s">
        <v>196</v>
      </c>
      <c r="DDE1" s="176" t="s">
        <v>196</v>
      </c>
      <c r="DDF1" s="176" t="s">
        <v>196</v>
      </c>
      <c r="DDG1" s="176" t="s">
        <v>196</v>
      </c>
      <c r="DDH1" s="176" t="s">
        <v>196</v>
      </c>
      <c r="DDI1" s="176" t="s">
        <v>196</v>
      </c>
      <c r="DDJ1" s="176" t="s">
        <v>196</v>
      </c>
      <c r="DDK1" s="176" t="s">
        <v>196</v>
      </c>
      <c r="DDL1" s="176" t="s">
        <v>196</v>
      </c>
      <c r="DDM1" s="176" t="s">
        <v>196</v>
      </c>
      <c r="DDN1" s="176" t="s">
        <v>196</v>
      </c>
      <c r="DDO1" s="176" t="s">
        <v>196</v>
      </c>
      <c r="DDP1" s="176" t="s">
        <v>196</v>
      </c>
      <c r="DDQ1" s="176" t="s">
        <v>196</v>
      </c>
      <c r="DDR1" s="176" t="s">
        <v>196</v>
      </c>
      <c r="DDS1" s="176" t="s">
        <v>196</v>
      </c>
      <c r="DDT1" s="176" t="s">
        <v>196</v>
      </c>
      <c r="DDU1" s="176" t="s">
        <v>196</v>
      </c>
      <c r="DDV1" s="176" t="s">
        <v>196</v>
      </c>
      <c r="DDW1" s="176" t="s">
        <v>196</v>
      </c>
      <c r="DDX1" s="176" t="s">
        <v>196</v>
      </c>
      <c r="DDY1" s="176" t="s">
        <v>196</v>
      </c>
      <c r="DDZ1" s="176" t="s">
        <v>196</v>
      </c>
      <c r="DEA1" s="176" t="s">
        <v>196</v>
      </c>
      <c r="DEB1" s="176" t="s">
        <v>196</v>
      </c>
      <c r="DEC1" s="176" t="s">
        <v>196</v>
      </c>
      <c r="DED1" s="176" t="s">
        <v>196</v>
      </c>
      <c r="DEE1" s="176" t="s">
        <v>196</v>
      </c>
      <c r="DEF1" s="176" t="s">
        <v>196</v>
      </c>
      <c r="DEG1" s="176" t="s">
        <v>196</v>
      </c>
      <c r="DEH1" s="176" t="s">
        <v>196</v>
      </c>
      <c r="DEI1" s="176" t="s">
        <v>196</v>
      </c>
      <c r="DEJ1" s="176" t="s">
        <v>196</v>
      </c>
      <c r="DEK1" s="176" t="s">
        <v>196</v>
      </c>
      <c r="DEL1" s="176" t="s">
        <v>196</v>
      </c>
      <c r="DEM1" s="176" t="s">
        <v>196</v>
      </c>
      <c r="DEN1" s="176" t="s">
        <v>196</v>
      </c>
      <c r="DEO1" s="176" t="s">
        <v>196</v>
      </c>
      <c r="DEP1" s="176" t="s">
        <v>196</v>
      </c>
      <c r="DEQ1" s="176" t="s">
        <v>196</v>
      </c>
      <c r="DER1" s="176" t="s">
        <v>196</v>
      </c>
      <c r="DES1" s="176" t="s">
        <v>196</v>
      </c>
      <c r="DET1" s="176" t="s">
        <v>196</v>
      </c>
      <c r="DEU1" s="176" t="s">
        <v>196</v>
      </c>
      <c r="DEV1" s="176" t="s">
        <v>196</v>
      </c>
      <c r="DEW1" s="176" t="s">
        <v>196</v>
      </c>
      <c r="DEX1" s="176" t="s">
        <v>196</v>
      </c>
      <c r="DEY1" s="176" t="s">
        <v>196</v>
      </c>
      <c r="DEZ1" s="176" t="s">
        <v>196</v>
      </c>
      <c r="DFA1" s="176" t="s">
        <v>196</v>
      </c>
      <c r="DFB1" s="176" t="s">
        <v>196</v>
      </c>
      <c r="DFC1" s="176" t="s">
        <v>196</v>
      </c>
      <c r="DFD1" s="176" t="s">
        <v>196</v>
      </c>
      <c r="DFE1" s="176" t="s">
        <v>196</v>
      </c>
      <c r="DFF1" s="176" t="s">
        <v>196</v>
      </c>
      <c r="DFG1" s="176" t="s">
        <v>196</v>
      </c>
      <c r="DFH1" s="176" t="s">
        <v>196</v>
      </c>
      <c r="DFI1" s="176" t="s">
        <v>196</v>
      </c>
      <c r="DFJ1" s="176" t="s">
        <v>196</v>
      </c>
      <c r="DFK1" s="176" t="s">
        <v>196</v>
      </c>
      <c r="DFL1" s="176" t="s">
        <v>196</v>
      </c>
      <c r="DFM1" s="176" t="s">
        <v>196</v>
      </c>
      <c r="DFN1" s="176" t="s">
        <v>196</v>
      </c>
      <c r="DFO1" s="176" t="s">
        <v>196</v>
      </c>
      <c r="DFP1" s="176" t="s">
        <v>196</v>
      </c>
      <c r="DFQ1" s="176" t="s">
        <v>196</v>
      </c>
      <c r="DFR1" s="176" t="s">
        <v>196</v>
      </c>
      <c r="DFS1" s="176" t="s">
        <v>196</v>
      </c>
      <c r="DFT1" s="176" t="s">
        <v>196</v>
      </c>
      <c r="DFU1" s="176" t="s">
        <v>196</v>
      </c>
      <c r="DFV1" s="176" t="s">
        <v>196</v>
      </c>
      <c r="DFW1" s="176" t="s">
        <v>196</v>
      </c>
      <c r="DFX1" s="176" t="s">
        <v>196</v>
      </c>
      <c r="DFY1" s="176" t="s">
        <v>196</v>
      </c>
      <c r="DFZ1" s="176" t="s">
        <v>196</v>
      </c>
      <c r="DGA1" s="176" t="s">
        <v>196</v>
      </c>
      <c r="DGB1" s="176" t="s">
        <v>196</v>
      </c>
      <c r="DGC1" s="176" t="s">
        <v>196</v>
      </c>
      <c r="DGD1" s="176" t="s">
        <v>196</v>
      </c>
      <c r="DGE1" s="176" t="s">
        <v>196</v>
      </c>
      <c r="DGF1" s="176" t="s">
        <v>196</v>
      </c>
      <c r="DGG1" s="176" t="s">
        <v>196</v>
      </c>
      <c r="DGH1" s="176" t="s">
        <v>196</v>
      </c>
      <c r="DGI1" s="176" t="s">
        <v>196</v>
      </c>
      <c r="DGJ1" s="176" t="s">
        <v>196</v>
      </c>
      <c r="DGK1" s="176" t="s">
        <v>196</v>
      </c>
      <c r="DGL1" s="176" t="s">
        <v>196</v>
      </c>
      <c r="DGM1" s="176" t="s">
        <v>196</v>
      </c>
      <c r="DGN1" s="176" t="s">
        <v>196</v>
      </c>
      <c r="DGO1" s="176" t="s">
        <v>196</v>
      </c>
      <c r="DGP1" s="176" t="s">
        <v>196</v>
      </c>
      <c r="DGQ1" s="176" t="s">
        <v>196</v>
      </c>
      <c r="DGR1" s="176" t="s">
        <v>196</v>
      </c>
      <c r="DGS1" s="176" t="s">
        <v>196</v>
      </c>
      <c r="DGT1" s="176" t="s">
        <v>196</v>
      </c>
      <c r="DGU1" s="176" t="s">
        <v>196</v>
      </c>
      <c r="DGV1" s="176" t="s">
        <v>196</v>
      </c>
      <c r="DGW1" s="176" t="s">
        <v>196</v>
      </c>
      <c r="DGX1" s="176" t="s">
        <v>196</v>
      </c>
      <c r="DGY1" s="176" t="s">
        <v>196</v>
      </c>
      <c r="DGZ1" s="176" t="s">
        <v>196</v>
      </c>
      <c r="DHA1" s="176" t="s">
        <v>196</v>
      </c>
      <c r="DHB1" s="176" t="s">
        <v>196</v>
      </c>
      <c r="DHC1" s="176" t="s">
        <v>196</v>
      </c>
      <c r="DHD1" s="176" t="s">
        <v>196</v>
      </c>
      <c r="DHE1" s="176" t="s">
        <v>196</v>
      </c>
      <c r="DHF1" s="176" t="s">
        <v>196</v>
      </c>
      <c r="DHG1" s="176" t="s">
        <v>196</v>
      </c>
      <c r="DHH1" s="176" t="s">
        <v>196</v>
      </c>
      <c r="DHI1" s="176" t="s">
        <v>196</v>
      </c>
      <c r="DHJ1" s="176" t="s">
        <v>196</v>
      </c>
      <c r="DHK1" s="176" t="s">
        <v>196</v>
      </c>
      <c r="DHL1" s="176" t="s">
        <v>196</v>
      </c>
      <c r="DHM1" s="176" t="s">
        <v>196</v>
      </c>
      <c r="DHN1" s="176" t="s">
        <v>196</v>
      </c>
      <c r="DHO1" s="176" t="s">
        <v>196</v>
      </c>
      <c r="DHP1" s="176" t="s">
        <v>196</v>
      </c>
      <c r="DHQ1" s="176" t="s">
        <v>196</v>
      </c>
      <c r="DHR1" s="176" t="s">
        <v>196</v>
      </c>
      <c r="DHS1" s="176" t="s">
        <v>196</v>
      </c>
      <c r="DHT1" s="176" t="s">
        <v>196</v>
      </c>
      <c r="DHU1" s="176" t="s">
        <v>196</v>
      </c>
      <c r="DHV1" s="176" t="s">
        <v>196</v>
      </c>
      <c r="DHW1" s="176" t="s">
        <v>196</v>
      </c>
      <c r="DHX1" s="176" t="s">
        <v>196</v>
      </c>
      <c r="DHY1" s="176" t="s">
        <v>196</v>
      </c>
      <c r="DHZ1" s="176" t="s">
        <v>196</v>
      </c>
      <c r="DIA1" s="176" t="s">
        <v>196</v>
      </c>
      <c r="DIB1" s="176" t="s">
        <v>196</v>
      </c>
      <c r="DIC1" s="176" t="s">
        <v>196</v>
      </c>
      <c r="DID1" s="176" t="s">
        <v>196</v>
      </c>
      <c r="DIE1" s="176" t="s">
        <v>196</v>
      </c>
      <c r="DIF1" s="176" t="s">
        <v>196</v>
      </c>
      <c r="DIG1" s="176" t="s">
        <v>196</v>
      </c>
      <c r="DIH1" s="176" t="s">
        <v>196</v>
      </c>
      <c r="DII1" s="176" t="s">
        <v>196</v>
      </c>
      <c r="DIJ1" s="176" t="s">
        <v>196</v>
      </c>
      <c r="DIK1" s="176" t="s">
        <v>196</v>
      </c>
      <c r="DIL1" s="176" t="s">
        <v>196</v>
      </c>
      <c r="DIM1" s="176" t="s">
        <v>196</v>
      </c>
      <c r="DIN1" s="176" t="s">
        <v>196</v>
      </c>
      <c r="DIO1" s="176" t="s">
        <v>196</v>
      </c>
      <c r="DIP1" s="176" t="s">
        <v>196</v>
      </c>
      <c r="DIQ1" s="176" t="s">
        <v>196</v>
      </c>
      <c r="DIR1" s="176" t="s">
        <v>196</v>
      </c>
      <c r="DIS1" s="176" t="s">
        <v>196</v>
      </c>
      <c r="DIT1" s="176" t="s">
        <v>196</v>
      </c>
      <c r="DIU1" s="176" t="s">
        <v>196</v>
      </c>
      <c r="DIV1" s="176" t="s">
        <v>196</v>
      </c>
      <c r="DIW1" s="176" t="s">
        <v>196</v>
      </c>
      <c r="DIX1" s="176" t="s">
        <v>196</v>
      </c>
      <c r="DIY1" s="176" t="s">
        <v>196</v>
      </c>
      <c r="DIZ1" s="176" t="s">
        <v>196</v>
      </c>
      <c r="DJA1" s="176" t="s">
        <v>196</v>
      </c>
      <c r="DJB1" s="176" t="s">
        <v>196</v>
      </c>
      <c r="DJC1" s="176" t="s">
        <v>196</v>
      </c>
      <c r="DJD1" s="176" t="s">
        <v>196</v>
      </c>
      <c r="DJE1" s="176" t="s">
        <v>196</v>
      </c>
      <c r="DJF1" s="176" t="s">
        <v>196</v>
      </c>
      <c r="DJG1" s="176" t="s">
        <v>196</v>
      </c>
      <c r="DJH1" s="176" t="s">
        <v>196</v>
      </c>
      <c r="DJI1" s="176" t="s">
        <v>196</v>
      </c>
      <c r="DJJ1" s="176" t="s">
        <v>196</v>
      </c>
      <c r="DJK1" s="176" t="s">
        <v>196</v>
      </c>
      <c r="DJL1" s="176" t="s">
        <v>196</v>
      </c>
      <c r="DJM1" s="176" t="s">
        <v>196</v>
      </c>
      <c r="DJN1" s="176" t="s">
        <v>196</v>
      </c>
      <c r="DJO1" s="176" t="s">
        <v>196</v>
      </c>
      <c r="DJP1" s="176" t="s">
        <v>196</v>
      </c>
      <c r="DJQ1" s="176" t="s">
        <v>196</v>
      </c>
      <c r="DJR1" s="176" t="s">
        <v>196</v>
      </c>
      <c r="DJS1" s="176" t="s">
        <v>196</v>
      </c>
      <c r="DJT1" s="176" t="s">
        <v>196</v>
      </c>
      <c r="DJU1" s="176" t="s">
        <v>196</v>
      </c>
      <c r="DJV1" s="176" t="s">
        <v>196</v>
      </c>
      <c r="DJW1" s="176" t="s">
        <v>196</v>
      </c>
      <c r="DJX1" s="176" t="s">
        <v>196</v>
      </c>
      <c r="DJY1" s="176" t="s">
        <v>196</v>
      </c>
      <c r="DJZ1" s="176" t="s">
        <v>196</v>
      </c>
      <c r="DKA1" s="176" t="s">
        <v>196</v>
      </c>
      <c r="DKB1" s="176" t="s">
        <v>196</v>
      </c>
      <c r="DKC1" s="176" t="s">
        <v>196</v>
      </c>
      <c r="DKD1" s="176" t="s">
        <v>196</v>
      </c>
      <c r="DKE1" s="176" t="s">
        <v>196</v>
      </c>
      <c r="DKF1" s="176" t="s">
        <v>196</v>
      </c>
      <c r="DKG1" s="176" t="s">
        <v>196</v>
      </c>
      <c r="DKH1" s="176" t="s">
        <v>196</v>
      </c>
      <c r="DKI1" s="176" t="s">
        <v>196</v>
      </c>
      <c r="DKJ1" s="176" t="s">
        <v>196</v>
      </c>
      <c r="DKK1" s="176" t="s">
        <v>196</v>
      </c>
      <c r="DKL1" s="176" t="s">
        <v>196</v>
      </c>
      <c r="DKM1" s="176" t="s">
        <v>196</v>
      </c>
      <c r="DKN1" s="176" t="s">
        <v>196</v>
      </c>
      <c r="DKO1" s="176" t="s">
        <v>196</v>
      </c>
      <c r="DKP1" s="176" t="s">
        <v>196</v>
      </c>
      <c r="DKQ1" s="176" t="s">
        <v>196</v>
      </c>
      <c r="DKR1" s="176" t="s">
        <v>196</v>
      </c>
      <c r="DKS1" s="176" t="s">
        <v>196</v>
      </c>
      <c r="DKT1" s="176" t="s">
        <v>196</v>
      </c>
      <c r="DKU1" s="176" t="s">
        <v>196</v>
      </c>
      <c r="DKV1" s="176" t="s">
        <v>196</v>
      </c>
      <c r="DKW1" s="176" t="s">
        <v>196</v>
      </c>
      <c r="DKX1" s="176" t="s">
        <v>196</v>
      </c>
      <c r="DKY1" s="176" t="s">
        <v>196</v>
      </c>
      <c r="DKZ1" s="176" t="s">
        <v>196</v>
      </c>
      <c r="DLA1" s="176" t="s">
        <v>196</v>
      </c>
      <c r="DLB1" s="176" t="s">
        <v>196</v>
      </c>
      <c r="DLC1" s="176" t="s">
        <v>196</v>
      </c>
      <c r="DLD1" s="176" t="s">
        <v>196</v>
      </c>
      <c r="DLE1" s="176" t="s">
        <v>196</v>
      </c>
      <c r="DLF1" s="176" t="s">
        <v>196</v>
      </c>
      <c r="DLG1" s="176" t="s">
        <v>196</v>
      </c>
      <c r="DLH1" s="176" t="s">
        <v>196</v>
      </c>
      <c r="DLI1" s="176" t="s">
        <v>196</v>
      </c>
      <c r="DLJ1" s="176" t="s">
        <v>196</v>
      </c>
      <c r="DLK1" s="176" t="s">
        <v>196</v>
      </c>
      <c r="DLL1" s="176" t="s">
        <v>196</v>
      </c>
      <c r="DLM1" s="176" t="s">
        <v>196</v>
      </c>
      <c r="DLN1" s="176" t="s">
        <v>196</v>
      </c>
      <c r="DLO1" s="176" t="s">
        <v>196</v>
      </c>
      <c r="DLP1" s="176" t="s">
        <v>196</v>
      </c>
      <c r="DLQ1" s="176" t="s">
        <v>196</v>
      </c>
      <c r="DLR1" s="176" t="s">
        <v>196</v>
      </c>
      <c r="DLS1" s="176" t="s">
        <v>196</v>
      </c>
      <c r="DLT1" s="176" t="s">
        <v>196</v>
      </c>
      <c r="DLU1" s="176" t="s">
        <v>196</v>
      </c>
      <c r="DLV1" s="176" t="s">
        <v>196</v>
      </c>
      <c r="DLW1" s="176" t="s">
        <v>196</v>
      </c>
      <c r="DLX1" s="176" t="s">
        <v>196</v>
      </c>
      <c r="DLY1" s="176" t="s">
        <v>196</v>
      </c>
      <c r="DLZ1" s="176" t="s">
        <v>196</v>
      </c>
      <c r="DMA1" s="176" t="s">
        <v>196</v>
      </c>
      <c r="DMB1" s="176" t="s">
        <v>196</v>
      </c>
      <c r="DMC1" s="176" t="s">
        <v>196</v>
      </c>
      <c r="DMD1" s="176" t="s">
        <v>196</v>
      </c>
      <c r="DME1" s="176" t="s">
        <v>196</v>
      </c>
      <c r="DMF1" s="176" t="s">
        <v>196</v>
      </c>
      <c r="DMG1" s="176" t="s">
        <v>196</v>
      </c>
      <c r="DMH1" s="176" t="s">
        <v>196</v>
      </c>
      <c r="DMI1" s="176" t="s">
        <v>196</v>
      </c>
      <c r="DMJ1" s="176" t="s">
        <v>196</v>
      </c>
      <c r="DMK1" s="176" t="s">
        <v>196</v>
      </c>
      <c r="DML1" s="176" t="s">
        <v>196</v>
      </c>
      <c r="DMM1" s="176" t="s">
        <v>196</v>
      </c>
      <c r="DMN1" s="176" t="s">
        <v>196</v>
      </c>
      <c r="DMO1" s="176" t="s">
        <v>196</v>
      </c>
      <c r="DMP1" s="176" t="s">
        <v>196</v>
      </c>
      <c r="DMQ1" s="176" t="s">
        <v>196</v>
      </c>
      <c r="DMR1" s="176" t="s">
        <v>196</v>
      </c>
      <c r="DMS1" s="176" t="s">
        <v>196</v>
      </c>
      <c r="DMT1" s="176" t="s">
        <v>196</v>
      </c>
      <c r="DMU1" s="176" t="s">
        <v>196</v>
      </c>
      <c r="DMV1" s="176" t="s">
        <v>196</v>
      </c>
      <c r="DMW1" s="176" t="s">
        <v>196</v>
      </c>
      <c r="DMX1" s="176" t="s">
        <v>196</v>
      </c>
      <c r="DMY1" s="176" t="s">
        <v>196</v>
      </c>
      <c r="DMZ1" s="176" t="s">
        <v>196</v>
      </c>
      <c r="DNA1" s="176" t="s">
        <v>196</v>
      </c>
      <c r="DNB1" s="176" t="s">
        <v>196</v>
      </c>
      <c r="DNC1" s="176" t="s">
        <v>196</v>
      </c>
      <c r="DND1" s="176" t="s">
        <v>196</v>
      </c>
      <c r="DNE1" s="176" t="s">
        <v>196</v>
      </c>
      <c r="DNF1" s="176" t="s">
        <v>196</v>
      </c>
      <c r="DNG1" s="176" t="s">
        <v>196</v>
      </c>
      <c r="DNH1" s="176" t="s">
        <v>196</v>
      </c>
      <c r="DNI1" s="176" t="s">
        <v>196</v>
      </c>
      <c r="DNJ1" s="176" t="s">
        <v>196</v>
      </c>
      <c r="DNK1" s="176" t="s">
        <v>196</v>
      </c>
      <c r="DNL1" s="176" t="s">
        <v>196</v>
      </c>
      <c r="DNM1" s="176" t="s">
        <v>196</v>
      </c>
      <c r="DNN1" s="176" t="s">
        <v>196</v>
      </c>
      <c r="DNO1" s="176" t="s">
        <v>196</v>
      </c>
      <c r="DNP1" s="176" t="s">
        <v>196</v>
      </c>
      <c r="DNQ1" s="176" t="s">
        <v>196</v>
      </c>
      <c r="DNR1" s="176" t="s">
        <v>196</v>
      </c>
      <c r="DNS1" s="176" t="s">
        <v>196</v>
      </c>
      <c r="DNT1" s="176" t="s">
        <v>196</v>
      </c>
      <c r="DNU1" s="176" t="s">
        <v>196</v>
      </c>
      <c r="DNV1" s="176" t="s">
        <v>196</v>
      </c>
      <c r="DNW1" s="176" t="s">
        <v>196</v>
      </c>
      <c r="DNX1" s="176" t="s">
        <v>196</v>
      </c>
      <c r="DNY1" s="176" t="s">
        <v>196</v>
      </c>
      <c r="DNZ1" s="176" t="s">
        <v>196</v>
      </c>
      <c r="DOA1" s="176" t="s">
        <v>196</v>
      </c>
      <c r="DOB1" s="176" t="s">
        <v>196</v>
      </c>
      <c r="DOC1" s="176" t="s">
        <v>196</v>
      </c>
      <c r="DOD1" s="176" t="s">
        <v>196</v>
      </c>
      <c r="DOE1" s="176" t="s">
        <v>196</v>
      </c>
      <c r="DOF1" s="176" t="s">
        <v>196</v>
      </c>
      <c r="DOG1" s="176" t="s">
        <v>196</v>
      </c>
      <c r="DOH1" s="176" t="s">
        <v>196</v>
      </c>
      <c r="DOI1" s="176" t="s">
        <v>196</v>
      </c>
      <c r="DOJ1" s="176" t="s">
        <v>196</v>
      </c>
      <c r="DOK1" s="176" t="s">
        <v>196</v>
      </c>
      <c r="DOL1" s="176" t="s">
        <v>196</v>
      </c>
      <c r="DOM1" s="176" t="s">
        <v>196</v>
      </c>
      <c r="DON1" s="176" t="s">
        <v>196</v>
      </c>
      <c r="DOO1" s="176" t="s">
        <v>196</v>
      </c>
      <c r="DOP1" s="176" t="s">
        <v>196</v>
      </c>
      <c r="DOQ1" s="176" t="s">
        <v>196</v>
      </c>
      <c r="DOR1" s="176" t="s">
        <v>196</v>
      </c>
      <c r="DOS1" s="176" t="s">
        <v>196</v>
      </c>
      <c r="DOT1" s="176" t="s">
        <v>196</v>
      </c>
      <c r="DOU1" s="176" t="s">
        <v>196</v>
      </c>
      <c r="DOV1" s="176" t="s">
        <v>196</v>
      </c>
      <c r="DOW1" s="176" t="s">
        <v>196</v>
      </c>
      <c r="DOX1" s="176" t="s">
        <v>196</v>
      </c>
      <c r="DOY1" s="176" t="s">
        <v>196</v>
      </c>
      <c r="DOZ1" s="176" t="s">
        <v>196</v>
      </c>
      <c r="DPA1" s="176" t="s">
        <v>196</v>
      </c>
      <c r="DPB1" s="176" t="s">
        <v>196</v>
      </c>
      <c r="DPC1" s="176" t="s">
        <v>196</v>
      </c>
      <c r="DPD1" s="176" t="s">
        <v>196</v>
      </c>
      <c r="DPE1" s="176" t="s">
        <v>196</v>
      </c>
      <c r="DPF1" s="176" t="s">
        <v>196</v>
      </c>
      <c r="DPG1" s="176" t="s">
        <v>196</v>
      </c>
      <c r="DPH1" s="176" t="s">
        <v>196</v>
      </c>
      <c r="DPI1" s="176" t="s">
        <v>196</v>
      </c>
      <c r="DPJ1" s="176" t="s">
        <v>196</v>
      </c>
      <c r="DPK1" s="176" t="s">
        <v>196</v>
      </c>
      <c r="DPL1" s="176" t="s">
        <v>196</v>
      </c>
      <c r="DPM1" s="176" t="s">
        <v>196</v>
      </c>
      <c r="DPN1" s="176" t="s">
        <v>196</v>
      </c>
      <c r="DPO1" s="176" t="s">
        <v>196</v>
      </c>
      <c r="DPP1" s="176" t="s">
        <v>196</v>
      </c>
      <c r="DPQ1" s="176" t="s">
        <v>196</v>
      </c>
      <c r="DPR1" s="176" t="s">
        <v>196</v>
      </c>
      <c r="DPS1" s="176" t="s">
        <v>196</v>
      </c>
      <c r="DPT1" s="176" t="s">
        <v>196</v>
      </c>
      <c r="DPU1" s="176" t="s">
        <v>196</v>
      </c>
      <c r="DPV1" s="176" t="s">
        <v>196</v>
      </c>
      <c r="DPW1" s="176" t="s">
        <v>196</v>
      </c>
      <c r="DPX1" s="176" t="s">
        <v>196</v>
      </c>
      <c r="DPY1" s="176" t="s">
        <v>196</v>
      </c>
      <c r="DPZ1" s="176" t="s">
        <v>196</v>
      </c>
      <c r="DQA1" s="176" t="s">
        <v>196</v>
      </c>
      <c r="DQB1" s="176" t="s">
        <v>196</v>
      </c>
      <c r="DQC1" s="176" t="s">
        <v>196</v>
      </c>
      <c r="DQD1" s="176" t="s">
        <v>196</v>
      </c>
      <c r="DQE1" s="176" t="s">
        <v>196</v>
      </c>
      <c r="DQF1" s="176" t="s">
        <v>196</v>
      </c>
      <c r="DQG1" s="176" t="s">
        <v>196</v>
      </c>
      <c r="DQH1" s="176" t="s">
        <v>196</v>
      </c>
      <c r="DQI1" s="176" t="s">
        <v>196</v>
      </c>
      <c r="DQJ1" s="176" t="s">
        <v>196</v>
      </c>
      <c r="DQK1" s="176" t="s">
        <v>196</v>
      </c>
      <c r="DQL1" s="176" t="s">
        <v>196</v>
      </c>
      <c r="DQM1" s="176" t="s">
        <v>196</v>
      </c>
      <c r="DQN1" s="176" t="s">
        <v>196</v>
      </c>
      <c r="DQO1" s="176" t="s">
        <v>196</v>
      </c>
      <c r="DQP1" s="176" t="s">
        <v>196</v>
      </c>
      <c r="DQQ1" s="176" t="s">
        <v>196</v>
      </c>
      <c r="DQR1" s="176" t="s">
        <v>196</v>
      </c>
      <c r="DQS1" s="176" t="s">
        <v>196</v>
      </c>
      <c r="DQT1" s="176" t="s">
        <v>196</v>
      </c>
      <c r="DQU1" s="176" t="s">
        <v>196</v>
      </c>
      <c r="DQV1" s="176" t="s">
        <v>196</v>
      </c>
      <c r="DQW1" s="176" t="s">
        <v>196</v>
      </c>
      <c r="DQX1" s="176" t="s">
        <v>196</v>
      </c>
      <c r="DQY1" s="176" t="s">
        <v>196</v>
      </c>
      <c r="DQZ1" s="176" t="s">
        <v>196</v>
      </c>
      <c r="DRA1" s="176" t="s">
        <v>196</v>
      </c>
      <c r="DRB1" s="176" t="s">
        <v>196</v>
      </c>
      <c r="DRC1" s="176" t="s">
        <v>196</v>
      </c>
      <c r="DRD1" s="176" t="s">
        <v>196</v>
      </c>
      <c r="DRE1" s="176" t="s">
        <v>196</v>
      </c>
      <c r="DRF1" s="176" t="s">
        <v>196</v>
      </c>
      <c r="DRG1" s="176" t="s">
        <v>196</v>
      </c>
      <c r="DRH1" s="176" t="s">
        <v>196</v>
      </c>
      <c r="DRI1" s="176" t="s">
        <v>196</v>
      </c>
      <c r="DRJ1" s="176" t="s">
        <v>196</v>
      </c>
      <c r="DRK1" s="176" t="s">
        <v>196</v>
      </c>
      <c r="DRL1" s="176" t="s">
        <v>196</v>
      </c>
      <c r="DRM1" s="176" t="s">
        <v>196</v>
      </c>
      <c r="DRN1" s="176" t="s">
        <v>196</v>
      </c>
      <c r="DRO1" s="176" t="s">
        <v>196</v>
      </c>
      <c r="DRP1" s="176" t="s">
        <v>196</v>
      </c>
      <c r="DRQ1" s="176" t="s">
        <v>196</v>
      </c>
      <c r="DRR1" s="176" t="s">
        <v>196</v>
      </c>
      <c r="DRS1" s="176" t="s">
        <v>196</v>
      </c>
      <c r="DRT1" s="176" t="s">
        <v>196</v>
      </c>
      <c r="DRU1" s="176" t="s">
        <v>196</v>
      </c>
      <c r="DRV1" s="176" t="s">
        <v>196</v>
      </c>
      <c r="DRW1" s="176" t="s">
        <v>196</v>
      </c>
      <c r="DRX1" s="176" t="s">
        <v>196</v>
      </c>
      <c r="DRY1" s="176" t="s">
        <v>196</v>
      </c>
      <c r="DRZ1" s="176" t="s">
        <v>196</v>
      </c>
      <c r="DSA1" s="176" t="s">
        <v>196</v>
      </c>
      <c r="DSB1" s="176" t="s">
        <v>196</v>
      </c>
      <c r="DSC1" s="176" t="s">
        <v>196</v>
      </c>
      <c r="DSD1" s="176" t="s">
        <v>196</v>
      </c>
      <c r="DSE1" s="176" t="s">
        <v>196</v>
      </c>
      <c r="DSF1" s="176" t="s">
        <v>196</v>
      </c>
      <c r="DSG1" s="176" t="s">
        <v>196</v>
      </c>
      <c r="DSH1" s="176" t="s">
        <v>196</v>
      </c>
      <c r="DSI1" s="176" t="s">
        <v>196</v>
      </c>
      <c r="DSJ1" s="176" t="s">
        <v>196</v>
      </c>
      <c r="DSK1" s="176" t="s">
        <v>196</v>
      </c>
      <c r="DSL1" s="176" t="s">
        <v>196</v>
      </c>
      <c r="DSM1" s="176" t="s">
        <v>196</v>
      </c>
      <c r="DSN1" s="176" t="s">
        <v>196</v>
      </c>
      <c r="DSO1" s="176" t="s">
        <v>196</v>
      </c>
      <c r="DSP1" s="176" t="s">
        <v>196</v>
      </c>
      <c r="DSQ1" s="176" t="s">
        <v>196</v>
      </c>
      <c r="DSR1" s="176" t="s">
        <v>196</v>
      </c>
      <c r="DSS1" s="176" t="s">
        <v>196</v>
      </c>
      <c r="DST1" s="176" t="s">
        <v>196</v>
      </c>
      <c r="DSU1" s="176" t="s">
        <v>196</v>
      </c>
      <c r="DSV1" s="176" t="s">
        <v>196</v>
      </c>
      <c r="DSW1" s="176" t="s">
        <v>196</v>
      </c>
      <c r="DSX1" s="176" t="s">
        <v>196</v>
      </c>
      <c r="DSY1" s="176" t="s">
        <v>196</v>
      </c>
      <c r="DSZ1" s="176" t="s">
        <v>196</v>
      </c>
      <c r="DTA1" s="176" t="s">
        <v>196</v>
      </c>
      <c r="DTB1" s="176" t="s">
        <v>196</v>
      </c>
      <c r="DTC1" s="176" t="s">
        <v>196</v>
      </c>
      <c r="DTD1" s="176" t="s">
        <v>196</v>
      </c>
      <c r="DTE1" s="176" t="s">
        <v>196</v>
      </c>
      <c r="DTF1" s="176" t="s">
        <v>196</v>
      </c>
      <c r="DTG1" s="176" t="s">
        <v>196</v>
      </c>
      <c r="DTH1" s="176" t="s">
        <v>196</v>
      </c>
      <c r="DTI1" s="176" t="s">
        <v>196</v>
      </c>
      <c r="DTJ1" s="176" t="s">
        <v>196</v>
      </c>
      <c r="DTK1" s="176" t="s">
        <v>196</v>
      </c>
      <c r="DTL1" s="176" t="s">
        <v>196</v>
      </c>
      <c r="DTM1" s="176" t="s">
        <v>196</v>
      </c>
      <c r="DTN1" s="176" t="s">
        <v>196</v>
      </c>
      <c r="DTO1" s="176" t="s">
        <v>196</v>
      </c>
      <c r="DTP1" s="176" t="s">
        <v>196</v>
      </c>
      <c r="DTQ1" s="176" t="s">
        <v>196</v>
      </c>
      <c r="DTR1" s="176" t="s">
        <v>196</v>
      </c>
      <c r="DTS1" s="176" t="s">
        <v>196</v>
      </c>
      <c r="DTT1" s="176" t="s">
        <v>196</v>
      </c>
      <c r="DTU1" s="176" t="s">
        <v>196</v>
      </c>
      <c r="DTV1" s="176" t="s">
        <v>196</v>
      </c>
      <c r="DTW1" s="176" t="s">
        <v>196</v>
      </c>
      <c r="DTX1" s="176" t="s">
        <v>196</v>
      </c>
      <c r="DTY1" s="176" t="s">
        <v>196</v>
      </c>
      <c r="DTZ1" s="176" t="s">
        <v>196</v>
      </c>
      <c r="DUA1" s="176" t="s">
        <v>196</v>
      </c>
      <c r="DUB1" s="176" t="s">
        <v>196</v>
      </c>
      <c r="DUC1" s="176" t="s">
        <v>196</v>
      </c>
      <c r="DUD1" s="176" t="s">
        <v>196</v>
      </c>
      <c r="DUE1" s="176" t="s">
        <v>196</v>
      </c>
      <c r="DUF1" s="176" t="s">
        <v>196</v>
      </c>
      <c r="DUG1" s="176" t="s">
        <v>196</v>
      </c>
      <c r="DUH1" s="176" t="s">
        <v>196</v>
      </c>
      <c r="DUI1" s="176" t="s">
        <v>196</v>
      </c>
      <c r="DUJ1" s="176" t="s">
        <v>196</v>
      </c>
      <c r="DUK1" s="176" t="s">
        <v>196</v>
      </c>
      <c r="DUL1" s="176" t="s">
        <v>196</v>
      </c>
      <c r="DUM1" s="176" t="s">
        <v>196</v>
      </c>
      <c r="DUN1" s="176" t="s">
        <v>196</v>
      </c>
      <c r="DUO1" s="176" t="s">
        <v>196</v>
      </c>
      <c r="DUP1" s="176" t="s">
        <v>196</v>
      </c>
      <c r="DUQ1" s="176" t="s">
        <v>196</v>
      </c>
      <c r="DUR1" s="176" t="s">
        <v>196</v>
      </c>
      <c r="DUS1" s="176" t="s">
        <v>196</v>
      </c>
      <c r="DUT1" s="176" t="s">
        <v>196</v>
      </c>
      <c r="DUU1" s="176" t="s">
        <v>196</v>
      </c>
      <c r="DUV1" s="176" t="s">
        <v>196</v>
      </c>
      <c r="DUW1" s="176" t="s">
        <v>196</v>
      </c>
      <c r="DUX1" s="176" t="s">
        <v>196</v>
      </c>
      <c r="DUY1" s="176" t="s">
        <v>196</v>
      </c>
      <c r="DUZ1" s="176" t="s">
        <v>196</v>
      </c>
      <c r="DVA1" s="176" t="s">
        <v>196</v>
      </c>
      <c r="DVB1" s="176" t="s">
        <v>196</v>
      </c>
      <c r="DVC1" s="176" t="s">
        <v>196</v>
      </c>
      <c r="DVD1" s="176" t="s">
        <v>196</v>
      </c>
      <c r="DVE1" s="176" t="s">
        <v>196</v>
      </c>
      <c r="DVF1" s="176" t="s">
        <v>196</v>
      </c>
      <c r="DVG1" s="176" t="s">
        <v>196</v>
      </c>
      <c r="DVH1" s="176" t="s">
        <v>196</v>
      </c>
      <c r="DVI1" s="176" t="s">
        <v>196</v>
      </c>
      <c r="DVJ1" s="176" t="s">
        <v>196</v>
      </c>
      <c r="DVK1" s="176" t="s">
        <v>196</v>
      </c>
      <c r="DVL1" s="176" t="s">
        <v>196</v>
      </c>
      <c r="DVM1" s="176" t="s">
        <v>196</v>
      </c>
      <c r="DVN1" s="176" t="s">
        <v>196</v>
      </c>
      <c r="DVO1" s="176" t="s">
        <v>196</v>
      </c>
      <c r="DVP1" s="176" t="s">
        <v>196</v>
      </c>
      <c r="DVQ1" s="176" t="s">
        <v>196</v>
      </c>
      <c r="DVR1" s="176" t="s">
        <v>196</v>
      </c>
      <c r="DVS1" s="176" t="s">
        <v>196</v>
      </c>
      <c r="DVT1" s="176" t="s">
        <v>196</v>
      </c>
      <c r="DVU1" s="176" t="s">
        <v>196</v>
      </c>
      <c r="DVV1" s="176" t="s">
        <v>196</v>
      </c>
      <c r="DVW1" s="176" t="s">
        <v>196</v>
      </c>
      <c r="DVX1" s="176" t="s">
        <v>196</v>
      </c>
      <c r="DVY1" s="176" t="s">
        <v>196</v>
      </c>
      <c r="DVZ1" s="176" t="s">
        <v>196</v>
      </c>
      <c r="DWA1" s="176" t="s">
        <v>196</v>
      </c>
      <c r="DWB1" s="176" t="s">
        <v>196</v>
      </c>
      <c r="DWC1" s="176" t="s">
        <v>196</v>
      </c>
      <c r="DWD1" s="176" t="s">
        <v>196</v>
      </c>
      <c r="DWE1" s="176" t="s">
        <v>196</v>
      </c>
      <c r="DWF1" s="176" t="s">
        <v>196</v>
      </c>
      <c r="DWG1" s="176" t="s">
        <v>196</v>
      </c>
      <c r="DWH1" s="176" t="s">
        <v>196</v>
      </c>
      <c r="DWI1" s="176" t="s">
        <v>196</v>
      </c>
      <c r="DWJ1" s="176" t="s">
        <v>196</v>
      </c>
      <c r="DWK1" s="176" t="s">
        <v>196</v>
      </c>
      <c r="DWL1" s="176" t="s">
        <v>196</v>
      </c>
      <c r="DWM1" s="176" t="s">
        <v>196</v>
      </c>
      <c r="DWN1" s="176" t="s">
        <v>196</v>
      </c>
      <c r="DWO1" s="176" t="s">
        <v>196</v>
      </c>
      <c r="DWP1" s="176" t="s">
        <v>196</v>
      </c>
      <c r="DWQ1" s="176" t="s">
        <v>196</v>
      </c>
      <c r="DWR1" s="176" t="s">
        <v>196</v>
      </c>
      <c r="DWS1" s="176" t="s">
        <v>196</v>
      </c>
      <c r="DWT1" s="176" t="s">
        <v>196</v>
      </c>
      <c r="DWU1" s="176" t="s">
        <v>196</v>
      </c>
      <c r="DWV1" s="176" t="s">
        <v>196</v>
      </c>
      <c r="DWW1" s="176" t="s">
        <v>196</v>
      </c>
      <c r="DWX1" s="176" t="s">
        <v>196</v>
      </c>
      <c r="DWY1" s="176" t="s">
        <v>196</v>
      </c>
      <c r="DWZ1" s="176" t="s">
        <v>196</v>
      </c>
      <c r="DXA1" s="176" t="s">
        <v>196</v>
      </c>
      <c r="DXB1" s="176" t="s">
        <v>196</v>
      </c>
      <c r="DXC1" s="176" t="s">
        <v>196</v>
      </c>
      <c r="DXD1" s="176" t="s">
        <v>196</v>
      </c>
      <c r="DXE1" s="176" t="s">
        <v>196</v>
      </c>
      <c r="DXF1" s="176" t="s">
        <v>196</v>
      </c>
      <c r="DXG1" s="176" t="s">
        <v>196</v>
      </c>
      <c r="DXH1" s="176" t="s">
        <v>196</v>
      </c>
      <c r="DXI1" s="176" t="s">
        <v>196</v>
      </c>
      <c r="DXJ1" s="176" t="s">
        <v>196</v>
      </c>
      <c r="DXK1" s="176" t="s">
        <v>196</v>
      </c>
      <c r="DXL1" s="176" t="s">
        <v>196</v>
      </c>
      <c r="DXM1" s="176" t="s">
        <v>196</v>
      </c>
      <c r="DXN1" s="176" t="s">
        <v>196</v>
      </c>
      <c r="DXO1" s="176" t="s">
        <v>196</v>
      </c>
      <c r="DXP1" s="176" t="s">
        <v>196</v>
      </c>
      <c r="DXQ1" s="176" t="s">
        <v>196</v>
      </c>
      <c r="DXR1" s="176" t="s">
        <v>196</v>
      </c>
      <c r="DXS1" s="176" t="s">
        <v>196</v>
      </c>
      <c r="DXT1" s="176" t="s">
        <v>196</v>
      </c>
      <c r="DXU1" s="176" t="s">
        <v>196</v>
      </c>
      <c r="DXV1" s="176" t="s">
        <v>196</v>
      </c>
      <c r="DXW1" s="176" t="s">
        <v>196</v>
      </c>
      <c r="DXX1" s="176" t="s">
        <v>196</v>
      </c>
      <c r="DXY1" s="176" t="s">
        <v>196</v>
      </c>
      <c r="DXZ1" s="176" t="s">
        <v>196</v>
      </c>
      <c r="DYA1" s="176" t="s">
        <v>196</v>
      </c>
      <c r="DYB1" s="176" t="s">
        <v>196</v>
      </c>
      <c r="DYC1" s="176" t="s">
        <v>196</v>
      </c>
      <c r="DYD1" s="176" t="s">
        <v>196</v>
      </c>
      <c r="DYE1" s="176" t="s">
        <v>196</v>
      </c>
      <c r="DYF1" s="176" t="s">
        <v>196</v>
      </c>
      <c r="DYG1" s="176" t="s">
        <v>196</v>
      </c>
      <c r="DYH1" s="176" t="s">
        <v>196</v>
      </c>
      <c r="DYI1" s="176" t="s">
        <v>196</v>
      </c>
      <c r="DYJ1" s="176" t="s">
        <v>196</v>
      </c>
      <c r="DYK1" s="176" t="s">
        <v>196</v>
      </c>
      <c r="DYL1" s="176" t="s">
        <v>196</v>
      </c>
      <c r="DYM1" s="176" t="s">
        <v>196</v>
      </c>
      <c r="DYN1" s="176" t="s">
        <v>196</v>
      </c>
      <c r="DYO1" s="176" t="s">
        <v>196</v>
      </c>
      <c r="DYP1" s="176" t="s">
        <v>196</v>
      </c>
      <c r="DYQ1" s="176" t="s">
        <v>196</v>
      </c>
      <c r="DYR1" s="176" t="s">
        <v>196</v>
      </c>
      <c r="DYS1" s="176" t="s">
        <v>196</v>
      </c>
      <c r="DYT1" s="176" t="s">
        <v>196</v>
      </c>
      <c r="DYU1" s="176" t="s">
        <v>196</v>
      </c>
      <c r="DYV1" s="176" t="s">
        <v>196</v>
      </c>
      <c r="DYW1" s="176" t="s">
        <v>196</v>
      </c>
      <c r="DYX1" s="176" t="s">
        <v>196</v>
      </c>
      <c r="DYY1" s="176" t="s">
        <v>196</v>
      </c>
      <c r="DYZ1" s="176" t="s">
        <v>196</v>
      </c>
      <c r="DZA1" s="176" t="s">
        <v>196</v>
      </c>
      <c r="DZB1" s="176" t="s">
        <v>196</v>
      </c>
      <c r="DZC1" s="176" t="s">
        <v>196</v>
      </c>
      <c r="DZD1" s="176" t="s">
        <v>196</v>
      </c>
      <c r="DZE1" s="176" t="s">
        <v>196</v>
      </c>
      <c r="DZF1" s="176" t="s">
        <v>196</v>
      </c>
      <c r="DZG1" s="176" t="s">
        <v>196</v>
      </c>
      <c r="DZH1" s="176" t="s">
        <v>196</v>
      </c>
      <c r="DZI1" s="176" t="s">
        <v>196</v>
      </c>
      <c r="DZJ1" s="176" t="s">
        <v>196</v>
      </c>
      <c r="DZK1" s="176" t="s">
        <v>196</v>
      </c>
      <c r="DZL1" s="176" t="s">
        <v>196</v>
      </c>
      <c r="DZM1" s="176" t="s">
        <v>196</v>
      </c>
      <c r="DZN1" s="176" t="s">
        <v>196</v>
      </c>
      <c r="DZO1" s="176" t="s">
        <v>196</v>
      </c>
      <c r="DZP1" s="176" t="s">
        <v>196</v>
      </c>
      <c r="DZQ1" s="176" t="s">
        <v>196</v>
      </c>
      <c r="DZR1" s="176" t="s">
        <v>196</v>
      </c>
      <c r="DZS1" s="176" t="s">
        <v>196</v>
      </c>
      <c r="DZT1" s="176" t="s">
        <v>196</v>
      </c>
      <c r="DZU1" s="176" t="s">
        <v>196</v>
      </c>
      <c r="DZV1" s="176" t="s">
        <v>196</v>
      </c>
      <c r="DZW1" s="176" t="s">
        <v>196</v>
      </c>
      <c r="DZX1" s="176" t="s">
        <v>196</v>
      </c>
      <c r="DZY1" s="176" t="s">
        <v>196</v>
      </c>
      <c r="DZZ1" s="176" t="s">
        <v>196</v>
      </c>
      <c r="EAA1" s="176" t="s">
        <v>196</v>
      </c>
      <c r="EAB1" s="176" t="s">
        <v>196</v>
      </c>
      <c r="EAC1" s="176" t="s">
        <v>196</v>
      </c>
      <c r="EAD1" s="176" t="s">
        <v>196</v>
      </c>
      <c r="EAE1" s="176" t="s">
        <v>196</v>
      </c>
      <c r="EAF1" s="176" t="s">
        <v>196</v>
      </c>
      <c r="EAG1" s="176" t="s">
        <v>196</v>
      </c>
      <c r="EAH1" s="176" t="s">
        <v>196</v>
      </c>
      <c r="EAI1" s="176" t="s">
        <v>196</v>
      </c>
      <c r="EAJ1" s="176" t="s">
        <v>196</v>
      </c>
      <c r="EAK1" s="176" t="s">
        <v>196</v>
      </c>
      <c r="EAL1" s="176" t="s">
        <v>196</v>
      </c>
      <c r="EAM1" s="176" t="s">
        <v>196</v>
      </c>
      <c r="EAN1" s="176" t="s">
        <v>196</v>
      </c>
      <c r="EAO1" s="176" t="s">
        <v>196</v>
      </c>
      <c r="EAP1" s="176" t="s">
        <v>196</v>
      </c>
      <c r="EAQ1" s="176" t="s">
        <v>196</v>
      </c>
      <c r="EAR1" s="176" t="s">
        <v>196</v>
      </c>
      <c r="EAS1" s="176" t="s">
        <v>196</v>
      </c>
      <c r="EAT1" s="176" t="s">
        <v>196</v>
      </c>
      <c r="EAU1" s="176" t="s">
        <v>196</v>
      </c>
      <c r="EAV1" s="176" t="s">
        <v>196</v>
      </c>
      <c r="EAW1" s="176" t="s">
        <v>196</v>
      </c>
      <c r="EAX1" s="176" t="s">
        <v>196</v>
      </c>
      <c r="EAY1" s="176" t="s">
        <v>196</v>
      </c>
      <c r="EAZ1" s="176" t="s">
        <v>196</v>
      </c>
      <c r="EBA1" s="176" t="s">
        <v>196</v>
      </c>
      <c r="EBB1" s="176" t="s">
        <v>196</v>
      </c>
      <c r="EBC1" s="176" t="s">
        <v>196</v>
      </c>
      <c r="EBD1" s="176" t="s">
        <v>196</v>
      </c>
      <c r="EBE1" s="176" t="s">
        <v>196</v>
      </c>
      <c r="EBF1" s="176" t="s">
        <v>196</v>
      </c>
      <c r="EBG1" s="176" t="s">
        <v>196</v>
      </c>
      <c r="EBH1" s="176" t="s">
        <v>196</v>
      </c>
      <c r="EBI1" s="176" t="s">
        <v>196</v>
      </c>
      <c r="EBJ1" s="176" t="s">
        <v>196</v>
      </c>
      <c r="EBK1" s="176" t="s">
        <v>196</v>
      </c>
      <c r="EBL1" s="176" t="s">
        <v>196</v>
      </c>
      <c r="EBM1" s="176" t="s">
        <v>196</v>
      </c>
      <c r="EBN1" s="176" t="s">
        <v>196</v>
      </c>
      <c r="EBO1" s="176" t="s">
        <v>196</v>
      </c>
      <c r="EBP1" s="176" t="s">
        <v>196</v>
      </c>
      <c r="EBQ1" s="176" t="s">
        <v>196</v>
      </c>
      <c r="EBR1" s="176" t="s">
        <v>196</v>
      </c>
      <c r="EBS1" s="176" t="s">
        <v>196</v>
      </c>
      <c r="EBT1" s="176" t="s">
        <v>196</v>
      </c>
      <c r="EBU1" s="176" t="s">
        <v>196</v>
      </c>
      <c r="EBV1" s="176" t="s">
        <v>196</v>
      </c>
      <c r="EBW1" s="176" t="s">
        <v>196</v>
      </c>
      <c r="EBX1" s="176" t="s">
        <v>196</v>
      </c>
      <c r="EBY1" s="176" t="s">
        <v>196</v>
      </c>
      <c r="EBZ1" s="176" t="s">
        <v>196</v>
      </c>
      <c r="ECA1" s="176" t="s">
        <v>196</v>
      </c>
      <c r="ECB1" s="176" t="s">
        <v>196</v>
      </c>
      <c r="ECC1" s="176" t="s">
        <v>196</v>
      </c>
      <c r="ECD1" s="176" t="s">
        <v>196</v>
      </c>
      <c r="ECE1" s="176" t="s">
        <v>196</v>
      </c>
      <c r="ECF1" s="176" t="s">
        <v>196</v>
      </c>
      <c r="ECG1" s="176" t="s">
        <v>196</v>
      </c>
      <c r="ECH1" s="176" t="s">
        <v>196</v>
      </c>
      <c r="ECI1" s="176" t="s">
        <v>196</v>
      </c>
      <c r="ECJ1" s="176" t="s">
        <v>196</v>
      </c>
      <c r="ECK1" s="176" t="s">
        <v>196</v>
      </c>
      <c r="ECL1" s="176" t="s">
        <v>196</v>
      </c>
      <c r="ECM1" s="176" t="s">
        <v>196</v>
      </c>
      <c r="ECN1" s="176" t="s">
        <v>196</v>
      </c>
      <c r="ECO1" s="176" t="s">
        <v>196</v>
      </c>
      <c r="ECP1" s="176" t="s">
        <v>196</v>
      </c>
      <c r="ECQ1" s="176" t="s">
        <v>196</v>
      </c>
      <c r="ECR1" s="176" t="s">
        <v>196</v>
      </c>
      <c r="ECS1" s="176" t="s">
        <v>196</v>
      </c>
      <c r="ECT1" s="176" t="s">
        <v>196</v>
      </c>
      <c r="ECU1" s="176" t="s">
        <v>196</v>
      </c>
      <c r="ECV1" s="176" t="s">
        <v>196</v>
      </c>
      <c r="ECW1" s="176" t="s">
        <v>196</v>
      </c>
      <c r="ECX1" s="176" t="s">
        <v>196</v>
      </c>
      <c r="ECY1" s="176" t="s">
        <v>196</v>
      </c>
      <c r="ECZ1" s="176" t="s">
        <v>196</v>
      </c>
      <c r="EDA1" s="176" t="s">
        <v>196</v>
      </c>
      <c r="EDB1" s="176" t="s">
        <v>196</v>
      </c>
      <c r="EDC1" s="176" t="s">
        <v>196</v>
      </c>
      <c r="EDD1" s="176" t="s">
        <v>196</v>
      </c>
      <c r="EDE1" s="176" t="s">
        <v>196</v>
      </c>
      <c r="EDF1" s="176" t="s">
        <v>196</v>
      </c>
      <c r="EDG1" s="176" t="s">
        <v>196</v>
      </c>
      <c r="EDH1" s="176" t="s">
        <v>196</v>
      </c>
      <c r="EDI1" s="176" t="s">
        <v>196</v>
      </c>
      <c r="EDJ1" s="176" t="s">
        <v>196</v>
      </c>
      <c r="EDK1" s="176" t="s">
        <v>196</v>
      </c>
      <c r="EDL1" s="176" t="s">
        <v>196</v>
      </c>
      <c r="EDM1" s="176" t="s">
        <v>196</v>
      </c>
      <c r="EDN1" s="176" t="s">
        <v>196</v>
      </c>
      <c r="EDO1" s="176" t="s">
        <v>196</v>
      </c>
      <c r="EDP1" s="176" t="s">
        <v>196</v>
      </c>
      <c r="EDQ1" s="176" t="s">
        <v>196</v>
      </c>
      <c r="EDR1" s="176" t="s">
        <v>196</v>
      </c>
      <c r="EDS1" s="176" t="s">
        <v>196</v>
      </c>
      <c r="EDT1" s="176" t="s">
        <v>196</v>
      </c>
      <c r="EDU1" s="176" t="s">
        <v>196</v>
      </c>
      <c r="EDV1" s="176" t="s">
        <v>196</v>
      </c>
      <c r="EDW1" s="176" t="s">
        <v>196</v>
      </c>
      <c r="EDX1" s="176" t="s">
        <v>196</v>
      </c>
      <c r="EDY1" s="176" t="s">
        <v>196</v>
      </c>
      <c r="EDZ1" s="176" t="s">
        <v>196</v>
      </c>
      <c r="EEA1" s="176" t="s">
        <v>196</v>
      </c>
      <c r="EEB1" s="176" t="s">
        <v>196</v>
      </c>
      <c r="EEC1" s="176" t="s">
        <v>196</v>
      </c>
      <c r="EED1" s="176" t="s">
        <v>196</v>
      </c>
      <c r="EEE1" s="176" t="s">
        <v>196</v>
      </c>
      <c r="EEF1" s="176" t="s">
        <v>196</v>
      </c>
      <c r="EEG1" s="176" t="s">
        <v>196</v>
      </c>
      <c r="EEH1" s="176" t="s">
        <v>196</v>
      </c>
      <c r="EEI1" s="176" t="s">
        <v>196</v>
      </c>
      <c r="EEJ1" s="176" t="s">
        <v>196</v>
      </c>
      <c r="EEK1" s="176" t="s">
        <v>196</v>
      </c>
      <c r="EEL1" s="176" t="s">
        <v>196</v>
      </c>
      <c r="EEM1" s="176" t="s">
        <v>196</v>
      </c>
      <c r="EEN1" s="176" t="s">
        <v>196</v>
      </c>
      <c r="EEO1" s="176" t="s">
        <v>196</v>
      </c>
      <c r="EEP1" s="176" t="s">
        <v>196</v>
      </c>
      <c r="EEQ1" s="176" t="s">
        <v>196</v>
      </c>
      <c r="EER1" s="176" t="s">
        <v>196</v>
      </c>
      <c r="EES1" s="176" t="s">
        <v>196</v>
      </c>
      <c r="EET1" s="176" t="s">
        <v>196</v>
      </c>
      <c r="EEU1" s="176" t="s">
        <v>196</v>
      </c>
      <c r="EEV1" s="176" t="s">
        <v>196</v>
      </c>
      <c r="EEW1" s="176" t="s">
        <v>196</v>
      </c>
      <c r="EEX1" s="176" t="s">
        <v>196</v>
      </c>
      <c r="EEY1" s="176" t="s">
        <v>196</v>
      </c>
      <c r="EEZ1" s="176" t="s">
        <v>196</v>
      </c>
      <c r="EFA1" s="176" t="s">
        <v>196</v>
      </c>
      <c r="EFB1" s="176" t="s">
        <v>196</v>
      </c>
      <c r="EFC1" s="176" t="s">
        <v>196</v>
      </c>
      <c r="EFD1" s="176" t="s">
        <v>196</v>
      </c>
      <c r="EFE1" s="176" t="s">
        <v>196</v>
      </c>
      <c r="EFF1" s="176" t="s">
        <v>196</v>
      </c>
      <c r="EFG1" s="176" t="s">
        <v>196</v>
      </c>
      <c r="EFH1" s="176" t="s">
        <v>196</v>
      </c>
      <c r="EFI1" s="176" t="s">
        <v>196</v>
      </c>
      <c r="EFJ1" s="176" t="s">
        <v>196</v>
      </c>
      <c r="EFK1" s="176" t="s">
        <v>196</v>
      </c>
      <c r="EFL1" s="176" t="s">
        <v>196</v>
      </c>
      <c r="EFM1" s="176" t="s">
        <v>196</v>
      </c>
      <c r="EFN1" s="176" t="s">
        <v>196</v>
      </c>
      <c r="EFO1" s="176" t="s">
        <v>196</v>
      </c>
      <c r="EFP1" s="176" t="s">
        <v>196</v>
      </c>
      <c r="EFQ1" s="176" t="s">
        <v>196</v>
      </c>
      <c r="EFR1" s="176" t="s">
        <v>196</v>
      </c>
      <c r="EFS1" s="176" t="s">
        <v>196</v>
      </c>
      <c r="EFT1" s="176" t="s">
        <v>196</v>
      </c>
      <c r="EFU1" s="176" t="s">
        <v>196</v>
      </c>
      <c r="EFV1" s="176" t="s">
        <v>196</v>
      </c>
      <c r="EFW1" s="176" t="s">
        <v>196</v>
      </c>
      <c r="EFX1" s="176" t="s">
        <v>196</v>
      </c>
      <c r="EFY1" s="176" t="s">
        <v>196</v>
      </c>
      <c r="EFZ1" s="176" t="s">
        <v>196</v>
      </c>
      <c r="EGA1" s="176" t="s">
        <v>196</v>
      </c>
      <c r="EGB1" s="176" t="s">
        <v>196</v>
      </c>
      <c r="EGC1" s="176" t="s">
        <v>196</v>
      </c>
      <c r="EGD1" s="176" t="s">
        <v>196</v>
      </c>
      <c r="EGE1" s="176" t="s">
        <v>196</v>
      </c>
      <c r="EGF1" s="176" t="s">
        <v>196</v>
      </c>
      <c r="EGG1" s="176" t="s">
        <v>196</v>
      </c>
      <c r="EGH1" s="176" t="s">
        <v>196</v>
      </c>
      <c r="EGI1" s="176" t="s">
        <v>196</v>
      </c>
      <c r="EGJ1" s="176" t="s">
        <v>196</v>
      </c>
      <c r="EGK1" s="176" t="s">
        <v>196</v>
      </c>
      <c r="EGL1" s="176" t="s">
        <v>196</v>
      </c>
      <c r="EGM1" s="176" t="s">
        <v>196</v>
      </c>
      <c r="EGN1" s="176" t="s">
        <v>196</v>
      </c>
      <c r="EGO1" s="176" t="s">
        <v>196</v>
      </c>
      <c r="EGP1" s="176" t="s">
        <v>196</v>
      </c>
      <c r="EGQ1" s="176" t="s">
        <v>196</v>
      </c>
      <c r="EGR1" s="176" t="s">
        <v>196</v>
      </c>
      <c r="EGS1" s="176" t="s">
        <v>196</v>
      </c>
      <c r="EGT1" s="176" t="s">
        <v>196</v>
      </c>
      <c r="EGU1" s="176" t="s">
        <v>196</v>
      </c>
      <c r="EGV1" s="176" t="s">
        <v>196</v>
      </c>
      <c r="EGW1" s="176" t="s">
        <v>196</v>
      </c>
      <c r="EGX1" s="176" t="s">
        <v>196</v>
      </c>
      <c r="EGY1" s="176" t="s">
        <v>196</v>
      </c>
      <c r="EGZ1" s="176" t="s">
        <v>196</v>
      </c>
      <c r="EHA1" s="176" t="s">
        <v>196</v>
      </c>
      <c r="EHB1" s="176" t="s">
        <v>196</v>
      </c>
      <c r="EHC1" s="176" t="s">
        <v>196</v>
      </c>
      <c r="EHD1" s="176" t="s">
        <v>196</v>
      </c>
      <c r="EHE1" s="176" t="s">
        <v>196</v>
      </c>
      <c r="EHF1" s="176" t="s">
        <v>196</v>
      </c>
      <c r="EHG1" s="176" t="s">
        <v>196</v>
      </c>
      <c r="EHH1" s="176" t="s">
        <v>196</v>
      </c>
      <c r="EHI1" s="176" t="s">
        <v>196</v>
      </c>
      <c r="EHJ1" s="176" t="s">
        <v>196</v>
      </c>
      <c r="EHK1" s="176" t="s">
        <v>196</v>
      </c>
      <c r="EHL1" s="176" t="s">
        <v>196</v>
      </c>
      <c r="EHM1" s="176" t="s">
        <v>196</v>
      </c>
      <c r="EHN1" s="176" t="s">
        <v>196</v>
      </c>
      <c r="EHO1" s="176" t="s">
        <v>196</v>
      </c>
      <c r="EHP1" s="176" t="s">
        <v>196</v>
      </c>
      <c r="EHQ1" s="176" t="s">
        <v>196</v>
      </c>
      <c r="EHR1" s="176" t="s">
        <v>196</v>
      </c>
      <c r="EHS1" s="176" t="s">
        <v>196</v>
      </c>
      <c r="EHT1" s="176" t="s">
        <v>196</v>
      </c>
      <c r="EHU1" s="176" t="s">
        <v>196</v>
      </c>
      <c r="EHV1" s="176" t="s">
        <v>196</v>
      </c>
      <c r="EHW1" s="176" t="s">
        <v>196</v>
      </c>
      <c r="EHX1" s="176" t="s">
        <v>196</v>
      </c>
      <c r="EHY1" s="176" t="s">
        <v>196</v>
      </c>
      <c r="EHZ1" s="176" t="s">
        <v>196</v>
      </c>
      <c r="EIA1" s="176" t="s">
        <v>196</v>
      </c>
      <c r="EIB1" s="176" t="s">
        <v>196</v>
      </c>
      <c r="EIC1" s="176" t="s">
        <v>196</v>
      </c>
      <c r="EID1" s="176" t="s">
        <v>196</v>
      </c>
      <c r="EIE1" s="176" t="s">
        <v>196</v>
      </c>
      <c r="EIF1" s="176" t="s">
        <v>196</v>
      </c>
      <c r="EIG1" s="176" t="s">
        <v>196</v>
      </c>
      <c r="EIH1" s="176" t="s">
        <v>196</v>
      </c>
      <c r="EII1" s="176" t="s">
        <v>196</v>
      </c>
      <c r="EIJ1" s="176" t="s">
        <v>196</v>
      </c>
      <c r="EIK1" s="176" t="s">
        <v>196</v>
      </c>
      <c r="EIL1" s="176" t="s">
        <v>196</v>
      </c>
      <c r="EIM1" s="176" t="s">
        <v>196</v>
      </c>
      <c r="EIN1" s="176" t="s">
        <v>196</v>
      </c>
      <c r="EIO1" s="176" t="s">
        <v>196</v>
      </c>
      <c r="EIP1" s="176" t="s">
        <v>196</v>
      </c>
      <c r="EIQ1" s="176" t="s">
        <v>196</v>
      </c>
      <c r="EIR1" s="176" t="s">
        <v>196</v>
      </c>
      <c r="EIS1" s="176" t="s">
        <v>196</v>
      </c>
      <c r="EIT1" s="176" t="s">
        <v>196</v>
      </c>
      <c r="EIU1" s="176" t="s">
        <v>196</v>
      </c>
      <c r="EIV1" s="176" t="s">
        <v>196</v>
      </c>
      <c r="EIW1" s="176" t="s">
        <v>196</v>
      </c>
      <c r="EIX1" s="176" t="s">
        <v>196</v>
      </c>
      <c r="EIY1" s="176" t="s">
        <v>196</v>
      </c>
      <c r="EIZ1" s="176" t="s">
        <v>196</v>
      </c>
      <c r="EJA1" s="176" t="s">
        <v>196</v>
      </c>
      <c r="EJB1" s="176" t="s">
        <v>196</v>
      </c>
      <c r="EJC1" s="176" t="s">
        <v>196</v>
      </c>
      <c r="EJD1" s="176" t="s">
        <v>196</v>
      </c>
      <c r="EJE1" s="176" t="s">
        <v>196</v>
      </c>
      <c r="EJF1" s="176" t="s">
        <v>196</v>
      </c>
      <c r="EJG1" s="176" t="s">
        <v>196</v>
      </c>
      <c r="EJH1" s="176" t="s">
        <v>196</v>
      </c>
      <c r="EJI1" s="176" t="s">
        <v>196</v>
      </c>
      <c r="EJJ1" s="176" t="s">
        <v>196</v>
      </c>
      <c r="EJK1" s="176" t="s">
        <v>196</v>
      </c>
      <c r="EJL1" s="176" t="s">
        <v>196</v>
      </c>
      <c r="EJM1" s="176" t="s">
        <v>196</v>
      </c>
      <c r="EJN1" s="176" t="s">
        <v>196</v>
      </c>
      <c r="EJO1" s="176" t="s">
        <v>196</v>
      </c>
      <c r="EJP1" s="176" t="s">
        <v>196</v>
      </c>
      <c r="EJQ1" s="176" t="s">
        <v>196</v>
      </c>
      <c r="EJR1" s="176" t="s">
        <v>196</v>
      </c>
      <c r="EJS1" s="176" t="s">
        <v>196</v>
      </c>
      <c r="EJT1" s="176" t="s">
        <v>196</v>
      </c>
      <c r="EJU1" s="176" t="s">
        <v>196</v>
      </c>
      <c r="EJV1" s="176" t="s">
        <v>196</v>
      </c>
      <c r="EJW1" s="176" t="s">
        <v>196</v>
      </c>
      <c r="EJX1" s="176" t="s">
        <v>196</v>
      </c>
      <c r="EJY1" s="176" t="s">
        <v>196</v>
      </c>
      <c r="EJZ1" s="176" t="s">
        <v>196</v>
      </c>
      <c r="EKA1" s="176" t="s">
        <v>196</v>
      </c>
      <c r="EKB1" s="176" t="s">
        <v>196</v>
      </c>
      <c r="EKC1" s="176" t="s">
        <v>196</v>
      </c>
      <c r="EKD1" s="176" t="s">
        <v>196</v>
      </c>
      <c r="EKE1" s="176" t="s">
        <v>196</v>
      </c>
      <c r="EKF1" s="176" t="s">
        <v>196</v>
      </c>
      <c r="EKG1" s="176" t="s">
        <v>196</v>
      </c>
      <c r="EKH1" s="176" t="s">
        <v>196</v>
      </c>
      <c r="EKI1" s="176" t="s">
        <v>196</v>
      </c>
      <c r="EKJ1" s="176" t="s">
        <v>196</v>
      </c>
      <c r="EKK1" s="176" t="s">
        <v>196</v>
      </c>
      <c r="EKL1" s="176" t="s">
        <v>196</v>
      </c>
      <c r="EKM1" s="176" t="s">
        <v>196</v>
      </c>
      <c r="EKN1" s="176" t="s">
        <v>196</v>
      </c>
      <c r="EKO1" s="176" t="s">
        <v>196</v>
      </c>
      <c r="EKP1" s="176" t="s">
        <v>196</v>
      </c>
      <c r="EKQ1" s="176" t="s">
        <v>196</v>
      </c>
      <c r="EKR1" s="176" t="s">
        <v>196</v>
      </c>
      <c r="EKS1" s="176" t="s">
        <v>196</v>
      </c>
      <c r="EKT1" s="176" t="s">
        <v>196</v>
      </c>
      <c r="EKU1" s="176" t="s">
        <v>196</v>
      </c>
      <c r="EKV1" s="176" t="s">
        <v>196</v>
      </c>
      <c r="EKW1" s="176" t="s">
        <v>196</v>
      </c>
      <c r="EKX1" s="176" t="s">
        <v>196</v>
      </c>
      <c r="EKY1" s="176" t="s">
        <v>196</v>
      </c>
      <c r="EKZ1" s="176" t="s">
        <v>196</v>
      </c>
      <c r="ELA1" s="176" t="s">
        <v>196</v>
      </c>
      <c r="ELB1" s="176" t="s">
        <v>196</v>
      </c>
      <c r="ELC1" s="176" t="s">
        <v>196</v>
      </c>
      <c r="ELD1" s="176" t="s">
        <v>196</v>
      </c>
      <c r="ELE1" s="176" t="s">
        <v>196</v>
      </c>
      <c r="ELF1" s="176" t="s">
        <v>196</v>
      </c>
      <c r="ELG1" s="176" t="s">
        <v>196</v>
      </c>
      <c r="ELH1" s="176" t="s">
        <v>196</v>
      </c>
      <c r="ELI1" s="176" t="s">
        <v>196</v>
      </c>
      <c r="ELJ1" s="176" t="s">
        <v>196</v>
      </c>
      <c r="ELK1" s="176" t="s">
        <v>196</v>
      </c>
      <c r="ELL1" s="176" t="s">
        <v>196</v>
      </c>
      <c r="ELM1" s="176" t="s">
        <v>196</v>
      </c>
      <c r="ELN1" s="176" t="s">
        <v>196</v>
      </c>
      <c r="ELO1" s="176" t="s">
        <v>196</v>
      </c>
      <c r="ELP1" s="176" t="s">
        <v>196</v>
      </c>
      <c r="ELQ1" s="176" t="s">
        <v>196</v>
      </c>
      <c r="ELR1" s="176" t="s">
        <v>196</v>
      </c>
      <c r="ELS1" s="176" t="s">
        <v>196</v>
      </c>
      <c r="ELT1" s="176" t="s">
        <v>196</v>
      </c>
      <c r="ELU1" s="176" t="s">
        <v>196</v>
      </c>
      <c r="ELV1" s="176" t="s">
        <v>196</v>
      </c>
      <c r="ELW1" s="176" t="s">
        <v>196</v>
      </c>
      <c r="ELX1" s="176" t="s">
        <v>196</v>
      </c>
      <c r="ELY1" s="176" t="s">
        <v>196</v>
      </c>
      <c r="ELZ1" s="176" t="s">
        <v>196</v>
      </c>
      <c r="EMA1" s="176" t="s">
        <v>196</v>
      </c>
      <c r="EMB1" s="176" t="s">
        <v>196</v>
      </c>
      <c r="EMC1" s="176" t="s">
        <v>196</v>
      </c>
      <c r="EMD1" s="176" t="s">
        <v>196</v>
      </c>
      <c r="EME1" s="176" t="s">
        <v>196</v>
      </c>
      <c r="EMF1" s="176" t="s">
        <v>196</v>
      </c>
      <c r="EMG1" s="176" t="s">
        <v>196</v>
      </c>
      <c r="EMH1" s="176" t="s">
        <v>196</v>
      </c>
      <c r="EMI1" s="176" t="s">
        <v>196</v>
      </c>
      <c r="EMJ1" s="176" t="s">
        <v>196</v>
      </c>
      <c r="EMK1" s="176" t="s">
        <v>196</v>
      </c>
      <c r="EML1" s="176" t="s">
        <v>196</v>
      </c>
      <c r="EMM1" s="176" t="s">
        <v>196</v>
      </c>
      <c r="EMN1" s="176" t="s">
        <v>196</v>
      </c>
      <c r="EMO1" s="176" t="s">
        <v>196</v>
      </c>
      <c r="EMP1" s="176" t="s">
        <v>196</v>
      </c>
      <c r="EMQ1" s="176" t="s">
        <v>196</v>
      </c>
      <c r="EMR1" s="176" t="s">
        <v>196</v>
      </c>
      <c r="EMS1" s="176" t="s">
        <v>196</v>
      </c>
      <c r="EMT1" s="176" t="s">
        <v>196</v>
      </c>
      <c r="EMU1" s="176" t="s">
        <v>196</v>
      </c>
      <c r="EMV1" s="176" t="s">
        <v>196</v>
      </c>
      <c r="EMW1" s="176" t="s">
        <v>196</v>
      </c>
      <c r="EMX1" s="176" t="s">
        <v>196</v>
      </c>
      <c r="EMY1" s="176" t="s">
        <v>196</v>
      </c>
      <c r="EMZ1" s="176" t="s">
        <v>196</v>
      </c>
      <c r="ENA1" s="176" t="s">
        <v>196</v>
      </c>
      <c r="ENB1" s="176" t="s">
        <v>196</v>
      </c>
      <c r="ENC1" s="176" t="s">
        <v>196</v>
      </c>
      <c r="END1" s="176" t="s">
        <v>196</v>
      </c>
      <c r="ENE1" s="176" t="s">
        <v>196</v>
      </c>
      <c r="ENF1" s="176" t="s">
        <v>196</v>
      </c>
      <c r="ENG1" s="176" t="s">
        <v>196</v>
      </c>
      <c r="ENH1" s="176" t="s">
        <v>196</v>
      </c>
      <c r="ENI1" s="176" t="s">
        <v>196</v>
      </c>
      <c r="ENJ1" s="176" t="s">
        <v>196</v>
      </c>
      <c r="ENK1" s="176" t="s">
        <v>196</v>
      </c>
      <c r="ENL1" s="176" t="s">
        <v>196</v>
      </c>
      <c r="ENM1" s="176" t="s">
        <v>196</v>
      </c>
      <c r="ENN1" s="176" t="s">
        <v>196</v>
      </c>
      <c r="ENO1" s="176" t="s">
        <v>196</v>
      </c>
      <c r="ENP1" s="176" t="s">
        <v>196</v>
      </c>
      <c r="ENQ1" s="176" t="s">
        <v>196</v>
      </c>
      <c r="ENR1" s="176" t="s">
        <v>196</v>
      </c>
      <c r="ENS1" s="176" t="s">
        <v>196</v>
      </c>
      <c r="ENT1" s="176" t="s">
        <v>196</v>
      </c>
      <c r="ENU1" s="176" t="s">
        <v>196</v>
      </c>
      <c r="ENV1" s="176" t="s">
        <v>196</v>
      </c>
      <c r="ENW1" s="176" t="s">
        <v>196</v>
      </c>
      <c r="ENX1" s="176" t="s">
        <v>196</v>
      </c>
      <c r="ENY1" s="176" t="s">
        <v>196</v>
      </c>
      <c r="ENZ1" s="176" t="s">
        <v>196</v>
      </c>
      <c r="EOA1" s="176" t="s">
        <v>196</v>
      </c>
      <c r="EOB1" s="176" t="s">
        <v>196</v>
      </c>
      <c r="EOC1" s="176" t="s">
        <v>196</v>
      </c>
      <c r="EOD1" s="176" t="s">
        <v>196</v>
      </c>
      <c r="EOE1" s="176" t="s">
        <v>196</v>
      </c>
      <c r="EOF1" s="176" t="s">
        <v>196</v>
      </c>
      <c r="EOG1" s="176" t="s">
        <v>196</v>
      </c>
      <c r="EOH1" s="176" t="s">
        <v>196</v>
      </c>
      <c r="EOI1" s="176" t="s">
        <v>196</v>
      </c>
      <c r="EOJ1" s="176" t="s">
        <v>196</v>
      </c>
      <c r="EOK1" s="176" t="s">
        <v>196</v>
      </c>
      <c r="EOL1" s="176" t="s">
        <v>196</v>
      </c>
      <c r="EOM1" s="176" t="s">
        <v>196</v>
      </c>
      <c r="EON1" s="176" t="s">
        <v>196</v>
      </c>
      <c r="EOO1" s="176" t="s">
        <v>196</v>
      </c>
      <c r="EOP1" s="176" t="s">
        <v>196</v>
      </c>
      <c r="EOQ1" s="176" t="s">
        <v>196</v>
      </c>
      <c r="EOR1" s="176" t="s">
        <v>196</v>
      </c>
      <c r="EOS1" s="176" t="s">
        <v>196</v>
      </c>
      <c r="EOT1" s="176" t="s">
        <v>196</v>
      </c>
      <c r="EOU1" s="176" t="s">
        <v>196</v>
      </c>
      <c r="EOV1" s="176" t="s">
        <v>196</v>
      </c>
      <c r="EOW1" s="176" t="s">
        <v>196</v>
      </c>
      <c r="EOX1" s="176" t="s">
        <v>196</v>
      </c>
      <c r="EOY1" s="176" t="s">
        <v>196</v>
      </c>
      <c r="EOZ1" s="176" t="s">
        <v>196</v>
      </c>
      <c r="EPA1" s="176" t="s">
        <v>196</v>
      </c>
      <c r="EPB1" s="176" t="s">
        <v>196</v>
      </c>
      <c r="EPC1" s="176" t="s">
        <v>196</v>
      </c>
      <c r="EPD1" s="176" t="s">
        <v>196</v>
      </c>
      <c r="EPE1" s="176" t="s">
        <v>196</v>
      </c>
      <c r="EPF1" s="176" t="s">
        <v>196</v>
      </c>
      <c r="EPG1" s="176" t="s">
        <v>196</v>
      </c>
      <c r="EPH1" s="176" t="s">
        <v>196</v>
      </c>
      <c r="EPI1" s="176" t="s">
        <v>196</v>
      </c>
      <c r="EPJ1" s="176" t="s">
        <v>196</v>
      </c>
      <c r="EPK1" s="176" t="s">
        <v>196</v>
      </c>
      <c r="EPL1" s="176" t="s">
        <v>196</v>
      </c>
      <c r="EPM1" s="176" t="s">
        <v>196</v>
      </c>
      <c r="EPN1" s="176" t="s">
        <v>196</v>
      </c>
      <c r="EPO1" s="176" t="s">
        <v>196</v>
      </c>
      <c r="EPP1" s="176" t="s">
        <v>196</v>
      </c>
      <c r="EPQ1" s="176" t="s">
        <v>196</v>
      </c>
      <c r="EPR1" s="176" t="s">
        <v>196</v>
      </c>
      <c r="EPS1" s="176" t="s">
        <v>196</v>
      </c>
      <c r="EPT1" s="176" t="s">
        <v>196</v>
      </c>
      <c r="EPU1" s="176" t="s">
        <v>196</v>
      </c>
      <c r="EPV1" s="176" t="s">
        <v>196</v>
      </c>
      <c r="EPW1" s="176" t="s">
        <v>196</v>
      </c>
      <c r="EPX1" s="176" t="s">
        <v>196</v>
      </c>
      <c r="EPY1" s="176" t="s">
        <v>196</v>
      </c>
      <c r="EPZ1" s="176" t="s">
        <v>196</v>
      </c>
      <c r="EQA1" s="176" t="s">
        <v>196</v>
      </c>
      <c r="EQB1" s="176" t="s">
        <v>196</v>
      </c>
      <c r="EQC1" s="176" t="s">
        <v>196</v>
      </c>
      <c r="EQD1" s="176" t="s">
        <v>196</v>
      </c>
      <c r="EQE1" s="176" t="s">
        <v>196</v>
      </c>
      <c r="EQF1" s="176" t="s">
        <v>196</v>
      </c>
      <c r="EQG1" s="176" t="s">
        <v>196</v>
      </c>
      <c r="EQH1" s="176" t="s">
        <v>196</v>
      </c>
      <c r="EQI1" s="176" t="s">
        <v>196</v>
      </c>
      <c r="EQJ1" s="176" t="s">
        <v>196</v>
      </c>
      <c r="EQK1" s="176" t="s">
        <v>196</v>
      </c>
      <c r="EQL1" s="176" t="s">
        <v>196</v>
      </c>
      <c r="EQM1" s="176" t="s">
        <v>196</v>
      </c>
      <c r="EQN1" s="176" t="s">
        <v>196</v>
      </c>
      <c r="EQO1" s="176" t="s">
        <v>196</v>
      </c>
      <c r="EQP1" s="176" t="s">
        <v>196</v>
      </c>
      <c r="EQQ1" s="176" t="s">
        <v>196</v>
      </c>
      <c r="EQR1" s="176" t="s">
        <v>196</v>
      </c>
      <c r="EQS1" s="176" t="s">
        <v>196</v>
      </c>
      <c r="EQT1" s="176" t="s">
        <v>196</v>
      </c>
      <c r="EQU1" s="176" t="s">
        <v>196</v>
      </c>
      <c r="EQV1" s="176" t="s">
        <v>196</v>
      </c>
      <c r="EQW1" s="176" t="s">
        <v>196</v>
      </c>
      <c r="EQX1" s="176" t="s">
        <v>196</v>
      </c>
      <c r="EQY1" s="176" t="s">
        <v>196</v>
      </c>
      <c r="EQZ1" s="176" t="s">
        <v>196</v>
      </c>
      <c r="ERA1" s="176" t="s">
        <v>196</v>
      </c>
      <c r="ERB1" s="176" t="s">
        <v>196</v>
      </c>
      <c r="ERC1" s="176" t="s">
        <v>196</v>
      </c>
      <c r="ERD1" s="176" t="s">
        <v>196</v>
      </c>
      <c r="ERE1" s="176" t="s">
        <v>196</v>
      </c>
      <c r="ERF1" s="176" t="s">
        <v>196</v>
      </c>
      <c r="ERG1" s="176" t="s">
        <v>196</v>
      </c>
      <c r="ERH1" s="176" t="s">
        <v>196</v>
      </c>
      <c r="ERI1" s="176" t="s">
        <v>196</v>
      </c>
      <c r="ERJ1" s="176" t="s">
        <v>196</v>
      </c>
      <c r="ERK1" s="176" t="s">
        <v>196</v>
      </c>
      <c r="ERL1" s="176" t="s">
        <v>196</v>
      </c>
      <c r="ERM1" s="176" t="s">
        <v>196</v>
      </c>
      <c r="ERN1" s="176" t="s">
        <v>196</v>
      </c>
      <c r="ERO1" s="176" t="s">
        <v>196</v>
      </c>
      <c r="ERP1" s="176" t="s">
        <v>196</v>
      </c>
      <c r="ERQ1" s="176" t="s">
        <v>196</v>
      </c>
      <c r="ERR1" s="176" t="s">
        <v>196</v>
      </c>
      <c r="ERS1" s="176" t="s">
        <v>196</v>
      </c>
      <c r="ERT1" s="176" t="s">
        <v>196</v>
      </c>
      <c r="ERU1" s="176" t="s">
        <v>196</v>
      </c>
      <c r="ERV1" s="176" t="s">
        <v>196</v>
      </c>
      <c r="ERW1" s="176" t="s">
        <v>196</v>
      </c>
      <c r="ERX1" s="176" t="s">
        <v>196</v>
      </c>
      <c r="ERY1" s="176" t="s">
        <v>196</v>
      </c>
      <c r="ERZ1" s="176" t="s">
        <v>196</v>
      </c>
      <c r="ESA1" s="176" t="s">
        <v>196</v>
      </c>
      <c r="ESB1" s="176" t="s">
        <v>196</v>
      </c>
      <c r="ESC1" s="176" t="s">
        <v>196</v>
      </c>
      <c r="ESD1" s="176" t="s">
        <v>196</v>
      </c>
      <c r="ESE1" s="176" t="s">
        <v>196</v>
      </c>
      <c r="ESF1" s="176" t="s">
        <v>196</v>
      </c>
      <c r="ESG1" s="176" t="s">
        <v>196</v>
      </c>
      <c r="ESH1" s="176" t="s">
        <v>196</v>
      </c>
      <c r="ESI1" s="176" t="s">
        <v>196</v>
      </c>
      <c r="ESJ1" s="176" t="s">
        <v>196</v>
      </c>
      <c r="ESK1" s="176" t="s">
        <v>196</v>
      </c>
      <c r="ESL1" s="176" t="s">
        <v>196</v>
      </c>
      <c r="ESM1" s="176" t="s">
        <v>196</v>
      </c>
      <c r="ESN1" s="176" t="s">
        <v>196</v>
      </c>
      <c r="ESO1" s="176" t="s">
        <v>196</v>
      </c>
      <c r="ESP1" s="176" t="s">
        <v>196</v>
      </c>
      <c r="ESQ1" s="176" t="s">
        <v>196</v>
      </c>
      <c r="ESR1" s="176" t="s">
        <v>196</v>
      </c>
      <c r="ESS1" s="176" t="s">
        <v>196</v>
      </c>
      <c r="EST1" s="176" t="s">
        <v>196</v>
      </c>
      <c r="ESU1" s="176" t="s">
        <v>196</v>
      </c>
      <c r="ESV1" s="176" t="s">
        <v>196</v>
      </c>
      <c r="ESW1" s="176" t="s">
        <v>196</v>
      </c>
      <c r="ESX1" s="176" t="s">
        <v>196</v>
      </c>
      <c r="ESY1" s="176" t="s">
        <v>196</v>
      </c>
      <c r="ESZ1" s="176" t="s">
        <v>196</v>
      </c>
      <c r="ETA1" s="176" t="s">
        <v>196</v>
      </c>
      <c r="ETB1" s="176" t="s">
        <v>196</v>
      </c>
      <c r="ETC1" s="176" t="s">
        <v>196</v>
      </c>
      <c r="ETD1" s="176" t="s">
        <v>196</v>
      </c>
      <c r="ETE1" s="176" t="s">
        <v>196</v>
      </c>
      <c r="ETF1" s="176" t="s">
        <v>196</v>
      </c>
      <c r="ETG1" s="176" t="s">
        <v>196</v>
      </c>
      <c r="ETH1" s="176" t="s">
        <v>196</v>
      </c>
      <c r="ETI1" s="176" t="s">
        <v>196</v>
      </c>
      <c r="ETJ1" s="176" t="s">
        <v>196</v>
      </c>
      <c r="ETK1" s="176" t="s">
        <v>196</v>
      </c>
      <c r="ETL1" s="176" t="s">
        <v>196</v>
      </c>
      <c r="ETM1" s="176" t="s">
        <v>196</v>
      </c>
      <c r="ETN1" s="176" t="s">
        <v>196</v>
      </c>
      <c r="ETO1" s="176" t="s">
        <v>196</v>
      </c>
      <c r="ETP1" s="176" t="s">
        <v>196</v>
      </c>
      <c r="ETQ1" s="176" t="s">
        <v>196</v>
      </c>
      <c r="ETR1" s="176" t="s">
        <v>196</v>
      </c>
      <c r="ETS1" s="176" t="s">
        <v>196</v>
      </c>
      <c r="ETT1" s="176" t="s">
        <v>196</v>
      </c>
      <c r="ETU1" s="176" t="s">
        <v>196</v>
      </c>
      <c r="ETV1" s="176" t="s">
        <v>196</v>
      </c>
      <c r="ETW1" s="176" t="s">
        <v>196</v>
      </c>
      <c r="ETX1" s="176" t="s">
        <v>196</v>
      </c>
      <c r="ETY1" s="176" t="s">
        <v>196</v>
      </c>
      <c r="ETZ1" s="176" t="s">
        <v>196</v>
      </c>
      <c r="EUA1" s="176" t="s">
        <v>196</v>
      </c>
      <c r="EUB1" s="176" t="s">
        <v>196</v>
      </c>
      <c r="EUC1" s="176" t="s">
        <v>196</v>
      </c>
      <c r="EUD1" s="176" t="s">
        <v>196</v>
      </c>
      <c r="EUE1" s="176" t="s">
        <v>196</v>
      </c>
      <c r="EUF1" s="176" t="s">
        <v>196</v>
      </c>
      <c r="EUG1" s="176" t="s">
        <v>196</v>
      </c>
      <c r="EUH1" s="176" t="s">
        <v>196</v>
      </c>
      <c r="EUI1" s="176" t="s">
        <v>196</v>
      </c>
      <c r="EUJ1" s="176" t="s">
        <v>196</v>
      </c>
      <c r="EUK1" s="176" t="s">
        <v>196</v>
      </c>
      <c r="EUL1" s="176" t="s">
        <v>196</v>
      </c>
      <c r="EUM1" s="176" t="s">
        <v>196</v>
      </c>
      <c r="EUN1" s="176" t="s">
        <v>196</v>
      </c>
      <c r="EUO1" s="176" t="s">
        <v>196</v>
      </c>
      <c r="EUP1" s="176" t="s">
        <v>196</v>
      </c>
      <c r="EUQ1" s="176" t="s">
        <v>196</v>
      </c>
      <c r="EUR1" s="176" t="s">
        <v>196</v>
      </c>
      <c r="EUS1" s="176" t="s">
        <v>196</v>
      </c>
      <c r="EUT1" s="176" t="s">
        <v>196</v>
      </c>
      <c r="EUU1" s="176" t="s">
        <v>196</v>
      </c>
      <c r="EUV1" s="176" t="s">
        <v>196</v>
      </c>
      <c r="EUW1" s="176" t="s">
        <v>196</v>
      </c>
      <c r="EUX1" s="176" t="s">
        <v>196</v>
      </c>
      <c r="EUY1" s="176" t="s">
        <v>196</v>
      </c>
      <c r="EUZ1" s="176" t="s">
        <v>196</v>
      </c>
      <c r="EVA1" s="176" t="s">
        <v>196</v>
      </c>
      <c r="EVB1" s="176" t="s">
        <v>196</v>
      </c>
      <c r="EVC1" s="176" t="s">
        <v>196</v>
      </c>
      <c r="EVD1" s="176" t="s">
        <v>196</v>
      </c>
      <c r="EVE1" s="176" t="s">
        <v>196</v>
      </c>
      <c r="EVF1" s="176" t="s">
        <v>196</v>
      </c>
      <c r="EVG1" s="176" t="s">
        <v>196</v>
      </c>
      <c r="EVH1" s="176" t="s">
        <v>196</v>
      </c>
      <c r="EVI1" s="176" t="s">
        <v>196</v>
      </c>
      <c r="EVJ1" s="176" t="s">
        <v>196</v>
      </c>
      <c r="EVK1" s="176" t="s">
        <v>196</v>
      </c>
      <c r="EVL1" s="176" t="s">
        <v>196</v>
      </c>
      <c r="EVM1" s="176" t="s">
        <v>196</v>
      </c>
      <c r="EVN1" s="176" t="s">
        <v>196</v>
      </c>
      <c r="EVO1" s="176" t="s">
        <v>196</v>
      </c>
      <c r="EVP1" s="176" t="s">
        <v>196</v>
      </c>
      <c r="EVQ1" s="176" t="s">
        <v>196</v>
      </c>
      <c r="EVR1" s="176" t="s">
        <v>196</v>
      </c>
      <c r="EVS1" s="176" t="s">
        <v>196</v>
      </c>
      <c r="EVT1" s="176" t="s">
        <v>196</v>
      </c>
      <c r="EVU1" s="176" t="s">
        <v>196</v>
      </c>
      <c r="EVV1" s="176" t="s">
        <v>196</v>
      </c>
      <c r="EVW1" s="176" t="s">
        <v>196</v>
      </c>
      <c r="EVX1" s="176" t="s">
        <v>196</v>
      </c>
      <c r="EVY1" s="176" t="s">
        <v>196</v>
      </c>
      <c r="EVZ1" s="176" t="s">
        <v>196</v>
      </c>
      <c r="EWA1" s="176" t="s">
        <v>196</v>
      </c>
      <c r="EWB1" s="176" t="s">
        <v>196</v>
      </c>
      <c r="EWC1" s="176" t="s">
        <v>196</v>
      </c>
      <c r="EWD1" s="176" t="s">
        <v>196</v>
      </c>
      <c r="EWE1" s="176" t="s">
        <v>196</v>
      </c>
      <c r="EWF1" s="176" t="s">
        <v>196</v>
      </c>
      <c r="EWG1" s="176" t="s">
        <v>196</v>
      </c>
      <c r="EWH1" s="176" t="s">
        <v>196</v>
      </c>
      <c r="EWI1" s="176" t="s">
        <v>196</v>
      </c>
      <c r="EWJ1" s="176" t="s">
        <v>196</v>
      </c>
      <c r="EWK1" s="176" t="s">
        <v>196</v>
      </c>
      <c r="EWL1" s="176" t="s">
        <v>196</v>
      </c>
      <c r="EWM1" s="176" t="s">
        <v>196</v>
      </c>
      <c r="EWN1" s="176" t="s">
        <v>196</v>
      </c>
      <c r="EWO1" s="176" t="s">
        <v>196</v>
      </c>
      <c r="EWP1" s="176" t="s">
        <v>196</v>
      </c>
      <c r="EWQ1" s="176" t="s">
        <v>196</v>
      </c>
      <c r="EWR1" s="176" t="s">
        <v>196</v>
      </c>
      <c r="EWS1" s="176" t="s">
        <v>196</v>
      </c>
      <c r="EWT1" s="176" t="s">
        <v>196</v>
      </c>
      <c r="EWU1" s="176" t="s">
        <v>196</v>
      </c>
      <c r="EWV1" s="176" t="s">
        <v>196</v>
      </c>
      <c r="EWW1" s="176" t="s">
        <v>196</v>
      </c>
      <c r="EWX1" s="176" t="s">
        <v>196</v>
      </c>
      <c r="EWY1" s="176" t="s">
        <v>196</v>
      </c>
      <c r="EWZ1" s="176" t="s">
        <v>196</v>
      </c>
      <c r="EXA1" s="176" t="s">
        <v>196</v>
      </c>
      <c r="EXB1" s="176" t="s">
        <v>196</v>
      </c>
      <c r="EXC1" s="176" t="s">
        <v>196</v>
      </c>
      <c r="EXD1" s="176" t="s">
        <v>196</v>
      </c>
      <c r="EXE1" s="176" t="s">
        <v>196</v>
      </c>
      <c r="EXF1" s="176" t="s">
        <v>196</v>
      </c>
      <c r="EXG1" s="176" t="s">
        <v>196</v>
      </c>
      <c r="EXH1" s="176" t="s">
        <v>196</v>
      </c>
      <c r="EXI1" s="176" t="s">
        <v>196</v>
      </c>
      <c r="EXJ1" s="176" t="s">
        <v>196</v>
      </c>
      <c r="EXK1" s="176" t="s">
        <v>196</v>
      </c>
      <c r="EXL1" s="176" t="s">
        <v>196</v>
      </c>
      <c r="EXM1" s="176" t="s">
        <v>196</v>
      </c>
      <c r="EXN1" s="176" t="s">
        <v>196</v>
      </c>
      <c r="EXO1" s="176" t="s">
        <v>196</v>
      </c>
      <c r="EXP1" s="176" t="s">
        <v>196</v>
      </c>
      <c r="EXQ1" s="176" t="s">
        <v>196</v>
      </c>
      <c r="EXR1" s="176" t="s">
        <v>196</v>
      </c>
      <c r="EXS1" s="176" t="s">
        <v>196</v>
      </c>
      <c r="EXT1" s="176" t="s">
        <v>196</v>
      </c>
      <c r="EXU1" s="176" t="s">
        <v>196</v>
      </c>
      <c r="EXV1" s="176" t="s">
        <v>196</v>
      </c>
      <c r="EXW1" s="176" t="s">
        <v>196</v>
      </c>
      <c r="EXX1" s="176" t="s">
        <v>196</v>
      </c>
      <c r="EXY1" s="176" t="s">
        <v>196</v>
      </c>
      <c r="EXZ1" s="176" t="s">
        <v>196</v>
      </c>
      <c r="EYA1" s="176" t="s">
        <v>196</v>
      </c>
      <c r="EYB1" s="176" t="s">
        <v>196</v>
      </c>
      <c r="EYC1" s="176" t="s">
        <v>196</v>
      </c>
      <c r="EYD1" s="176" t="s">
        <v>196</v>
      </c>
      <c r="EYE1" s="176" t="s">
        <v>196</v>
      </c>
      <c r="EYF1" s="176" t="s">
        <v>196</v>
      </c>
      <c r="EYG1" s="176" t="s">
        <v>196</v>
      </c>
      <c r="EYH1" s="176" t="s">
        <v>196</v>
      </c>
      <c r="EYI1" s="176" t="s">
        <v>196</v>
      </c>
      <c r="EYJ1" s="176" t="s">
        <v>196</v>
      </c>
      <c r="EYK1" s="176" t="s">
        <v>196</v>
      </c>
      <c r="EYL1" s="176" t="s">
        <v>196</v>
      </c>
      <c r="EYM1" s="176" t="s">
        <v>196</v>
      </c>
      <c r="EYN1" s="176" t="s">
        <v>196</v>
      </c>
      <c r="EYO1" s="176" t="s">
        <v>196</v>
      </c>
      <c r="EYP1" s="176" t="s">
        <v>196</v>
      </c>
      <c r="EYQ1" s="176" t="s">
        <v>196</v>
      </c>
      <c r="EYR1" s="176" t="s">
        <v>196</v>
      </c>
      <c r="EYS1" s="176" t="s">
        <v>196</v>
      </c>
      <c r="EYT1" s="176" t="s">
        <v>196</v>
      </c>
      <c r="EYU1" s="176" t="s">
        <v>196</v>
      </c>
      <c r="EYV1" s="176" t="s">
        <v>196</v>
      </c>
      <c r="EYW1" s="176" t="s">
        <v>196</v>
      </c>
      <c r="EYX1" s="176" t="s">
        <v>196</v>
      </c>
      <c r="EYY1" s="176" t="s">
        <v>196</v>
      </c>
      <c r="EYZ1" s="176" t="s">
        <v>196</v>
      </c>
      <c r="EZA1" s="176" t="s">
        <v>196</v>
      </c>
      <c r="EZB1" s="176" t="s">
        <v>196</v>
      </c>
      <c r="EZC1" s="176" t="s">
        <v>196</v>
      </c>
      <c r="EZD1" s="176" t="s">
        <v>196</v>
      </c>
      <c r="EZE1" s="176" t="s">
        <v>196</v>
      </c>
      <c r="EZF1" s="176" t="s">
        <v>196</v>
      </c>
      <c r="EZG1" s="176" t="s">
        <v>196</v>
      </c>
      <c r="EZH1" s="176" t="s">
        <v>196</v>
      </c>
      <c r="EZI1" s="176" t="s">
        <v>196</v>
      </c>
      <c r="EZJ1" s="176" t="s">
        <v>196</v>
      </c>
      <c r="EZK1" s="176" t="s">
        <v>196</v>
      </c>
      <c r="EZL1" s="176" t="s">
        <v>196</v>
      </c>
      <c r="EZM1" s="176" t="s">
        <v>196</v>
      </c>
      <c r="EZN1" s="176" t="s">
        <v>196</v>
      </c>
      <c r="EZO1" s="176" t="s">
        <v>196</v>
      </c>
      <c r="EZP1" s="176" t="s">
        <v>196</v>
      </c>
      <c r="EZQ1" s="176" t="s">
        <v>196</v>
      </c>
      <c r="EZR1" s="176" t="s">
        <v>196</v>
      </c>
      <c r="EZS1" s="176" t="s">
        <v>196</v>
      </c>
      <c r="EZT1" s="176" t="s">
        <v>196</v>
      </c>
      <c r="EZU1" s="176" t="s">
        <v>196</v>
      </c>
      <c r="EZV1" s="176" t="s">
        <v>196</v>
      </c>
      <c r="EZW1" s="176" t="s">
        <v>196</v>
      </c>
      <c r="EZX1" s="176" t="s">
        <v>196</v>
      </c>
      <c r="EZY1" s="176" t="s">
        <v>196</v>
      </c>
      <c r="EZZ1" s="176" t="s">
        <v>196</v>
      </c>
      <c r="FAA1" s="176" t="s">
        <v>196</v>
      </c>
      <c r="FAB1" s="176" t="s">
        <v>196</v>
      </c>
      <c r="FAC1" s="176" t="s">
        <v>196</v>
      </c>
      <c r="FAD1" s="176" t="s">
        <v>196</v>
      </c>
      <c r="FAE1" s="176" t="s">
        <v>196</v>
      </c>
      <c r="FAF1" s="176" t="s">
        <v>196</v>
      </c>
      <c r="FAG1" s="176" t="s">
        <v>196</v>
      </c>
      <c r="FAH1" s="176" t="s">
        <v>196</v>
      </c>
      <c r="FAI1" s="176" t="s">
        <v>196</v>
      </c>
      <c r="FAJ1" s="176" t="s">
        <v>196</v>
      </c>
      <c r="FAK1" s="176" t="s">
        <v>196</v>
      </c>
      <c r="FAL1" s="176" t="s">
        <v>196</v>
      </c>
      <c r="FAM1" s="176" t="s">
        <v>196</v>
      </c>
      <c r="FAN1" s="176" t="s">
        <v>196</v>
      </c>
      <c r="FAO1" s="176" t="s">
        <v>196</v>
      </c>
      <c r="FAP1" s="176" t="s">
        <v>196</v>
      </c>
      <c r="FAQ1" s="176" t="s">
        <v>196</v>
      </c>
      <c r="FAR1" s="176" t="s">
        <v>196</v>
      </c>
      <c r="FAS1" s="176" t="s">
        <v>196</v>
      </c>
      <c r="FAT1" s="176" t="s">
        <v>196</v>
      </c>
      <c r="FAU1" s="176" t="s">
        <v>196</v>
      </c>
      <c r="FAV1" s="176" t="s">
        <v>196</v>
      </c>
      <c r="FAW1" s="176" t="s">
        <v>196</v>
      </c>
      <c r="FAX1" s="176" t="s">
        <v>196</v>
      </c>
      <c r="FAY1" s="176" t="s">
        <v>196</v>
      </c>
      <c r="FAZ1" s="176" t="s">
        <v>196</v>
      </c>
      <c r="FBA1" s="176" t="s">
        <v>196</v>
      </c>
      <c r="FBB1" s="176" t="s">
        <v>196</v>
      </c>
      <c r="FBC1" s="176" t="s">
        <v>196</v>
      </c>
      <c r="FBD1" s="176" t="s">
        <v>196</v>
      </c>
      <c r="FBE1" s="176" t="s">
        <v>196</v>
      </c>
      <c r="FBF1" s="176" t="s">
        <v>196</v>
      </c>
      <c r="FBG1" s="176" t="s">
        <v>196</v>
      </c>
      <c r="FBH1" s="176" t="s">
        <v>196</v>
      </c>
      <c r="FBI1" s="176" t="s">
        <v>196</v>
      </c>
      <c r="FBJ1" s="176" t="s">
        <v>196</v>
      </c>
      <c r="FBK1" s="176" t="s">
        <v>196</v>
      </c>
      <c r="FBL1" s="176" t="s">
        <v>196</v>
      </c>
      <c r="FBM1" s="176" t="s">
        <v>196</v>
      </c>
      <c r="FBN1" s="176" t="s">
        <v>196</v>
      </c>
      <c r="FBO1" s="176" t="s">
        <v>196</v>
      </c>
      <c r="FBP1" s="176" t="s">
        <v>196</v>
      </c>
      <c r="FBQ1" s="176" t="s">
        <v>196</v>
      </c>
      <c r="FBR1" s="176" t="s">
        <v>196</v>
      </c>
      <c r="FBS1" s="176" t="s">
        <v>196</v>
      </c>
      <c r="FBT1" s="176" t="s">
        <v>196</v>
      </c>
      <c r="FBU1" s="176" t="s">
        <v>196</v>
      </c>
      <c r="FBV1" s="176" t="s">
        <v>196</v>
      </c>
      <c r="FBW1" s="176" t="s">
        <v>196</v>
      </c>
      <c r="FBX1" s="176" t="s">
        <v>196</v>
      </c>
      <c r="FBY1" s="176" t="s">
        <v>196</v>
      </c>
      <c r="FBZ1" s="176" t="s">
        <v>196</v>
      </c>
      <c r="FCA1" s="176" t="s">
        <v>196</v>
      </c>
      <c r="FCB1" s="176" t="s">
        <v>196</v>
      </c>
      <c r="FCC1" s="176" t="s">
        <v>196</v>
      </c>
      <c r="FCD1" s="176" t="s">
        <v>196</v>
      </c>
      <c r="FCE1" s="176" t="s">
        <v>196</v>
      </c>
      <c r="FCF1" s="176" t="s">
        <v>196</v>
      </c>
      <c r="FCG1" s="176" t="s">
        <v>196</v>
      </c>
      <c r="FCH1" s="176" t="s">
        <v>196</v>
      </c>
      <c r="FCI1" s="176" t="s">
        <v>196</v>
      </c>
      <c r="FCJ1" s="176" t="s">
        <v>196</v>
      </c>
      <c r="FCK1" s="176" t="s">
        <v>196</v>
      </c>
      <c r="FCL1" s="176" t="s">
        <v>196</v>
      </c>
      <c r="FCM1" s="176" t="s">
        <v>196</v>
      </c>
      <c r="FCN1" s="176" t="s">
        <v>196</v>
      </c>
      <c r="FCO1" s="176" t="s">
        <v>196</v>
      </c>
      <c r="FCP1" s="176" t="s">
        <v>196</v>
      </c>
      <c r="FCQ1" s="176" t="s">
        <v>196</v>
      </c>
      <c r="FCR1" s="176" t="s">
        <v>196</v>
      </c>
      <c r="FCS1" s="176" t="s">
        <v>196</v>
      </c>
      <c r="FCT1" s="176" t="s">
        <v>196</v>
      </c>
      <c r="FCU1" s="176" t="s">
        <v>196</v>
      </c>
      <c r="FCV1" s="176" t="s">
        <v>196</v>
      </c>
      <c r="FCW1" s="176" t="s">
        <v>196</v>
      </c>
      <c r="FCX1" s="176" t="s">
        <v>196</v>
      </c>
      <c r="FCY1" s="176" t="s">
        <v>196</v>
      </c>
      <c r="FCZ1" s="176" t="s">
        <v>196</v>
      </c>
      <c r="FDA1" s="176" t="s">
        <v>196</v>
      </c>
      <c r="FDB1" s="176" t="s">
        <v>196</v>
      </c>
      <c r="FDC1" s="176" t="s">
        <v>196</v>
      </c>
      <c r="FDD1" s="176" t="s">
        <v>196</v>
      </c>
      <c r="FDE1" s="176" t="s">
        <v>196</v>
      </c>
      <c r="FDF1" s="176" t="s">
        <v>196</v>
      </c>
      <c r="FDG1" s="176" t="s">
        <v>196</v>
      </c>
      <c r="FDH1" s="176" t="s">
        <v>196</v>
      </c>
      <c r="FDI1" s="176" t="s">
        <v>196</v>
      </c>
      <c r="FDJ1" s="176" t="s">
        <v>196</v>
      </c>
      <c r="FDK1" s="176" t="s">
        <v>196</v>
      </c>
      <c r="FDL1" s="176" t="s">
        <v>196</v>
      </c>
      <c r="FDM1" s="176" t="s">
        <v>196</v>
      </c>
      <c r="FDN1" s="176" t="s">
        <v>196</v>
      </c>
      <c r="FDO1" s="176" t="s">
        <v>196</v>
      </c>
      <c r="FDP1" s="176" t="s">
        <v>196</v>
      </c>
      <c r="FDQ1" s="176" t="s">
        <v>196</v>
      </c>
      <c r="FDR1" s="176" t="s">
        <v>196</v>
      </c>
      <c r="FDS1" s="176" t="s">
        <v>196</v>
      </c>
      <c r="FDT1" s="176" t="s">
        <v>196</v>
      </c>
      <c r="FDU1" s="176" t="s">
        <v>196</v>
      </c>
      <c r="FDV1" s="176" t="s">
        <v>196</v>
      </c>
      <c r="FDW1" s="176" t="s">
        <v>196</v>
      </c>
      <c r="FDX1" s="176" t="s">
        <v>196</v>
      </c>
      <c r="FDY1" s="176" t="s">
        <v>196</v>
      </c>
      <c r="FDZ1" s="176" t="s">
        <v>196</v>
      </c>
      <c r="FEA1" s="176" t="s">
        <v>196</v>
      </c>
      <c r="FEB1" s="176" t="s">
        <v>196</v>
      </c>
      <c r="FEC1" s="176" t="s">
        <v>196</v>
      </c>
      <c r="FED1" s="176" t="s">
        <v>196</v>
      </c>
      <c r="FEE1" s="176" t="s">
        <v>196</v>
      </c>
      <c r="FEF1" s="176" t="s">
        <v>196</v>
      </c>
      <c r="FEG1" s="176" t="s">
        <v>196</v>
      </c>
      <c r="FEH1" s="176" t="s">
        <v>196</v>
      </c>
      <c r="FEI1" s="176" t="s">
        <v>196</v>
      </c>
      <c r="FEJ1" s="176" t="s">
        <v>196</v>
      </c>
      <c r="FEK1" s="176" t="s">
        <v>196</v>
      </c>
      <c r="FEL1" s="176" t="s">
        <v>196</v>
      </c>
      <c r="FEM1" s="176" t="s">
        <v>196</v>
      </c>
      <c r="FEN1" s="176" t="s">
        <v>196</v>
      </c>
      <c r="FEO1" s="176" t="s">
        <v>196</v>
      </c>
      <c r="FEP1" s="176" t="s">
        <v>196</v>
      </c>
      <c r="FEQ1" s="176" t="s">
        <v>196</v>
      </c>
      <c r="FER1" s="176" t="s">
        <v>196</v>
      </c>
      <c r="FES1" s="176" t="s">
        <v>196</v>
      </c>
      <c r="FET1" s="176" t="s">
        <v>196</v>
      </c>
      <c r="FEU1" s="176" t="s">
        <v>196</v>
      </c>
      <c r="FEV1" s="176" t="s">
        <v>196</v>
      </c>
      <c r="FEW1" s="176" t="s">
        <v>196</v>
      </c>
      <c r="FEX1" s="176" t="s">
        <v>196</v>
      </c>
      <c r="FEY1" s="176" t="s">
        <v>196</v>
      </c>
      <c r="FEZ1" s="176" t="s">
        <v>196</v>
      </c>
      <c r="FFA1" s="176" t="s">
        <v>196</v>
      </c>
      <c r="FFB1" s="176" t="s">
        <v>196</v>
      </c>
      <c r="FFC1" s="176" t="s">
        <v>196</v>
      </c>
      <c r="FFD1" s="176" t="s">
        <v>196</v>
      </c>
      <c r="FFE1" s="176" t="s">
        <v>196</v>
      </c>
      <c r="FFF1" s="176" t="s">
        <v>196</v>
      </c>
      <c r="FFG1" s="176" t="s">
        <v>196</v>
      </c>
      <c r="FFH1" s="176" t="s">
        <v>196</v>
      </c>
      <c r="FFI1" s="176" t="s">
        <v>196</v>
      </c>
      <c r="FFJ1" s="176" t="s">
        <v>196</v>
      </c>
      <c r="FFK1" s="176" t="s">
        <v>196</v>
      </c>
      <c r="FFL1" s="176" t="s">
        <v>196</v>
      </c>
      <c r="FFM1" s="176" t="s">
        <v>196</v>
      </c>
      <c r="FFN1" s="176" t="s">
        <v>196</v>
      </c>
      <c r="FFO1" s="176" t="s">
        <v>196</v>
      </c>
      <c r="FFP1" s="176" t="s">
        <v>196</v>
      </c>
      <c r="FFQ1" s="176" t="s">
        <v>196</v>
      </c>
      <c r="FFR1" s="176" t="s">
        <v>196</v>
      </c>
      <c r="FFS1" s="176" t="s">
        <v>196</v>
      </c>
      <c r="FFT1" s="176" t="s">
        <v>196</v>
      </c>
      <c r="FFU1" s="176" t="s">
        <v>196</v>
      </c>
      <c r="FFV1" s="176" t="s">
        <v>196</v>
      </c>
      <c r="FFW1" s="176" t="s">
        <v>196</v>
      </c>
      <c r="FFX1" s="176" t="s">
        <v>196</v>
      </c>
      <c r="FFY1" s="176" t="s">
        <v>196</v>
      </c>
      <c r="FFZ1" s="176" t="s">
        <v>196</v>
      </c>
      <c r="FGA1" s="176" t="s">
        <v>196</v>
      </c>
      <c r="FGB1" s="176" t="s">
        <v>196</v>
      </c>
      <c r="FGC1" s="176" t="s">
        <v>196</v>
      </c>
      <c r="FGD1" s="176" t="s">
        <v>196</v>
      </c>
      <c r="FGE1" s="176" t="s">
        <v>196</v>
      </c>
      <c r="FGF1" s="176" t="s">
        <v>196</v>
      </c>
      <c r="FGG1" s="176" t="s">
        <v>196</v>
      </c>
      <c r="FGH1" s="176" t="s">
        <v>196</v>
      </c>
      <c r="FGI1" s="176" t="s">
        <v>196</v>
      </c>
      <c r="FGJ1" s="176" t="s">
        <v>196</v>
      </c>
      <c r="FGK1" s="176" t="s">
        <v>196</v>
      </c>
      <c r="FGL1" s="176" t="s">
        <v>196</v>
      </c>
      <c r="FGM1" s="176" t="s">
        <v>196</v>
      </c>
      <c r="FGN1" s="176" t="s">
        <v>196</v>
      </c>
      <c r="FGO1" s="176" t="s">
        <v>196</v>
      </c>
      <c r="FGP1" s="176" t="s">
        <v>196</v>
      </c>
      <c r="FGQ1" s="176" t="s">
        <v>196</v>
      </c>
      <c r="FGR1" s="176" t="s">
        <v>196</v>
      </c>
      <c r="FGS1" s="176" t="s">
        <v>196</v>
      </c>
      <c r="FGT1" s="176" t="s">
        <v>196</v>
      </c>
      <c r="FGU1" s="176" t="s">
        <v>196</v>
      </c>
      <c r="FGV1" s="176" t="s">
        <v>196</v>
      </c>
      <c r="FGW1" s="176" t="s">
        <v>196</v>
      </c>
      <c r="FGX1" s="176" t="s">
        <v>196</v>
      </c>
      <c r="FGY1" s="176" t="s">
        <v>196</v>
      </c>
      <c r="FGZ1" s="176" t="s">
        <v>196</v>
      </c>
      <c r="FHA1" s="176" t="s">
        <v>196</v>
      </c>
      <c r="FHB1" s="176" t="s">
        <v>196</v>
      </c>
      <c r="FHC1" s="176" t="s">
        <v>196</v>
      </c>
      <c r="FHD1" s="176" t="s">
        <v>196</v>
      </c>
      <c r="FHE1" s="176" t="s">
        <v>196</v>
      </c>
      <c r="FHF1" s="176" t="s">
        <v>196</v>
      </c>
      <c r="FHG1" s="176" t="s">
        <v>196</v>
      </c>
      <c r="FHH1" s="176" t="s">
        <v>196</v>
      </c>
      <c r="FHI1" s="176" t="s">
        <v>196</v>
      </c>
      <c r="FHJ1" s="176" t="s">
        <v>196</v>
      </c>
      <c r="FHK1" s="176" t="s">
        <v>196</v>
      </c>
      <c r="FHL1" s="176" t="s">
        <v>196</v>
      </c>
      <c r="FHM1" s="176" t="s">
        <v>196</v>
      </c>
      <c r="FHN1" s="176" t="s">
        <v>196</v>
      </c>
      <c r="FHO1" s="176" t="s">
        <v>196</v>
      </c>
      <c r="FHP1" s="176" t="s">
        <v>196</v>
      </c>
      <c r="FHQ1" s="176" t="s">
        <v>196</v>
      </c>
      <c r="FHR1" s="176" t="s">
        <v>196</v>
      </c>
      <c r="FHS1" s="176" t="s">
        <v>196</v>
      </c>
      <c r="FHT1" s="176" t="s">
        <v>196</v>
      </c>
      <c r="FHU1" s="176" t="s">
        <v>196</v>
      </c>
      <c r="FHV1" s="176" t="s">
        <v>196</v>
      </c>
      <c r="FHW1" s="176" t="s">
        <v>196</v>
      </c>
      <c r="FHX1" s="176" t="s">
        <v>196</v>
      </c>
      <c r="FHY1" s="176" t="s">
        <v>196</v>
      </c>
      <c r="FHZ1" s="176" t="s">
        <v>196</v>
      </c>
      <c r="FIA1" s="176" t="s">
        <v>196</v>
      </c>
      <c r="FIB1" s="176" t="s">
        <v>196</v>
      </c>
      <c r="FIC1" s="176" t="s">
        <v>196</v>
      </c>
      <c r="FID1" s="176" t="s">
        <v>196</v>
      </c>
      <c r="FIE1" s="176" t="s">
        <v>196</v>
      </c>
      <c r="FIF1" s="176" t="s">
        <v>196</v>
      </c>
      <c r="FIG1" s="176" t="s">
        <v>196</v>
      </c>
      <c r="FIH1" s="176" t="s">
        <v>196</v>
      </c>
      <c r="FII1" s="176" t="s">
        <v>196</v>
      </c>
      <c r="FIJ1" s="176" t="s">
        <v>196</v>
      </c>
      <c r="FIK1" s="176" t="s">
        <v>196</v>
      </c>
      <c r="FIL1" s="176" t="s">
        <v>196</v>
      </c>
      <c r="FIM1" s="176" t="s">
        <v>196</v>
      </c>
      <c r="FIN1" s="176" t="s">
        <v>196</v>
      </c>
      <c r="FIO1" s="176" t="s">
        <v>196</v>
      </c>
      <c r="FIP1" s="176" t="s">
        <v>196</v>
      </c>
      <c r="FIQ1" s="176" t="s">
        <v>196</v>
      </c>
      <c r="FIR1" s="176" t="s">
        <v>196</v>
      </c>
      <c r="FIS1" s="176" t="s">
        <v>196</v>
      </c>
      <c r="FIT1" s="176" t="s">
        <v>196</v>
      </c>
      <c r="FIU1" s="176" t="s">
        <v>196</v>
      </c>
      <c r="FIV1" s="176" t="s">
        <v>196</v>
      </c>
      <c r="FIW1" s="176" t="s">
        <v>196</v>
      </c>
      <c r="FIX1" s="176" t="s">
        <v>196</v>
      </c>
      <c r="FIY1" s="176" t="s">
        <v>196</v>
      </c>
      <c r="FIZ1" s="176" t="s">
        <v>196</v>
      </c>
      <c r="FJA1" s="176" t="s">
        <v>196</v>
      </c>
      <c r="FJB1" s="176" t="s">
        <v>196</v>
      </c>
      <c r="FJC1" s="176" t="s">
        <v>196</v>
      </c>
      <c r="FJD1" s="176" t="s">
        <v>196</v>
      </c>
      <c r="FJE1" s="176" t="s">
        <v>196</v>
      </c>
      <c r="FJF1" s="176" t="s">
        <v>196</v>
      </c>
      <c r="FJG1" s="176" t="s">
        <v>196</v>
      </c>
      <c r="FJH1" s="176" t="s">
        <v>196</v>
      </c>
      <c r="FJI1" s="176" t="s">
        <v>196</v>
      </c>
      <c r="FJJ1" s="176" t="s">
        <v>196</v>
      </c>
      <c r="FJK1" s="176" t="s">
        <v>196</v>
      </c>
      <c r="FJL1" s="176" t="s">
        <v>196</v>
      </c>
      <c r="FJM1" s="176" t="s">
        <v>196</v>
      </c>
      <c r="FJN1" s="176" t="s">
        <v>196</v>
      </c>
      <c r="FJO1" s="176" t="s">
        <v>196</v>
      </c>
      <c r="FJP1" s="176" t="s">
        <v>196</v>
      </c>
      <c r="FJQ1" s="176" t="s">
        <v>196</v>
      </c>
      <c r="FJR1" s="176" t="s">
        <v>196</v>
      </c>
      <c r="FJS1" s="176" t="s">
        <v>196</v>
      </c>
      <c r="FJT1" s="176" t="s">
        <v>196</v>
      </c>
      <c r="FJU1" s="176" t="s">
        <v>196</v>
      </c>
      <c r="FJV1" s="176" t="s">
        <v>196</v>
      </c>
      <c r="FJW1" s="176" t="s">
        <v>196</v>
      </c>
      <c r="FJX1" s="176" t="s">
        <v>196</v>
      </c>
      <c r="FJY1" s="176" t="s">
        <v>196</v>
      </c>
      <c r="FJZ1" s="176" t="s">
        <v>196</v>
      </c>
      <c r="FKA1" s="176" t="s">
        <v>196</v>
      </c>
      <c r="FKB1" s="176" t="s">
        <v>196</v>
      </c>
      <c r="FKC1" s="176" t="s">
        <v>196</v>
      </c>
      <c r="FKD1" s="176" t="s">
        <v>196</v>
      </c>
      <c r="FKE1" s="176" t="s">
        <v>196</v>
      </c>
      <c r="FKF1" s="176" t="s">
        <v>196</v>
      </c>
      <c r="FKG1" s="176" t="s">
        <v>196</v>
      </c>
      <c r="FKH1" s="176" t="s">
        <v>196</v>
      </c>
      <c r="FKI1" s="176" t="s">
        <v>196</v>
      </c>
      <c r="FKJ1" s="176" t="s">
        <v>196</v>
      </c>
      <c r="FKK1" s="176" t="s">
        <v>196</v>
      </c>
      <c r="FKL1" s="176" t="s">
        <v>196</v>
      </c>
      <c r="FKM1" s="176" t="s">
        <v>196</v>
      </c>
      <c r="FKN1" s="176" t="s">
        <v>196</v>
      </c>
      <c r="FKO1" s="176" t="s">
        <v>196</v>
      </c>
      <c r="FKP1" s="176" t="s">
        <v>196</v>
      </c>
      <c r="FKQ1" s="176" t="s">
        <v>196</v>
      </c>
      <c r="FKR1" s="176" t="s">
        <v>196</v>
      </c>
      <c r="FKS1" s="176" t="s">
        <v>196</v>
      </c>
      <c r="FKT1" s="176" t="s">
        <v>196</v>
      </c>
      <c r="FKU1" s="176" t="s">
        <v>196</v>
      </c>
      <c r="FKV1" s="176" t="s">
        <v>196</v>
      </c>
      <c r="FKW1" s="176" t="s">
        <v>196</v>
      </c>
      <c r="FKX1" s="176" t="s">
        <v>196</v>
      </c>
      <c r="FKY1" s="176" t="s">
        <v>196</v>
      </c>
      <c r="FKZ1" s="176" t="s">
        <v>196</v>
      </c>
      <c r="FLA1" s="176" t="s">
        <v>196</v>
      </c>
      <c r="FLB1" s="176" t="s">
        <v>196</v>
      </c>
      <c r="FLC1" s="176" t="s">
        <v>196</v>
      </c>
      <c r="FLD1" s="176" t="s">
        <v>196</v>
      </c>
      <c r="FLE1" s="176" t="s">
        <v>196</v>
      </c>
      <c r="FLF1" s="176" t="s">
        <v>196</v>
      </c>
      <c r="FLG1" s="176" t="s">
        <v>196</v>
      </c>
      <c r="FLH1" s="176" t="s">
        <v>196</v>
      </c>
      <c r="FLI1" s="176" t="s">
        <v>196</v>
      </c>
      <c r="FLJ1" s="176" t="s">
        <v>196</v>
      </c>
      <c r="FLK1" s="176" t="s">
        <v>196</v>
      </c>
      <c r="FLL1" s="176" t="s">
        <v>196</v>
      </c>
      <c r="FLM1" s="176" t="s">
        <v>196</v>
      </c>
      <c r="FLN1" s="176" t="s">
        <v>196</v>
      </c>
      <c r="FLO1" s="176" t="s">
        <v>196</v>
      </c>
      <c r="FLP1" s="176" t="s">
        <v>196</v>
      </c>
      <c r="FLQ1" s="176" t="s">
        <v>196</v>
      </c>
      <c r="FLR1" s="176" t="s">
        <v>196</v>
      </c>
      <c r="FLS1" s="176" t="s">
        <v>196</v>
      </c>
      <c r="FLT1" s="176" t="s">
        <v>196</v>
      </c>
      <c r="FLU1" s="176" t="s">
        <v>196</v>
      </c>
      <c r="FLV1" s="176" t="s">
        <v>196</v>
      </c>
      <c r="FLW1" s="176" t="s">
        <v>196</v>
      </c>
      <c r="FLX1" s="176" t="s">
        <v>196</v>
      </c>
      <c r="FLY1" s="176" t="s">
        <v>196</v>
      </c>
      <c r="FLZ1" s="176" t="s">
        <v>196</v>
      </c>
      <c r="FMA1" s="176" t="s">
        <v>196</v>
      </c>
      <c r="FMB1" s="176" t="s">
        <v>196</v>
      </c>
      <c r="FMC1" s="176" t="s">
        <v>196</v>
      </c>
      <c r="FMD1" s="176" t="s">
        <v>196</v>
      </c>
      <c r="FME1" s="176" t="s">
        <v>196</v>
      </c>
      <c r="FMF1" s="176" t="s">
        <v>196</v>
      </c>
      <c r="FMG1" s="176" t="s">
        <v>196</v>
      </c>
      <c r="FMH1" s="176" t="s">
        <v>196</v>
      </c>
      <c r="FMI1" s="176" t="s">
        <v>196</v>
      </c>
      <c r="FMJ1" s="176" t="s">
        <v>196</v>
      </c>
      <c r="FMK1" s="176" t="s">
        <v>196</v>
      </c>
      <c r="FML1" s="176" t="s">
        <v>196</v>
      </c>
      <c r="FMM1" s="176" t="s">
        <v>196</v>
      </c>
      <c r="FMN1" s="176" t="s">
        <v>196</v>
      </c>
      <c r="FMO1" s="176" t="s">
        <v>196</v>
      </c>
      <c r="FMP1" s="176" t="s">
        <v>196</v>
      </c>
      <c r="FMQ1" s="176" t="s">
        <v>196</v>
      </c>
      <c r="FMR1" s="176" t="s">
        <v>196</v>
      </c>
      <c r="FMS1" s="176" t="s">
        <v>196</v>
      </c>
      <c r="FMT1" s="176" t="s">
        <v>196</v>
      </c>
      <c r="FMU1" s="176" t="s">
        <v>196</v>
      </c>
      <c r="FMV1" s="176" t="s">
        <v>196</v>
      </c>
      <c r="FMW1" s="176" t="s">
        <v>196</v>
      </c>
      <c r="FMX1" s="176" t="s">
        <v>196</v>
      </c>
      <c r="FMY1" s="176" t="s">
        <v>196</v>
      </c>
      <c r="FMZ1" s="176" t="s">
        <v>196</v>
      </c>
      <c r="FNA1" s="176" t="s">
        <v>196</v>
      </c>
      <c r="FNB1" s="176" t="s">
        <v>196</v>
      </c>
      <c r="FNC1" s="176" t="s">
        <v>196</v>
      </c>
      <c r="FND1" s="176" t="s">
        <v>196</v>
      </c>
      <c r="FNE1" s="176" t="s">
        <v>196</v>
      </c>
      <c r="FNF1" s="176" t="s">
        <v>196</v>
      </c>
      <c r="FNG1" s="176" t="s">
        <v>196</v>
      </c>
      <c r="FNH1" s="176" t="s">
        <v>196</v>
      </c>
      <c r="FNI1" s="176" t="s">
        <v>196</v>
      </c>
      <c r="FNJ1" s="176" t="s">
        <v>196</v>
      </c>
      <c r="FNK1" s="176" t="s">
        <v>196</v>
      </c>
      <c r="FNL1" s="176" t="s">
        <v>196</v>
      </c>
      <c r="FNM1" s="176" t="s">
        <v>196</v>
      </c>
      <c r="FNN1" s="176" t="s">
        <v>196</v>
      </c>
      <c r="FNO1" s="176" t="s">
        <v>196</v>
      </c>
      <c r="FNP1" s="176" t="s">
        <v>196</v>
      </c>
      <c r="FNQ1" s="176" t="s">
        <v>196</v>
      </c>
      <c r="FNR1" s="176" t="s">
        <v>196</v>
      </c>
      <c r="FNS1" s="176" t="s">
        <v>196</v>
      </c>
      <c r="FNT1" s="176" t="s">
        <v>196</v>
      </c>
      <c r="FNU1" s="176" t="s">
        <v>196</v>
      </c>
      <c r="FNV1" s="176" t="s">
        <v>196</v>
      </c>
      <c r="FNW1" s="176" t="s">
        <v>196</v>
      </c>
      <c r="FNX1" s="176" t="s">
        <v>196</v>
      </c>
      <c r="FNY1" s="176" t="s">
        <v>196</v>
      </c>
      <c r="FNZ1" s="176" t="s">
        <v>196</v>
      </c>
      <c r="FOA1" s="176" t="s">
        <v>196</v>
      </c>
      <c r="FOB1" s="176" t="s">
        <v>196</v>
      </c>
      <c r="FOC1" s="176" t="s">
        <v>196</v>
      </c>
      <c r="FOD1" s="176" t="s">
        <v>196</v>
      </c>
      <c r="FOE1" s="176" t="s">
        <v>196</v>
      </c>
      <c r="FOF1" s="176" t="s">
        <v>196</v>
      </c>
      <c r="FOG1" s="176" t="s">
        <v>196</v>
      </c>
      <c r="FOH1" s="176" t="s">
        <v>196</v>
      </c>
      <c r="FOI1" s="176" t="s">
        <v>196</v>
      </c>
      <c r="FOJ1" s="176" t="s">
        <v>196</v>
      </c>
      <c r="FOK1" s="176" t="s">
        <v>196</v>
      </c>
      <c r="FOL1" s="176" t="s">
        <v>196</v>
      </c>
      <c r="FOM1" s="176" t="s">
        <v>196</v>
      </c>
      <c r="FON1" s="176" t="s">
        <v>196</v>
      </c>
      <c r="FOO1" s="176" t="s">
        <v>196</v>
      </c>
      <c r="FOP1" s="176" t="s">
        <v>196</v>
      </c>
      <c r="FOQ1" s="176" t="s">
        <v>196</v>
      </c>
      <c r="FOR1" s="176" t="s">
        <v>196</v>
      </c>
      <c r="FOS1" s="176" t="s">
        <v>196</v>
      </c>
      <c r="FOT1" s="176" t="s">
        <v>196</v>
      </c>
      <c r="FOU1" s="176" t="s">
        <v>196</v>
      </c>
      <c r="FOV1" s="176" t="s">
        <v>196</v>
      </c>
      <c r="FOW1" s="176" t="s">
        <v>196</v>
      </c>
      <c r="FOX1" s="176" t="s">
        <v>196</v>
      </c>
      <c r="FOY1" s="176" t="s">
        <v>196</v>
      </c>
      <c r="FOZ1" s="176" t="s">
        <v>196</v>
      </c>
      <c r="FPA1" s="176" t="s">
        <v>196</v>
      </c>
      <c r="FPB1" s="176" t="s">
        <v>196</v>
      </c>
      <c r="FPC1" s="176" t="s">
        <v>196</v>
      </c>
      <c r="FPD1" s="176" t="s">
        <v>196</v>
      </c>
      <c r="FPE1" s="176" t="s">
        <v>196</v>
      </c>
      <c r="FPF1" s="176" t="s">
        <v>196</v>
      </c>
      <c r="FPG1" s="176" t="s">
        <v>196</v>
      </c>
      <c r="FPH1" s="176" t="s">
        <v>196</v>
      </c>
      <c r="FPI1" s="176" t="s">
        <v>196</v>
      </c>
      <c r="FPJ1" s="176" t="s">
        <v>196</v>
      </c>
      <c r="FPK1" s="176" t="s">
        <v>196</v>
      </c>
      <c r="FPL1" s="176" t="s">
        <v>196</v>
      </c>
      <c r="FPM1" s="176" t="s">
        <v>196</v>
      </c>
      <c r="FPN1" s="176" t="s">
        <v>196</v>
      </c>
      <c r="FPO1" s="176" t="s">
        <v>196</v>
      </c>
      <c r="FPP1" s="176" t="s">
        <v>196</v>
      </c>
      <c r="FPQ1" s="176" t="s">
        <v>196</v>
      </c>
      <c r="FPR1" s="176" t="s">
        <v>196</v>
      </c>
      <c r="FPS1" s="176" t="s">
        <v>196</v>
      </c>
      <c r="FPT1" s="176" t="s">
        <v>196</v>
      </c>
      <c r="FPU1" s="176" t="s">
        <v>196</v>
      </c>
      <c r="FPV1" s="176" t="s">
        <v>196</v>
      </c>
      <c r="FPW1" s="176" t="s">
        <v>196</v>
      </c>
      <c r="FPX1" s="176" t="s">
        <v>196</v>
      </c>
      <c r="FPY1" s="176" t="s">
        <v>196</v>
      </c>
      <c r="FPZ1" s="176" t="s">
        <v>196</v>
      </c>
      <c r="FQA1" s="176" t="s">
        <v>196</v>
      </c>
      <c r="FQB1" s="176" t="s">
        <v>196</v>
      </c>
      <c r="FQC1" s="176" t="s">
        <v>196</v>
      </c>
      <c r="FQD1" s="176" t="s">
        <v>196</v>
      </c>
      <c r="FQE1" s="176" t="s">
        <v>196</v>
      </c>
      <c r="FQF1" s="176" t="s">
        <v>196</v>
      </c>
      <c r="FQG1" s="176" t="s">
        <v>196</v>
      </c>
      <c r="FQH1" s="176" t="s">
        <v>196</v>
      </c>
      <c r="FQI1" s="176" t="s">
        <v>196</v>
      </c>
      <c r="FQJ1" s="176" t="s">
        <v>196</v>
      </c>
      <c r="FQK1" s="176" t="s">
        <v>196</v>
      </c>
      <c r="FQL1" s="176" t="s">
        <v>196</v>
      </c>
      <c r="FQM1" s="176" t="s">
        <v>196</v>
      </c>
      <c r="FQN1" s="176" t="s">
        <v>196</v>
      </c>
      <c r="FQO1" s="176" t="s">
        <v>196</v>
      </c>
      <c r="FQP1" s="176" t="s">
        <v>196</v>
      </c>
      <c r="FQQ1" s="176" t="s">
        <v>196</v>
      </c>
      <c r="FQR1" s="176" t="s">
        <v>196</v>
      </c>
      <c r="FQS1" s="176" t="s">
        <v>196</v>
      </c>
      <c r="FQT1" s="176" t="s">
        <v>196</v>
      </c>
      <c r="FQU1" s="176" t="s">
        <v>196</v>
      </c>
      <c r="FQV1" s="176" t="s">
        <v>196</v>
      </c>
      <c r="FQW1" s="176" t="s">
        <v>196</v>
      </c>
      <c r="FQX1" s="176" t="s">
        <v>196</v>
      </c>
      <c r="FQY1" s="176" t="s">
        <v>196</v>
      </c>
      <c r="FQZ1" s="176" t="s">
        <v>196</v>
      </c>
      <c r="FRA1" s="176" t="s">
        <v>196</v>
      </c>
      <c r="FRB1" s="176" t="s">
        <v>196</v>
      </c>
      <c r="FRC1" s="176" t="s">
        <v>196</v>
      </c>
      <c r="FRD1" s="176" t="s">
        <v>196</v>
      </c>
      <c r="FRE1" s="176" t="s">
        <v>196</v>
      </c>
      <c r="FRF1" s="176" t="s">
        <v>196</v>
      </c>
      <c r="FRG1" s="176" t="s">
        <v>196</v>
      </c>
      <c r="FRH1" s="176" t="s">
        <v>196</v>
      </c>
      <c r="FRI1" s="176" t="s">
        <v>196</v>
      </c>
      <c r="FRJ1" s="176" t="s">
        <v>196</v>
      </c>
      <c r="FRK1" s="176" t="s">
        <v>196</v>
      </c>
      <c r="FRL1" s="176" t="s">
        <v>196</v>
      </c>
      <c r="FRM1" s="176" t="s">
        <v>196</v>
      </c>
      <c r="FRN1" s="176" t="s">
        <v>196</v>
      </c>
      <c r="FRO1" s="176" t="s">
        <v>196</v>
      </c>
      <c r="FRP1" s="176" t="s">
        <v>196</v>
      </c>
      <c r="FRQ1" s="176" t="s">
        <v>196</v>
      </c>
      <c r="FRR1" s="176" t="s">
        <v>196</v>
      </c>
      <c r="FRS1" s="176" t="s">
        <v>196</v>
      </c>
      <c r="FRT1" s="176" t="s">
        <v>196</v>
      </c>
      <c r="FRU1" s="176" t="s">
        <v>196</v>
      </c>
      <c r="FRV1" s="176" t="s">
        <v>196</v>
      </c>
      <c r="FRW1" s="176" t="s">
        <v>196</v>
      </c>
      <c r="FRX1" s="176" t="s">
        <v>196</v>
      </c>
      <c r="FRY1" s="176" t="s">
        <v>196</v>
      </c>
      <c r="FRZ1" s="176" t="s">
        <v>196</v>
      </c>
      <c r="FSA1" s="176" t="s">
        <v>196</v>
      </c>
      <c r="FSB1" s="176" t="s">
        <v>196</v>
      </c>
      <c r="FSC1" s="176" t="s">
        <v>196</v>
      </c>
      <c r="FSD1" s="176" t="s">
        <v>196</v>
      </c>
      <c r="FSE1" s="176" t="s">
        <v>196</v>
      </c>
      <c r="FSF1" s="176" t="s">
        <v>196</v>
      </c>
      <c r="FSG1" s="176" t="s">
        <v>196</v>
      </c>
      <c r="FSH1" s="176" t="s">
        <v>196</v>
      </c>
      <c r="FSI1" s="176" t="s">
        <v>196</v>
      </c>
      <c r="FSJ1" s="176" t="s">
        <v>196</v>
      </c>
      <c r="FSK1" s="176" t="s">
        <v>196</v>
      </c>
      <c r="FSL1" s="176" t="s">
        <v>196</v>
      </c>
      <c r="FSM1" s="176" t="s">
        <v>196</v>
      </c>
      <c r="FSN1" s="176" t="s">
        <v>196</v>
      </c>
      <c r="FSO1" s="176" t="s">
        <v>196</v>
      </c>
      <c r="FSP1" s="176" t="s">
        <v>196</v>
      </c>
      <c r="FSQ1" s="176" t="s">
        <v>196</v>
      </c>
      <c r="FSR1" s="176" t="s">
        <v>196</v>
      </c>
      <c r="FSS1" s="176" t="s">
        <v>196</v>
      </c>
      <c r="FST1" s="176" t="s">
        <v>196</v>
      </c>
      <c r="FSU1" s="176" t="s">
        <v>196</v>
      </c>
      <c r="FSV1" s="176" t="s">
        <v>196</v>
      </c>
      <c r="FSW1" s="176" t="s">
        <v>196</v>
      </c>
      <c r="FSX1" s="176" t="s">
        <v>196</v>
      </c>
      <c r="FSY1" s="176" t="s">
        <v>196</v>
      </c>
      <c r="FSZ1" s="176" t="s">
        <v>196</v>
      </c>
      <c r="FTA1" s="176" t="s">
        <v>196</v>
      </c>
      <c r="FTB1" s="176" t="s">
        <v>196</v>
      </c>
      <c r="FTC1" s="176" t="s">
        <v>196</v>
      </c>
      <c r="FTD1" s="176" t="s">
        <v>196</v>
      </c>
      <c r="FTE1" s="176" t="s">
        <v>196</v>
      </c>
      <c r="FTF1" s="176" t="s">
        <v>196</v>
      </c>
      <c r="FTG1" s="176" t="s">
        <v>196</v>
      </c>
      <c r="FTH1" s="176" t="s">
        <v>196</v>
      </c>
      <c r="FTI1" s="176" t="s">
        <v>196</v>
      </c>
      <c r="FTJ1" s="176" t="s">
        <v>196</v>
      </c>
      <c r="FTK1" s="176" t="s">
        <v>196</v>
      </c>
      <c r="FTL1" s="176" t="s">
        <v>196</v>
      </c>
      <c r="FTM1" s="176" t="s">
        <v>196</v>
      </c>
      <c r="FTN1" s="176" t="s">
        <v>196</v>
      </c>
      <c r="FTO1" s="176" t="s">
        <v>196</v>
      </c>
      <c r="FTP1" s="176" t="s">
        <v>196</v>
      </c>
      <c r="FTQ1" s="176" t="s">
        <v>196</v>
      </c>
      <c r="FTR1" s="176" t="s">
        <v>196</v>
      </c>
      <c r="FTS1" s="176" t="s">
        <v>196</v>
      </c>
      <c r="FTT1" s="176" t="s">
        <v>196</v>
      </c>
      <c r="FTU1" s="176" t="s">
        <v>196</v>
      </c>
      <c r="FTV1" s="176" t="s">
        <v>196</v>
      </c>
      <c r="FTW1" s="176" t="s">
        <v>196</v>
      </c>
      <c r="FTX1" s="176" t="s">
        <v>196</v>
      </c>
      <c r="FTY1" s="176" t="s">
        <v>196</v>
      </c>
      <c r="FTZ1" s="176" t="s">
        <v>196</v>
      </c>
      <c r="FUA1" s="176" t="s">
        <v>196</v>
      </c>
      <c r="FUB1" s="176" t="s">
        <v>196</v>
      </c>
      <c r="FUC1" s="176" t="s">
        <v>196</v>
      </c>
      <c r="FUD1" s="176" t="s">
        <v>196</v>
      </c>
      <c r="FUE1" s="176" t="s">
        <v>196</v>
      </c>
      <c r="FUF1" s="176" t="s">
        <v>196</v>
      </c>
      <c r="FUG1" s="176" t="s">
        <v>196</v>
      </c>
      <c r="FUH1" s="176" t="s">
        <v>196</v>
      </c>
      <c r="FUI1" s="176" t="s">
        <v>196</v>
      </c>
      <c r="FUJ1" s="176" t="s">
        <v>196</v>
      </c>
      <c r="FUK1" s="176" t="s">
        <v>196</v>
      </c>
      <c r="FUL1" s="176" t="s">
        <v>196</v>
      </c>
      <c r="FUM1" s="176" t="s">
        <v>196</v>
      </c>
      <c r="FUN1" s="176" t="s">
        <v>196</v>
      </c>
      <c r="FUO1" s="176" t="s">
        <v>196</v>
      </c>
      <c r="FUP1" s="176" t="s">
        <v>196</v>
      </c>
      <c r="FUQ1" s="176" t="s">
        <v>196</v>
      </c>
      <c r="FUR1" s="176" t="s">
        <v>196</v>
      </c>
      <c r="FUS1" s="176" t="s">
        <v>196</v>
      </c>
      <c r="FUT1" s="176" t="s">
        <v>196</v>
      </c>
      <c r="FUU1" s="176" t="s">
        <v>196</v>
      </c>
      <c r="FUV1" s="176" t="s">
        <v>196</v>
      </c>
      <c r="FUW1" s="176" t="s">
        <v>196</v>
      </c>
      <c r="FUX1" s="176" t="s">
        <v>196</v>
      </c>
      <c r="FUY1" s="176" t="s">
        <v>196</v>
      </c>
      <c r="FUZ1" s="176" t="s">
        <v>196</v>
      </c>
      <c r="FVA1" s="176" t="s">
        <v>196</v>
      </c>
      <c r="FVB1" s="176" t="s">
        <v>196</v>
      </c>
      <c r="FVC1" s="176" t="s">
        <v>196</v>
      </c>
      <c r="FVD1" s="176" t="s">
        <v>196</v>
      </c>
      <c r="FVE1" s="176" t="s">
        <v>196</v>
      </c>
      <c r="FVF1" s="176" t="s">
        <v>196</v>
      </c>
      <c r="FVG1" s="176" t="s">
        <v>196</v>
      </c>
      <c r="FVH1" s="176" t="s">
        <v>196</v>
      </c>
      <c r="FVI1" s="176" t="s">
        <v>196</v>
      </c>
      <c r="FVJ1" s="176" t="s">
        <v>196</v>
      </c>
      <c r="FVK1" s="176" t="s">
        <v>196</v>
      </c>
      <c r="FVL1" s="176" t="s">
        <v>196</v>
      </c>
      <c r="FVM1" s="176" t="s">
        <v>196</v>
      </c>
      <c r="FVN1" s="176" t="s">
        <v>196</v>
      </c>
      <c r="FVO1" s="176" t="s">
        <v>196</v>
      </c>
      <c r="FVP1" s="176" t="s">
        <v>196</v>
      </c>
      <c r="FVQ1" s="176" t="s">
        <v>196</v>
      </c>
      <c r="FVR1" s="176" t="s">
        <v>196</v>
      </c>
      <c r="FVS1" s="176" t="s">
        <v>196</v>
      </c>
      <c r="FVT1" s="176" t="s">
        <v>196</v>
      </c>
      <c r="FVU1" s="176" t="s">
        <v>196</v>
      </c>
      <c r="FVV1" s="176" t="s">
        <v>196</v>
      </c>
      <c r="FVW1" s="176" t="s">
        <v>196</v>
      </c>
      <c r="FVX1" s="176" t="s">
        <v>196</v>
      </c>
      <c r="FVY1" s="176" t="s">
        <v>196</v>
      </c>
      <c r="FVZ1" s="176" t="s">
        <v>196</v>
      </c>
      <c r="FWA1" s="176" t="s">
        <v>196</v>
      </c>
      <c r="FWB1" s="176" t="s">
        <v>196</v>
      </c>
      <c r="FWC1" s="176" t="s">
        <v>196</v>
      </c>
      <c r="FWD1" s="176" t="s">
        <v>196</v>
      </c>
      <c r="FWE1" s="176" t="s">
        <v>196</v>
      </c>
      <c r="FWF1" s="176" t="s">
        <v>196</v>
      </c>
      <c r="FWG1" s="176" t="s">
        <v>196</v>
      </c>
      <c r="FWH1" s="176" t="s">
        <v>196</v>
      </c>
      <c r="FWI1" s="176" t="s">
        <v>196</v>
      </c>
      <c r="FWJ1" s="176" t="s">
        <v>196</v>
      </c>
      <c r="FWK1" s="176" t="s">
        <v>196</v>
      </c>
      <c r="FWL1" s="176" t="s">
        <v>196</v>
      </c>
      <c r="FWM1" s="176" t="s">
        <v>196</v>
      </c>
      <c r="FWN1" s="176" t="s">
        <v>196</v>
      </c>
      <c r="FWO1" s="176" t="s">
        <v>196</v>
      </c>
      <c r="FWP1" s="176" t="s">
        <v>196</v>
      </c>
      <c r="FWQ1" s="176" t="s">
        <v>196</v>
      </c>
      <c r="FWR1" s="176" t="s">
        <v>196</v>
      </c>
      <c r="FWS1" s="176" t="s">
        <v>196</v>
      </c>
      <c r="FWT1" s="176" t="s">
        <v>196</v>
      </c>
      <c r="FWU1" s="176" t="s">
        <v>196</v>
      </c>
      <c r="FWV1" s="176" t="s">
        <v>196</v>
      </c>
      <c r="FWW1" s="176" t="s">
        <v>196</v>
      </c>
      <c r="FWX1" s="176" t="s">
        <v>196</v>
      </c>
      <c r="FWY1" s="176" t="s">
        <v>196</v>
      </c>
      <c r="FWZ1" s="176" t="s">
        <v>196</v>
      </c>
      <c r="FXA1" s="176" t="s">
        <v>196</v>
      </c>
      <c r="FXB1" s="176" t="s">
        <v>196</v>
      </c>
      <c r="FXC1" s="176" t="s">
        <v>196</v>
      </c>
      <c r="FXD1" s="176" t="s">
        <v>196</v>
      </c>
      <c r="FXE1" s="176" t="s">
        <v>196</v>
      </c>
      <c r="FXF1" s="176" t="s">
        <v>196</v>
      </c>
      <c r="FXG1" s="176" t="s">
        <v>196</v>
      </c>
      <c r="FXH1" s="176" t="s">
        <v>196</v>
      </c>
      <c r="FXI1" s="176" t="s">
        <v>196</v>
      </c>
      <c r="FXJ1" s="176" t="s">
        <v>196</v>
      </c>
      <c r="FXK1" s="176" t="s">
        <v>196</v>
      </c>
      <c r="FXL1" s="176" t="s">
        <v>196</v>
      </c>
      <c r="FXM1" s="176" t="s">
        <v>196</v>
      </c>
      <c r="FXN1" s="176" t="s">
        <v>196</v>
      </c>
      <c r="FXO1" s="176" t="s">
        <v>196</v>
      </c>
      <c r="FXP1" s="176" t="s">
        <v>196</v>
      </c>
      <c r="FXQ1" s="176" t="s">
        <v>196</v>
      </c>
      <c r="FXR1" s="176" t="s">
        <v>196</v>
      </c>
      <c r="FXS1" s="176" t="s">
        <v>196</v>
      </c>
      <c r="FXT1" s="176" t="s">
        <v>196</v>
      </c>
      <c r="FXU1" s="176" t="s">
        <v>196</v>
      </c>
      <c r="FXV1" s="176" t="s">
        <v>196</v>
      </c>
      <c r="FXW1" s="176" t="s">
        <v>196</v>
      </c>
      <c r="FXX1" s="176" t="s">
        <v>196</v>
      </c>
      <c r="FXY1" s="176" t="s">
        <v>196</v>
      </c>
      <c r="FXZ1" s="176" t="s">
        <v>196</v>
      </c>
      <c r="FYA1" s="176" t="s">
        <v>196</v>
      </c>
      <c r="FYB1" s="176" t="s">
        <v>196</v>
      </c>
      <c r="FYC1" s="176" t="s">
        <v>196</v>
      </c>
      <c r="FYD1" s="176" t="s">
        <v>196</v>
      </c>
      <c r="FYE1" s="176" t="s">
        <v>196</v>
      </c>
      <c r="FYF1" s="176" t="s">
        <v>196</v>
      </c>
      <c r="FYG1" s="176" t="s">
        <v>196</v>
      </c>
      <c r="FYH1" s="176" t="s">
        <v>196</v>
      </c>
      <c r="FYI1" s="176" t="s">
        <v>196</v>
      </c>
      <c r="FYJ1" s="176" t="s">
        <v>196</v>
      </c>
      <c r="FYK1" s="176" t="s">
        <v>196</v>
      </c>
      <c r="FYL1" s="176" t="s">
        <v>196</v>
      </c>
      <c r="FYM1" s="176" t="s">
        <v>196</v>
      </c>
      <c r="FYN1" s="176" t="s">
        <v>196</v>
      </c>
      <c r="FYO1" s="176" t="s">
        <v>196</v>
      </c>
      <c r="FYP1" s="176" t="s">
        <v>196</v>
      </c>
      <c r="FYQ1" s="176" t="s">
        <v>196</v>
      </c>
      <c r="FYR1" s="176" t="s">
        <v>196</v>
      </c>
      <c r="FYS1" s="176" t="s">
        <v>196</v>
      </c>
      <c r="FYT1" s="176" t="s">
        <v>196</v>
      </c>
      <c r="FYU1" s="176" t="s">
        <v>196</v>
      </c>
      <c r="FYV1" s="176" t="s">
        <v>196</v>
      </c>
      <c r="FYW1" s="176" t="s">
        <v>196</v>
      </c>
      <c r="FYX1" s="176" t="s">
        <v>196</v>
      </c>
      <c r="FYY1" s="176" t="s">
        <v>196</v>
      </c>
      <c r="FYZ1" s="176" t="s">
        <v>196</v>
      </c>
      <c r="FZA1" s="176" t="s">
        <v>196</v>
      </c>
      <c r="FZB1" s="176" t="s">
        <v>196</v>
      </c>
      <c r="FZC1" s="176" t="s">
        <v>196</v>
      </c>
      <c r="FZD1" s="176" t="s">
        <v>196</v>
      </c>
      <c r="FZE1" s="176" t="s">
        <v>196</v>
      </c>
      <c r="FZF1" s="176" t="s">
        <v>196</v>
      </c>
      <c r="FZG1" s="176" t="s">
        <v>196</v>
      </c>
      <c r="FZH1" s="176" t="s">
        <v>196</v>
      </c>
      <c r="FZI1" s="176" t="s">
        <v>196</v>
      </c>
      <c r="FZJ1" s="176" t="s">
        <v>196</v>
      </c>
      <c r="FZK1" s="176" t="s">
        <v>196</v>
      </c>
      <c r="FZL1" s="176" t="s">
        <v>196</v>
      </c>
      <c r="FZM1" s="176" t="s">
        <v>196</v>
      </c>
      <c r="FZN1" s="176" t="s">
        <v>196</v>
      </c>
      <c r="FZO1" s="176" t="s">
        <v>196</v>
      </c>
      <c r="FZP1" s="176" t="s">
        <v>196</v>
      </c>
      <c r="FZQ1" s="176" t="s">
        <v>196</v>
      </c>
      <c r="FZR1" s="176" t="s">
        <v>196</v>
      </c>
      <c r="FZS1" s="176" t="s">
        <v>196</v>
      </c>
      <c r="FZT1" s="176" t="s">
        <v>196</v>
      </c>
      <c r="FZU1" s="176" t="s">
        <v>196</v>
      </c>
      <c r="FZV1" s="176" t="s">
        <v>196</v>
      </c>
      <c r="FZW1" s="176" t="s">
        <v>196</v>
      </c>
      <c r="FZX1" s="176" t="s">
        <v>196</v>
      </c>
      <c r="FZY1" s="176" t="s">
        <v>196</v>
      </c>
      <c r="FZZ1" s="176" t="s">
        <v>196</v>
      </c>
      <c r="GAA1" s="176" t="s">
        <v>196</v>
      </c>
      <c r="GAB1" s="176" t="s">
        <v>196</v>
      </c>
      <c r="GAC1" s="176" t="s">
        <v>196</v>
      </c>
      <c r="GAD1" s="176" t="s">
        <v>196</v>
      </c>
      <c r="GAE1" s="176" t="s">
        <v>196</v>
      </c>
      <c r="GAF1" s="176" t="s">
        <v>196</v>
      </c>
      <c r="GAG1" s="176" t="s">
        <v>196</v>
      </c>
      <c r="GAH1" s="176" t="s">
        <v>196</v>
      </c>
      <c r="GAI1" s="176" t="s">
        <v>196</v>
      </c>
      <c r="GAJ1" s="176" t="s">
        <v>196</v>
      </c>
      <c r="GAK1" s="176" t="s">
        <v>196</v>
      </c>
      <c r="GAL1" s="176" t="s">
        <v>196</v>
      </c>
      <c r="GAM1" s="176" t="s">
        <v>196</v>
      </c>
      <c r="GAN1" s="176" t="s">
        <v>196</v>
      </c>
      <c r="GAO1" s="176" t="s">
        <v>196</v>
      </c>
      <c r="GAP1" s="176" t="s">
        <v>196</v>
      </c>
      <c r="GAQ1" s="176" t="s">
        <v>196</v>
      </c>
      <c r="GAR1" s="176" t="s">
        <v>196</v>
      </c>
      <c r="GAS1" s="176" t="s">
        <v>196</v>
      </c>
      <c r="GAT1" s="176" t="s">
        <v>196</v>
      </c>
      <c r="GAU1" s="176" t="s">
        <v>196</v>
      </c>
      <c r="GAV1" s="176" t="s">
        <v>196</v>
      </c>
      <c r="GAW1" s="176" t="s">
        <v>196</v>
      </c>
      <c r="GAX1" s="176" t="s">
        <v>196</v>
      </c>
      <c r="GAY1" s="176" t="s">
        <v>196</v>
      </c>
      <c r="GAZ1" s="176" t="s">
        <v>196</v>
      </c>
      <c r="GBA1" s="176" t="s">
        <v>196</v>
      </c>
      <c r="GBB1" s="176" t="s">
        <v>196</v>
      </c>
      <c r="GBC1" s="176" t="s">
        <v>196</v>
      </c>
      <c r="GBD1" s="176" t="s">
        <v>196</v>
      </c>
      <c r="GBE1" s="176" t="s">
        <v>196</v>
      </c>
      <c r="GBF1" s="176" t="s">
        <v>196</v>
      </c>
      <c r="GBG1" s="176" t="s">
        <v>196</v>
      </c>
      <c r="GBH1" s="176" t="s">
        <v>196</v>
      </c>
      <c r="GBI1" s="176" t="s">
        <v>196</v>
      </c>
      <c r="GBJ1" s="176" t="s">
        <v>196</v>
      </c>
      <c r="GBK1" s="176" t="s">
        <v>196</v>
      </c>
      <c r="GBL1" s="176" t="s">
        <v>196</v>
      </c>
      <c r="GBM1" s="176" t="s">
        <v>196</v>
      </c>
      <c r="GBN1" s="176" t="s">
        <v>196</v>
      </c>
      <c r="GBO1" s="176" t="s">
        <v>196</v>
      </c>
      <c r="GBP1" s="176" t="s">
        <v>196</v>
      </c>
      <c r="GBQ1" s="176" t="s">
        <v>196</v>
      </c>
      <c r="GBR1" s="176" t="s">
        <v>196</v>
      </c>
      <c r="GBS1" s="176" t="s">
        <v>196</v>
      </c>
      <c r="GBT1" s="176" t="s">
        <v>196</v>
      </c>
      <c r="GBU1" s="176" t="s">
        <v>196</v>
      </c>
      <c r="GBV1" s="176" t="s">
        <v>196</v>
      </c>
      <c r="GBW1" s="176" t="s">
        <v>196</v>
      </c>
      <c r="GBX1" s="176" t="s">
        <v>196</v>
      </c>
      <c r="GBY1" s="176" t="s">
        <v>196</v>
      </c>
      <c r="GBZ1" s="176" t="s">
        <v>196</v>
      </c>
      <c r="GCA1" s="176" t="s">
        <v>196</v>
      </c>
      <c r="GCB1" s="176" t="s">
        <v>196</v>
      </c>
      <c r="GCC1" s="176" t="s">
        <v>196</v>
      </c>
      <c r="GCD1" s="176" t="s">
        <v>196</v>
      </c>
      <c r="GCE1" s="176" t="s">
        <v>196</v>
      </c>
      <c r="GCF1" s="176" t="s">
        <v>196</v>
      </c>
      <c r="GCG1" s="176" t="s">
        <v>196</v>
      </c>
      <c r="GCH1" s="176" t="s">
        <v>196</v>
      </c>
      <c r="GCI1" s="176" t="s">
        <v>196</v>
      </c>
      <c r="GCJ1" s="176" t="s">
        <v>196</v>
      </c>
      <c r="GCK1" s="176" t="s">
        <v>196</v>
      </c>
      <c r="GCL1" s="176" t="s">
        <v>196</v>
      </c>
      <c r="GCM1" s="176" t="s">
        <v>196</v>
      </c>
      <c r="GCN1" s="176" t="s">
        <v>196</v>
      </c>
      <c r="GCO1" s="176" t="s">
        <v>196</v>
      </c>
      <c r="GCP1" s="176" t="s">
        <v>196</v>
      </c>
      <c r="GCQ1" s="176" t="s">
        <v>196</v>
      </c>
      <c r="GCR1" s="176" t="s">
        <v>196</v>
      </c>
      <c r="GCS1" s="176" t="s">
        <v>196</v>
      </c>
      <c r="GCT1" s="176" t="s">
        <v>196</v>
      </c>
      <c r="GCU1" s="176" t="s">
        <v>196</v>
      </c>
      <c r="GCV1" s="176" t="s">
        <v>196</v>
      </c>
      <c r="GCW1" s="176" t="s">
        <v>196</v>
      </c>
      <c r="GCX1" s="176" t="s">
        <v>196</v>
      </c>
      <c r="GCY1" s="176" t="s">
        <v>196</v>
      </c>
      <c r="GCZ1" s="176" t="s">
        <v>196</v>
      </c>
      <c r="GDA1" s="176" t="s">
        <v>196</v>
      </c>
      <c r="GDB1" s="176" t="s">
        <v>196</v>
      </c>
      <c r="GDC1" s="176" t="s">
        <v>196</v>
      </c>
      <c r="GDD1" s="176" t="s">
        <v>196</v>
      </c>
      <c r="GDE1" s="176" t="s">
        <v>196</v>
      </c>
      <c r="GDF1" s="176" t="s">
        <v>196</v>
      </c>
      <c r="GDG1" s="176" t="s">
        <v>196</v>
      </c>
      <c r="GDH1" s="176" t="s">
        <v>196</v>
      </c>
      <c r="GDI1" s="176" t="s">
        <v>196</v>
      </c>
      <c r="GDJ1" s="176" t="s">
        <v>196</v>
      </c>
      <c r="GDK1" s="176" t="s">
        <v>196</v>
      </c>
      <c r="GDL1" s="176" t="s">
        <v>196</v>
      </c>
      <c r="GDM1" s="176" t="s">
        <v>196</v>
      </c>
      <c r="GDN1" s="176" t="s">
        <v>196</v>
      </c>
      <c r="GDO1" s="176" t="s">
        <v>196</v>
      </c>
      <c r="GDP1" s="176" t="s">
        <v>196</v>
      </c>
      <c r="GDQ1" s="176" t="s">
        <v>196</v>
      </c>
      <c r="GDR1" s="176" t="s">
        <v>196</v>
      </c>
      <c r="GDS1" s="176" t="s">
        <v>196</v>
      </c>
      <c r="GDT1" s="176" t="s">
        <v>196</v>
      </c>
      <c r="GDU1" s="176" t="s">
        <v>196</v>
      </c>
      <c r="GDV1" s="176" t="s">
        <v>196</v>
      </c>
      <c r="GDW1" s="176" t="s">
        <v>196</v>
      </c>
      <c r="GDX1" s="176" t="s">
        <v>196</v>
      </c>
      <c r="GDY1" s="176" t="s">
        <v>196</v>
      </c>
      <c r="GDZ1" s="176" t="s">
        <v>196</v>
      </c>
      <c r="GEA1" s="176" t="s">
        <v>196</v>
      </c>
      <c r="GEB1" s="176" t="s">
        <v>196</v>
      </c>
      <c r="GEC1" s="176" t="s">
        <v>196</v>
      </c>
      <c r="GED1" s="176" t="s">
        <v>196</v>
      </c>
      <c r="GEE1" s="176" t="s">
        <v>196</v>
      </c>
      <c r="GEF1" s="176" t="s">
        <v>196</v>
      </c>
      <c r="GEG1" s="176" t="s">
        <v>196</v>
      </c>
      <c r="GEH1" s="176" t="s">
        <v>196</v>
      </c>
      <c r="GEI1" s="176" t="s">
        <v>196</v>
      </c>
      <c r="GEJ1" s="176" t="s">
        <v>196</v>
      </c>
      <c r="GEK1" s="176" t="s">
        <v>196</v>
      </c>
      <c r="GEL1" s="176" t="s">
        <v>196</v>
      </c>
      <c r="GEM1" s="176" t="s">
        <v>196</v>
      </c>
      <c r="GEN1" s="176" t="s">
        <v>196</v>
      </c>
      <c r="GEO1" s="176" t="s">
        <v>196</v>
      </c>
      <c r="GEP1" s="176" t="s">
        <v>196</v>
      </c>
      <c r="GEQ1" s="176" t="s">
        <v>196</v>
      </c>
      <c r="GER1" s="176" t="s">
        <v>196</v>
      </c>
      <c r="GES1" s="176" t="s">
        <v>196</v>
      </c>
      <c r="GET1" s="176" t="s">
        <v>196</v>
      </c>
      <c r="GEU1" s="176" t="s">
        <v>196</v>
      </c>
      <c r="GEV1" s="176" t="s">
        <v>196</v>
      </c>
      <c r="GEW1" s="176" t="s">
        <v>196</v>
      </c>
      <c r="GEX1" s="176" t="s">
        <v>196</v>
      </c>
      <c r="GEY1" s="176" t="s">
        <v>196</v>
      </c>
      <c r="GEZ1" s="176" t="s">
        <v>196</v>
      </c>
      <c r="GFA1" s="176" t="s">
        <v>196</v>
      </c>
      <c r="GFB1" s="176" t="s">
        <v>196</v>
      </c>
      <c r="GFC1" s="176" t="s">
        <v>196</v>
      </c>
      <c r="GFD1" s="176" t="s">
        <v>196</v>
      </c>
      <c r="GFE1" s="176" t="s">
        <v>196</v>
      </c>
      <c r="GFF1" s="176" t="s">
        <v>196</v>
      </c>
      <c r="GFG1" s="176" t="s">
        <v>196</v>
      </c>
      <c r="GFH1" s="176" t="s">
        <v>196</v>
      </c>
      <c r="GFI1" s="176" t="s">
        <v>196</v>
      </c>
      <c r="GFJ1" s="176" t="s">
        <v>196</v>
      </c>
      <c r="GFK1" s="176" t="s">
        <v>196</v>
      </c>
      <c r="GFL1" s="176" t="s">
        <v>196</v>
      </c>
      <c r="GFM1" s="176" t="s">
        <v>196</v>
      </c>
      <c r="GFN1" s="176" t="s">
        <v>196</v>
      </c>
      <c r="GFO1" s="176" t="s">
        <v>196</v>
      </c>
      <c r="GFP1" s="176" t="s">
        <v>196</v>
      </c>
      <c r="GFQ1" s="176" t="s">
        <v>196</v>
      </c>
      <c r="GFR1" s="176" t="s">
        <v>196</v>
      </c>
      <c r="GFS1" s="176" t="s">
        <v>196</v>
      </c>
      <c r="GFT1" s="176" t="s">
        <v>196</v>
      </c>
      <c r="GFU1" s="176" t="s">
        <v>196</v>
      </c>
      <c r="GFV1" s="176" t="s">
        <v>196</v>
      </c>
      <c r="GFW1" s="176" t="s">
        <v>196</v>
      </c>
      <c r="GFX1" s="176" t="s">
        <v>196</v>
      </c>
      <c r="GFY1" s="176" t="s">
        <v>196</v>
      </c>
      <c r="GFZ1" s="176" t="s">
        <v>196</v>
      </c>
      <c r="GGA1" s="176" t="s">
        <v>196</v>
      </c>
      <c r="GGB1" s="176" t="s">
        <v>196</v>
      </c>
      <c r="GGC1" s="176" t="s">
        <v>196</v>
      </c>
      <c r="GGD1" s="176" t="s">
        <v>196</v>
      </c>
      <c r="GGE1" s="176" t="s">
        <v>196</v>
      </c>
      <c r="GGF1" s="176" t="s">
        <v>196</v>
      </c>
      <c r="GGG1" s="176" t="s">
        <v>196</v>
      </c>
      <c r="GGH1" s="176" t="s">
        <v>196</v>
      </c>
      <c r="GGI1" s="176" t="s">
        <v>196</v>
      </c>
      <c r="GGJ1" s="176" t="s">
        <v>196</v>
      </c>
      <c r="GGK1" s="176" t="s">
        <v>196</v>
      </c>
      <c r="GGL1" s="176" t="s">
        <v>196</v>
      </c>
      <c r="GGM1" s="176" t="s">
        <v>196</v>
      </c>
      <c r="GGN1" s="176" t="s">
        <v>196</v>
      </c>
      <c r="GGO1" s="176" t="s">
        <v>196</v>
      </c>
      <c r="GGP1" s="176" t="s">
        <v>196</v>
      </c>
      <c r="GGQ1" s="176" t="s">
        <v>196</v>
      </c>
      <c r="GGR1" s="176" t="s">
        <v>196</v>
      </c>
      <c r="GGS1" s="176" t="s">
        <v>196</v>
      </c>
      <c r="GGT1" s="176" t="s">
        <v>196</v>
      </c>
      <c r="GGU1" s="176" t="s">
        <v>196</v>
      </c>
      <c r="GGV1" s="176" t="s">
        <v>196</v>
      </c>
      <c r="GGW1" s="176" t="s">
        <v>196</v>
      </c>
      <c r="GGX1" s="176" t="s">
        <v>196</v>
      </c>
      <c r="GGY1" s="176" t="s">
        <v>196</v>
      </c>
      <c r="GGZ1" s="176" t="s">
        <v>196</v>
      </c>
      <c r="GHA1" s="176" t="s">
        <v>196</v>
      </c>
      <c r="GHB1" s="176" t="s">
        <v>196</v>
      </c>
      <c r="GHC1" s="176" t="s">
        <v>196</v>
      </c>
      <c r="GHD1" s="176" t="s">
        <v>196</v>
      </c>
      <c r="GHE1" s="176" t="s">
        <v>196</v>
      </c>
      <c r="GHF1" s="176" t="s">
        <v>196</v>
      </c>
      <c r="GHG1" s="176" t="s">
        <v>196</v>
      </c>
      <c r="GHH1" s="176" t="s">
        <v>196</v>
      </c>
      <c r="GHI1" s="176" t="s">
        <v>196</v>
      </c>
      <c r="GHJ1" s="176" t="s">
        <v>196</v>
      </c>
      <c r="GHK1" s="176" t="s">
        <v>196</v>
      </c>
      <c r="GHL1" s="176" t="s">
        <v>196</v>
      </c>
      <c r="GHM1" s="176" t="s">
        <v>196</v>
      </c>
      <c r="GHN1" s="176" t="s">
        <v>196</v>
      </c>
      <c r="GHO1" s="176" t="s">
        <v>196</v>
      </c>
      <c r="GHP1" s="176" t="s">
        <v>196</v>
      </c>
      <c r="GHQ1" s="176" t="s">
        <v>196</v>
      </c>
      <c r="GHR1" s="176" t="s">
        <v>196</v>
      </c>
      <c r="GHS1" s="176" t="s">
        <v>196</v>
      </c>
      <c r="GHT1" s="176" t="s">
        <v>196</v>
      </c>
      <c r="GHU1" s="176" t="s">
        <v>196</v>
      </c>
      <c r="GHV1" s="176" t="s">
        <v>196</v>
      </c>
      <c r="GHW1" s="176" t="s">
        <v>196</v>
      </c>
      <c r="GHX1" s="176" t="s">
        <v>196</v>
      </c>
      <c r="GHY1" s="176" t="s">
        <v>196</v>
      </c>
      <c r="GHZ1" s="176" t="s">
        <v>196</v>
      </c>
      <c r="GIA1" s="176" t="s">
        <v>196</v>
      </c>
      <c r="GIB1" s="176" t="s">
        <v>196</v>
      </c>
      <c r="GIC1" s="176" t="s">
        <v>196</v>
      </c>
      <c r="GID1" s="176" t="s">
        <v>196</v>
      </c>
      <c r="GIE1" s="176" t="s">
        <v>196</v>
      </c>
      <c r="GIF1" s="176" t="s">
        <v>196</v>
      </c>
      <c r="GIG1" s="176" t="s">
        <v>196</v>
      </c>
      <c r="GIH1" s="176" t="s">
        <v>196</v>
      </c>
      <c r="GII1" s="176" t="s">
        <v>196</v>
      </c>
      <c r="GIJ1" s="176" t="s">
        <v>196</v>
      </c>
      <c r="GIK1" s="176" t="s">
        <v>196</v>
      </c>
      <c r="GIL1" s="176" t="s">
        <v>196</v>
      </c>
      <c r="GIM1" s="176" t="s">
        <v>196</v>
      </c>
      <c r="GIN1" s="176" t="s">
        <v>196</v>
      </c>
      <c r="GIO1" s="176" t="s">
        <v>196</v>
      </c>
      <c r="GIP1" s="176" t="s">
        <v>196</v>
      </c>
      <c r="GIQ1" s="176" t="s">
        <v>196</v>
      </c>
      <c r="GIR1" s="176" t="s">
        <v>196</v>
      </c>
      <c r="GIS1" s="176" t="s">
        <v>196</v>
      </c>
      <c r="GIT1" s="176" t="s">
        <v>196</v>
      </c>
      <c r="GIU1" s="176" t="s">
        <v>196</v>
      </c>
      <c r="GIV1" s="176" t="s">
        <v>196</v>
      </c>
      <c r="GIW1" s="176" t="s">
        <v>196</v>
      </c>
      <c r="GIX1" s="176" t="s">
        <v>196</v>
      </c>
      <c r="GIY1" s="176" t="s">
        <v>196</v>
      </c>
      <c r="GIZ1" s="176" t="s">
        <v>196</v>
      </c>
      <c r="GJA1" s="176" t="s">
        <v>196</v>
      </c>
      <c r="GJB1" s="176" t="s">
        <v>196</v>
      </c>
      <c r="GJC1" s="176" t="s">
        <v>196</v>
      </c>
      <c r="GJD1" s="176" t="s">
        <v>196</v>
      </c>
      <c r="GJE1" s="176" t="s">
        <v>196</v>
      </c>
      <c r="GJF1" s="176" t="s">
        <v>196</v>
      </c>
      <c r="GJG1" s="176" t="s">
        <v>196</v>
      </c>
      <c r="GJH1" s="176" t="s">
        <v>196</v>
      </c>
      <c r="GJI1" s="176" t="s">
        <v>196</v>
      </c>
      <c r="GJJ1" s="176" t="s">
        <v>196</v>
      </c>
      <c r="GJK1" s="176" t="s">
        <v>196</v>
      </c>
      <c r="GJL1" s="176" t="s">
        <v>196</v>
      </c>
      <c r="GJM1" s="176" t="s">
        <v>196</v>
      </c>
      <c r="GJN1" s="176" t="s">
        <v>196</v>
      </c>
      <c r="GJO1" s="176" t="s">
        <v>196</v>
      </c>
      <c r="GJP1" s="176" t="s">
        <v>196</v>
      </c>
      <c r="GJQ1" s="176" t="s">
        <v>196</v>
      </c>
      <c r="GJR1" s="176" t="s">
        <v>196</v>
      </c>
      <c r="GJS1" s="176" t="s">
        <v>196</v>
      </c>
      <c r="GJT1" s="176" t="s">
        <v>196</v>
      </c>
      <c r="GJU1" s="176" t="s">
        <v>196</v>
      </c>
      <c r="GJV1" s="176" t="s">
        <v>196</v>
      </c>
      <c r="GJW1" s="176" t="s">
        <v>196</v>
      </c>
      <c r="GJX1" s="176" t="s">
        <v>196</v>
      </c>
      <c r="GJY1" s="176" t="s">
        <v>196</v>
      </c>
      <c r="GJZ1" s="176" t="s">
        <v>196</v>
      </c>
      <c r="GKA1" s="176" t="s">
        <v>196</v>
      </c>
      <c r="GKB1" s="176" t="s">
        <v>196</v>
      </c>
      <c r="GKC1" s="176" t="s">
        <v>196</v>
      </c>
      <c r="GKD1" s="176" t="s">
        <v>196</v>
      </c>
      <c r="GKE1" s="176" t="s">
        <v>196</v>
      </c>
      <c r="GKF1" s="176" t="s">
        <v>196</v>
      </c>
      <c r="GKG1" s="176" t="s">
        <v>196</v>
      </c>
      <c r="GKH1" s="176" t="s">
        <v>196</v>
      </c>
      <c r="GKI1" s="176" t="s">
        <v>196</v>
      </c>
      <c r="GKJ1" s="176" t="s">
        <v>196</v>
      </c>
      <c r="GKK1" s="176" t="s">
        <v>196</v>
      </c>
      <c r="GKL1" s="176" t="s">
        <v>196</v>
      </c>
      <c r="GKM1" s="176" t="s">
        <v>196</v>
      </c>
      <c r="GKN1" s="176" t="s">
        <v>196</v>
      </c>
      <c r="GKO1" s="176" t="s">
        <v>196</v>
      </c>
      <c r="GKP1" s="176" t="s">
        <v>196</v>
      </c>
      <c r="GKQ1" s="176" t="s">
        <v>196</v>
      </c>
      <c r="GKR1" s="176" t="s">
        <v>196</v>
      </c>
      <c r="GKS1" s="176" t="s">
        <v>196</v>
      </c>
      <c r="GKT1" s="176" t="s">
        <v>196</v>
      </c>
      <c r="GKU1" s="176" t="s">
        <v>196</v>
      </c>
      <c r="GKV1" s="176" t="s">
        <v>196</v>
      </c>
      <c r="GKW1" s="176" t="s">
        <v>196</v>
      </c>
      <c r="GKX1" s="176" t="s">
        <v>196</v>
      </c>
      <c r="GKY1" s="176" t="s">
        <v>196</v>
      </c>
      <c r="GKZ1" s="176" t="s">
        <v>196</v>
      </c>
      <c r="GLA1" s="176" t="s">
        <v>196</v>
      </c>
      <c r="GLB1" s="176" t="s">
        <v>196</v>
      </c>
      <c r="GLC1" s="176" t="s">
        <v>196</v>
      </c>
      <c r="GLD1" s="176" t="s">
        <v>196</v>
      </c>
      <c r="GLE1" s="176" t="s">
        <v>196</v>
      </c>
      <c r="GLF1" s="176" t="s">
        <v>196</v>
      </c>
      <c r="GLG1" s="176" t="s">
        <v>196</v>
      </c>
      <c r="GLH1" s="176" t="s">
        <v>196</v>
      </c>
      <c r="GLI1" s="176" t="s">
        <v>196</v>
      </c>
      <c r="GLJ1" s="176" t="s">
        <v>196</v>
      </c>
      <c r="GLK1" s="176" t="s">
        <v>196</v>
      </c>
      <c r="GLL1" s="176" t="s">
        <v>196</v>
      </c>
      <c r="GLM1" s="176" t="s">
        <v>196</v>
      </c>
      <c r="GLN1" s="176" t="s">
        <v>196</v>
      </c>
      <c r="GLO1" s="176" t="s">
        <v>196</v>
      </c>
      <c r="GLP1" s="176" t="s">
        <v>196</v>
      </c>
      <c r="GLQ1" s="176" t="s">
        <v>196</v>
      </c>
      <c r="GLR1" s="176" t="s">
        <v>196</v>
      </c>
      <c r="GLS1" s="176" t="s">
        <v>196</v>
      </c>
      <c r="GLT1" s="176" t="s">
        <v>196</v>
      </c>
      <c r="GLU1" s="176" t="s">
        <v>196</v>
      </c>
      <c r="GLV1" s="176" t="s">
        <v>196</v>
      </c>
      <c r="GLW1" s="176" t="s">
        <v>196</v>
      </c>
      <c r="GLX1" s="176" t="s">
        <v>196</v>
      </c>
      <c r="GLY1" s="176" t="s">
        <v>196</v>
      </c>
      <c r="GLZ1" s="176" t="s">
        <v>196</v>
      </c>
      <c r="GMA1" s="176" t="s">
        <v>196</v>
      </c>
      <c r="GMB1" s="176" t="s">
        <v>196</v>
      </c>
      <c r="GMC1" s="176" t="s">
        <v>196</v>
      </c>
      <c r="GMD1" s="176" t="s">
        <v>196</v>
      </c>
      <c r="GME1" s="176" t="s">
        <v>196</v>
      </c>
      <c r="GMF1" s="176" t="s">
        <v>196</v>
      </c>
      <c r="GMG1" s="176" t="s">
        <v>196</v>
      </c>
      <c r="GMH1" s="176" t="s">
        <v>196</v>
      </c>
      <c r="GMI1" s="176" t="s">
        <v>196</v>
      </c>
      <c r="GMJ1" s="176" t="s">
        <v>196</v>
      </c>
      <c r="GMK1" s="176" t="s">
        <v>196</v>
      </c>
      <c r="GML1" s="176" t="s">
        <v>196</v>
      </c>
      <c r="GMM1" s="176" t="s">
        <v>196</v>
      </c>
      <c r="GMN1" s="176" t="s">
        <v>196</v>
      </c>
      <c r="GMO1" s="176" t="s">
        <v>196</v>
      </c>
      <c r="GMP1" s="176" t="s">
        <v>196</v>
      </c>
      <c r="GMQ1" s="176" t="s">
        <v>196</v>
      </c>
      <c r="GMR1" s="176" t="s">
        <v>196</v>
      </c>
      <c r="GMS1" s="176" t="s">
        <v>196</v>
      </c>
      <c r="GMT1" s="176" t="s">
        <v>196</v>
      </c>
      <c r="GMU1" s="176" t="s">
        <v>196</v>
      </c>
      <c r="GMV1" s="176" t="s">
        <v>196</v>
      </c>
      <c r="GMW1" s="176" t="s">
        <v>196</v>
      </c>
      <c r="GMX1" s="176" t="s">
        <v>196</v>
      </c>
      <c r="GMY1" s="176" t="s">
        <v>196</v>
      </c>
      <c r="GMZ1" s="176" t="s">
        <v>196</v>
      </c>
      <c r="GNA1" s="176" t="s">
        <v>196</v>
      </c>
      <c r="GNB1" s="176" t="s">
        <v>196</v>
      </c>
      <c r="GNC1" s="176" t="s">
        <v>196</v>
      </c>
      <c r="GND1" s="176" t="s">
        <v>196</v>
      </c>
      <c r="GNE1" s="176" t="s">
        <v>196</v>
      </c>
      <c r="GNF1" s="176" t="s">
        <v>196</v>
      </c>
      <c r="GNG1" s="176" t="s">
        <v>196</v>
      </c>
      <c r="GNH1" s="176" t="s">
        <v>196</v>
      </c>
      <c r="GNI1" s="176" t="s">
        <v>196</v>
      </c>
      <c r="GNJ1" s="176" t="s">
        <v>196</v>
      </c>
      <c r="GNK1" s="176" t="s">
        <v>196</v>
      </c>
      <c r="GNL1" s="176" t="s">
        <v>196</v>
      </c>
      <c r="GNM1" s="176" t="s">
        <v>196</v>
      </c>
      <c r="GNN1" s="176" t="s">
        <v>196</v>
      </c>
      <c r="GNO1" s="176" t="s">
        <v>196</v>
      </c>
      <c r="GNP1" s="176" t="s">
        <v>196</v>
      </c>
      <c r="GNQ1" s="176" t="s">
        <v>196</v>
      </c>
      <c r="GNR1" s="176" t="s">
        <v>196</v>
      </c>
      <c r="GNS1" s="176" t="s">
        <v>196</v>
      </c>
      <c r="GNT1" s="176" t="s">
        <v>196</v>
      </c>
      <c r="GNU1" s="176" t="s">
        <v>196</v>
      </c>
      <c r="GNV1" s="176" t="s">
        <v>196</v>
      </c>
      <c r="GNW1" s="176" t="s">
        <v>196</v>
      </c>
      <c r="GNX1" s="176" t="s">
        <v>196</v>
      </c>
      <c r="GNY1" s="176" t="s">
        <v>196</v>
      </c>
      <c r="GNZ1" s="176" t="s">
        <v>196</v>
      </c>
      <c r="GOA1" s="176" t="s">
        <v>196</v>
      </c>
      <c r="GOB1" s="176" t="s">
        <v>196</v>
      </c>
      <c r="GOC1" s="176" t="s">
        <v>196</v>
      </c>
      <c r="GOD1" s="176" t="s">
        <v>196</v>
      </c>
      <c r="GOE1" s="176" t="s">
        <v>196</v>
      </c>
      <c r="GOF1" s="176" t="s">
        <v>196</v>
      </c>
      <c r="GOG1" s="176" t="s">
        <v>196</v>
      </c>
      <c r="GOH1" s="176" t="s">
        <v>196</v>
      </c>
      <c r="GOI1" s="176" t="s">
        <v>196</v>
      </c>
      <c r="GOJ1" s="176" t="s">
        <v>196</v>
      </c>
      <c r="GOK1" s="176" t="s">
        <v>196</v>
      </c>
      <c r="GOL1" s="176" t="s">
        <v>196</v>
      </c>
      <c r="GOM1" s="176" t="s">
        <v>196</v>
      </c>
      <c r="GON1" s="176" t="s">
        <v>196</v>
      </c>
      <c r="GOO1" s="176" t="s">
        <v>196</v>
      </c>
      <c r="GOP1" s="176" t="s">
        <v>196</v>
      </c>
      <c r="GOQ1" s="176" t="s">
        <v>196</v>
      </c>
      <c r="GOR1" s="176" t="s">
        <v>196</v>
      </c>
      <c r="GOS1" s="176" t="s">
        <v>196</v>
      </c>
      <c r="GOT1" s="176" t="s">
        <v>196</v>
      </c>
      <c r="GOU1" s="176" t="s">
        <v>196</v>
      </c>
      <c r="GOV1" s="176" t="s">
        <v>196</v>
      </c>
      <c r="GOW1" s="176" t="s">
        <v>196</v>
      </c>
      <c r="GOX1" s="176" t="s">
        <v>196</v>
      </c>
      <c r="GOY1" s="176" t="s">
        <v>196</v>
      </c>
      <c r="GOZ1" s="176" t="s">
        <v>196</v>
      </c>
      <c r="GPA1" s="176" t="s">
        <v>196</v>
      </c>
      <c r="GPB1" s="176" t="s">
        <v>196</v>
      </c>
      <c r="GPC1" s="176" t="s">
        <v>196</v>
      </c>
      <c r="GPD1" s="176" t="s">
        <v>196</v>
      </c>
      <c r="GPE1" s="176" t="s">
        <v>196</v>
      </c>
      <c r="GPF1" s="176" t="s">
        <v>196</v>
      </c>
      <c r="GPG1" s="176" t="s">
        <v>196</v>
      </c>
      <c r="GPH1" s="176" t="s">
        <v>196</v>
      </c>
      <c r="GPI1" s="176" t="s">
        <v>196</v>
      </c>
      <c r="GPJ1" s="176" t="s">
        <v>196</v>
      </c>
      <c r="GPK1" s="176" t="s">
        <v>196</v>
      </c>
      <c r="GPL1" s="176" t="s">
        <v>196</v>
      </c>
      <c r="GPM1" s="176" t="s">
        <v>196</v>
      </c>
      <c r="GPN1" s="176" t="s">
        <v>196</v>
      </c>
      <c r="GPO1" s="176" t="s">
        <v>196</v>
      </c>
      <c r="GPP1" s="176" t="s">
        <v>196</v>
      </c>
      <c r="GPQ1" s="176" t="s">
        <v>196</v>
      </c>
      <c r="GPR1" s="176" t="s">
        <v>196</v>
      </c>
      <c r="GPS1" s="176" t="s">
        <v>196</v>
      </c>
      <c r="GPT1" s="176" t="s">
        <v>196</v>
      </c>
      <c r="GPU1" s="176" t="s">
        <v>196</v>
      </c>
      <c r="GPV1" s="176" t="s">
        <v>196</v>
      </c>
      <c r="GPW1" s="176" t="s">
        <v>196</v>
      </c>
      <c r="GPX1" s="176" t="s">
        <v>196</v>
      </c>
      <c r="GPY1" s="176" t="s">
        <v>196</v>
      </c>
      <c r="GPZ1" s="176" t="s">
        <v>196</v>
      </c>
      <c r="GQA1" s="176" t="s">
        <v>196</v>
      </c>
      <c r="GQB1" s="176" t="s">
        <v>196</v>
      </c>
      <c r="GQC1" s="176" t="s">
        <v>196</v>
      </c>
      <c r="GQD1" s="176" t="s">
        <v>196</v>
      </c>
      <c r="GQE1" s="176" t="s">
        <v>196</v>
      </c>
      <c r="GQF1" s="176" t="s">
        <v>196</v>
      </c>
      <c r="GQG1" s="176" t="s">
        <v>196</v>
      </c>
      <c r="GQH1" s="176" t="s">
        <v>196</v>
      </c>
      <c r="GQI1" s="176" t="s">
        <v>196</v>
      </c>
      <c r="GQJ1" s="176" t="s">
        <v>196</v>
      </c>
      <c r="GQK1" s="176" t="s">
        <v>196</v>
      </c>
      <c r="GQL1" s="176" t="s">
        <v>196</v>
      </c>
      <c r="GQM1" s="176" t="s">
        <v>196</v>
      </c>
      <c r="GQN1" s="176" t="s">
        <v>196</v>
      </c>
      <c r="GQO1" s="176" t="s">
        <v>196</v>
      </c>
      <c r="GQP1" s="176" t="s">
        <v>196</v>
      </c>
      <c r="GQQ1" s="176" t="s">
        <v>196</v>
      </c>
      <c r="GQR1" s="176" t="s">
        <v>196</v>
      </c>
      <c r="GQS1" s="176" t="s">
        <v>196</v>
      </c>
      <c r="GQT1" s="176" t="s">
        <v>196</v>
      </c>
      <c r="GQU1" s="176" t="s">
        <v>196</v>
      </c>
      <c r="GQV1" s="176" t="s">
        <v>196</v>
      </c>
      <c r="GQW1" s="176" t="s">
        <v>196</v>
      </c>
      <c r="GQX1" s="176" t="s">
        <v>196</v>
      </c>
      <c r="GQY1" s="176" t="s">
        <v>196</v>
      </c>
      <c r="GQZ1" s="176" t="s">
        <v>196</v>
      </c>
      <c r="GRA1" s="176" t="s">
        <v>196</v>
      </c>
      <c r="GRB1" s="176" t="s">
        <v>196</v>
      </c>
      <c r="GRC1" s="176" t="s">
        <v>196</v>
      </c>
      <c r="GRD1" s="176" t="s">
        <v>196</v>
      </c>
      <c r="GRE1" s="176" t="s">
        <v>196</v>
      </c>
      <c r="GRF1" s="176" t="s">
        <v>196</v>
      </c>
      <c r="GRG1" s="176" t="s">
        <v>196</v>
      </c>
      <c r="GRH1" s="176" t="s">
        <v>196</v>
      </c>
      <c r="GRI1" s="176" t="s">
        <v>196</v>
      </c>
      <c r="GRJ1" s="176" t="s">
        <v>196</v>
      </c>
      <c r="GRK1" s="176" t="s">
        <v>196</v>
      </c>
      <c r="GRL1" s="176" t="s">
        <v>196</v>
      </c>
      <c r="GRM1" s="176" t="s">
        <v>196</v>
      </c>
      <c r="GRN1" s="176" t="s">
        <v>196</v>
      </c>
      <c r="GRO1" s="176" t="s">
        <v>196</v>
      </c>
      <c r="GRP1" s="176" t="s">
        <v>196</v>
      </c>
      <c r="GRQ1" s="176" t="s">
        <v>196</v>
      </c>
      <c r="GRR1" s="176" t="s">
        <v>196</v>
      </c>
      <c r="GRS1" s="176" t="s">
        <v>196</v>
      </c>
      <c r="GRT1" s="176" t="s">
        <v>196</v>
      </c>
      <c r="GRU1" s="176" t="s">
        <v>196</v>
      </c>
      <c r="GRV1" s="176" t="s">
        <v>196</v>
      </c>
      <c r="GRW1" s="176" t="s">
        <v>196</v>
      </c>
      <c r="GRX1" s="176" t="s">
        <v>196</v>
      </c>
      <c r="GRY1" s="176" t="s">
        <v>196</v>
      </c>
      <c r="GRZ1" s="176" t="s">
        <v>196</v>
      </c>
      <c r="GSA1" s="176" t="s">
        <v>196</v>
      </c>
      <c r="GSB1" s="176" t="s">
        <v>196</v>
      </c>
      <c r="GSC1" s="176" t="s">
        <v>196</v>
      </c>
      <c r="GSD1" s="176" t="s">
        <v>196</v>
      </c>
      <c r="GSE1" s="176" t="s">
        <v>196</v>
      </c>
      <c r="GSF1" s="176" t="s">
        <v>196</v>
      </c>
      <c r="GSG1" s="176" t="s">
        <v>196</v>
      </c>
      <c r="GSH1" s="176" t="s">
        <v>196</v>
      </c>
      <c r="GSI1" s="176" t="s">
        <v>196</v>
      </c>
      <c r="GSJ1" s="176" t="s">
        <v>196</v>
      </c>
      <c r="GSK1" s="176" t="s">
        <v>196</v>
      </c>
      <c r="GSL1" s="176" t="s">
        <v>196</v>
      </c>
      <c r="GSM1" s="176" t="s">
        <v>196</v>
      </c>
      <c r="GSN1" s="176" t="s">
        <v>196</v>
      </c>
      <c r="GSO1" s="176" t="s">
        <v>196</v>
      </c>
      <c r="GSP1" s="176" t="s">
        <v>196</v>
      </c>
      <c r="GSQ1" s="176" t="s">
        <v>196</v>
      </c>
      <c r="GSR1" s="176" t="s">
        <v>196</v>
      </c>
      <c r="GSS1" s="176" t="s">
        <v>196</v>
      </c>
      <c r="GST1" s="176" t="s">
        <v>196</v>
      </c>
      <c r="GSU1" s="176" t="s">
        <v>196</v>
      </c>
      <c r="GSV1" s="176" t="s">
        <v>196</v>
      </c>
      <c r="GSW1" s="176" t="s">
        <v>196</v>
      </c>
      <c r="GSX1" s="176" t="s">
        <v>196</v>
      </c>
      <c r="GSY1" s="176" t="s">
        <v>196</v>
      </c>
      <c r="GSZ1" s="176" t="s">
        <v>196</v>
      </c>
      <c r="GTA1" s="176" t="s">
        <v>196</v>
      </c>
      <c r="GTB1" s="176" t="s">
        <v>196</v>
      </c>
      <c r="GTC1" s="176" t="s">
        <v>196</v>
      </c>
      <c r="GTD1" s="176" t="s">
        <v>196</v>
      </c>
      <c r="GTE1" s="176" t="s">
        <v>196</v>
      </c>
      <c r="GTF1" s="176" t="s">
        <v>196</v>
      </c>
      <c r="GTG1" s="176" t="s">
        <v>196</v>
      </c>
      <c r="GTH1" s="176" t="s">
        <v>196</v>
      </c>
      <c r="GTI1" s="176" t="s">
        <v>196</v>
      </c>
      <c r="GTJ1" s="176" t="s">
        <v>196</v>
      </c>
      <c r="GTK1" s="176" t="s">
        <v>196</v>
      </c>
      <c r="GTL1" s="176" t="s">
        <v>196</v>
      </c>
      <c r="GTM1" s="176" t="s">
        <v>196</v>
      </c>
      <c r="GTN1" s="176" t="s">
        <v>196</v>
      </c>
      <c r="GTO1" s="176" t="s">
        <v>196</v>
      </c>
      <c r="GTP1" s="176" t="s">
        <v>196</v>
      </c>
      <c r="GTQ1" s="176" t="s">
        <v>196</v>
      </c>
      <c r="GTR1" s="176" t="s">
        <v>196</v>
      </c>
      <c r="GTS1" s="176" t="s">
        <v>196</v>
      </c>
      <c r="GTT1" s="176" t="s">
        <v>196</v>
      </c>
      <c r="GTU1" s="176" t="s">
        <v>196</v>
      </c>
      <c r="GTV1" s="176" t="s">
        <v>196</v>
      </c>
      <c r="GTW1" s="176" t="s">
        <v>196</v>
      </c>
      <c r="GTX1" s="176" t="s">
        <v>196</v>
      </c>
      <c r="GTY1" s="176" t="s">
        <v>196</v>
      </c>
      <c r="GTZ1" s="176" t="s">
        <v>196</v>
      </c>
      <c r="GUA1" s="176" t="s">
        <v>196</v>
      </c>
      <c r="GUB1" s="176" t="s">
        <v>196</v>
      </c>
      <c r="GUC1" s="176" t="s">
        <v>196</v>
      </c>
      <c r="GUD1" s="176" t="s">
        <v>196</v>
      </c>
      <c r="GUE1" s="176" t="s">
        <v>196</v>
      </c>
      <c r="GUF1" s="176" t="s">
        <v>196</v>
      </c>
      <c r="GUG1" s="176" t="s">
        <v>196</v>
      </c>
      <c r="GUH1" s="176" t="s">
        <v>196</v>
      </c>
      <c r="GUI1" s="176" t="s">
        <v>196</v>
      </c>
      <c r="GUJ1" s="176" t="s">
        <v>196</v>
      </c>
      <c r="GUK1" s="176" t="s">
        <v>196</v>
      </c>
      <c r="GUL1" s="176" t="s">
        <v>196</v>
      </c>
      <c r="GUM1" s="176" t="s">
        <v>196</v>
      </c>
      <c r="GUN1" s="176" t="s">
        <v>196</v>
      </c>
      <c r="GUO1" s="176" t="s">
        <v>196</v>
      </c>
      <c r="GUP1" s="176" t="s">
        <v>196</v>
      </c>
      <c r="GUQ1" s="176" t="s">
        <v>196</v>
      </c>
      <c r="GUR1" s="176" t="s">
        <v>196</v>
      </c>
      <c r="GUS1" s="176" t="s">
        <v>196</v>
      </c>
      <c r="GUT1" s="176" t="s">
        <v>196</v>
      </c>
      <c r="GUU1" s="176" t="s">
        <v>196</v>
      </c>
      <c r="GUV1" s="176" t="s">
        <v>196</v>
      </c>
      <c r="GUW1" s="176" t="s">
        <v>196</v>
      </c>
      <c r="GUX1" s="176" t="s">
        <v>196</v>
      </c>
      <c r="GUY1" s="176" t="s">
        <v>196</v>
      </c>
      <c r="GUZ1" s="176" t="s">
        <v>196</v>
      </c>
      <c r="GVA1" s="176" t="s">
        <v>196</v>
      </c>
      <c r="GVB1" s="176" t="s">
        <v>196</v>
      </c>
      <c r="GVC1" s="176" t="s">
        <v>196</v>
      </c>
      <c r="GVD1" s="176" t="s">
        <v>196</v>
      </c>
      <c r="GVE1" s="176" t="s">
        <v>196</v>
      </c>
      <c r="GVF1" s="176" t="s">
        <v>196</v>
      </c>
      <c r="GVG1" s="176" t="s">
        <v>196</v>
      </c>
      <c r="GVH1" s="176" t="s">
        <v>196</v>
      </c>
      <c r="GVI1" s="176" t="s">
        <v>196</v>
      </c>
      <c r="GVJ1" s="176" t="s">
        <v>196</v>
      </c>
      <c r="GVK1" s="176" t="s">
        <v>196</v>
      </c>
      <c r="GVL1" s="176" t="s">
        <v>196</v>
      </c>
      <c r="GVM1" s="176" t="s">
        <v>196</v>
      </c>
      <c r="GVN1" s="176" t="s">
        <v>196</v>
      </c>
      <c r="GVO1" s="176" t="s">
        <v>196</v>
      </c>
      <c r="GVP1" s="176" t="s">
        <v>196</v>
      </c>
      <c r="GVQ1" s="176" t="s">
        <v>196</v>
      </c>
      <c r="GVR1" s="176" t="s">
        <v>196</v>
      </c>
      <c r="GVS1" s="176" t="s">
        <v>196</v>
      </c>
      <c r="GVT1" s="176" t="s">
        <v>196</v>
      </c>
      <c r="GVU1" s="176" t="s">
        <v>196</v>
      </c>
      <c r="GVV1" s="176" t="s">
        <v>196</v>
      </c>
      <c r="GVW1" s="176" t="s">
        <v>196</v>
      </c>
      <c r="GVX1" s="176" t="s">
        <v>196</v>
      </c>
      <c r="GVY1" s="176" t="s">
        <v>196</v>
      </c>
      <c r="GVZ1" s="176" t="s">
        <v>196</v>
      </c>
      <c r="GWA1" s="176" t="s">
        <v>196</v>
      </c>
      <c r="GWB1" s="176" t="s">
        <v>196</v>
      </c>
      <c r="GWC1" s="176" t="s">
        <v>196</v>
      </c>
      <c r="GWD1" s="176" t="s">
        <v>196</v>
      </c>
      <c r="GWE1" s="176" t="s">
        <v>196</v>
      </c>
      <c r="GWF1" s="176" t="s">
        <v>196</v>
      </c>
      <c r="GWG1" s="176" t="s">
        <v>196</v>
      </c>
      <c r="GWH1" s="176" t="s">
        <v>196</v>
      </c>
      <c r="GWI1" s="176" t="s">
        <v>196</v>
      </c>
      <c r="GWJ1" s="176" t="s">
        <v>196</v>
      </c>
      <c r="GWK1" s="176" t="s">
        <v>196</v>
      </c>
      <c r="GWL1" s="176" t="s">
        <v>196</v>
      </c>
      <c r="GWM1" s="176" t="s">
        <v>196</v>
      </c>
      <c r="GWN1" s="176" t="s">
        <v>196</v>
      </c>
      <c r="GWO1" s="176" t="s">
        <v>196</v>
      </c>
      <c r="GWP1" s="176" t="s">
        <v>196</v>
      </c>
      <c r="GWQ1" s="176" t="s">
        <v>196</v>
      </c>
      <c r="GWR1" s="176" t="s">
        <v>196</v>
      </c>
      <c r="GWS1" s="176" t="s">
        <v>196</v>
      </c>
      <c r="GWT1" s="176" t="s">
        <v>196</v>
      </c>
      <c r="GWU1" s="176" t="s">
        <v>196</v>
      </c>
      <c r="GWV1" s="176" t="s">
        <v>196</v>
      </c>
      <c r="GWW1" s="176" t="s">
        <v>196</v>
      </c>
      <c r="GWX1" s="176" t="s">
        <v>196</v>
      </c>
      <c r="GWY1" s="176" t="s">
        <v>196</v>
      </c>
      <c r="GWZ1" s="176" t="s">
        <v>196</v>
      </c>
      <c r="GXA1" s="176" t="s">
        <v>196</v>
      </c>
      <c r="GXB1" s="176" t="s">
        <v>196</v>
      </c>
      <c r="GXC1" s="176" t="s">
        <v>196</v>
      </c>
      <c r="GXD1" s="176" t="s">
        <v>196</v>
      </c>
      <c r="GXE1" s="176" t="s">
        <v>196</v>
      </c>
      <c r="GXF1" s="176" t="s">
        <v>196</v>
      </c>
      <c r="GXG1" s="176" t="s">
        <v>196</v>
      </c>
      <c r="GXH1" s="176" t="s">
        <v>196</v>
      </c>
      <c r="GXI1" s="176" t="s">
        <v>196</v>
      </c>
      <c r="GXJ1" s="176" t="s">
        <v>196</v>
      </c>
      <c r="GXK1" s="176" t="s">
        <v>196</v>
      </c>
      <c r="GXL1" s="176" t="s">
        <v>196</v>
      </c>
      <c r="GXM1" s="176" t="s">
        <v>196</v>
      </c>
      <c r="GXN1" s="176" t="s">
        <v>196</v>
      </c>
      <c r="GXO1" s="176" t="s">
        <v>196</v>
      </c>
      <c r="GXP1" s="176" t="s">
        <v>196</v>
      </c>
      <c r="GXQ1" s="176" t="s">
        <v>196</v>
      </c>
      <c r="GXR1" s="176" t="s">
        <v>196</v>
      </c>
      <c r="GXS1" s="176" t="s">
        <v>196</v>
      </c>
      <c r="GXT1" s="176" t="s">
        <v>196</v>
      </c>
      <c r="GXU1" s="176" t="s">
        <v>196</v>
      </c>
      <c r="GXV1" s="176" t="s">
        <v>196</v>
      </c>
      <c r="GXW1" s="176" t="s">
        <v>196</v>
      </c>
      <c r="GXX1" s="176" t="s">
        <v>196</v>
      </c>
      <c r="GXY1" s="176" t="s">
        <v>196</v>
      </c>
      <c r="GXZ1" s="176" t="s">
        <v>196</v>
      </c>
      <c r="GYA1" s="176" t="s">
        <v>196</v>
      </c>
      <c r="GYB1" s="176" t="s">
        <v>196</v>
      </c>
      <c r="GYC1" s="176" t="s">
        <v>196</v>
      </c>
      <c r="GYD1" s="176" t="s">
        <v>196</v>
      </c>
      <c r="GYE1" s="176" t="s">
        <v>196</v>
      </c>
      <c r="GYF1" s="176" t="s">
        <v>196</v>
      </c>
      <c r="GYG1" s="176" t="s">
        <v>196</v>
      </c>
      <c r="GYH1" s="176" t="s">
        <v>196</v>
      </c>
      <c r="GYI1" s="176" t="s">
        <v>196</v>
      </c>
      <c r="GYJ1" s="176" t="s">
        <v>196</v>
      </c>
      <c r="GYK1" s="176" t="s">
        <v>196</v>
      </c>
      <c r="GYL1" s="176" t="s">
        <v>196</v>
      </c>
      <c r="GYM1" s="176" t="s">
        <v>196</v>
      </c>
      <c r="GYN1" s="176" t="s">
        <v>196</v>
      </c>
      <c r="GYO1" s="176" t="s">
        <v>196</v>
      </c>
      <c r="GYP1" s="176" t="s">
        <v>196</v>
      </c>
      <c r="GYQ1" s="176" t="s">
        <v>196</v>
      </c>
      <c r="GYR1" s="176" t="s">
        <v>196</v>
      </c>
      <c r="GYS1" s="176" t="s">
        <v>196</v>
      </c>
      <c r="GYT1" s="176" t="s">
        <v>196</v>
      </c>
      <c r="GYU1" s="176" t="s">
        <v>196</v>
      </c>
      <c r="GYV1" s="176" t="s">
        <v>196</v>
      </c>
      <c r="GYW1" s="176" t="s">
        <v>196</v>
      </c>
      <c r="GYX1" s="176" t="s">
        <v>196</v>
      </c>
      <c r="GYY1" s="176" t="s">
        <v>196</v>
      </c>
      <c r="GYZ1" s="176" t="s">
        <v>196</v>
      </c>
      <c r="GZA1" s="176" t="s">
        <v>196</v>
      </c>
      <c r="GZB1" s="176" t="s">
        <v>196</v>
      </c>
      <c r="GZC1" s="176" t="s">
        <v>196</v>
      </c>
      <c r="GZD1" s="176" t="s">
        <v>196</v>
      </c>
      <c r="GZE1" s="176" t="s">
        <v>196</v>
      </c>
      <c r="GZF1" s="176" t="s">
        <v>196</v>
      </c>
      <c r="GZG1" s="176" t="s">
        <v>196</v>
      </c>
      <c r="GZH1" s="176" t="s">
        <v>196</v>
      </c>
      <c r="GZI1" s="176" t="s">
        <v>196</v>
      </c>
      <c r="GZJ1" s="176" t="s">
        <v>196</v>
      </c>
      <c r="GZK1" s="176" t="s">
        <v>196</v>
      </c>
      <c r="GZL1" s="176" t="s">
        <v>196</v>
      </c>
      <c r="GZM1" s="176" t="s">
        <v>196</v>
      </c>
      <c r="GZN1" s="176" t="s">
        <v>196</v>
      </c>
      <c r="GZO1" s="176" t="s">
        <v>196</v>
      </c>
      <c r="GZP1" s="176" t="s">
        <v>196</v>
      </c>
      <c r="GZQ1" s="176" t="s">
        <v>196</v>
      </c>
      <c r="GZR1" s="176" t="s">
        <v>196</v>
      </c>
      <c r="GZS1" s="176" t="s">
        <v>196</v>
      </c>
      <c r="GZT1" s="176" t="s">
        <v>196</v>
      </c>
      <c r="GZU1" s="176" t="s">
        <v>196</v>
      </c>
      <c r="GZV1" s="176" t="s">
        <v>196</v>
      </c>
      <c r="GZW1" s="176" t="s">
        <v>196</v>
      </c>
      <c r="GZX1" s="176" t="s">
        <v>196</v>
      </c>
      <c r="GZY1" s="176" t="s">
        <v>196</v>
      </c>
      <c r="GZZ1" s="176" t="s">
        <v>196</v>
      </c>
      <c r="HAA1" s="176" t="s">
        <v>196</v>
      </c>
      <c r="HAB1" s="176" t="s">
        <v>196</v>
      </c>
      <c r="HAC1" s="176" t="s">
        <v>196</v>
      </c>
      <c r="HAD1" s="176" t="s">
        <v>196</v>
      </c>
      <c r="HAE1" s="176" t="s">
        <v>196</v>
      </c>
      <c r="HAF1" s="176" t="s">
        <v>196</v>
      </c>
      <c r="HAG1" s="176" t="s">
        <v>196</v>
      </c>
      <c r="HAH1" s="176" t="s">
        <v>196</v>
      </c>
      <c r="HAI1" s="176" t="s">
        <v>196</v>
      </c>
      <c r="HAJ1" s="176" t="s">
        <v>196</v>
      </c>
      <c r="HAK1" s="176" t="s">
        <v>196</v>
      </c>
      <c r="HAL1" s="176" t="s">
        <v>196</v>
      </c>
      <c r="HAM1" s="176" t="s">
        <v>196</v>
      </c>
      <c r="HAN1" s="176" t="s">
        <v>196</v>
      </c>
      <c r="HAO1" s="176" t="s">
        <v>196</v>
      </c>
      <c r="HAP1" s="176" t="s">
        <v>196</v>
      </c>
      <c r="HAQ1" s="176" t="s">
        <v>196</v>
      </c>
      <c r="HAR1" s="176" t="s">
        <v>196</v>
      </c>
      <c r="HAS1" s="176" t="s">
        <v>196</v>
      </c>
      <c r="HAT1" s="176" t="s">
        <v>196</v>
      </c>
      <c r="HAU1" s="176" t="s">
        <v>196</v>
      </c>
      <c r="HAV1" s="176" t="s">
        <v>196</v>
      </c>
      <c r="HAW1" s="176" t="s">
        <v>196</v>
      </c>
      <c r="HAX1" s="176" t="s">
        <v>196</v>
      </c>
      <c r="HAY1" s="176" t="s">
        <v>196</v>
      </c>
      <c r="HAZ1" s="176" t="s">
        <v>196</v>
      </c>
      <c r="HBA1" s="176" t="s">
        <v>196</v>
      </c>
      <c r="HBB1" s="176" t="s">
        <v>196</v>
      </c>
      <c r="HBC1" s="176" t="s">
        <v>196</v>
      </c>
      <c r="HBD1" s="176" t="s">
        <v>196</v>
      </c>
      <c r="HBE1" s="176" t="s">
        <v>196</v>
      </c>
      <c r="HBF1" s="176" t="s">
        <v>196</v>
      </c>
      <c r="HBG1" s="176" t="s">
        <v>196</v>
      </c>
      <c r="HBH1" s="176" t="s">
        <v>196</v>
      </c>
      <c r="HBI1" s="176" t="s">
        <v>196</v>
      </c>
      <c r="HBJ1" s="176" t="s">
        <v>196</v>
      </c>
      <c r="HBK1" s="176" t="s">
        <v>196</v>
      </c>
      <c r="HBL1" s="176" t="s">
        <v>196</v>
      </c>
      <c r="HBM1" s="176" t="s">
        <v>196</v>
      </c>
      <c r="HBN1" s="176" t="s">
        <v>196</v>
      </c>
      <c r="HBO1" s="176" t="s">
        <v>196</v>
      </c>
      <c r="HBP1" s="176" t="s">
        <v>196</v>
      </c>
      <c r="HBQ1" s="176" t="s">
        <v>196</v>
      </c>
      <c r="HBR1" s="176" t="s">
        <v>196</v>
      </c>
      <c r="HBS1" s="176" t="s">
        <v>196</v>
      </c>
      <c r="HBT1" s="176" t="s">
        <v>196</v>
      </c>
      <c r="HBU1" s="176" t="s">
        <v>196</v>
      </c>
      <c r="HBV1" s="176" t="s">
        <v>196</v>
      </c>
      <c r="HBW1" s="176" t="s">
        <v>196</v>
      </c>
      <c r="HBX1" s="176" t="s">
        <v>196</v>
      </c>
      <c r="HBY1" s="176" t="s">
        <v>196</v>
      </c>
      <c r="HBZ1" s="176" t="s">
        <v>196</v>
      </c>
      <c r="HCA1" s="176" t="s">
        <v>196</v>
      </c>
      <c r="HCB1" s="176" t="s">
        <v>196</v>
      </c>
      <c r="HCC1" s="176" t="s">
        <v>196</v>
      </c>
      <c r="HCD1" s="176" t="s">
        <v>196</v>
      </c>
      <c r="HCE1" s="176" t="s">
        <v>196</v>
      </c>
      <c r="HCF1" s="176" t="s">
        <v>196</v>
      </c>
      <c r="HCG1" s="176" t="s">
        <v>196</v>
      </c>
      <c r="HCH1" s="176" t="s">
        <v>196</v>
      </c>
      <c r="HCI1" s="176" t="s">
        <v>196</v>
      </c>
      <c r="HCJ1" s="176" t="s">
        <v>196</v>
      </c>
      <c r="HCK1" s="176" t="s">
        <v>196</v>
      </c>
      <c r="HCL1" s="176" t="s">
        <v>196</v>
      </c>
      <c r="HCM1" s="176" t="s">
        <v>196</v>
      </c>
      <c r="HCN1" s="176" t="s">
        <v>196</v>
      </c>
      <c r="HCO1" s="176" t="s">
        <v>196</v>
      </c>
      <c r="HCP1" s="176" t="s">
        <v>196</v>
      </c>
      <c r="HCQ1" s="176" t="s">
        <v>196</v>
      </c>
      <c r="HCR1" s="176" t="s">
        <v>196</v>
      </c>
      <c r="HCS1" s="176" t="s">
        <v>196</v>
      </c>
      <c r="HCT1" s="176" t="s">
        <v>196</v>
      </c>
      <c r="HCU1" s="176" t="s">
        <v>196</v>
      </c>
      <c r="HCV1" s="176" t="s">
        <v>196</v>
      </c>
      <c r="HCW1" s="176" t="s">
        <v>196</v>
      </c>
      <c r="HCX1" s="176" t="s">
        <v>196</v>
      </c>
      <c r="HCY1" s="176" t="s">
        <v>196</v>
      </c>
      <c r="HCZ1" s="176" t="s">
        <v>196</v>
      </c>
      <c r="HDA1" s="176" t="s">
        <v>196</v>
      </c>
      <c r="HDB1" s="176" t="s">
        <v>196</v>
      </c>
      <c r="HDC1" s="176" t="s">
        <v>196</v>
      </c>
      <c r="HDD1" s="176" t="s">
        <v>196</v>
      </c>
      <c r="HDE1" s="176" t="s">
        <v>196</v>
      </c>
      <c r="HDF1" s="176" t="s">
        <v>196</v>
      </c>
      <c r="HDG1" s="176" t="s">
        <v>196</v>
      </c>
      <c r="HDH1" s="176" t="s">
        <v>196</v>
      </c>
      <c r="HDI1" s="176" t="s">
        <v>196</v>
      </c>
      <c r="HDJ1" s="176" t="s">
        <v>196</v>
      </c>
      <c r="HDK1" s="176" t="s">
        <v>196</v>
      </c>
      <c r="HDL1" s="176" t="s">
        <v>196</v>
      </c>
      <c r="HDM1" s="176" t="s">
        <v>196</v>
      </c>
      <c r="HDN1" s="176" t="s">
        <v>196</v>
      </c>
      <c r="HDO1" s="176" t="s">
        <v>196</v>
      </c>
      <c r="HDP1" s="176" t="s">
        <v>196</v>
      </c>
      <c r="HDQ1" s="176" t="s">
        <v>196</v>
      </c>
      <c r="HDR1" s="176" t="s">
        <v>196</v>
      </c>
      <c r="HDS1" s="176" t="s">
        <v>196</v>
      </c>
      <c r="HDT1" s="176" t="s">
        <v>196</v>
      </c>
      <c r="HDU1" s="176" t="s">
        <v>196</v>
      </c>
      <c r="HDV1" s="176" t="s">
        <v>196</v>
      </c>
      <c r="HDW1" s="176" t="s">
        <v>196</v>
      </c>
      <c r="HDX1" s="176" t="s">
        <v>196</v>
      </c>
      <c r="HDY1" s="176" t="s">
        <v>196</v>
      </c>
      <c r="HDZ1" s="176" t="s">
        <v>196</v>
      </c>
      <c r="HEA1" s="176" t="s">
        <v>196</v>
      </c>
      <c r="HEB1" s="176" t="s">
        <v>196</v>
      </c>
      <c r="HEC1" s="176" t="s">
        <v>196</v>
      </c>
      <c r="HED1" s="176" t="s">
        <v>196</v>
      </c>
      <c r="HEE1" s="176" t="s">
        <v>196</v>
      </c>
      <c r="HEF1" s="176" t="s">
        <v>196</v>
      </c>
      <c r="HEG1" s="176" t="s">
        <v>196</v>
      </c>
      <c r="HEH1" s="176" t="s">
        <v>196</v>
      </c>
      <c r="HEI1" s="176" t="s">
        <v>196</v>
      </c>
      <c r="HEJ1" s="176" t="s">
        <v>196</v>
      </c>
      <c r="HEK1" s="176" t="s">
        <v>196</v>
      </c>
      <c r="HEL1" s="176" t="s">
        <v>196</v>
      </c>
      <c r="HEM1" s="176" t="s">
        <v>196</v>
      </c>
      <c r="HEN1" s="176" t="s">
        <v>196</v>
      </c>
      <c r="HEO1" s="176" t="s">
        <v>196</v>
      </c>
      <c r="HEP1" s="176" t="s">
        <v>196</v>
      </c>
      <c r="HEQ1" s="176" t="s">
        <v>196</v>
      </c>
      <c r="HER1" s="176" t="s">
        <v>196</v>
      </c>
      <c r="HES1" s="176" t="s">
        <v>196</v>
      </c>
      <c r="HET1" s="176" t="s">
        <v>196</v>
      </c>
      <c r="HEU1" s="176" t="s">
        <v>196</v>
      </c>
      <c r="HEV1" s="176" t="s">
        <v>196</v>
      </c>
      <c r="HEW1" s="176" t="s">
        <v>196</v>
      </c>
      <c r="HEX1" s="176" t="s">
        <v>196</v>
      </c>
      <c r="HEY1" s="176" t="s">
        <v>196</v>
      </c>
      <c r="HEZ1" s="176" t="s">
        <v>196</v>
      </c>
      <c r="HFA1" s="176" t="s">
        <v>196</v>
      </c>
      <c r="HFB1" s="176" t="s">
        <v>196</v>
      </c>
      <c r="HFC1" s="176" t="s">
        <v>196</v>
      </c>
      <c r="HFD1" s="176" t="s">
        <v>196</v>
      </c>
      <c r="HFE1" s="176" t="s">
        <v>196</v>
      </c>
      <c r="HFF1" s="176" t="s">
        <v>196</v>
      </c>
      <c r="HFG1" s="176" t="s">
        <v>196</v>
      </c>
      <c r="HFH1" s="176" t="s">
        <v>196</v>
      </c>
      <c r="HFI1" s="176" t="s">
        <v>196</v>
      </c>
      <c r="HFJ1" s="176" t="s">
        <v>196</v>
      </c>
      <c r="HFK1" s="176" t="s">
        <v>196</v>
      </c>
      <c r="HFL1" s="176" t="s">
        <v>196</v>
      </c>
      <c r="HFM1" s="176" t="s">
        <v>196</v>
      </c>
      <c r="HFN1" s="176" t="s">
        <v>196</v>
      </c>
      <c r="HFO1" s="176" t="s">
        <v>196</v>
      </c>
      <c r="HFP1" s="176" t="s">
        <v>196</v>
      </c>
      <c r="HFQ1" s="176" t="s">
        <v>196</v>
      </c>
      <c r="HFR1" s="176" t="s">
        <v>196</v>
      </c>
      <c r="HFS1" s="176" t="s">
        <v>196</v>
      </c>
      <c r="HFT1" s="176" t="s">
        <v>196</v>
      </c>
      <c r="HFU1" s="176" t="s">
        <v>196</v>
      </c>
      <c r="HFV1" s="176" t="s">
        <v>196</v>
      </c>
      <c r="HFW1" s="176" t="s">
        <v>196</v>
      </c>
      <c r="HFX1" s="176" t="s">
        <v>196</v>
      </c>
      <c r="HFY1" s="176" t="s">
        <v>196</v>
      </c>
      <c r="HFZ1" s="176" t="s">
        <v>196</v>
      </c>
      <c r="HGA1" s="176" t="s">
        <v>196</v>
      </c>
      <c r="HGB1" s="176" t="s">
        <v>196</v>
      </c>
      <c r="HGC1" s="176" t="s">
        <v>196</v>
      </c>
      <c r="HGD1" s="176" t="s">
        <v>196</v>
      </c>
      <c r="HGE1" s="176" t="s">
        <v>196</v>
      </c>
      <c r="HGF1" s="176" t="s">
        <v>196</v>
      </c>
      <c r="HGG1" s="176" t="s">
        <v>196</v>
      </c>
      <c r="HGH1" s="176" t="s">
        <v>196</v>
      </c>
      <c r="HGI1" s="176" t="s">
        <v>196</v>
      </c>
      <c r="HGJ1" s="176" t="s">
        <v>196</v>
      </c>
      <c r="HGK1" s="176" t="s">
        <v>196</v>
      </c>
      <c r="HGL1" s="176" t="s">
        <v>196</v>
      </c>
      <c r="HGM1" s="176" t="s">
        <v>196</v>
      </c>
      <c r="HGN1" s="176" t="s">
        <v>196</v>
      </c>
      <c r="HGO1" s="176" t="s">
        <v>196</v>
      </c>
      <c r="HGP1" s="176" t="s">
        <v>196</v>
      </c>
      <c r="HGQ1" s="176" t="s">
        <v>196</v>
      </c>
      <c r="HGR1" s="176" t="s">
        <v>196</v>
      </c>
      <c r="HGS1" s="176" t="s">
        <v>196</v>
      </c>
      <c r="HGT1" s="176" t="s">
        <v>196</v>
      </c>
      <c r="HGU1" s="176" t="s">
        <v>196</v>
      </c>
      <c r="HGV1" s="176" t="s">
        <v>196</v>
      </c>
      <c r="HGW1" s="176" t="s">
        <v>196</v>
      </c>
      <c r="HGX1" s="176" t="s">
        <v>196</v>
      </c>
      <c r="HGY1" s="176" t="s">
        <v>196</v>
      </c>
      <c r="HGZ1" s="176" t="s">
        <v>196</v>
      </c>
      <c r="HHA1" s="176" t="s">
        <v>196</v>
      </c>
      <c r="HHB1" s="176" t="s">
        <v>196</v>
      </c>
      <c r="HHC1" s="176" t="s">
        <v>196</v>
      </c>
      <c r="HHD1" s="176" t="s">
        <v>196</v>
      </c>
      <c r="HHE1" s="176" t="s">
        <v>196</v>
      </c>
      <c r="HHF1" s="176" t="s">
        <v>196</v>
      </c>
      <c r="HHG1" s="176" t="s">
        <v>196</v>
      </c>
      <c r="HHH1" s="176" t="s">
        <v>196</v>
      </c>
      <c r="HHI1" s="176" t="s">
        <v>196</v>
      </c>
      <c r="HHJ1" s="176" t="s">
        <v>196</v>
      </c>
      <c r="HHK1" s="176" t="s">
        <v>196</v>
      </c>
      <c r="HHL1" s="176" t="s">
        <v>196</v>
      </c>
      <c r="HHM1" s="176" t="s">
        <v>196</v>
      </c>
      <c r="HHN1" s="176" t="s">
        <v>196</v>
      </c>
      <c r="HHO1" s="176" t="s">
        <v>196</v>
      </c>
      <c r="HHP1" s="176" t="s">
        <v>196</v>
      </c>
      <c r="HHQ1" s="176" t="s">
        <v>196</v>
      </c>
      <c r="HHR1" s="176" t="s">
        <v>196</v>
      </c>
      <c r="HHS1" s="176" t="s">
        <v>196</v>
      </c>
      <c r="HHT1" s="176" t="s">
        <v>196</v>
      </c>
      <c r="HHU1" s="176" t="s">
        <v>196</v>
      </c>
      <c r="HHV1" s="176" t="s">
        <v>196</v>
      </c>
      <c r="HHW1" s="176" t="s">
        <v>196</v>
      </c>
      <c r="HHX1" s="176" t="s">
        <v>196</v>
      </c>
      <c r="HHY1" s="176" t="s">
        <v>196</v>
      </c>
      <c r="HHZ1" s="176" t="s">
        <v>196</v>
      </c>
      <c r="HIA1" s="176" t="s">
        <v>196</v>
      </c>
      <c r="HIB1" s="176" t="s">
        <v>196</v>
      </c>
      <c r="HIC1" s="176" t="s">
        <v>196</v>
      </c>
      <c r="HID1" s="176" t="s">
        <v>196</v>
      </c>
      <c r="HIE1" s="176" t="s">
        <v>196</v>
      </c>
      <c r="HIF1" s="176" t="s">
        <v>196</v>
      </c>
      <c r="HIG1" s="176" t="s">
        <v>196</v>
      </c>
      <c r="HIH1" s="176" t="s">
        <v>196</v>
      </c>
      <c r="HII1" s="176" t="s">
        <v>196</v>
      </c>
      <c r="HIJ1" s="176" t="s">
        <v>196</v>
      </c>
      <c r="HIK1" s="176" t="s">
        <v>196</v>
      </c>
      <c r="HIL1" s="176" t="s">
        <v>196</v>
      </c>
      <c r="HIM1" s="176" t="s">
        <v>196</v>
      </c>
      <c r="HIN1" s="176" t="s">
        <v>196</v>
      </c>
      <c r="HIO1" s="176" t="s">
        <v>196</v>
      </c>
      <c r="HIP1" s="176" t="s">
        <v>196</v>
      </c>
      <c r="HIQ1" s="176" t="s">
        <v>196</v>
      </c>
      <c r="HIR1" s="176" t="s">
        <v>196</v>
      </c>
      <c r="HIS1" s="176" t="s">
        <v>196</v>
      </c>
      <c r="HIT1" s="176" t="s">
        <v>196</v>
      </c>
      <c r="HIU1" s="176" t="s">
        <v>196</v>
      </c>
      <c r="HIV1" s="176" t="s">
        <v>196</v>
      </c>
      <c r="HIW1" s="176" t="s">
        <v>196</v>
      </c>
      <c r="HIX1" s="176" t="s">
        <v>196</v>
      </c>
      <c r="HIY1" s="176" t="s">
        <v>196</v>
      </c>
      <c r="HIZ1" s="176" t="s">
        <v>196</v>
      </c>
      <c r="HJA1" s="176" t="s">
        <v>196</v>
      </c>
      <c r="HJB1" s="176" t="s">
        <v>196</v>
      </c>
      <c r="HJC1" s="176" t="s">
        <v>196</v>
      </c>
      <c r="HJD1" s="176" t="s">
        <v>196</v>
      </c>
      <c r="HJE1" s="176" t="s">
        <v>196</v>
      </c>
      <c r="HJF1" s="176" t="s">
        <v>196</v>
      </c>
      <c r="HJG1" s="176" t="s">
        <v>196</v>
      </c>
      <c r="HJH1" s="176" t="s">
        <v>196</v>
      </c>
      <c r="HJI1" s="176" t="s">
        <v>196</v>
      </c>
      <c r="HJJ1" s="176" t="s">
        <v>196</v>
      </c>
      <c r="HJK1" s="176" t="s">
        <v>196</v>
      </c>
      <c r="HJL1" s="176" t="s">
        <v>196</v>
      </c>
      <c r="HJM1" s="176" t="s">
        <v>196</v>
      </c>
      <c r="HJN1" s="176" t="s">
        <v>196</v>
      </c>
      <c r="HJO1" s="176" t="s">
        <v>196</v>
      </c>
      <c r="HJP1" s="176" t="s">
        <v>196</v>
      </c>
      <c r="HJQ1" s="176" t="s">
        <v>196</v>
      </c>
      <c r="HJR1" s="176" t="s">
        <v>196</v>
      </c>
      <c r="HJS1" s="176" t="s">
        <v>196</v>
      </c>
      <c r="HJT1" s="176" t="s">
        <v>196</v>
      </c>
      <c r="HJU1" s="176" t="s">
        <v>196</v>
      </c>
      <c r="HJV1" s="176" t="s">
        <v>196</v>
      </c>
      <c r="HJW1" s="176" t="s">
        <v>196</v>
      </c>
      <c r="HJX1" s="176" t="s">
        <v>196</v>
      </c>
      <c r="HJY1" s="176" t="s">
        <v>196</v>
      </c>
      <c r="HJZ1" s="176" t="s">
        <v>196</v>
      </c>
      <c r="HKA1" s="176" t="s">
        <v>196</v>
      </c>
      <c r="HKB1" s="176" t="s">
        <v>196</v>
      </c>
      <c r="HKC1" s="176" t="s">
        <v>196</v>
      </c>
      <c r="HKD1" s="176" t="s">
        <v>196</v>
      </c>
      <c r="HKE1" s="176" t="s">
        <v>196</v>
      </c>
      <c r="HKF1" s="176" t="s">
        <v>196</v>
      </c>
      <c r="HKG1" s="176" t="s">
        <v>196</v>
      </c>
      <c r="HKH1" s="176" t="s">
        <v>196</v>
      </c>
      <c r="HKI1" s="176" t="s">
        <v>196</v>
      </c>
      <c r="HKJ1" s="176" t="s">
        <v>196</v>
      </c>
      <c r="HKK1" s="176" t="s">
        <v>196</v>
      </c>
      <c r="HKL1" s="176" t="s">
        <v>196</v>
      </c>
      <c r="HKM1" s="176" t="s">
        <v>196</v>
      </c>
      <c r="HKN1" s="176" t="s">
        <v>196</v>
      </c>
      <c r="HKO1" s="176" t="s">
        <v>196</v>
      </c>
      <c r="HKP1" s="176" t="s">
        <v>196</v>
      </c>
      <c r="HKQ1" s="176" t="s">
        <v>196</v>
      </c>
      <c r="HKR1" s="176" t="s">
        <v>196</v>
      </c>
      <c r="HKS1" s="176" t="s">
        <v>196</v>
      </c>
      <c r="HKT1" s="176" t="s">
        <v>196</v>
      </c>
      <c r="HKU1" s="176" t="s">
        <v>196</v>
      </c>
      <c r="HKV1" s="176" t="s">
        <v>196</v>
      </c>
      <c r="HKW1" s="176" t="s">
        <v>196</v>
      </c>
      <c r="HKX1" s="176" t="s">
        <v>196</v>
      </c>
      <c r="HKY1" s="176" t="s">
        <v>196</v>
      </c>
      <c r="HKZ1" s="176" t="s">
        <v>196</v>
      </c>
      <c r="HLA1" s="176" t="s">
        <v>196</v>
      </c>
      <c r="HLB1" s="176" t="s">
        <v>196</v>
      </c>
      <c r="HLC1" s="176" t="s">
        <v>196</v>
      </c>
      <c r="HLD1" s="176" t="s">
        <v>196</v>
      </c>
      <c r="HLE1" s="176" t="s">
        <v>196</v>
      </c>
      <c r="HLF1" s="176" t="s">
        <v>196</v>
      </c>
      <c r="HLG1" s="176" t="s">
        <v>196</v>
      </c>
      <c r="HLH1" s="176" t="s">
        <v>196</v>
      </c>
      <c r="HLI1" s="176" t="s">
        <v>196</v>
      </c>
      <c r="HLJ1" s="176" t="s">
        <v>196</v>
      </c>
      <c r="HLK1" s="176" t="s">
        <v>196</v>
      </c>
      <c r="HLL1" s="176" t="s">
        <v>196</v>
      </c>
      <c r="HLM1" s="176" t="s">
        <v>196</v>
      </c>
      <c r="HLN1" s="176" t="s">
        <v>196</v>
      </c>
      <c r="HLO1" s="176" t="s">
        <v>196</v>
      </c>
      <c r="HLP1" s="176" t="s">
        <v>196</v>
      </c>
      <c r="HLQ1" s="176" t="s">
        <v>196</v>
      </c>
      <c r="HLR1" s="176" t="s">
        <v>196</v>
      </c>
      <c r="HLS1" s="176" t="s">
        <v>196</v>
      </c>
      <c r="HLT1" s="176" t="s">
        <v>196</v>
      </c>
      <c r="HLU1" s="176" t="s">
        <v>196</v>
      </c>
      <c r="HLV1" s="176" t="s">
        <v>196</v>
      </c>
      <c r="HLW1" s="176" t="s">
        <v>196</v>
      </c>
      <c r="HLX1" s="176" t="s">
        <v>196</v>
      </c>
      <c r="HLY1" s="176" t="s">
        <v>196</v>
      </c>
      <c r="HLZ1" s="176" t="s">
        <v>196</v>
      </c>
      <c r="HMA1" s="176" t="s">
        <v>196</v>
      </c>
      <c r="HMB1" s="176" t="s">
        <v>196</v>
      </c>
      <c r="HMC1" s="176" t="s">
        <v>196</v>
      </c>
      <c r="HMD1" s="176" t="s">
        <v>196</v>
      </c>
      <c r="HME1" s="176" t="s">
        <v>196</v>
      </c>
      <c r="HMF1" s="176" t="s">
        <v>196</v>
      </c>
      <c r="HMG1" s="176" t="s">
        <v>196</v>
      </c>
      <c r="HMH1" s="176" t="s">
        <v>196</v>
      </c>
      <c r="HMI1" s="176" t="s">
        <v>196</v>
      </c>
      <c r="HMJ1" s="176" t="s">
        <v>196</v>
      </c>
      <c r="HMK1" s="176" t="s">
        <v>196</v>
      </c>
      <c r="HML1" s="176" t="s">
        <v>196</v>
      </c>
      <c r="HMM1" s="176" t="s">
        <v>196</v>
      </c>
      <c r="HMN1" s="176" t="s">
        <v>196</v>
      </c>
      <c r="HMO1" s="176" t="s">
        <v>196</v>
      </c>
      <c r="HMP1" s="176" t="s">
        <v>196</v>
      </c>
      <c r="HMQ1" s="176" t="s">
        <v>196</v>
      </c>
      <c r="HMR1" s="176" t="s">
        <v>196</v>
      </c>
      <c r="HMS1" s="176" t="s">
        <v>196</v>
      </c>
      <c r="HMT1" s="176" t="s">
        <v>196</v>
      </c>
      <c r="HMU1" s="176" t="s">
        <v>196</v>
      </c>
      <c r="HMV1" s="176" t="s">
        <v>196</v>
      </c>
      <c r="HMW1" s="176" t="s">
        <v>196</v>
      </c>
      <c r="HMX1" s="176" t="s">
        <v>196</v>
      </c>
      <c r="HMY1" s="176" t="s">
        <v>196</v>
      </c>
      <c r="HMZ1" s="176" t="s">
        <v>196</v>
      </c>
      <c r="HNA1" s="176" t="s">
        <v>196</v>
      </c>
      <c r="HNB1" s="176" t="s">
        <v>196</v>
      </c>
      <c r="HNC1" s="176" t="s">
        <v>196</v>
      </c>
      <c r="HND1" s="176" t="s">
        <v>196</v>
      </c>
      <c r="HNE1" s="176" t="s">
        <v>196</v>
      </c>
      <c r="HNF1" s="176" t="s">
        <v>196</v>
      </c>
      <c r="HNG1" s="176" t="s">
        <v>196</v>
      </c>
      <c r="HNH1" s="176" t="s">
        <v>196</v>
      </c>
      <c r="HNI1" s="176" t="s">
        <v>196</v>
      </c>
      <c r="HNJ1" s="176" t="s">
        <v>196</v>
      </c>
      <c r="HNK1" s="176" t="s">
        <v>196</v>
      </c>
      <c r="HNL1" s="176" t="s">
        <v>196</v>
      </c>
      <c r="HNM1" s="176" t="s">
        <v>196</v>
      </c>
      <c r="HNN1" s="176" t="s">
        <v>196</v>
      </c>
      <c r="HNO1" s="176" t="s">
        <v>196</v>
      </c>
      <c r="HNP1" s="176" t="s">
        <v>196</v>
      </c>
      <c r="HNQ1" s="176" t="s">
        <v>196</v>
      </c>
      <c r="HNR1" s="176" t="s">
        <v>196</v>
      </c>
      <c r="HNS1" s="176" t="s">
        <v>196</v>
      </c>
      <c r="HNT1" s="176" t="s">
        <v>196</v>
      </c>
      <c r="HNU1" s="176" t="s">
        <v>196</v>
      </c>
      <c r="HNV1" s="176" t="s">
        <v>196</v>
      </c>
      <c r="HNW1" s="176" t="s">
        <v>196</v>
      </c>
      <c r="HNX1" s="176" t="s">
        <v>196</v>
      </c>
      <c r="HNY1" s="176" t="s">
        <v>196</v>
      </c>
      <c r="HNZ1" s="176" t="s">
        <v>196</v>
      </c>
      <c r="HOA1" s="176" t="s">
        <v>196</v>
      </c>
      <c r="HOB1" s="176" t="s">
        <v>196</v>
      </c>
      <c r="HOC1" s="176" t="s">
        <v>196</v>
      </c>
      <c r="HOD1" s="176" t="s">
        <v>196</v>
      </c>
      <c r="HOE1" s="176" t="s">
        <v>196</v>
      </c>
      <c r="HOF1" s="176" t="s">
        <v>196</v>
      </c>
      <c r="HOG1" s="176" t="s">
        <v>196</v>
      </c>
      <c r="HOH1" s="176" t="s">
        <v>196</v>
      </c>
      <c r="HOI1" s="176" t="s">
        <v>196</v>
      </c>
      <c r="HOJ1" s="176" t="s">
        <v>196</v>
      </c>
      <c r="HOK1" s="176" t="s">
        <v>196</v>
      </c>
      <c r="HOL1" s="176" t="s">
        <v>196</v>
      </c>
      <c r="HOM1" s="176" t="s">
        <v>196</v>
      </c>
      <c r="HON1" s="176" t="s">
        <v>196</v>
      </c>
      <c r="HOO1" s="176" t="s">
        <v>196</v>
      </c>
      <c r="HOP1" s="176" t="s">
        <v>196</v>
      </c>
      <c r="HOQ1" s="176" t="s">
        <v>196</v>
      </c>
      <c r="HOR1" s="176" t="s">
        <v>196</v>
      </c>
      <c r="HOS1" s="176" t="s">
        <v>196</v>
      </c>
      <c r="HOT1" s="176" t="s">
        <v>196</v>
      </c>
      <c r="HOU1" s="176" t="s">
        <v>196</v>
      </c>
      <c r="HOV1" s="176" t="s">
        <v>196</v>
      </c>
      <c r="HOW1" s="176" t="s">
        <v>196</v>
      </c>
      <c r="HOX1" s="176" t="s">
        <v>196</v>
      </c>
      <c r="HOY1" s="176" t="s">
        <v>196</v>
      </c>
      <c r="HOZ1" s="176" t="s">
        <v>196</v>
      </c>
      <c r="HPA1" s="176" t="s">
        <v>196</v>
      </c>
      <c r="HPB1" s="176" t="s">
        <v>196</v>
      </c>
      <c r="HPC1" s="176" t="s">
        <v>196</v>
      </c>
      <c r="HPD1" s="176" t="s">
        <v>196</v>
      </c>
      <c r="HPE1" s="176" t="s">
        <v>196</v>
      </c>
      <c r="HPF1" s="176" t="s">
        <v>196</v>
      </c>
      <c r="HPG1" s="176" t="s">
        <v>196</v>
      </c>
      <c r="HPH1" s="176" t="s">
        <v>196</v>
      </c>
      <c r="HPI1" s="176" t="s">
        <v>196</v>
      </c>
      <c r="HPJ1" s="176" t="s">
        <v>196</v>
      </c>
      <c r="HPK1" s="176" t="s">
        <v>196</v>
      </c>
      <c r="HPL1" s="176" t="s">
        <v>196</v>
      </c>
      <c r="HPM1" s="176" t="s">
        <v>196</v>
      </c>
      <c r="HPN1" s="176" t="s">
        <v>196</v>
      </c>
      <c r="HPO1" s="176" t="s">
        <v>196</v>
      </c>
      <c r="HPP1" s="176" t="s">
        <v>196</v>
      </c>
      <c r="HPQ1" s="176" t="s">
        <v>196</v>
      </c>
      <c r="HPR1" s="176" t="s">
        <v>196</v>
      </c>
      <c r="HPS1" s="176" t="s">
        <v>196</v>
      </c>
      <c r="HPT1" s="176" t="s">
        <v>196</v>
      </c>
      <c r="HPU1" s="176" t="s">
        <v>196</v>
      </c>
      <c r="HPV1" s="176" t="s">
        <v>196</v>
      </c>
      <c r="HPW1" s="176" t="s">
        <v>196</v>
      </c>
      <c r="HPX1" s="176" t="s">
        <v>196</v>
      </c>
      <c r="HPY1" s="176" t="s">
        <v>196</v>
      </c>
      <c r="HPZ1" s="176" t="s">
        <v>196</v>
      </c>
      <c r="HQA1" s="176" t="s">
        <v>196</v>
      </c>
      <c r="HQB1" s="176" t="s">
        <v>196</v>
      </c>
      <c r="HQC1" s="176" t="s">
        <v>196</v>
      </c>
      <c r="HQD1" s="176" t="s">
        <v>196</v>
      </c>
      <c r="HQE1" s="176" t="s">
        <v>196</v>
      </c>
      <c r="HQF1" s="176" t="s">
        <v>196</v>
      </c>
      <c r="HQG1" s="176" t="s">
        <v>196</v>
      </c>
      <c r="HQH1" s="176" t="s">
        <v>196</v>
      </c>
      <c r="HQI1" s="176" t="s">
        <v>196</v>
      </c>
      <c r="HQJ1" s="176" t="s">
        <v>196</v>
      </c>
      <c r="HQK1" s="176" t="s">
        <v>196</v>
      </c>
      <c r="HQL1" s="176" t="s">
        <v>196</v>
      </c>
      <c r="HQM1" s="176" t="s">
        <v>196</v>
      </c>
      <c r="HQN1" s="176" t="s">
        <v>196</v>
      </c>
      <c r="HQO1" s="176" t="s">
        <v>196</v>
      </c>
      <c r="HQP1" s="176" t="s">
        <v>196</v>
      </c>
      <c r="HQQ1" s="176" t="s">
        <v>196</v>
      </c>
      <c r="HQR1" s="176" t="s">
        <v>196</v>
      </c>
      <c r="HQS1" s="176" t="s">
        <v>196</v>
      </c>
      <c r="HQT1" s="176" t="s">
        <v>196</v>
      </c>
      <c r="HQU1" s="176" t="s">
        <v>196</v>
      </c>
      <c r="HQV1" s="176" t="s">
        <v>196</v>
      </c>
      <c r="HQW1" s="176" t="s">
        <v>196</v>
      </c>
      <c r="HQX1" s="176" t="s">
        <v>196</v>
      </c>
      <c r="HQY1" s="176" t="s">
        <v>196</v>
      </c>
      <c r="HQZ1" s="176" t="s">
        <v>196</v>
      </c>
      <c r="HRA1" s="176" t="s">
        <v>196</v>
      </c>
      <c r="HRB1" s="176" t="s">
        <v>196</v>
      </c>
      <c r="HRC1" s="176" t="s">
        <v>196</v>
      </c>
      <c r="HRD1" s="176" t="s">
        <v>196</v>
      </c>
      <c r="HRE1" s="176" t="s">
        <v>196</v>
      </c>
      <c r="HRF1" s="176" t="s">
        <v>196</v>
      </c>
      <c r="HRG1" s="176" t="s">
        <v>196</v>
      </c>
      <c r="HRH1" s="176" t="s">
        <v>196</v>
      </c>
      <c r="HRI1" s="176" t="s">
        <v>196</v>
      </c>
      <c r="HRJ1" s="176" t="s">
        <v>196</v>
      </c>
      <c r="HRK1" s="176" t="s">
        <v>196</v>
      </c>
      <c r="HRL1" s="176" t="s">
        <v>196</v>
      </c>
      <c r="HRM1" s="176" t="s">
        <v>196</v>
      </c>
      <c r="HRN1" s="176" t="s">
        <v>196</v>
      </c>
      <c r="HRO1" s="176" t="s">
        <v>196</v>
      </c>
      <c r="HRP1" s="176" t="s">
        <v>196</v>
      </c>
      <c r="HRQ1" s="176" t="s">
        <v>196</v>
      </c>
      <c r="HRR1" s="176" t="s">
        <v>196</v>
      </c>
      <c r="HRS1" s="176" t="s">
        <v>196</v>
      </c>
      <c r="HRT1" s="176" t="s">
        <v>196</v>
      </c>
      <c r="HRU1" s="176" t="s">
        <v>196</v>
      </c>
      <c r="HRV1" s="176" t="s">
        <v>196</v>
      </c>
      <c r="HRW1" s="176" t="s">
        <v>196</v>
      </c>
      <c r="HRX1" s="176" t="s">
        <v>196</v>
      </c>
      <c r="HRY1" s="176" t="s">
        <v>196</v>
      </c>
      <c r="HRZ1" s="176" t="s">
        <v>196</v>
      </c>
      <c r="HSA1" s="176" t="s">
        <v>196</v>
      </c>
      <c r="HSB1" s="176" t="s">
        <v>196</v>
      </c>
      <c r="HSC1" s="176" t="s">
        <v>196</v>
      </c>
      <c r="HSD1" s="176" t="s">
        <v>196</v>
      </c>
      <c r="HSE1" s="176" t="s">
        <v>196</v>
      </c>
      <c r="HSF1" s="176" t="s">
        <v>196</v>
      </c>
      <c r="HSG1" s="176" t="s">
        <v>196</v>
      </c>
      <c r="HSH1" s="176" t="s">
        <v>196</v>
      </c>
      <c r="HSI1" s="176" t="s">
        <v>196</v>
      </c>
      <c r="HSJ1" s="176" t="s">
        <v>196</v>
      </c>
      <c r="HSK1" s="176" t="s">
        <v>196</v>
      </c>
      <c r="HSL1" s="176" t="s">
        <v>196</v>
      </c>
      <c r="HSM1" s="176" t="s">
        <v>196</v>
      </c>
      <c r="HSN1" s="176" t="s">
        <v>196</v>
      </c>
      <c r="HSO1" s="176" t="s">
        <v>196</v>
      </c>
      <c r="HSP1" s="176" t="s">
        <v>196</v>
      </c>
      <c r="HSQ1" s="176" t="s">
        <v>196</v>
      </c>
      <c r="HSR1" s="176" t="s">
        <v>196</v>
      </c>
      <c r="HSS1" s="176" t="s">
        <v>196</v>
      </c>
      <c r="HST1" s="176" t="s">
        <v>196</v>
      </c>
      <c r="HSU1" s="176" t="s">
        <v>196</v>
      </c>
      <c r="HSV1" s="176" t="s">
        <v>196</v>
      </c>
      <c r="HSW1" s="176" t="s">
        <v>196</v>
      </c>
      <c r="HSX1" s="176" t="s">
        <v>196</v>
      </c>
      <c r="HSY1" s="176" t="s">
        <v>196</v>
      </c>
      <c r="HSZ1" s="176" t="s">
        <v>196</v>
      </c>
      <c r="HTA1" s="176" t="s">
        <v>196</v>
      </c>
      <c r="HTB1" s="176" t="s">
        <v>196</v>
      </c>
      <c r="HTC1" s="176" t="s">
        <v>196</v>
      </c>
      <c r="HTD1" s="176" t="s">
        <v>196</v>
      </c>
      <c r="HTE1" s="176" t="s">
        <v>196</v>
      </c>
      <c r="HTF1" s="176" t="s">
        <v>196</v>
      </c>
      <c r="HTG1" s="176" t="s">
        <v>196</v>
      </c>
      <c r="HTH1" s="176" t="s">
        <v>196</v>
      </c>
      <c r="HTI1" s="176" t="s">
        <v>196</v>
      </c>
      <c r="HTJ1" s="176" t="s">
        <v>196</v>
      </c>
      <c r="HTK1" s="176" t="s">
        <v>196</v>
      </c>
      <c r="HTL1" s="176" t="s">
        <v>196</v>
      </c>
      <c r="HTM1" s="176" t="s">
        <v>196</v>
      </c>
      <c r="HTN1" s="176" t="s">
        <v>196</v>
      </c>
      <c r="HTO1" s="176" t="s">
        <v>196</v>
      </c>
      <c r="HTP1" s="176" t="s">
        <v>196</v>
      </c>
      <c r="HTQ1" s="176" t="s">
        <v>196</v>
      </c>
      <c r="HTR1" s="176" t="s">
        <v>196</v>
      </c>
      <c r="HTS1" s="176" t="s">
        <v>196</v>
      </c>
      <c r="HTT1" s="176" t="s">
        <v>196</v>
      </c>
      <c r="HTU1" s="176" t="s">
        <v>196</v>
      </c>
      <c r="HTV1" s="176" t="s">
        <v>196</v>
      </c>
      <c r="HTW1" s="176" t="s">
        <v>196</v>
      </c>
      <c r="HTX1" s="176" t="s">
        <v>196</v>
      </c>
      <c r="HTY1" s="176" t="s">
        <v>196</v>
      </c>
      <c r="HTZ1" s="176" t="s">
        <v>196</v>
      </c>
      <c r="HUA1" s="176" t="s">
        <v>196</v>
      </c>
      <c r="HUB1" s="176" t="s">
        <v>196</v>
      </c>
      <c r="HUC1" s="176" t="s">
        <v>196</v>
      </c>
      <c r="HUD1" s="176" t="s">
        <v>196</v>
      </c>
      <c r="HUE1" s="176" t="s">
        <v>196</v>
      </c>
      <c r="HUF1" s="176" t="s">
        <v>196</v>
      </c>
      <c r="HUG1" s="176" t="s">
        <v>196</v>
      </c>
      <c r="HUH1" s="176" t="s">
        <v>196</v>
      </c>
      <c r="HUI1" s="176" t="s">
        <v>196</v>
      </c>
      <c r="HUJ1" s="176" t="s">
        <v>196</v>
      </c>
      <c r="HUK1" s="176" t="s">
        <v>196</v>
      </c>
      <c r="HUL1" s="176" t="s">
        <v>196</v>
      </c>
      <c r="HUM1" s="176" t="s">
        <v>196</v>
      </c>
      <c r="HUN1" s="176" t="s">
        <v>196</v>
      </c>
      <c r="HUO1" s="176" t="s">
        <v>196</v>
      </c>
      <c r="HUP1" s="176" t="s">
        <v>196</v>
      </c>
      <c r="HUQ1" s="176" t="s">
        <v>196</v>
      </c>
      <c r="HUR1" s="176" t="s">
        <v>196</v>
      </c>
      <c r="HUS1" s="176" t="s">
        <v>196</v>
      </c>
      <c r="HUT1" s="176" t="s">
        <v>196</v>
      </c>
      <c r="HUU1" s="176" t="s">
        <v>196</v>
      </c>
      <c r="HUV1" s="176" t="s">
        <v>196</v>
      </c>
      <c r="HUW1" s="176" t="s">
        <v>196</v>
      </c>
      <c r="HUX1" s="176" t="s">
        <v>196</v>
      </c>
      <c r="HUY1" s="176" t="s">
        <v>196</v>
      </c>
      <c r="HUZ1" s="176" t="s">
        <v>196</v>
      </c>
      <c r="HVA1" s="176" t="s">
        <v>196</v>
      </c>
      <c r="HVB1" s="176" t="s">
        <v>196</v>
      </c>
      <c r="HVC1" s="176" t="s">
        <v>196</v>
      </c>
      <c r="HVD1" s="176" t="s">
        <v>196</v>
      </c>
      <c r="HVE1" s="176" t="s">
        <v>196</v>
      </c>
      <c r="HVF1" s="176" t="s">
        <v>196</v>
      </c>
      <c r="HVG1" s="176" t="s">
        <v>196</v>
      </c>
      <c r="HVH1" s="176" t="s">
        <v>196</v>
      </c>
      <c r="HVI1" s="176" t="s">
        <v>196</v>
      </c>
      <c r="HVJ1" s="176" t="s">
        <v>196</v>
      </c>
      <c r="HVK1" s="176" t="s">
        <v>196</v>
      </c>
      <c r="HVL1" s="176" t="s">
        <v>196</v>
      </c>
      <c r="HVM1" s="176" t="s">
        <v>196</v>
      </c>
      <c r="HVN1" s="176" t="s">
        <v>196</v>
      </c>
      <c r="HVO1" s="176" t="s">
        <v>196</v>
      </c>
      <c r="HVP1" s="176" t="s">
        <v>196</v>
      </c>
      <c r="HVQ1" s="176" t="s">
        <v>196</v>
      </c>
      <c r="HVR1" s="176" t="s">
        <v>196</v>
      </c>
      <c r="HVS1" s="176" t="s">
        <v>196</v>
      </c>
      <c r="HVT1" s="176" t="s">
        <v>196</v>
      </c>
      <c r="HVU1" s="176" t="s">
        <v>196</v>
      </c>
      <c r="HVV1" s="176" t="s">
        <v>196</v>
      </c>
      <c r="HVW1" s="176" t="s">
        <v>196</v>
      </c>
      <c r="HVX1" s="176" t="s">
        <v>196</v>
      </c>
      <c r="HVY1" s="176" t="s">
        <v>196</v>
      </c>
      <c r="HVZ1" s="176" t="s">
        <v>196</v>
      </c>
      <c r="HWA1" s="176" t="s">
        <v>196</v>
      </c>
      <c r="HWB1" s="176" t="s">
        <v>196</v>
      </c>
      <c r="HWC1" s="176" t="s">
        <v>196</v>
      </c>
      <c r="HWD1" s="176" t="s">
        <v>196</v>
      </c>
      <c r="HWE1" s="176" t="s">
        <v>196</v>
      </c>
      <c r="HWF1" s="176" t="s">
        <v>196</v>
      </c>
      <c r="HWG1" s="176" t="s">
        <v>196</v>
      </c>
      <c r="HWH1" s="176" t="s">
        <v>196</v>
      </c>
      <c r="HWI1" s="176" t="s">
        <v>196</v>
      </c>
      <c r="HWJ1" s="176" t="s">
        <v>196</v>
      </c>
      <c r="HWK1" s="176" t="s">
        <v>196</v>
      </c>
      <c r="HWL1" s="176" t="s">
        <v>196</v>
      </c>
      <c r="HWM1" s="176" t="s">
        <v>196</v>
      </c>
      <c r="HWN1" s="176" t="s">
        <v>196</v>
      </c>
      <c r="HWO1" s="176" t="s">
        <v>196</v>
      </c>
      <c r="HWP1" s="176" t="s">
        <v>196</v>
      </c>
      <c r="HWQ1" s="176" t="s">
        <v>196</v>
      </c>
      <c r="HWR1" s="176" t="s">
        <v>196</v>
      </c>
      <c r="HWS1" s="176" t="s">
        <v>196</v>
      </c>
      <c r="HWT1" s="176" t="s">
        <v>196</v>
      </c>
      <c r="HWU1" s="176" t="s">
        <v>196</v>
      </c>
      <c r="HWV1" s="176" t="s">
        <v>196</v>
      </c>
      <c r="HWW1" s="176" t="s">
        <v>196</v>
      </c>
      <c r="HWX1" s="176" t="s">
        <v>196</v>
      </c>
      <c r="HWY1" s="176" t="s">
        <v>196</v>
      </c>
      <c r="HWZ1" s="176" t="s">
        <v>196</v>
      </c>
      <c r="HXA1" s="176" t="s">
        <v>196</v>
      </c>
      <c r="HXB1" s="176" t="s">
        <v>196</v>
      </c>
      <c r="HXC1" s="176" t="s">
        <v>196</v>
      </c>
      <c r="HXD1" s="176" t="s">
        <v>196</v>
      </c>
      <c r="HXE1" s="176" t="s">
        <v>196</v>
      </c>
      <c r="HXF1" s="176" t="s">
        <v>196</v>
      </c>
      <c r="HXG1" s="176" t="s">
        <v>196</v>
      </c>
      <c r="HXH1" s="176" t="s">
        <v>196</v>
      </c>
      <c r="HXI1" s="176" t="s">
        <v>196</v>
      </c>
      <c r="HXJ1" s="176" t="s">
        <v>196</v>
      </c>
      <c r="HXK1" s="176" t="s">
        <v>196</v>
      </c>
      <c r="HXL1" s="176" t="s">
        <v>196</v>
      </c>
      <c r="HXM1" s="176" t="s">
        <v>196</v>
      </c>
      <c r="HXN1" s="176" t="s">
        <v>196</v>
      </c>
      <c r="HXO1" s="176" t="s">
        <v>196</v>
      </c>
      <c r="HXP1" s="176" t="s">
        <v>196</v>
      </c>
      <c r="HXQ1" s="176" t="s">
        <v>196</v>
      </c>
      <c r="HXR1" s="176" t="s">
        <v>196</v>
      </c>
      <c r="HXS1" s="176" t="s">
        <v>196</v>
      </c>
      <c r="HXT1" s="176" t="s">
        <v>196</v>
      </c>
      <c r="HXU1" s="176" t="s">
        <v>196</v>
      </c>
      <c r="HXV1" s="176" t="s">
        <v>196</v>
      </c>
      <c r="HXW1" s="176" t="s">
        <v>196</v>
      </c>
      <c r="HXX1" s="176" t="s">
        <v>196</v>
      </c>
      <c r="HXY1" s="176" t="s">
        <v>196</v>
      </c>
      <c r="HXZ1" s="176" t="s">
        <v>196</v>
      </c>
      <c r="HYA1" s="176" t="s">
        <v>196</v>
      </c>
      <c r="HYB1" s="176" t="s">
        <v>196</v>
      </c>
      <c r="HYC1" s="176" t="s">
        <v>196</v>
      </c>
      <c r="HYD1" s="176" t="s">
        <v>196</v>
      </c>
      <c r="HYE1" s="176" t="s">
        <v>196</v>
      </c>
      <c r="HYF1" s="176" t="s">
        <v>196</v>
      </c>
      <c r="HYG1" s="176" t="s">
        <v>196</v>
      </c>
      <c r="HYH1" s="176" t="s">
        <v>196</v>
      </c>
      <c r="HYI1" s="176" t="s">
        <v>196</v>
      </c>
      <c r="HYJ1" s="176" t="s">
        <v>196</v>
      </c>
      <c r="HYK1" s="176" t="s">
        <v>196</v>
      </c>
      <c r="HYL1" s="176" t="s">
        <v>196</v>
      </c>
      <c r="HYM1" s="176" t="s">
        <v>196</v>
      </c>
      <c r="HYN1" s="176" t="s">
        <v>196</v>
      </c>
      <c r="HYO1" s="176" t="s">
        <v>196</v>
      </c>
      <c r="HYP1" s="176" t="s">
        <v>196</v>
      </c>
      <c r="HYQ1" s="176" t="s">
        <v>196</v>
      </c>
      <c r="HYR1" s="176" t="s">
        <v>196</v>
      </c>
      <c r="HYS1" s="176" t="s">
        <v>196</v>
      </c>
      <c r="HYT1" s="176" t="s">
        <v>196</v>
      </c>
      <c r="HYU1" s="176" t="s">
        <v>196</v>
      </c>
      <c r="HYV1" s="176" t="s">
        <v>196</v>
      </c>
      <c r="HYW1" s="176" t="s">
        <v>196</v>
      </c>
      <c r="HYX1" s="176" t="s">
        <v>196</v>
      </c>
      <c r="HYY1" s="176" t="s">
        <v>196</v>
      </c>
      <c r="HYZ1" s="176" t="s">
        <v>196</v>
      </c>
      <c r="HZA1" s="176" t="s">
        <v>196</v>
      </c>
      <c r="HZB1" s="176" t="s">
        <v>196</v>
      </c>
      <c r="HZC1" s="176" t="s">
        <v>196</v>
      </c>
      <c r="HZD1" s="176" t="s">
        <v>196</v>
      </c>
      <c r="HZE1" s="176" t="s">
        <v>196</v>
      </c>
      <c r="HZF1" s="176" t="s">
        <v>196</v>
      </c>
      <c r="HZG1" s="176" t="s">
        <v>196</v>
      </c>
      <c r="HZH1" s="176" t="s">
        <v>196</v>
      </c>
      <c r="HZI1" s="176" t="s">
        <v>196</v>
      </c>
      <c r="HZJ1" s="176" t="s">
        <v>196</v>
      </c>
      <c r="HZK1" s="176" t="s">
        <v>196</v>
      </c>
      <c r="HZL1" s="176" t="s">
        <v>196</v>
      </c>
      <c r="HZM1" s="176" t="s">
        <v>196</v>
      </c>
      <c r="HZN1" s="176" t="s">
        <v>196</v>
      </c>
      <c r="HZO1" s="176" t="s">
        <v>196</v>
      </c>
      <c r="HZP1" s="176" t="s">
        <v>196</v>
      </c>
      <c r="HZQ1" s="176" t="s">
        <v>196</v>
      </c>
      <c r="HZR1" s="176" t="s">
        <v>196</v>
      </c>
      <c r="HZS1" s="176" t="s">
        <v>196</v>
      </c>
      <c r="HZT1" s="176" t="s">
        <v>196</v>
      </c>
      <c r="HZU1" s="176" t="s">
        <v>196</v>
      </c>
      <c r="HZV1" s="176" t="s">
        <v>196</v>
      </c>
      <c r="HZW1" s="176" t="s">
        <v>196</v>
      </c>
      <c r="HZX1" s="176" t="s">
        <v>196</v>
      </c>
      <c r="HZY1" s="176" t="s">
        <v>196</v>
      </c>
      <c r="HZZ1" s="176" t="s">
        <v>196</v>
      </c>
      <c r="IAA1" s="176" t="s">
        <v>196</v>
      </c>
      <c r="IAB1" s="176" t="s">
        <v>196</v>
      </c>
      <c r="IAC1" s="176" t="s">
        <v>196</v>
      </c>
      <c r="IAD1" s="176" t="s">
        <v>196</v>
      </c>
      <c r="IAE1" s="176" t="s">
        <v>196</v>
      </c>
      <c r="IAF1" s="176" t="s">
        <v>196</v>
      </c>
      <c r="IAG1" s="176" t="s">
        <v>196</v>
      </c>
      <c r="IAH1" s="176" t="s">
        <v>196</v>
      </c>
      <c r="IAI1" s="176" t="s">
        <v>196</v>
      </c>
      <c r="IAJ1" s="176" t="s">
        <v>196</v>
      </c>
      <c r="IAK1" s="176" t="s">
        <v>196</v>
      </c>
      <c r="IAL1" s="176" t="s">
        <v>196</v>
      </c>
      <c r="IAM1" s="176" t="s">
        <v>196</v>
      </c>
      <c r="IAN1" s="176" t="s">
        <v>196</v>
      </c>
      <c r="IAO1" s="176" t="s">
        <v>196</v>
      </c>
      <c r="IAP1" s="176" t="s">
        <v>196</v>
      </c>
      <c r="IAQ1" s="176" t="s">
        <v>196</v>
      </c>
      <c r="IAR1" s="176" t="s">
        <v>196</v>
      </c>
      <c r="IAS1" s="176" t="s">
        <v>196</v>
      </c>
      <c r="IAT1" s="176" t="s">
        <v>196</v>
      </c>
      <c r="IAU1" s="176" t="s">
        <v>196</v>
      </c>
      <c r="IAV1" s="176" t="s">
        <v>196</v>
      </c>
      <c r="IAW1" s="176" t="s">
        <v>196</v>
      </c>
      <c r="IAX1" s="176" t="s">
        <v>196</v>
      </c>
      <c r="IAY1" s="176" t="s">
        <v>196</v>
      </c>
      <c r="IAZ1" s="176" t="s">
        <v>196</v>
      </c>
      <c r="IBA1" s="176" t="s">
        <v>196</v>
      </c>
      <c r="IBB1" s="176" t="s">
        <v>196</v>
      </c>
      <c r="IBC1" s="176" t="s">
        <v>196</v>
      </c>
      <c r="IBD1" s="176" t="s">
        <v>196</v>
      </c>
      <c r="IBE1" s="176" t="s">
        <v>196</v>
      </c>
      <c r="IBF1" s="176" t="s">
        <v>196</v>
      </c>
      <c r="IBG1" s="176" t="s">
        <v>196</v>
      </c>
      <c r="IBH1" s="176" t="s">
        <v>196</v>
      </c>
      <c r="IBI1" s="176" t="s">
        <v>196</v>
      </c>
      <c r="IBJ1" s="176" t="s">
        <v>196</v>
      </c>
      <c r="IBK1" s="176" t="s">
        <v>196</v>
      </c>
      <c r="IBL1" s="176" t="s">
        <v>196</v>
      </c>
      <c r="IBM1" s="176" t="s">
        <v>196</v>
      </c>
      <c r="IBN1" s="176" t="s">
        <v>196</v>
      </c>
      <c r="IBO1" s="176" t="s">
        <v>196</v>
      </c>
      <c r="IBP1" s="176" t="s">
        <v>196</v>
      </c>
      <c r="IBQ1" s="176" t="s">
        <v>196</v>
      </c>
      <c r="IBR1" s="176" t="s">
        <v>196</v>
      </c>
      <c r="IBS1" s="176" t="s">
        <v>196</v>
      </c>
      <c r="IBT1" s="176" t="s">
        <v>196</v>
      </c>
      <c r="IBU1" s="176" t="s">
        <v>196</v>
      </c>
      <c r="IBV1" s="176" t="s">
        <v>196</v>
      </c>
      <c r="IBW1" s="176" t="s">
        <v>196</v>
      </c>
      <c r="IBX1" s="176" t="s">
        <v>196</v>
      </c>
      <c r="IBY1" s="176" t="s">
        <v>196</v>
      </c>
      <c r="IBZ1" s="176" t="s">
        <v>196</v>
      </c>
      <c r="ICA1" s="176" t="s">
        <v>196</v>
      </c>
      <c r="ICB1" s="176" t="s">
        <v>196</v>
      </c>
      <c r="ICC1" s="176" t="s">
        <v>196</v>
      </c>
      <c r="ICD1" s="176" t="s">
        <v>196</v>
      </c>
      <c r="ICE1" s="176" t="s">
        <v>196</v>
      </c>
      <c r="ICF1" s="176" t="s">
        <v>196</v>
      </c>
      <c r="ICG1" s="176" t="s">
        <v>196</v>
      </c>
      <c r="ICH1" s="176" t="s">
        <v>196</v>
      </c>
      <c r="ICI1" s="176" t="s">
        <v>196</v>
      </c>
      <c r="ICJ1" s="176" t="s">
        <v>196</v>
      </c>
      <c r="ICK1" s="176" t="s">
        <v>196</v>
      </c>
      <c r="ICL1" s="176" t="s">
        <v>196</v>
      </c>
      <c r="ICM1" s="176" t="s">
        <v>196</v>
      </c>
      <c r="ICN1" s="176" t="s">
        <v>196</v>
      </c>
      <c r="ICO1" s="176" t="s">
        <v>196</v>
      </c>
      <c r="ICP1" s="176" t="s">
        <v>196</v>
      </c>
      <c r="ICQ1" s="176" t="s">
        <v>196</v>
      </c>
      <c r="ICR1" s="176" t="s">
        <v>196</v>
      </c>
      <c r="ICS1" s="176" t="s">
        <v>196</v>
      </c>
      <c r="ICT1" s="176" t="s">
        <v>196</v>
      </c>
      <c r="ICU1" s="176" t="s">
        <v>196</v>
      </c>
      <c r="ICV1" s="176" t="s">
        <v>196</v>
      </c>
      <c r="ICW1" s="176" t="s">
        <v>196</v>
      </c>
      <c r="ICX1" s="176" t="s">
        <v>196</v>
      </c>
      <c r="ICY1" s="176" t="s">
        <v>196</v>
      </c>
      <c r="ICZ1" s="176" t="s">
        <v>196</v>
      </c>
      <c r="IDA1" s="176" t="s">
        <v>196</v>
      </c>
      <c r="IDB1" s="176" t="s">
        <v>196</v>
      </c>
      <c r="IDC1" s="176" t="s">
        <v>196</v>
      </c>
      <c r="IDD1" s="176" t="s">
        <v>196</v>
      </c>
      <c r="IDE1" s="176" t="s">
        <v>196</v>
      </c>
      <c r="IDF1" s="176" t="s">
        <v>196</v>
      </c>
      <c r="IDG1" s="176" t="s">
        <v>196</v>
      </c>
      <c r="IDH1" s="176" t="s">
        <v>196</v>
      </c>
      <c r="IDI1" s="176" t="s">
        <v>196</v>
      </c>
      <c r="IDJ1" s="176" t="s">
        <v>196</v>
      </c>
      <c r="IDK1" s="176" t="s">
        <v>196</v>
      </c>
      <c r="IDL1" s="176" t="s">
        <v>196</v>
      </c>
      <c r="IDM1" s="176" t="s">
        <v>196</v>
      </c>
      <c r="IDN1" s="176" t="s">
        <v>196</v>
      </c>
      <c r="IDO1" s="176" t="s">
        <v>196</v>
      </c>
      <c r="IDP1" s="176" t="s">
        <v>196</v>
      </c>
      <c r="IDQ1" s="176" t="s">
        <v>196</v>
      </c>
      <c r="IDR1" s="176" t="s">
        <v>196</v>
      </c>
      <c r="IDS1" s="176" t="s">
        <v>196</v>
      </c>
      <c r="IDT1" s="176" t="s">
        <v>196</v>
      </c>
      <c r="IDU1" s="176" t="s">
        <v>196</v>
      </c>
      <c r="IDV1" s="176" t="s">
        <v>196</v>
      </c>
      <c r="IDW1" s="176" t="s">
        <v>196</v>
      </c>
      <c r="IDX1" s="176" t="s">
        <v>196</v>
      </c>
      <c r="IDY1" s="176" t="s">
        <v>196</v>
      </c>
      <c r="IDZ1" s="176" t="s">
        <v>196</v>
      </c>
      <c r="IEA1" s="176" t="s">
        <v>196</v>
      </c>
      <c r="IEB1" s="176" t="s">
        <v>196</v>
      </c>
      <c r="IEC1" s="176" t="s">
        <v>196</v>
      </c>
      <c r="IED1" s="176" t="s">
        <v>196</v>
      </c>
      <c r="IEE1" s="176" t="s">
        <v>196</v>
      </c>
      <c r="IEF1" s="176" t="s">
        <v>196</v>
      </c>
      <c r="IEG1" s="176" t="s">
        <v>196</v>
      </c>
      <c r="IEH1" s="176" t="s">
        <v>196</v>
      </c>
      <c r="IEI1" s="176" t="s">
        <v>196</v>
      </c>
      <c r="IEJ1" s="176" t="s">
        <v>196</v>
      </c>
      <c r="IEK1" s="176" t="s">
        <v>196</v>
      </c>
      <c r="IEL1" s="176" t="s">
        <v>196</v>
      </c>
      <c r="IEM1" s="176" t="s">
        <v>196</v>
      </c>
      <c r="IEN1" s="176" t="s">
        <v>196</v>
      </c>
      <c r="IEO1" s="176" t="s">
        <v>196</v>
      </c>
      <c r="IEP1" s="176" t="s">
        <v>196</v>
      </c>
      <c r="IEQ1" s="176" t="s">
        <v>196</v>
      </c>
      <c r="IER1" s="176" t="s">
        <v>196</v>
      </c>
      <c r="IES1" s="176" t="s">
        <v>196</v>
      </c>
      <c r="IET1" s="176" t="s">
        <v>196</v>
      </c>
      <c r="IEU1" s="176" t="s">
        <v>196</v>
      </c>
      <c r="IEV1" s="176" t="s">
        <v>196</v>
      </c>
      <c r="IEW1" s="176" t="s">
        <v>196</v>
      </c>
      <c r="IEX1" s="176" t="s">
        <v>196</v>
      </c>
      <c r="IEY1" s="176" t="s">
        <v>196</v>
      </c>
      <c r="IEZ1" s="176" t="s">
        <v>196</v>
      </c>
      <c r="IFA1" s="176" t="s">
        <v>196</v>
      </c>
      <c r="IFB1" s="176" t="s">
        <v>196</v>
      </c>
      <c r="IFC1" s="176" t="s">
        <v>196</v>
      </c>
      <c r="IFD1" s="176" t="s">
        <v>196</v>
      </c>
      <c r="IFE1" s="176" t="s">
        <v>196</v>
      </c>
      <c r="IFF1" s="176" t="s">
        <v>196</v>
      </c>
      <c r="IFG1" s="176" t="s">
        <v>196</v>
      </c>
      <c r="IFH1" s="176" t="s">
        <v>196</v>
      </c>
      <c r="IFI1" s="176" t="s">
        <v>196</v>
      </c>
      <c r="IFJ1" s="176" t="s">
        <v>196</v>
      </c>
      <c r="IFK1" s="176" t="s">
        <v>196</v>
      </c>
      <c r="IFL1" s="176" t="s">
        <v>196</v>
      </c>
      <c r="IFM1" s="176" t="s">
        <v>196</v>
      </c>
      <c r="IFN1" s="176" t="s">
        <v>196</v>
      </c>
      <c r="IFO1" s="176" t="s">
        <v>196</v>
      </c>
      <c r="IFP1" s="176" t="s">
        <v>196</v>
      </c>
      <c r="IFQ1" s="176" t="s">
        <v>196</v>
      </c>
      <c r="IFR1" s="176" t="s">
        <v>196</v>
      </c>
      <c r="IFS1" s="176" t="s">
        <v>196</v>
      </c>
      <c r="IFT1" s="176" t="s">
        <v>196</v>
      </c>
      <c r="IFU1" s="176" t="s">
        <v>196</v>
      </c>
      <c r="IFV1" s="176" t="s">
        <v>196</v>
      </c>
      <c r="IFW1" s="176" t="s">
        <v>196</v>
      </c>
      <c r="IFX1" s="176" t="s">
        <v>196</v>
      </c>
      <c r="IFY1" s="176" t="s">
        <v>196</v>
      </c>
      <c r="IFZ1" s="176" t="s">
        <v>196</v>
      </c>
      <c r="IGA1" s="176" t="s">
        <v>196</v>
      </c>
      <c r="IGB1" s="176" t="s">
        <v>196</v>
      </c>
      <c r="IGC1" s="176" t="s">
        <v>196</v>
      </c>
      <c r="IGD1" s="176" t="s">
        <v>196</v>
      </c>
      <c r="IGE1" s="176" t="s">
        <v>196</v>
      </c>
      <c r="IGF1" s="176" t="s">
        <v>196</v>
      </c>
      <c r="IGG1" s="176" t="s">
        <v>196</v>
      </c>
      <c r="IGH1" s="176" t="s">
        <v>196</v>
      </c>
      <c r="IGI1" s="176" t="s">
        <v>196</v>
      </c>
      <c r="IGJ1" s="176" t="s">
        <v>196</v>
      </c>
      <c r="IGK1" s="176" t="s">
        <v>196</v>
      </c>
      <c r="IGL1" s="176" t="s">
        <v>196</v>
      </c>
      <c r="IGM1" s="176" t="s">
        <v>196</v>
      </c>
      <c r="IGN1" s="176" t="s">
        <v>196</v>
      </c>
      <c r="IGO1" s="176" t="s">
        <v>196</v>
      </c>
      <c r="IGP1" s="176" t="s">
        <v>196</v>
      </c>
      <c r="IGQ1" s="176" t="s">
        <v>196</v>
      </c>
      <c r="IGR1" s="176" t="s">
        <v>196</v>
      </c>
      <c r="IGS1" s="176" t="s">
        <v>196</v>
      </c>
      <c r="IGT1" s="176" t="s">
        <v>196</v>
      </c>
      <c r="IGU1" s="176" t="s">
        <v>196</v>
      </c>
      <c r="IGV1" s="176" t="s">
        <v>196</v>
      </c>
      <c r="IGW1" s="176" t="s">
        <v>196</v>
      </c>
      <c r="IGX1" s="176" t="s">
        <v>196</v>
      </c>
      <c r="IGY1" s="176" t="s">
        <v>196</v>
      </c>
      <c r="IGZ1" s="176" t="s">
        <v>196</v>
      </c>
      <c r="IHA1" s="176" t="s">
        <v>196</v>
      </c>
      <c r="IHB1" s="176" t="s">
        <v>196</v>
      </c>
      <c r="IHC1" s="176" t="s">
        <v>196</v>
      </c>
      <c r="IHD1" s="176" t="s">
        <v>196</v>
      </c>
      <c r="IHE1" s="176" t="s">
        <v>196</v>
      </c>
      <c r="IHF1" s="176" t="s">
        <v>196</v>
      </c>
      <c r="IHG1" s="176" t="s">
        <v>196</v>
      </c>
      <c r="IHH1" s="176" t="s">
        <v>196</v>
      </c>
      <c r="IHI1" s="176" t="s">
        <v>196</v>
      </c>
      <c r="IHJ1" s="176" t="s">
        <v>196</v>
      </c>
      <c r="IHK1" s="176" t="s">
        <v>196</v>
      </c>
      <c r="IHL1" s="176" t="s">
        <v>196</v>
      </c>
      <c r="IHM1" s="176" t="s">
        <v>196</v>
      </c>
      <c r="IHN1" s="176" t="s">
        <v>196</v>
      </c>
      <c r="IHO1" s="176" t="s">
        <v>196</v>
      </c>
      <c r="IHP1" s="176" t="s">
        <v>196</v>
      </c>
      <c r="IHQ1" s="176" t="s">
        <v>196</v>
      </c>
      <c r="IHR1" s="176" t="s">
        <v>196</v>
      </c>
      <c r="IHS1" s="176" t="s">
        <v>196</v>
      </c>
      <c r="IHT1" s="176" t="s">
        <v>196</v>
      </c>
      <c r="IHU1" s="176" t="s">
        <v>196</v>
      </c>
      <c r="IHV1" s="176" t="s">
        <v>196</v>
      </c>
      <c r="IHW1" s="176" t="s">
        <v>196</v>
      </c>
      <c r="IHX1" s="176" t="s">
        <v>196</v>
      </c>
      <c r="IHY1" s="176" t="s">
        <v>196</v>
      </c>
      <c r="IHZ1" s="176" t="s">
        <v>196</v>
      </c>
      <c r="IIA1" s="176" t="s">
        <v>196</v>
      </c>
      <c r="IIB1" s="176" t="s">
        <v>196</v>
      </c>
      <c r="IIC1" s="176" t="s">
        <v>196</v>
      </c>
      <c r="IID1" s="176" t="s">
        <v>196</v>
      </c>
      <c r="IIE1" s="176" t="s">
        <v>196</v>
      </c>
      <c r="IIF1" s="176" t="s">
        <v>196</v>
      </c>
      <c r="IIG1" s="176" t="s">
        <v>196</v>
      </c>
      <c r="IIH1" s="176" t="s">
        <v>196</v>
      </c>
      <c r="III1" s="176" t="s">
        <v>196</v>
      </c>
      <c r="IIJ1" s="176" t="s">
        <v>196</v>
      </c>
      <c r="IIK1" s="176" t="s">
        <v>196</v>
      </c>
      <c r="IIL1" s="176" t="s">
        <v>196</v>
      </c>
      <c r="IIM1" s="176" t="s">
        <v>196</v>
      </c>
      <c r="IIN1" s="176" t="s">
        <v>196</v>
      </c>
      <c r="IIO1" s="176" t="s">
        <v>196</v>
      </c>
      <c r="IIP1" s="176" t="s">
        <v>196</v>
      </c>
      <c r="IIQ1" s="176" t="s">
        <v>196</v>
      </c>
      <c r="IIR1" s="176" t="s">
        <v>196</v>
      </c>
      <c r="IIS1" s="176" t="s">
        <v>196</v>
      </c>
      <c r="IIT1" s="176" t="s">
        <v>196</v>
      </c>
      <c r="IIU1" s="176" t="s">
        <v>196</v>
      </c>
      <c r="IIV1" s="176" t="s">
        <v>196</v>
      </c>
      <c r="IIW1" s="176" t="s">
        <v>196</v>
      </c>
      <c r="IIX1" s="176" t="s">
        <v>196</v>
      </c>
      <c r="IIY1" s="176" t="s">
        <v>196</v>
      </c>
      <c r="IIZ1" s="176" t="s">
        <v>196</v>
      </c>
      <c r="IJA1" s="176" t="s">
        <v>196</v>
      </c>
      <c r="IJB1" s="176" t="s">
        <v>196</v>
      </c>
      <c r="IJC1" s="176" t="s">
        <v>196</v>
      </c>
      <c r="IJD1" s="176" t="s">
        <v>196</v>
      </c>
      <c r="IJE1" s="176" t="s">
        <v>196</v>
      </c>
      <c r="IJF1" s="176" t="s">
        <v>196</v>
      </c>
      <c r="IJG1" s="176" t="s">
        <v>196</v>
      </c>
      <c r="IJH1" s="176" t="s">
        <v>196</v>
      </c>
      <c r="IJI1" s="176" t="s">
        <v>196</v>
      </c>
      <c r="IJJ1" s="176" t="s">
        <v>196</v>
      </c>
      <c r="IJK1" s="176" t="s">
        <v>196</v>
      </c>
      <c r="IJL1" s="176" t="s">
        <v>196</v>
      </c>
      <c r="IJM1" s="176" t="s">
        <v>196</v>
      </c>
      <c r="IJN1" s="176" t="s">
        <v>196</v>
      </c>
      <c r="IJO1" s="176" t="s">
        <v>196</v>
      </c>
      <c r="IJP1" s="176" t="s">
        <v>196</v>
      </c>
      <c r="IJQ1" s="176" t="s">
        <v>196</v>
      </c>
      <c r="IJR1" s="176" t="s">
        <v>196</v>
      </c>
      <c r="IJS1" s="176" t="s">
        <v>196</v>
      </c>
      <c r="IJT1" s="176" t="s">
        <v>196</v>
      </c>
      <c r="IJU1" s="176" t="s">
        <v>196</v>
      </c>
      <c r="IJV1" s="176" t="s">
        <v>196</v>
      </c>
      <c r="IJW1" s="176" t="s">
        <v>196</v>
      </c>
      <c r="IJX1" s="176" t="s">
        <v>196</v>
      </c>
      <c r="IJY1" s="176" t="s">
        <v>196</v>
      </c>
      <c r="IJZ1" s="176" t="s">
        <v>196</v>
      </c>
      <c r="IKA1" s="176" t="s">
        <v>196</v>
      </c>
      <c r="IKB1" s="176" t="s">
        <v>196</v>
      </c>
      <c r="IKC1" s="176" t="s">
        <v>196</v>
      </c>
      <c r="IKD1" s="176" t="s">
        <v>196</v>
      </c>
      <c r="IKE1" s="176" t="s">
        <v>196</v>
      </c>
      <c r="IKF1" s="176" t="s">
        <v>196</v>
      </c>
      <c r="IKG1" s="176" t="s">
        <v>196</v>
      </c>
      <c r="IKH1" s="176" t="s">
        <v>196</v>
      </c>
      <c r="IKI1" s="176" t="s">
        <v>196</v>
      </c>
      <c r="IKJ1" s="176" t="s">
        <v>196</v>
      </c>
      <c r="IKK1" s="176" t="s">
        <v>196</v>
      </c>
      <c r="IKL1" s="176" t="s">
        <v>196</v>
      </c>
      <c r="IKM1" s="176" t="s">
        <v>196</v>
      </c>
      <c r="IKN1" s="176" t="s">
        <v>196</v>
      </c>
      <c r="IKO1" s="176" t="s">
        <v>196</v>
      </c>
      <c r="IKP1" s="176" t="s">
        <v>196</v>
      </c>
      <c r="IKQ1" s="176" t="s">
        <v>196</v>
      </c>
      <c r="IKR1" s="176" t="s">
        <v>196</v>
      </c>
      <c r="IKS1" s="176" t="s">
        <v>196</v>
      </c>
      <c r="IKT1" s="176" t="s">
        <v>196</v>
      </c>
      <c r="IKU1" s="176" t="s">
        <v>196</v>
      </c>
      <c r="IKV1" s="176" t="s">
        <v>196</v>
      </c>
      <c r="IKW1" s="176" t="s">
        <v>196</v>
      </c>
      <c r="IKX1" s="176" t="s">
        <v>196</v>
      </c>
      <c r="IKY1" s="176" t="s">
        <v>196</v>
      </c>
      <c r="IKZ1" s="176" t="s">
        <v>196</v>
      </c>
      <c r="ILA1" s="176" t="s">
        <v>196</v>
      </c>
      <c r="ILB1" s="176" t="s">
        <v>196</v>
      </c>
      <c r="ILC1" s="176" t="s">
        <v>196</v>
      </c>
      <c r="ILD1" s="176" t="s">
        <v>196</v>
      </c>
      <c r="ILE1" s="176" t="s">
        <v>196</v>
      </c>
      <c r="ILF1" s="176" t="s">
        <v>196</v>
      </c>
      <c r="ILG1" s="176" t="s">
        <v>196</v>
      </c>
      <c r="ILH1" s="176" t="s">
        <v>196</v>
      </c>
      <c r="ILI1" s="176" t="s">
        <v>196</v>
      </c>
      <c r="ILJ1" s="176" t="s">
        <v>196</v>
      </c>
      <c r="ILK1" s="176" t="s">
        <v>196</v>
      </c>
      <c r="ILL1" s="176" t="s">
        <v>196</v>
      </c>
      <c r="ILM1" s="176" t="s">
        <v>196</v>
      </c>
      <c r="ILN1" s="176" t="s">
        <v>196</v>
      </c>
      <c r="ILO1" s="176" t="s">
        <v>196</v>
      </c>
      <c r="ILP1" s="176" t="s">
        <v>196</v>
      </c>
      <c r="ILQ1" s="176" t="s">
        <v>196</v>
      </c>
      <c r="ILR1" s="176" t="s">
        <v>196</v>
      </c>
      <c r="ILS1" s="176" t="s">
        <v>196</v>
      </c>
      <c r="ILT1" s="176" t="s">
        <v>196</v>
      </c>
      <c r="ILU1" s="176" t="s">
        <v>196</v>
      </c>
      <c r="ILV1" s="176" t="s">
        <v>196</v>
      </c>
      <c r="ILW1" s="176" t="s">
        <v>196</v>
      </c>
      <c r="ILX1" s="176" t="s">
        <v>196</v>
      </c>
      <c r="ILY1" s="176" t="s">
        <v>196</v>
      </c>
      <c r="ILZ1" s="176" t="s">
        <v>196</v>
      </c>
      <c r="IMA1" s="176" t="s">
        <v>196</v>
      </c>
      <c r="IMB1" s="176" t="s">
        <v>196</v>
      </c>
      <c r="IMC1" s="176" t="s">
        <v>196</v>
      </c>
      <c r="IMD1" s="176" t="s">
        <v>196</v>
      </c>
      <c r="IME1" s="176" t="s">
        <v>196</v>
      </c>
      <c r="IMF1" s="176" t="s">
        <v>196</v>
      </c>
      <c r="IMG1" s="176" t="s">
        <v>196</v>
      </c>
      <c r="IMH1" s="176" t="s">
        <v>196</v>
      </c>
      <c r="IMI1" s="176" t="s">
        <v>196</v>
      </c>
      <c r="IMJ1" s="176" t="s">
        <v>196</v>
      </c>
      <c r="IMK1" s="176" t="s">
        <v>196</v>
      </c>
      <c r="IML1" s="176" t="s">
        <v>196</v>
      </c>
      <c r="IMM1" s="176" t="s">
        <v>196</v>
      </c>
      <c r="IMN1" s="176" t="s">
        <v>196</v>
      </c>
      <c r="IMO1" s="176" t="s">
        <v>196</v>
      </c>
      <c r="IMP1" s="176" t="s">
        <v>196</v>
      </c>
      <c r="IMQ1" s="176" t="s">
        <v>196</v>
      </c>
      <c r="IMR1" s="176" t="s">
        <v>196</v>
      </c>
      <c r="IMS1" s="176" t="s">
        <v>196</v>
      </c>
      <c r="IMT1" s="176" t="s">
        <v>196</v>
      </c>
      <c r="IMU1" s="176" t="s">
        <v>196</v>
      </c>
      <c r="IMV1" s="176" t="s">
        <v>196</v>
      </c>
      <c r="IMW1" s="176" t="s">
        <v>196</v>
      </c>
      <c r="IMX1" s="176" t="s">
        <v>196</v>
      </c>
      <c r="IMY1" s="176" t="s">
        <v>196</v>
      </c>
      <c r="IMZ1" s="176" t="s">
        <v>196</v>
      </c>
      <c r="INA1" s="176" t="s">
        <v>196</v>
      </c>
      <c r="INB1" s="176" t="s">
        <v>196</v>
      </c>
      <c r="INC1" s="176" t="s">
        <v>196</v>
      </c>
      <c r="IND1" s="176" t="s">
        <v>196</v>
      </c>
      <c r="INE1" s="176" t="s">
        <v>196</v>
      </c>
      <c r="INF1" s="176" t="s">
        <v>196</v>
      </c>
      <c r="ING1" s="176" t="s">
        <v>196</v>
      </c>
      <c r="INH1" s="176" t="s">
        <v>196</v>
      </c>
      <c r="INI1" s="176" t="s">
        <v>196</v>
      </c>
      <c r="INJ1" s="176" t="s">
        <v>196</v>
      </c>
      <c r="INK1" s="176" t="s">
        <v>196</v>
      </c>
      <c r="INL1" s="176" t="s">
        <v>196</v>
      </c>
      <c r="INM1" s="176" t="s">
        <v>196</v>
      </c>
      <c r="INN1" s="176" t="s">
        <v>196</v>
      </c>
      <c r="INO1" s="176" t="s">
        <v>196</v>
      </c>
      <c r="INP1" s="176" t="s">
        <v>196</v>
      </c>
      <c r="INQ1" s="176" t="s">
        <v>196</v>
      </c>
      <c r="INR1" s="176" t="s">
        <v>196</v>
      </c>
      <c r="INS1" s="176" t="s">
        <v>196</v>
      </c>
      <c r="INT1" s="176" t="s">
        <v>196</v>
      </c>
      <c r="INU1" s="176" t="s">
        <v>196</v>
      </c>
      <c r="INV1" s="176" t="s">
        <v>196</v>
      </c>
      <c r="INW1" s="176" t="s">
        <v>196</v>
      </c>
      <c r="INX1" s="176" t="s">
        <v>196</v>
      </c>
      <c r="INY1" s="176" t="s">
        <v>196</v>
      </c>
      <c r="INZ1" s="176" t="s">
        <v>196</v>
      </c>
      <c r="IOA1" s="176" t="s">
        <v>196</v>
      </c>
      <c r="IOB1" s="176" t="s">
        <v>196</v>
      </c>
      <c r="IOC1" s="176" t="s">
        <v>196</v>
      </c>
      <c r="IOD1" s="176" t="s">
        <v>196</v>
      </c>
      <c r="IOE1" s="176" t="s">
        <v>196</v>
      </c>
      <c r="IOF1" s="176" t="s">
        <v>196</v>
      </c>
      <c r="IOG1" s="176" t="s">
        <v>196</v>
      </c>
      <c r="IOH1" s="176" t="s">
        <v>196</v>
      </c>
      <c r="IOI1" s="176" t="s">
        <v>196</v>
      </c>
      <c r="IOJ1" s="176" t="s">
        <v>196</v>
      </c>
      <c r="IOK1" s="176" t="s">
        <v>196</v>
      </c>
      <c r="IOL1" s="176" t="s">
        <v>196</v>
      </c>
      <c r="IOM1" s="176" t="s">
        <v>196</v>
      </c>
      <c r="ION1" s="176" t="s">
        <v>196</v>
      </c>
      <c r="IOO1" s="176" t="s">
        <v>196</v>
      </c>
      <c r="IOP1" s="176" t="s">
        <v>196</v>
      </c>
      <c r="IOQ1" s="176" t="s">
        <v>196</v>
      </c>
      <c r="IOR1" s="176" t="s">
        <v>196</v>
      </c>
      <c r="IOS1" s="176" t="s">
        <v>196</v>
      </c>
      <c r="IOT1" s="176" t="s">
        <v>196</v>
      </c>
      <c r="IOU1" s="176" t="s">
        <v>196</v>
      </c>
      <c r="IOV1" s="176" t="s">
        <v>196</v>
      </c>
      <c r="IOW1" s="176" t="s">
        <v>196</v>
      </c>
      <c r="IOX1" s="176" t="s">
        <v>196</v>
      </c>
      <c r="IOY1" s="176" t="s">
        <v>196</v>
      </c>
      <c r="IOZ1" s="176" t="s">
        <v>196</v>
      </c>
      <c r="IPA1" s="176" t="s">
        <v>196</v>
      </c>
      <c r="IPB1" s="176" t="s">
        <v>196</v>
      </c>
      <c r="IPC1" s="176" t="s">
        <v>196</v>
      </c>
      <c r="IPD1" s="176" t="s">
        <v>196</v>
      </c>
      <c r="IPE1" s="176" t="s">
        <v>196</v>
      </c>
      <c r="IPF1" s="176" t="s">
        <v>196</v>
      </c>
      <c r="IPG1" s="176" t="s">
        <v>196</v>
      </c>
      <c r="IPH1" s="176" t="s">
        <v>196</v>
      </c>
      <c r="IPI1" s="176" t="s">
        <v>196</v>
      </c>
      <c r="IPJ1" s="176" t="s">
        <v>196</v>
      </c>
      <c r="IPK1" s="176" t="s">
        <v>196</v>
      </c>
      <c r="IPL1" s="176" t="s">
        <v>196</v>
      </c>
      <c r="IPM1" s="176" t="s">
        <v>196</v>
      </c>
      <c r="IPN1" s="176" t="s">
        <v>196</v>
      </c>
      <c r="IPO1" s="176" t="s">
        <v>196</v>
      </c>
      <c r="IPP1" s="176" t="s">
        <v>196</v>
      </c>
      <c r="IPQ1" s="176" t="s">
        <v>196</v>
      </c>
      <c r="IPR1" s="176" t="s">
        <v>196</v>
      </c>
      <c r="IPS1" s="176" t="s">
        <v>196</v>
      </c>
      <c r="IPT1" s="176" t="s">
        <v>196</v>
      </c>
      <c r="IPU1" s="176" t="s">
        <v>196</v>
      </c>
      <c r="IPV1" s="176" t="s">
        <v>196</v>
      </c>
      <c r="IPW1" s="176" t="s">
        <v>196</v>
      </c>
      <c r="IPX1" s="176" t="s">
        <v>196</v>
      </c>
      <c r="IPY1" s="176" t="s">
        <v>196</v>
      </c>
      <c r="IPZ1" s="176" t="s">
        <v>196</v>
      </c>
      <c r="IQA1" s="176" t="s">
        <v>196</v>
      </c>
      <c r="IQB1" s="176" t="s">
        <v>196</v>
      </c>
      <c r="IQC1" s="176" t="s">
        <v>196</v>
      </c>
      <c r="IQD1" s="176" t="s">
        <v>196</v>
      </c>
      <c r="IQE1" s="176" t="s">
        <v>196</v>
      </c>
      <c r="IQF1" s="176" t="s">
        <v>196</v>
      </c>
      <c r="IQG1" s="176" t="s">
        <v>196</v>
      </c>
      <c r="IQH1" s="176" t="s">
        <v>196</v>
      </c>
      <c r="IQI1" s="176" t="s">
        <v>196</v>
      </c>
      <c r="IQJ1" s="176" t="s">
        <v>196</v>
      </c>
      <c r="IQK1" s="176" t="s">
        <v>196</v>
      </c>
      <c r="IQL1" s="176" t="s">
        <v>196</v>
      </c>
      <c r="IQM1" s="176" t="s">
        <v>196</v>
      </c>
      <c r="IQN1" s="176" t="s">
        <v>196</v>
      </c>
      <c r="IQO1" s="176" t="s">
        <v>196</v>
      </c>
      <c r="IQP1" s="176" t="s">
        <v>196</v>
      </c>
      <c r="IQQ1" s="176" t="s">
        <v>196</v>
      </c>
      <c r="IQR1" s="176" t="s">
        <v>196</v>
      </c>
      <c r="IQS1" s="176" t="s">
        <v>196</v>
      </c>
      <c r="IQT1" s="176" t="s">
        <v>196</v>
      </c>
      <c r="IQU1" s="176" t="s">
        <v>196</v>
      </c>
      <c r="IQV1" s="176" t="s">
        <v>196</v>
      </c>
      <c r="IQW1" s="176" t="s">
        <v>196</v>
      </c>
      <c r="IQX1" s="176" t="s">
        <v>196</v>
      </c>
      <c r="IQY1" s="176" t="s">
        <v>196</v>
      </c>
      <c r="IQZ1" s="176" t="s">
        <v>196</v>
      </c>
      <c r="IRA1" s="176" t="s">
        <v>196</v>
      </c>
      <c r="IRB1" s="176" t="s">
        <v>196</v>
      </c>
      <c r="IRC1" s="176" t="s">
        <v>196</v>
      </c>
      <c r="IRD1" s="176" t="s">
        <v>196</v>
      </c>
      <c r="IRE1" s="176" t="s">
        <v>196</v>
      </c>
      <c r="IRF1" s="176" t="s">
        <v>196</v>
      </c>
      <c r="IRG1" s="176" t="s">
        <v>196</v>
      </c>
      <c r="IRH1" s="176" t="s">
        <v>196</v>
      </c>
      <c r="IRI1" s="176" t="s">
        <v>196</v>
      </c>
      <c r="IRJ1" s="176" t="s">
        <v>196</v>
      </c>
      <c r="IRK1" s="176" t="s">
        <v>196</v>
      </c>
      <c r="IRL1" s="176" t="s">
        <v>196</v>
      </c>
      <c r="IRM1" s="176" t="s">
        <v>196</v>
      </c>
      <c r="IRN1" s="176" t="s">
        <v>196</v>
      </c>
      <c r="IRO1" s="176" t="s">
        <v>196</v>
      </c>
      <c r="IRP1" s="176" t="s">
        <v>196</v>
      </c>
      <c r="IRQ1" s="176" t="s">
        <v>196</v>
      </c>
      <c r="IRR1" s="176" t="s">
        <v>196</v>
      </c>
      <c r="IRS1" s="176" t="s">
        <v>196</v>
      </c>
      <c r="IRT1" s="176" t="s">
        <v>196</v>
      </c>
      <c r="IRU1" s="176" t="s">
        <v>196</v>
      </c>
      <c r="IRV1" s="176" t="s">
        <v>196</v>
      </c>
      <c r="IRW1" s="176" t="s">
        <v>196</v>
      </c>
      <c r="IRX1" s="176" t="s">
        <v>196</v>
      </c>
      <c r="IRY1" s="176" t="s">
        <v>196</v>
      </c>
      <c r="IRZ1" s="176" t="s">
        <v>196</v>
      </c>
      <c r="ISA1" s="176" t="s">
        <v>196</v>
      </c>
      <c r="ISB1" s="176" t="s">
        <v>196</v>
      </c>
      <c r="ISC1" s="176" t="s">
        <v>196</v>
      </c>
      <c r="ISD1" s="176" t="s">
        <v>196</v>
      </c>
      <c r="ISE1" s="176" t="s">
        <v>196</v>
      </c>
      <c r="ISF1" s="176" t="s">
        <v>196</v>
      </c>
      <c r="ISG1" s="176" t="s">
        <v>196</v>
      </c>
      <c r="ISH1" s="176" t="s">
        <v>196</v>
      </c>
      <c r="ISI1" s="176" t="s">
        <v>196</v>
      </c>
      <c r="ISJ1" s="176" t="s">
        <v>196</v>
      </c>
      <c r="ISK1" s="176" t="s">
        <v>196</v>
      </c>
      <c r="ISL1" s="176" t="s">
        <v>196</v>
      </c>
      <c r="ISM1" s="176" t="s">
        <v>196</v>
      </c>
      <c r="ISN1" s="176" t="s">
        <v>196</v>
      </c>
      <c r="ISO1" s="176" t="s">
        <v>196</v>
      </c>
      <c r="ISP1" s="176" t="s">
        <v>196</v>
      </c>
      <c r="ISQ1" s="176" t="s">
        <v>196</v>
      </c>
      <c r="ISR1" s="176" t="s">
        <v>196</v>
      </c>
      <c r="ISS1" s="176" t="s">
        <v>196</v>
      </c>
      <c r="IST1" s="176" t="s">
        <v>196</v>
      </c>
      <c r="ISU1" s="176" t="s">
        <v>196</v>
      </c>
      <c r="ISV1" s="176" t="s">
        <v>196</v>
      </c>
      <c r="ISW1" s="176" t="s">
        <v>196</v>
      </c>
      <c r="ISX1" s="176" t="s">
        <v>196</v>
      </c>
      <c r="ISY1" s="176" t="s">
        <v>196</v>
      </c>
      <c r="ISZ1" s="176" t="s">
        <v>196</v>
      </c>
      <c r="ITA1" s="176" t="s">
        <v>196</v>
      </c>
      <c r="ITB1" s="176" t="s">
        <v>196</v>
      </c>
      <c r="ITC1" s="176" t="s">
        <v>196</v>
      </c>
      <c r="ITD1" s="176" t="s">
        <v>196</v>
      </c>
      <c r="ITE1" s="176" t="s">
        <v>196</v>
      </c>
      <c r="ITF1" s="176" t="s">
        <v>196</v>
      </c>
      <c r="ITG1" s="176" t="s">
        <v>196</v>
      </c>
      <c r="ITH1" s="176" t="s">
        <v>196</v>
      </c>
      <c r="ITI1" s="176" t="s">
        <v>196</v>
      </c>
      <c r="ITJ1" s="176" t="s">
        <v>196</v>
      </c>
      <c r="ITK1" s="176" t="s">
        <v>196</v>
      </c>
      <c r="ITL1" s="176" t="s">
        <v>196</v>
      </c>
      <c r="ITM1" s="176" t="s">
        <v>196</v>
      </c>
      <c r="ITN1" s="176" t="s">
        <v>196</v>
      </c>
      <c r="ITO1" s="176" t="s">
        <v>196</v>
      </c>
      <c r="ITP1" s="176" t="s">
        <v>196</v>
      </c>
      <c r="ITQ1" s="176" t="s">
        <v>196</v>
      </c>
      <c r="ITR1" s="176" t="s">
        <v>196</v>
      </c>
      <c r="ITS1" s="176" t="s">
        <v>196</v>
      </c>
      <c r="ITT1" s="176" t="s">
        <v>196</v>
      </c>
      <c r="ITU1" s="176" t="s">
        <v>196</v>
      </c>
      <c r="ITV1" s="176" t="s">
        <v>196</v>
      </c>
      <c r="ITW1" s="176" t="s">
        <v>196</v>
      </c>
      <c r="ITX1" s="176" t="s">
        <v>196</v>
      </c>
      <c r="ITY1" s="176" t="s">
        <v>196</v>
      </c>
      <c r="ITZ1" s="176" t="s">
        <v>196</v>
      </c>
      <c r="IUA1" s="176" t="s">
        <v>196</v>
      </c>
      <c r="IUB1" s="176" t="s">
        <v>196</v>
      </c>
      <c r="IUC1" s="176" t="s">
        <v>196</v>
      </c>
      <c r="IUD1" s="176" t="s">
        <v>196</v>
      </c>
      <c r="IUE1" s="176" t="s">
        <v>196</v>
      </c>
      <c r="IUF1" s="176" t="s">
        <v>196</v>
      </c>
      <c r="IUG1" s="176" t="s">
        <v>196</v>
      </c>
      <c r="IUH1" s="176" t="s">
        <v>196</v>
      </c>
      <c r="IUI1" s="176" t="s">
        <v>196</v>
      </c>
      <c r="IUJ1" s="176" t="s">
        <v>196</v>
      </c>
      <c r="IUK1" s="176" t="s">
        <v>196</v>
      </c>
      <c r="IUL1" s="176" t="s">
        <v>196</v>
      </c>
      <c r="IUM1" s="176" t="s">
        <v>196</v>
      </c>
      <c r="IUN1" s="176" t="s">
        <v>196</v>
      </c>
      <c r="IUO1" s="176" t="s">
        <v>196</v>
      </c>
      <c r="IUP1" s="176" t="s">
        <v>196</v>
      </c>
      <c r="IUQ1" s="176" t="s">
        <v>196</v>
      </c>
      <c r="IUR1" s="176" t="s">
        <v>196</v>
      </c>
      <c r="IUS1" s="176" t="s">
        <v>196</v>
      </c>
      <c r="IUT1" s="176" t="s">
        <v>196</v>
      </c>
      <c r="IUU1" s="176" t="s">
        <v>196</v>
      </c>
      <c r="IUV1" s="176" t="s">
        <v>196</v>
      </c>
      <c r="IUW1" s="176" t="s">
        <v>196</v>
      </c>
      <c r="IUX1" s="176" t="s">
        <v>196</v>
      </c>
      <c r="IUY1" s="176" t="s">
        <v>196</v>
      </c>
      <c r="IUZ1" s="176" t="s">
        <v>196</v>
      </c>
      <c r="IVA1" s="176" t="s">
        <v>196</v>
      </c>
      <c r="IVB1" s="176" t="s">
        <v>196</v>
      </c>
      <c r="IVC1" s="176" t="s">
        <v>196</v>
      </c>
      <c r="IVD1" s="176" t="s">
        <v>196</v>
      </c>
      <c r="IVE1" s="176" t="s">
        <v>196</v>
      </c>
      <c r="IVF1" s="176" t="s">
        <v>196</v>
      </c>
      <c r="IVG1" s="176" t="s">
        <v>196</v>
      </c>
      <c r="IVH1" s="176" t="s">
        <v>196</v>
      </c>
      <c r="IVI1" s="176" t="s">
        <v>196</v>
      </c>
      <c r="IVJ1" s="176" t="s">
        <v>196</v>
      </c>
      <c r="IVK1" s="176" t="s">
        <v>196</v>
      </c>
      <c r="IVL1" s="176" t="s">
        <v>196</v>
      </c>
      <c r="IVM1" s="176" t="s">
        <v>196</v>
      </c>
      <c r="IVN1" s="176" t="s">
        <v>196</v>
      </c>
      <c r="IVO1" s="176" t="s">
        <v>196</v>
      </c>
      <c r="IVP1" s="176" t="s">
        <v>196</v>
      </c>
      <c r="IVQ1" s="176" t="s">
        <v>196</v>
      </c>
      <c r="IVR1" s="176" t="s">
        <v>196</v>
      </c>
      <c r="IVS1" s="176" t="s">
        <v>196</v>
      </c>
      <c r="IVT1" s="176" t="s">
        <v>196</v>
      </c>
      <c r="IVU1" s="176" t="s">
        <v>196</v>
      </c>
      <c r="IVV1" s="176" t="s">
        <v>196</v>
      </c>
      <c r="IVW1" s="176" t="s">
        <v>196</v>
      </c>
      <c r="IVX1" s="176" t="s">
        <v>196</v>
      </c>
      <c r="IVY1" s="176" t="s">
        <v>196</v>
      </c>
      <c r="IVZ1" s="176" t="s">
        <v>196</v>
      </c>
      <c r="IWA1" s="176" t="s">
        <v>196</v>
      </c>
      <c r="IWB1" s="176" t="s">
        <v>196</v>
      </c>
      <c r="IWC1" s="176" t="s">
        <v>196</v>
      </c>
      <c r="IWD1" s="176" t="s">
        <v>196</v>
      </c>
      <c r="IWE1" s="176" t="s">
        <v>196</v>
      </c>
      <c r="IWF1" s="176" t="s">
        <v>196</v>
      </c>
      <c r="IWG1" s="176" t="s">
        <v>196</v>
      </c>
      <c r="IWH1" s="176" t="s">
        <v>196</v>
      </c>
      <c r="IWI1" s="176" t="s">
        <v>196</v>
      </c>
      <c r="IWJ1" s="176" t="s">
        <v>196</v>
      </c>
      <c r="IWK1" s="176" t="s">
        <v>196</v>
      </c>
      <c r="IWL1" s="176" t="s">
        <v>196</v>
      </c>
      <c r="IWM1" s="176" t="s">
        <v>196</v>
      </c>
      <c r="IWN1" s="176" t="s">
        <v>196</v>
      </c>
      <c r="IWO1" s="176" t="s">
        <v>196</v>
      </c>
      <c r="IWP1" s="176" t="s">
        <v>196</v>
      </c>
      <c r="IWQ1" s="176" t="s">
        <v>196</v>
      </c>
      <c r="IWR1" s="176" t="s">
        <v>196</v>
      </c>
      <c r="IWS1" s="176" t="s">
        <v>196</v>
      </c>
      <c r="IWT1" s="176" t="s">
        <v>196</v>
      </c>
      <c r="IWU1" s="176" t="s">
        <v>196</v>
      </c>
      <c r="IWV1" s="176" t="s">
        <v>196</v>
      </c>
      <c r="IWW1" s="176" t="s">
        <v>196</v>
      </c>
      <c r="IWX1" s="176" t="s">
        <v>196</v>
      </c>
      <c r="IWY1" s="176" t="s">
        <v>196</v>
      </c>
      <c r="IWZ1" s="176" t="s">
        <v>196</v>
      </c>
      <c r="IXA1" s="176" t="s">
        <v>196</v>
      </c>
      <c r="IXB1" s="176" t="s">
        <v>196</v>
      </c>
      <c r="IXC1" s="176" t="s">
        <v>196</v>
      </c>
      <c r="IXD1" s="176" t="s">
        <v>196</v>
      </c>
      <c r="IXE1" s="176" t="s">
        <v>196</v>
      </c>
      <c r="IXF1" s="176" t="s">
        <v>196</v>
      </c>
      <c r="IXG1" s="176" t="s">
        <v>196</v>
      </c>
      <c r="IXH1" s="176" t="s">
        <v>196</v>
      </c>
      <c r="IXI1" s="176" t="s">
        <v>196</v>
      </c>
      <c r="IXJ1" s="176" t="s">
        <v>196</v>
      </c>
      <c r="IXK1" s="176" t="s">
        <v>196</v>
      </c>
      <c r="IXL1" s="176" t="s">
        <v>196</v>
      </c>
      <c r="IXM1" s="176" t="s">
        <v>196</v>
      </c>
      <c r="IXN1" s="176" t="s">
        <v>196</v>
      </c>
      <c r="IXO1" s="176" t="s">
        <v>196</v>
      </c>
      <c r="IXP1" s="176" t="s">
        <v>196</v>
      </c>
      <c r="IXQ1" s="176" t="s">
        <v>196</v>
      </c>
      <c r="IXR1" s="176" t="s">
        <v>196</v>
      </c>
      <c r="IXS1" s="176" t="s">
        <v>196</v>
      </c>
      <c r="IXT1" s="176" t="s">
        <v>196</v>
      </c>
      <c r="IXU1" s="176" t="s">
        <v>196</v>
      </c>
      <c r="IXV1" s="176" t="s">
        <v>196</v>
      </c>
      <c r="IXW1" s="176" t="s">
        <v>196</v>
      </c>
      <c r="IXX1" s="176" t="s">
        <v>196</v>
      </c>
      <c r="IXY1" s="176" t="s">
        <v>196</v>
      </c>
      <c r="IXZ1" s="176" t="s">
        <v>196</v>
      </c>
      <c r="IYA1" s="176" t="s">
        <v>196</v>
      </c>
      <c r="IYB1" s="176" t="s">
        <v>196</v>
      </c>
      <c r="IYC1" s="176" t="s">
        <v>196</v>
      </c>
      <c r="IYD1" s="176" t="s">
        <v>196</v>
      </c>
      <c r="IYE1" s="176" t="s">
        <v>196</v>
      </c>
      <c r="IYF1" s="176" t="s">
        <v>196</v>
      </c>
      <c r="IYG1" s="176" t="s">
        <v>196</v>
      </c>
      <c r="IYH1" s="176" t="s">
        <v>196</v>
      </c>
      <c r="IYI1" s="176" t="s">
        <v>196</v>
      </c>
      <c r="IYJ1" s="176" t="s">
        <v>196</v>
      </c>
      <c r="IYK1" s="176" t="s">
        <v>196</v>
      </c>
      <c r="IYL1" s="176" t="s">
        <v>196</v>
      </c>
      <c r="IYM1" s="176" t="s">
        <v>196</v>
      </c>
      <c r="IYN1" s="176" t="s">
        <v>196</v>
      </c>
      <c r="IYO1" s="176" t="s">
        <v>196</v>
      </c>
      <c r="IYP1" s="176" t="s">
        <v>196</v>
      </c>
      <c r="IYQ1" s="176" t="s">
        <v>196</v>
      </c>
      <c r="IYR1" s="176" t="s">
        <v>196</v>
      </c>
      <c r="IYS1" s="176" t="s">
        <v>196</v>
      </c>
      <c r="IYT1" s="176" t="s">
        <v>196</v>
      </c>
      <c r="IYU1" s="176" t="s">
        <v>196</v>
      </c>
      <c r="IYV1" s="176" t="s">
        <v>196</v>
      </c>
      <c r="IYW1" s="176" t="s">
        <v>196</v>
      </c>
      <c r="IYX1" s="176" t="s">
        <v>196</v>
      </c>
      <c r="IYY1" s="176" t="s">
        <v>196</v>
      </c>
      <c r="IYZ1" s="176" t="s">
        <v>196</v>
      </c>
      <c r="IZA1" s="176" t="s">
        <v>196</v>
      </c>
      <c r="IZB1" s="176" t="s">
        <v>196</v>
      </c>
      <c r="IZC1" s="176" t="s">
        <v>196</v>
      </c>
      <c r="IZD1" s="176" t="s">
        <v>196</v>
      </c>
      <c r="IZE1" s="176" t="s">
        <v>196</v>
      </c>
      <c r="IZF1" s="176" t="s">
        <v>196</v>
      </c>
      <c r="IZG1" s="176" t="s">
        <v>196</v>
      </c>
      <c r="IZH1" s="176" t="s">
        <v>196</v>
      </c>
      <c r="IZI1" s="176" t="s">
        <v>196</v>
      </c>
      <c r="IZJ1" s="176" t="s">
        <v>196</v>
      </c>
      <c r="IZK1" s="176" t="s">
        <v>196</v>
      </c>
      <c r="IZL1" s="176" t="s">
        <v>196</v>
      </c>
      <c r="IZM1" s="176" t="s">
        <v>196</v>
      </c>
      <c r="IZN1" s="176" t="s">
        <v>196</v>
      </c>
      <c r="IZO1" s="176" t="s">
        <v>196</v>
      </c>
      <c r="IZP1" s="176" t="s">
        <v>196</v>
      </c>
      <c r="IZQ1" s="176" t="s">
        <v>196</v>
      </c>
      <c r="IZR1" s="176" t="s">
        <v>196</v>
      </c>
      <c r="IZS1" s="176" t="s">
        <v>196</v>
      </c>
      <c r="IZT1" s="176" t="s">
        <v>196</v>
      </c>
      <c r="IZU1" s="176" t="s">
        <v>196</v>
      </c>
      <c r="IZV1" s="176" t="s">
        <v>196</v>
      </c>
      <c r="IZW1" s="176" t="s">
        <v>196</v>
      </c>
      <c r="IZX1" s="176" t="s">
        <v>196</v>
      </c>
      <c r="IZY1" s="176" t="s">
        <v>196</v>
      </c>
      <c r="IZZ1" s="176" t="s">
        <v>196</v>
      </c>
      <c r="JAA1" s="176" t="s">
        <v>196</v>
      </c>
      <c r="JAB1" s="176" t="s">
        <v>196</v>
      </c>
      <c r="JAC1" s="176" t="s">
        <v>196</v>
      </c>
      <c r="JAD1" s="176" t="s">
        <v>196</v>
      </c>
      <c r="JAE1" s="176" t="s">
        <v>196</v>
      </c>
      <c r="JAF1" s="176" t="s">
        <v>196</v>
      </c>
      <c r="JAG1" s="176" t="s">
        <v>196</v>
      </c>
      <c r="JAH1" s="176" t="s">
        <v>196</v>
      </c>
      <c r="JAI1" s="176" t="s">
        <v>196</v>
      </c>
      <c r="JAJ1" s="176" t="s">
        <v>196</v>
      </c>
      <c r="JAK1" s="176" t="s">
        <v>196</v>
      </c>
      <c r="JAL1" s="176" t="s">
        <v>196</v>
      </c>
      <c r="JAM1" s="176" t="s">
        <v>196</v>
      </c>
      <c r="JAN1" s="176" t="s">
        <v>196</v>
      </c>
      <c r="JAO1" s="176" t="s">
        <v>196</v>
      </c>
      <c r="JAP1" s="176" t="s">
        <v>196</v>
      </c>
      <c r="JAQ1" s="176" t="s">
        <v>196</v>
      </c>
      <c r="JAR1" s="176" t="s">
        <v>196</v>
      </c>
      <c r="JAS1" s="176" t="s">
        <v>196</v>
      </c>
      <c r="JAT1" s="176" t="s">
        <v>196</v>
      </c>
      <c r="JAU1" s="176" t="s">
        <v>196</v>
      </c>
      <c r="JAV1" s="176" t="s">
        <v>196</v>
      </c>
      <c r="JAW1" s="176" t="s">
        <v>196</v>
      </c>
      <c r="JAX1" s="176" t="s">
        <v>196</v>
      </c>
      <c r="JAY1" s="176" t="s">
        <v>196</v>
      </c>
      <c r="JAZ1" s="176" t="s">
        <v>196</v>
      </c>
      <c r="JBA1" s="176" t="s">
        <v>196</v>
      </c>
      <c r="JBB1" s="176" t="s">
        <v>196</v>
      </c>
      <c r="JBC1" s="176" t="s">
        <v>196</v>
      </c>
      <c r="JBD1" s="176" t="s">
        <v>196</v>
      </c>
      <c r="JBE1" s="176" t="s">
        <v>196</v>
      </c>
      <c r="JBF1" s="176" t="s">
        <v>196</v>
      </c>
      <c r="JBG1" s="176" t="s">
        <v>196</v>
      </c>
      <c r="JBH1" s="176" t="s">
        <v>196</v>
      </c>
      <c r="JBI1" s="176" t="s">
        <v>196</v>
      </c>
      <c r="JBJ1" s="176" t="s">
        <v>196</v>
      </c>
      <c r="JBK1" s="176" t="s">
        <v>196</v>
      </c>
      <c r="JBL1" s="176" t="s">
        <v>196</v>
      </c>
      <c r="JBM1" s="176" t="s">
        <v>196</v>
      </c>
      <c r="JBN1" s="176" t="s">
        <v>196</v>
      </c>
      <c r="JBO1" s="176" t="s">
        <v>196</v>
      </c>
      <c r="JBP1" s="176" t="s">
        <v>196</v>
      </c>
      <c r="JBQ1" s="176" t="s">
        <v>196</v>
      </c>
      <c r="JBR1" s="176" t="s">
        <v>196</v>
      </c>
      <c r="JBS1" s="176" t="s">
        <v>196</v>
      </c>
      <c r="JBT1" s="176" t="s">
        <v>196</v>
      </c>
      <c r="JBU1" s="176" t="s">
        <v>196</v>
      </c>
      <c r="JBV1" s="176" t="s">
        <v>196</v>
      </c>
      <c r="JBW1" s="176" t="s">
        <v>196</v>
      </c>
      <c r="JBX1" s="176" t="s">
        <v>196</v>
      </c>
      <c r="JBY1" s="176" t="s">
        <v>196</v>
      </c>
      <c r="JBZ1" s="176" t="s">
        <v>196</v>
      </c>
      <c r="JCA1" s="176" t="s">
        <v>196</v>
      </c>
      <c r="JCB1" s="176" t="s">
        <v>196</v>
      </c>
      <c r="JCC1" s="176" t="s">
        <v>196</v>
      </c>
      <c r="JCD1" s="176" t="s">
        <v>196</v>
      </c>
      <c r="JCE1" s="176" t="s">
        <v>196</v>
      </c>
      <c r="JCF1" s="176" t="s">
        <v>196</v>
      </c>
      <c r="JCG1" s="176" t="s">
        <v>196</v>
      </c>
      <c r="JCH1" s="176" t="s">
        <v>196</v>
      </c>
      <c r="JCI1" s="176" t="s">
        <v>196</v>
      </c>
      <c r="JCJ1" s="176" t="s">
        <v>196</v>
      </c>
      <c r="JCK1" s="176" t="s">
        <v>196</v>
      </c>
      <c r="JCL1" s="176" t="s">
        <v>196</v>
      </c>
      <c r="JCM1" s="176" t="s">
        <v>196</v>
      </c>
      <c r="JCN1" s="176" t="s">
        <v>196</v>
      </c>
      <c r="JCO1" s="176" t="s">
        <v>196</v>
      </c>
      <c r="JCP1" s="176" t="s">
        <v>196</v>
      </c>
      <c r="JCQ1" s="176" t="s">
        <v>196</v>
      </c>
      <c r="JCR1" s="176" t="s">
        <v>196</v>
      </c>
      <c r="JCS1" s="176" t="s">
        <v>196</v>
      </c>
      <c r="JCT1" s="176" t="s">
        <v>196</v>
      </c>
      <c r="JCU1" s="176" t="s">
        <v>196</v>
      </c>
      <c r="JCV1" s="176" t="s">
        <v>196</v>
      </c>
      <c r="JCW1" s="176" t="s">
        <v>196</v>
      </c>
      <c r="JCX1" s="176" t="s">
        <v>196</v>
      </c>
      <c r="JCY1" s="176" t="s">
        <v>196</v>
      </c>
      <c r="JCZ1" s="176" t="s">
        <v>196</v>
      </c>
      <c r="JDA1" s="176" t="s">
        <v>196</v>
      </c>
      <c r="JDB1" s="176" t="s">
        <v>196</v>
      </c>
      <c r="JDC1" s="176" t="s">
        <v>196</v>
      </c>
      <c r="JDD1" s="176" t="s">
        <v>196</v>
      </c>
      <c r="JDE1" s="176" t="s">
        <v>196</v>
      </c>
      <c r="JDF1" s="176" t="s">
        <v>196</v>
      </c>
      <c r="JDG1" s="176" t="s">
        <v>196</v>
      </c>
      <c r="JDH1" s="176" t="s">
        <v>196</v>
      </c>
      <c r="JDI1" s="176" t="s">
        <v>196</v>
      </c>
      <c r="JDJ1" s="176" t="s">
        <v>196</v>
      </c>
      <c r="JDK1" s="176" t="s">
        <v>196</v>
      </c>
      <c r="JDL1" s="176" t="s">
        <v>196</v>
      </c>
      <c r="JDM1" s="176" t="s">
        <v>196</v>
      </c>
      <c r="JDN1" s="176" t="s">
        <v>196</v>
      </c>
      <c r="JDO1" s="176" t="s">
        <v>196</v>
      </c>
      <c r="JDP1" s="176" t="s">
        <v>196</v>
      </c>
      <c r="JDQ1" s="176" t="s">
        <v>196</v>
      </c>
      <c r="JDR1" s="176" t="s">
        <v>196</v>
      </c>
      <c r="JDS1" s="176" t="s">
        <v>196</v>
      </c>
      <c r="JDT1" s="176" t="s">
        <v>196</v>
      </c>
      <c r="JDU1" s="176" t="s">
        <v>196</v>
      </c>
      <c r="JDV1" s="176" t="s">
        <v>196</v>
      </c>
      <c r="JDW1" s="176" t="s">
        <v>196</v>
      </c>
      <c r="JDX1" s="176" t="s">
        <v>196</v>
      </c>
      <c r="JDY1" s="176" t="s">
        <v>196</v>
      </c>
      <c r="JDZ1" s="176" t="s">
        <v>196</v>
      </c>
      <c r="JEA1" s="176" t="s">
        <v>196</v>
      </c>
      <c r="JEB1" s="176" t="s">
        <v>196</v>
      </c>
      <c r="JEC1" s="176" t="s">
        <v>196</v>
      </c>
      <c r="JED1" s="176" t="s">
        <v>196</v>
      </c>
      <c r="JEE1" s="176" t="s">
        <v>196</v>
      </c>
      <c r="JEF1" s="176" t="s">
        <v>196</v>
      </c>
      <c r="JEG1" s="176" t="s">
        <v>196</v>
      </c>
      <c r="JEH1" s="176" t="s">
        <v>196</v>
      </c>
      <c r="JEI1" s="176" t="s">
        <v>196</v>
      </c>
      <c r="JEJ1" s="176" t="s">
        <v>196</v>
      </c>
      <c r="JEK1" s="176" t="s">
        <v>196</v>
      </c>
      <c r="JEL1" s="176" t="s">
        <v>196</v>
      </c>
      <c r="JEM1" s="176" t="s">
        <v>196</v>
      </c>
      <c r="JEN1" s="176" t="s">
        <v>196</v>
      </c>
      <c r="JEO1" s="176" t="s">
        <v>196</v>
      </c>
      <c r="JEP1" s="176" t="s">
        <v>196</v>
      </c>
      <c r="JEQ1" s="176" t="s">
        <v>196</v>
      </c>
      <c r="JER1" s="176" t="s">
        <v>196</v>
      </c>
      <c r="JES1" s="176" t="s">
        <v>196</v>
      </c>
      <c r="JET1" s="176" t="s">
        <v>196</v>
      </c>
      <c r="JEU1" s="176" t="s">
        <v>196</v>
      </c>
      <c r="JEV1" s="176" t="s">
        <v>196</v>
      </c>
      <c r="JEW1" s="176" t="s">
        <v>196</v>
      </c>
      <c r="JEX1" s="176" t="s">
        <v>196</v>
      </c>
      <c r="JEY1" s="176" t="s">
        <v>196</v>
      </c>
      <c r="JEZ1" s="176" t="s">
        <v>196</v>
      </c>
      <c r="JFA1" s="176" t="s">
        <v>196</v>
      </c>
      <c r="JFB1" s="176" t="s">
        <v>196</v>
      </c>
      <c r="JFC1" s="176" t="s">
        <v>196</v>
      </c>
      <c r="JFD1" s="176" t="s">
        <v>196</v>
      </c>
      <c r="JFE1" s="176" t="s">
        <v>196</v>
      </c>
      <c r="JFF1" s="176" t="s">
        <v>196</v>
      </c>
      <c r="JFG1" s="176" t="s">
        <v>196</v>
      </c>
      <c r="JFH1" s="176" t="s">
        <v>196</v>
      </c>
      <c r="JFI1" s="176" t="s">
        <v>196</v>
      </c>
      <c r="JFJ1" s="176" t="s">
        <v>196</v>
      </c>
      <c r="JFK1" s="176" t="s">
        <v>196</v>
      </c>
      <c r="JFL1" s="176" t="s">
        <v>196</v>
      </c>
      <c r="JFM1" s="176" t="s">
        <v>196</v>
      </c>
      <c r="JFN1" s="176" t="s">
        <v>196</v>
      </c>
      <c r="JFO1" s="176" t="s">
        <v>196</v>
      </c>
      <c r="JFP1" s="176" t="s">
        <v>196</v>
      </c>
      <c r="JFQ1" s="176" t="s">
        <v>196</v>
      </c>
      <c r="JFR1" s="176" t="s">
        <v>196</v>
      </c>
      <c r="JFS1" s="176" t="s">
        <v>196</v>
      </c>
      <c r="JFT1" s="176" t="s">
        <v>196</v>
      </c>
      <c r="JFU1" s="176" t="s">
        <v>196</v>
      </c>
      <c r="JFV1" s="176" t="s">
        <v>196</v>
      </c>
      <c r="JFW1" s="176" t="s">
        <v>196</v>
      </c>
      <c r="JFX1" s="176" t="s">
        <v>196</v>
      </c>
      <c r="JFY1" s="176" t="s">
        <v>196</v>
      </c>
      <c r="JFZ1" s="176" t="s">
        <v>196</v>
      </c>
      <c r="JGA1" s="176" t="s">
        <v>196</v>
      </c>
      <c r="JGB1" s="176" t="s">
        <v>196</v>
      </c>
      <c r="JGC1" s="176" t="s">
        <v>196</v>
      </c>
      <c r="JGD1" s="176" t="s">
        <v>196</v>
      </c>
      <c r="JGE1" s="176" t="s">
        <v>196</v>
      </c>
      <c r="JGF1" s="176" t="s">
        <v>196</v>
      </c>
      <c r="JGG1" s="176" t="s">
        <v>196</v>
      </c>
      <c r="JGH1" s="176" t="s">
        <v>196</v>
      </c>
      <c r="JGI1" s="176" t="s">
        <v>196</v>
      </c>
      <c r="JGJ1" s="176" t="s">
        <v>196</v>
      </c>
      <c r="JGK1" s="176" t="s">
        <v>196</v>
      </c>
      <c r="JGL1" s="176" t="s">
        <v>196</v>
      </c>
      <c r="JGM1" s="176" t="s">
        <v>196</v>
      </c>
      <c r="JGN1" s="176" t="s">
        <v>196</v>
      </c>
      <c r="JGO1" s="176" t="s">
        <v>196</v>
      </c>
      <c r="JGP1" s="176" t="s">
        <v>196</v>
      </c>
      <c r="JGQ1" s="176" t="s">
        <v>196</v>
      </c>
      <c r="JGR1" s="176" t="s">
        <v>196</v>
      </c>
      <c r="JGS1" s="176" t="s">
        <v>196</v>
      </c>
      <c r="JGT1" s="176" t="s">
        <v>196</v>
      </c>
      <c r="JGU1" s="176" t="s">
        <v>196</v>
      </c>
      <c r="JGV1" s="176" t="s">
        <v>196</v>
      </c>
      <c r="JGW1" s="176" t="s">
        <v>196</v>
      </c>
      <c r="JGX1" s="176" t="s">
        <v>196</v>
      </c>
      <c r="JGY1" s="176" t="s">
        <v>196</v>
      </c>
      <c r="JGZ1" s="176" t="s">
        <v>196</v>
      </c>
      <c r="JHA1" s="176" t="s">
        <v>196</v>
      </c>
      <c r="JHB1" s="176" t="s">
        <v>196</v>
      </c>
      <c r="JHC1" s="176" t="s">
        <v>196</v>
      </c>
      <c r="JHD1" s="176" t="s">
        <v>196</v>
      </c>
      <c r="JHE1" s="176" t="s">
        <v>196</v>
      </c>
      <c r="JHF1" s="176" t="s">
        <v>196</v>
      </c>
      <c r="JHG1" s="176" t="s">
        <v>196</v>
      </c>
      <c r="JHH1" s="176" t="s">
        <v>196</v>
      </c>
      <c r="JHI1" s="176" t="s">
        <v>196</v>
      </c>
      <c r="JHJ1" s="176" t="s">
        <v>196</v>
      </c>
      <c r="JHK1" s="176" t="s">
        <v>196</v>
      </c>
      <c r="JHL1" s="176" t="s">
        <v>196</v>
      </c>
      <c r="JHM1" s="176" t="s">
        <v>196</v>
      </c>
      <c r="JHN1" s="176" t="s">
        <v>196</v>
      </c>
      <c r="JHO1" s="176" t="s">
        <v>196</v>
      </c>
      <c r="JHP1" s="176" t="s">
        <v>196</v>
      </c>
      <c r="JHQ1" s="176" t="s">
        <v>196</v>
      </c>
      <c r="JHR1" s="176" t="s">
        <v>196</v>
      </c>
      <c r="JHS1" s="176" t="s">
        <v>196</v>
      </c>
      <c r="JHT1" s="176" t="s">
        <v>196</v>
      </c>
      <c r="JHU1" s="176" t="s">
        <v>196</v>
      </c>
      <c r="JHV1" s="176" t="s">
        <v>196</v>
      </c>
      <c r="JHW1" s="176" t="s">
        <v>196</v>
      </c>
      <c r="JHX1" s="176" t="s">
        <v>196</v>
      </c>
      <c r="JHY1" s="176" t="s">
        <v>196</v>
      </c>
      <c r="JHZ1" s="176" t="s">
        <v>196</v>
      </c>
      <c r="JIA1" s="176" t="s">
        <v>196</v>
      </c>
      <c r="JIB1" s="176" t="s">
        <v>196</v>
      </c>
      <c r="JIC1" s="176" t="s">
        <v>196</v>
      </c>
      <c r="JID1" s="176" t="s">
        <v>196</v>
      </c>
      <c r="JIE1" s="176" t="s">
        <v>196</v>
      </c>
      <c r="JIF1" s="176" t="s">
        <v>196</v>
      </c>
      <c r="JIG1" s="176" t="s">
        <v>196</v>
      </c>
      <c r="JIH1" s="176" t="s">
        <v>196</v>
      </c>
      <c r="JII1" s="176" t="s">
        <v>196</v>
      </c>
      <c r="JIJ1" s="176" t="s">
        <v>196</v>
      </c>
      <c r="JIK1" s="176" t="s">
        <v>196</v>
      </c>
      <c r="JIL1" s="176" t="s">
        <v>196</v>
      </c>
      <c r="JIM1" s="176" t="s">
        <v>196</v>
      </c>
      <c r="JIN1" s="176" t="s">
        <v>196</v>
      </c>
      <c r="JIO1" s="176" t="s">
        <v>196</v>
      </c>
      <c r="JIP1" s="176" t="s">
        <v>196</v>
      </c>
      <c r="JIQ1" s="176" t="s">
        <v>196</v>
      </c>
      <c r="JIR1" s="176" t="s">
        <v>196</v>
      </c>
      <c r="JIS1" s="176" t="s">
        <v>196</v>
      </c>
      <c r="JIT1" s="176" t="s">
        <v>196</v>
      </c>
      <c r="JIU1" s="176" t="s">
        <v>196</v>
      </c>
      <c r="JIV1" s="176" t="s">
        <v>196</v>
      </c>
      <c r="JIW1" s="176" t="s">
        <v>196</v>
      </c>
      <c r="JIX1" s="176" t="s">
        <v>196</v>
      </c>
      <c r="JIY1" s="176" t="s">
        <v>196</v>
      </c>
      <c r="JIZ1" s="176" t="s">
        <v>196</v>
      </c>
      <c r="JJA1" s="176" t="s">
        <v>196</v>
      </c>
      <c r="JJB1" s="176" t="s">
        <v>196</v>
      </c>
      <c r="JJC1" s="176" t="s">
        <v>196</v>
      </c>
      <c r="JJD1" s="176" t="s">
        <v>196</v>
      </c>
      <c r="JJE1" s="176" t="s">
        <v>196</v>
      </c>
      <c r="JJF1" s="176" t="s">
        <v>196</v>
      </c>
      <c r="JJG1" s="176" t="s">
        <v>196</v>
      </c>
      <c r="JJH1" s="176" t="s">
        <v>196</v>
      </c>
      <c r="JJI1" s="176" t="s">
        <v>196</v>
      </c>
      <c r="JJJ1" s="176" t="s">
        <v>196</v>
      </c>
      <c r="JJK1" s="176" t="s">
        <v>196</v>
      </c>
      <c r="JJL1" s="176" t="s">
        <v>196</v>
      </c>
      <c r="JJM1" s="176" t="s">
        <v>196</v>
      </c>
      <c r="JJN1" s="176" t="s">
        <v>196</v>
      </c>
      <c r="JJO1" s="176" t="s">
        <v>196</v>
      </c>
      <c r="JJP1" s="176" t="s">
        <v>196</v>
      </c>
      <c r="JJQ1" s="176" t="s">
        <v>196</v>
      </c>
      <c r="JJR1" s="176" t="s">
        <v>196</v>
      </c>
      <c r="JJS1" s="176" t="s">
        <v>196</v>
      </c>
      <c r="JJT1" s="176" t="s">
        <v>196</v>
      </c>
      <c r="JJU1" s="176" t="s">
        <v>196</v>
      </c>
      <c r="JJV1" s="176" t="s">
        <v>196</v>
      </c>
      <c r="JJW1" s="176" t="s">
        <v>196</v>
      </c>
      <c r="JJX1" s="176" t="s">
        <v>196</v>
      </c>
      <c r="JJY1" s="176" t="s">
        <v>196</v>
      </c>
      <c r="JJZ1" s="176" t="s">
        <v>196</v>
      </c>
      <c r="JKA1" s="176" t="s">
        <v>196</v>
      </c>
      <c r="JKB1" s="176" t="s">
        <v>196</v>
      </c>
      <c r="JKC1" s="176" t="s">
        <v>196</v>
      </c>
      <c r="JKD1" s="176" t="s">
        <v>196</v>
      </c>
      <c r="JKE1" s="176" t="s">
        <v>196</v>
      </c>
      <c r="JKF1" s="176" t="s">
        <v>196</v>
      </c>
      <c r="JKG1" s="176" t="s">
        <v>196</v>
      </c>
      <c r="JKH1" s="176" t="s">
        <v>196</v>
      </c>
      <c r="JKI1" s="176" t="s">
        <v>196</v>
      </c>
      <c r="JKJ1" s="176" t="s">
        <v>196</v>
      </c>
      <c r="JKK1" s="176" t="s">
        <v>196</v>
      </c>
      <c r="JKL1" s="176" t="s">
        <v>196</v>
      </c>
      <c r="JKM1" s="176" t="s">
        <v>196</v>
      </c>
      <c r="JKN1" s="176" t="s">
        <v>196</v>
      </c>
      <c r="JKO1" s="176" t="s">
        <v>196</v>
      </c>
      <c r="JKP1" s="176" t="s">
        <v>196</v>
      </c>
      <c r="JKQ1" s="176" t="s">
        <v>196</v>
      </c>
      <c r="JKR1" s="176" t="s">
        <v>196</v>
      </c>
      <c r="JKS1" s="176" t="s">
        <v>196</v>
      </c>
      <c r="JKT1" s="176" t="s">
        <v>196</v>
      </c>
      <c r="JKU1" s="176" t="s">
        <v>196</v>
      </c>
      <c r="JKV1" s="176" t="s">
        <v>196</v>
      </c>
      <c r="JKW1" s="176" t="s">
        <v>196</v>
      </c>
      <c r="JKX1" s="176" t="s">
        <v>196</v>
      </c>
      <c r="JKY1" s="176" t="s">
        <v>196</v>
      </c>
      <c r="JKZ1" s="176" t="s">
        <v>196</v>
      </c>
      <c r="JLA1" s="176" t="s">
        <v>196</v>
      </c>
      <c r="JLB1" s="176" t="s">
        <v>196</v>
      </c>
      <c r="JLC1" s="176" t="s">
        <v>196</v>
      </c>
      <c r="JLD1" s="176" t="s">
        <v>196</v>
      </c>
      <c r="JLE1" s="176" t="s">
        <v>196</v>
      </c>
      <c r="JLF1" s="176" t="s">
        <v>196</v>
      </c>
      <c r="JLG1" s="176" t="s">
        <v>196</v>
      </c>
      <c r="JLH1" s="176" t="s">
        <v>196</v>
      </c>
      <c r="JLI1" s="176" t="s">
        <v>196</v>
      </c>
      <c r="JLJ1" s="176" t="s">
        <v>196</v>
      </c>
      <c r="JLK1" s="176" t="s">
        <v>196</v>
      </c>
      <c r="JLL1" s="176" t="s">
        <v>196</v>
      </c>
      <c r="JLM1" s="176" t="s">
        <v>196</v>
      </c>
      <c r="JLN1" s="176" t="s">
        <v>196</v>
      </c>
      <c r="JLO1" s="176" t="s">
        <v>196</v>
      </c>
      <c r="JLP1" s="176" t="s">
        <v>196</v>
      </c>
      <c r="JLQ1" s="176" t="s">
        <v>196</v>
      </c>
      <c r="JLR1" s="176" t="s">
        <v>196</v>
      </c>
      <c r="JLS1" s="176" t="s">
        <v>196</v>
      </c>
      <c r="JLT1" s="176" t="s">
        <v>196</v>
      </c>
      <c r="JLU1" s="176" t="s">
        <v>196</v>
      </c>
      <c r="JLV1" s="176" t="s">
        <v>196</v>
      </c>
      <c r="JLW1" s="176" t="s">
        <v>196</v>
      </c>
      <c r="JLX1" s="176" t="s">
        <v>196</v>
      </c>
      <c r="JLY1" s="176" t="s">
        <v>196</v>
      </c>
      <c r="JLZ1" s="176" t="s">
        <v>196</v>
      </c>
      <c r="JMA1" s="176" t="s">
        <v>196</v>
      </c>
      <c r="JMB1" s="176" t="s">
        <v>196</v>
      </c>
      <c r="JMC1" s="176" t="s">
        <v>196</v>
      </c>
      <c r="JMD1" s="176" t="s">
        <v>196</v>
      </c>
      <c r="JME1" s="176" t="s">
        <v>196</v>
      </c>
      <c r="JMF1" s="176" t="s">
        <v>196</v>
      </c>
      <c r="JMG1" s="176" t="s">
        <v>196</v>
      </c>
      <c r="JMH1" s="176" t="s">
        <v>196</v>
      </c>
      <c r="JMI1" s="176" t="s">
        <v>196</v>
      </c>
      <c r="JMJ1" s="176" t="s">
        <v>196</v>
      </c>
      <c r="JMK1" s="176" t="s">
        <v>196</v>
      </c>
      <c r="JML1" s="176" t="s">
        <v>196</v>
      </c>
      <c r="JMM1" s="176" t="s">
        <v>196</v>
      </c>
      <c r="JMN1" s="176" t="s">
        <v>196</v>
      </c>
      <c r="JMO1" s="176" t="s">
        <v>196</v>
      </c>
      <c r="JMP1" s="176" t="s">
        <v>196</v>
      </c>
      <c r="JMQ1" s="176" t="s">
        <v>196</v>
      </c>
      <c r="JMR1" s="176" t="s">
        <v>196</v>
      </c>
      <c r="JMS1" s="176" t="s">
        <v>196</v>
      </c>
      <c r="JMT1" s="176" t="s">
        <v>196</v>
      </c>
      <c r="JMU1" s="176" t="s">
        <v>196</v>
      </c>
      <c r="JMV1" s="176" t="s">
        <v>196</v>
      </c>
      <c r="JMW1" s="176" t="s">
        <v>196</v>
      </c>
      <c r="JMX1" s="176" t="s">
        <v>196</v>
      </c>
      <c r="JMY1" s="176" t="s">
        <v>196</v>
      </c>
      <c r="JMZ1" s="176" t="s">
        <v>196</v>
      </c>
      <c r="JNA1" s="176" t="s">
        <v>196</v>
      </c>
      <c r="JNB1" s="176" t="s">
        <v>196</v>
      </c>
      <c r="JNC1" s="176" t="s">
        <v>196</v>
      </c>
      <c r="JND1" s="176" t="s">
        <v>196</v>
      </c>
      <c r="JNE1" s="176" t="s">
        <v>196</v>
      </c>
      <c r="JNF1" s="176" t="s">
        <v>196</v>
      </c>
      <c r="JNG1" s="176" t="s">
        <v>196</v>
      </c>
      <c r="JNH1" s="176" t="s">
        <v>196</v>
      </c>
      <c r="JNI1" s="176" t="s">
        <v>196</v>
      </c>
      <c r="JNJ1" s="176" t="s">
        <v>196</v>
      </c>
      <c r="JNK1" s="176" t="s">
        <v>196</v>
      </c>
      <c r="JNL1" s="176" t="s">
        <v>196</v>
      </c>
      <c r="JNM1" s="176" t="s">
        <v>196</v>
      </c>
      <c r="JNN1" s="176" t="s">
        <v>196</v>
      </c>
      <c r="JNO1" s="176" t="s">
        <v>196</v>
      </c>
      <c r="JNP1" s="176" t="s">
        <v>196</v>
      </c>
      <c r="JNQ1" s="176" t="s">
        <v>196</v>
      </c>
      <c r="JNR1" s="176" t="s">
        <v>196</v>
      </c>
      <c r="JNS1" s="176" t="s">
        <v>196</v>
      </c>
      <c r="JNT1" s="176" t="s">
        <v>196</v>
      </c>
      <c r="JNU1" s="176" t="s">
        <v>196</v>
      </c>
      <c r="JNV1" s="176" t="s">
        <v>196</v>
      </c>
      <c r="JNW1" s="176" t="s">
        <v>196</v>
      </c>
      <c r="JNX1" s="176" t="s">
        <v>196</v>
      </c>
      <c r="JNY1" s="176" t="s">
        <v>196</v>
      </c>
      <c r="JNZ1" s="176" t="s">
        <v>196</v>
      </c>
      <c r="JOA1" s="176" t="s">
        <v>196</v>
      </c>
      <c r="JOB1" s="176" t="s">
        <v>196</v>
      </c>
      <c r="JOC1" s="176" t="s">
        <v>196</v>
      </c>
      <c r="JOD1" s="176" t="s">
        <v>196</v>
      </c>
      <c r="JOE1" s="176" t="s">
        <v>196</v>
      </c>
      <c r="JOF1" s="176" t="s">
        <v>196</v>
      </c>
      <c r="JOG1" s="176" t="s">
        <v>196</v>
      </c>
      <c r="JOH1" s="176" t="s">
        <v>196</v>
      </c>
      <c r="JOI1" s="176" t="s">
        <v>196</v>
      </c>
      <c r="JOJ1" s="176" t="s">
        <v>196</v>
      </c>
      <c r="JOK1" s="176" t="s">
        <v>196</v>
      </c>
      <c r="JOL1" s="176" t="s">
        <v>196</v>
      </c>
      <c r="JOM1" s="176" t="s">
        <v>196</v>
      </c>
      <c r="JON1" s="176" t="s">
        <v>196</v>
      </c>
      <c r="JOO1" s="176" t="s">
        <v>196</v>
      </c>
      <c r="JOP1" s="176" t="s">
        <v>196</v>
      </c>
      <c r="JOQ1" s="176" t="s">
        <v>196</v>
      </c>
      <c r="JOR1" s="176" t="s">
        <v>196</v>
      </c>
      <c r="JOS1" s="176" t="s">
        <v>196</v>
      </c>
      <c r="JOT1" s="176" t="s">
        <v>196</v>
      </c>
      <c r="JOU1" s="176" t="s">
        <v>196</v>
      </c>
      <c r="JOV1" s="176" t="s">
        <v>196</v>
      </c>
      <c r="JOW1" s="176" t="s">
        <v>196</v>
      </c>
      <c r="JOX1" s="176" t="s">
        <v>196</v>
      </c>
      <c r="JOY1" s="176" t="s">
        <v>196</v>
      </c>
      <c r="JOZ1" s="176" t="s">
        <v>196</v>
      </c>
      <c r="JPA1" s="176" t="s">
        <v>196</v>
      </c>
      <c r="JPB1" s="176" t="s">
        <v>196</v>
      </c>
      <c r="JPC1" s="176" t="s">
        <v>196</v>
      </c>
      <c r="JPD1" s="176" t="s">
        <v>196</v>
      </c>
      <c r="JPE1" s="176" t="s">
        <v>196</v>
      </c>
      <c r="JPF1" s="176" t="s">
        <v>196</v>
      </c>
      <c r="JPG1" s="176" t="s">
        <v>196</v>
      </c>
      <c r="JPH1" s="176" t="s">
        <v>196</v>
      </c>
      <c r="JPI1" s="176" t="s">
        <v>196</v>
      </c>
      <c r="JPJ1" s="176" t="s">
        <v>196</v>
      </c>
      <c r="JPK1" s="176" t="s">
        <v>196</v>
      </c>
      <c r="JPL1" s="176" t="s">
        <v>196</v>
      </c>
      <c r="JPM1" s="176" t="s">
        <v>196</v>
      </c>
      <c r="JPN1" s="176" t="s">
        <v>196</v>
      </c>
      <c r="JPO1" s="176" t="s">
        <v>196</v>
      </c>
      <c r="JPP1" s="176" t="s">
        <v>196</v>
      </c>
      <c r="JPQ1" s="176" t="s">
        <v>196</v>
      </c>
      <c r="JPR1" s="176" t="s">
        <v>196</v>
      </c>
      <c r="JPS1" s="176" t="s">
        <v>196</v>
      </c>
      <c r="JPT1" s="176" t="s">
        <v>196</v>
      </c>
      <c r="JPU1" s="176" t="s">
        <v>196</v>
      </c>
      <c r="JPV1" s="176" t="s">
        <v>196</v>
      </c>
      <c r="JPW1" s="176" t="s">
        <v>196</v>
      </c>
      <c r="JPX1" s="176" t="s">
        <v>196</v>
      </c>
      <c r="JPY1" s="176" t="s">
        <v>196</v>
      </c>
      <c r="JPZ1" s="176" t="s">
        <v>196</v>
      </c>
      <c r="JQA1" s="176" t="s">
        <v>196</v>
      </c>
      <c r="JQB1" s="176" t="s">
        <v>196</v>
      </c>
      <c r="JQC1" s="176" t="s">
        <v>196</v>
      </c>
      <c r="JQD1" s="176" t="s">
        <v>196</v>
      </c>
      <c r="JQE1" s="176" t="s">
        <v>196</v>
      </c>
      <c r="JQF1" s="176" t="s">
        <v>196</v>
      </c>
      <c r="JQG1" s="176" t="s">
        <v>196</v>
      </c>
      <c r="JQH1" s="176" t="s">
        <v>196</v>
      </c>
      <c r="JQI1" s="176" t="s">
        <v>196</v>
      </c>
      <c r="JQJ1" s="176" t="s">
        <v>196</v>
      </c>
      <c r="JQK1" s="176" t="s">
        <v>196</v>
      </c>
      <c r="JQL1" s="176" t="s">
        <v>196</v>
      </c>
      <c r="JQM1" s="176" t="s">
        <v>196</v>
      </c>
      <c r="JQN1" s="176" t="s">
        <v>196</v>
      </c>
      <c r="JQO1" s="176" t="s">
        <v>196</v>
      </c>
      <c r="JQP1" s="176" t="s">
        <v>196</v>
      </c>
      <c r="JQQ1" s="176" t="s">
        <v>196</v>
      </c>
      <c r="JQR1" s="176" t="s">
        <v>196</v>
      </c>
      <c r="JQS1" s="176" t="s">
        <v>196</v>
      </c>
      <c r="JQT1" s="176" t="s">
        <v>196</v>
      </c>
      <c r="JQU1" s="176" t="s">
        <v>196</v>
      </c>
      <c r="JQV1" s="176" t="s">
        <v>196</v>
      </c>
      <c r="JQW1" s="176" t="s">
        <v>196</v>
      </c>
      <c r="JQX1" s="176" t="s">
        <v>196</v>
      </c>
      <c r="JQY1" s="176" t="s">
        <v>196</v>
      </c>
      <c r="JQZ1" s="176" t="s">
        <v>196</v>
      </c>
      <c r="JRA1" s="176" t="s">
        <v>196</v>
      </c>
      <c r="JRB1" s="176" t="s">
        <v>196</v>
      </c>
      <c r="JRC1" s="176" t="s">
        <v>196</v>
      </c>
      <c r="JRD1" s="176" t="s">
        <v>196</v>
      </c>
      <c r="JRE1" s="176" t="s">
        <v>196</v>
      </c>
      <c r="JRF1" s="176" t="s">
        <v>196</v>
      </c>
      <c r="JRG1" s="176" t="s">
        <v>196</v>
      </c>
      <c r="JRH1" s="176" t="s">
        <v>196</v>
      </c>
      <c r="JRI1" s="176" t="s">
        <v>196</v>
      </c>
      <c r="JRJ1" s="176" t="s">
        <v>196</v>
      </c>
      <c r="JRK1" s="176" t="s">
        <v>196</v>
      </c>
      <c r="JRL1" s="176" t="s">
        <v>196</v>
      </c>
      <c r="JRM1" s="176" t="s">
        <v>196</v>
      </c>
      <c r="JRN1" s="176" t="s">
        <v>196</v>
      </c>
      <c r="JRO1" s="176" t="s">
        <v>196</v>
      </c>
      <c r="JRP1" s="176" t="s">
        <v>196</v>
      </c>
      <c r="JRQ1" s="176" t="s">
        <v>196</v>
      </c>
      <c r="JRR1" s="176" t="s">
        <v>196</v>
      </c>
      <c r="JRS1" s="176" t="s">
        <v>196</v>
      </c>
      <c r="JRT1" s="176" t="s">
        <v>196</v>
      </c>
      <c r="JRU1" s="176" t="s">
        <v>196</v>
      </c>
      <c r="JRV1" s="176" t="s">
        <v>196</v>
      </c>
      <c r="JRW1" s="176" t="s">
        <v>196</v>
      </c>
      <c r="JRX1" s="176" t="s">
        <v>196</v>
      </c>
      <c r="JRY1" s="176" t="s">
        <v>196</v>
      </c>
      <c r="JRZ1" s="176" t="s">
        <v>196</v>
      </c>
      <c r="JSA1" s="176" t="s">
        <v>196</v>
      </c>
      <c r="JSB1" s="176" t="s">
        <v>196</v>
      </c>
      <c r="JSC1" s="176" t="s">
        <v>196</v>
      </c>
      <c r="JSD1" s="176" t="s">
        <v>196</v>
      </c>
      <c r="JSE1" s="176" t="s">
        <v>196</v>
      </c>
      <c r="JSF1" s="176" t="s">
        <v>196</v>
      </c>
      <c r="JSG1" s="176" t="s">
        <v>196</v>
      </c>
      <c r="JSH1" s="176" t="s">
        <v>196</v>
      </c>
      <c r="JSI1" s="176" t="s">
        <v>196</v>
      </c>
      <c r="JSJ1" s="176" t="s">
        <v>196</v>
      </c>
      <c r="JSK1" s="176" t="s">
        <v>196</v>
      </c>
      <c r="JSL1" s="176" t="s">
        <v>196</v>
      </c>
      <c r="JSM1" s="176" t="s">
        <v>196</v>
      </c>
      <c r="JSN1" s="176" t="s">
        <v>196</v>
      </c>
      <c r="JSO1" s="176" t="s">
        <v>196</v>
      </c>
      <c r="JSP1" s="176" t="s">
        <v>196</v>
      </c>
      <c r="JSQ1" s="176" t="s">
        <v>196</v>
      </c>
      <c r="JSR1" s="176" t="s">
        <v>196</v>
      </c>
      <c r="JSS1" s="176" t="s">
        <v>196</v>
      </c>
      <c r="JST1" s="176" t="s">
        <v>196</v>
      </c>
      <c r="JSU1" s="176" t="s">
        <v>196</v>
      </c>
      <c r="JSV1" s="176" t="s">
        <v>196</v>
      </c>
      <c r="JSW1" s="176" t="s">
        <v>196</v>
      </c>
      <c r="JSX1" s="176" t="s">
        <v>196</v>
      </c>
      <c r="JSY1" s="176" t="s">
        <v>196</v>
      </c>
      <c r="JSZ1" s="176" t="s">
        <v>196</v>
      </c>
      <c r="JTA1" s="176" t="s">
        <v>196</v>
      </c>
      <c r="JTB1" s="176" t="s">
        <v>196</v>
      </c>
      <c r="JTC1" s="176" t="s">
        <v>196</v>
      </c>
      <c r="JTD1" s="176" t="s">
        <v>196</v>
      </c>
      <c r="JTE1" s="176" t="s">
        <v>196</v>
      </c>
      <c r="JTF1" s="176" t="s">
        <v>196</v>
      </c>
      <c r="JTG1" s="176" t="s">
        <v>196</v>
      </c>
      <c r="JTH1" s="176" t="s">
        <v>196</v>
      </c>
      <c r="JTI1" s="176" t="s">
        <v>196</v>
      </c>
      <c r="JTJ1" s="176" t="s">
        <v>196</v>
      </c>
      <c r="JTK1" s="176" t="s">
        <v>196</v>
      </c>
      <c r="JTL1" s="176" t="s">
        <v>196</v>
      </c>
      <c r="JTM1" s="176" t="s">
        <v>196</v>
      </c>
      <c r="JTN1" s="176" t="s">
        <v>196</v>
      </c>
      <c r="JTO1" s="176" t="s">
        <v>196</v>
      </c>
      <c r="JTP1" s="176" t="s">
        <v>196</v>
      </c>
      <c r="JTQ1" s="176" t="s">
        <v>196</v>
      </c>
      <c r="JTR1" s="176" t="s">
        <v>196</v>
      </c>
      <c r="JTS1" s="176" t="s">
        <v>196</v>
      </c>
      <c r="JTT1" s="176" t="s">
        <v>196</v>
      </c>
      <c r="JTU1" s="176" t="s">
        <v>196</v>
      </c>
      <c r="JTV1" s="176" t="s">
        <v>196</v>
      </c>
      <c r="JTW1" s="176" t="s">
        <v>196</v>
      </c>
      <c r="JTX1" s="176" t="s">
        <v>196</v>
      </c>
      <c r="JTY1" s="176" t="s">
        <v>196</v>
      </c>
      <c r="JTZ1" s="176" t="s">
        <v>196</v>
      </c>
      <c r="JUA1" s="176" t="s">
        <v>196</v>
      </c>
      <c r="JUB1" s="176" t="s">
        <v>196</v>
      </c>
      <c r="JUC1" s="176" t="s">
        <v>196</v>
      </c>
      <c r="JUD1" s="176" t="s">
        <v>196</v>
      </c>
      <c r="JUE1" s="176" t="s">
        <v>196</v>
      </c>
      <c r="JUF1" s="176" t="s">
        <v>196</v>
      </c>
      <c r="JUG1" s="176" t="s">
        <v>196</v>
      </c>
      <c r="JUH1" s="176" t="s">
        <v>196</v>
      </c>
      <c r="JUI1" s="176" t="s">
        <v>196</v>
      </c>
      <c r="JUJ1" s="176" t="s">
        <v>196</v>
      </c>
      <c r="JUK1" s="176" t="s">
        <v>196</v>
      </c>
      <c r="JUL1" s="176" t="s">
        <v>196</v>
      </c>
      <c r="JUM1" s="176" t="s">
        <v>196</v>
      </c>
      <c r="JUN1" s="176" t="s">
        <v>196</v>
      </c>
      <c r="JUO1" s="176" t="s">
        <v>196</v>
      </c>
      <c r="JUP1" s="176" t="s">
        <v>196</v>
      </c>
      <c r="JUQ1" s="176" t="s">
        <v>196</v>
      </c>
      <c r="JUR1" s="176" t="s">
        <v>196</v>
      </c>
      <c r="JUS1" s="176" t="s">
        <v>196</v>
      </c>
      <c r="JUT1" s="176" t="s">
        <v>196</v>
      </c>
      <c r="JUU1" s="176" t="s">
        <v>196</v>
      </c>
      <c r="JUV1" s="176" t="s">
        <v>196</v>
      </c>
      <c r="JUW1" s="176" t="s">
        <v>196</v>
      </c>
      <c r="JUX1" s="176" t="s">
        <v>196</v>
      </c>
      <c r="JUY1" s="176" t="s">
        <v>196</v>
      </c>
      <c r="JUZ1" s="176" t="s">
        <v>196</v>
      </c>
      <c r="JVA1" s="176" t="s">
        <v>196</v>
      </c>
      <c r="JVB1" s="176" t="s">
        <v>196</v>
      </c>
      <c r="JVC1" s="176" t="s">
        <v>196</v>
      </c>
      <c r="JVD1" s="176" t="s">
        <v>196</v>
      </c>
      <c r="JVE1" s="176" t="s">
        <v>196</v>
      </c>
      <c r="JVF1" s="176" t="s">
        <v>196</v>
      </c>
      <c r="JVG1" s="176" t="s">
        <v>196</v>
      </c>
      <c r="JVH1" s="176" t="s">
        <v>196</v>
      </c>
      <c r="JVI1" s="176" t="s">
        <v>196</v>
      </c>
      <c r="JVJ1" s="176" t="s">
        <v>196</v>
      </c>
      <c r="JVK1" s="176" t="s">
        <v>196</v>
      </c>
      <c r="JVL1" s="176" t="s">
        <v>196</v>
      </c>
      <c r="JVM1" s="176" t="s">
        <v>196</v>
      </c>
      <c r="JVN1" s="176" t="s">
        <v>196</v>
      </c>
      <c r="JVO1" s="176" t="s">
        <v>196</v>
      </c>
      <c r="JVP1" s="176" t="s">
        <v>196</v>
      </c>
      <c r="JVQ1" s="176" t="s">
        <v>196</v>
      </c>
      <c r="JVR1" s="176" t="s">
        <v>196</v>
      </c>
      <c r="JVS1" s="176" t="s">
        <v>196</v>
      </c>
      <c r="JVT1" s="176" t="s">
        <v>196</v>
      </c>
      <c r="JVU1" s="176" t="s">
        <v>196</v>
      </c>
      <c r="JVV1" s="176" t="s">
        <v>196</v>
      </c>
      <c r="JVW1" s="176" t="s">
        <v>196</v>
      </c>
      <c r="JVX1" s="176" t="s">
        <v>196</v>
      </c>
      <c r="JVY1" s="176" t="s">
        <v>196</v>
      </c>
      <c r="JVZ1" s="176" t="s">
        <v>196</v>
      </c>
      <c r="JWA1" s="176" t="s">
        <v>196</v>
      </c>
      <c r="JWB1" s="176" t="s">
        <v>196</v>
      </c>
      <c r="JWC1" s="176" t="s">
        <v>196</v>
      </c>
      <c r="JWD1" s="176" t="s">
        <v>196</v>
      </c>
      <c r="JWE1" s="176" t="s">
        <v>196</v>
      </c>
      <c r="JWF1" s="176" t="s">
        <v>196</v>
      </c>
      <c r="JWG1" s="176" t="s">
        <v>196</v>
      </c>
      <c r="JWH1" s="176" t="s">
        <v>196</v>
      </c>
      <c r="JWI1" s="176" t="s">
        <v>196</v>
      </c>
      <c r="JWJ1" s="176" t="s">
        <v>196</v>
      </c>
      <c r="JWK1" s="176" t="s">
        <v>196</v>
      </c>
      <c r="JWL1" s="176" t="s">
        <v>196</v>
      </c>
      <c r="JWM1" s="176" t="s">
        <v>196</v>
      </c>
      <c r="JWN1" s="176" t="s">
        <v>196</v>
      </c>
      <c r="JWO1" s="176" t="s">
        <v>196</v>
      </c>
      <c r="JWP1" s="176" t="s">
        <v>196</v>
      </c>
      <c r="JWQ1" s="176" t="s">
        <v>196</v>
      </c>
      <c r="JWR1" s="176" t="s">
        <v>196</v>
      </c>
      <c r="JWS1" s="176" t="s">
        <v>196</v>
      </c>
      <c r="JWT1" s="176" t="s">
        <v>196</v>
      </c>
      <c r="JWU1" s="176" t="s">
        <v>196</v>
      </c>
      <c r="JWV1" s="176" t="s">
        <v>196</v>
      </c>
      <c r="JWW1" s="176" t="s">
        <v>196</v>
      </c>
      <c r="JWX1" s="176" t="s">
        <v>196</v>
      </c>
      <c r="JWY1" s="176" t="s">
        <v>196</v>
      </c>
      <c r="JWZ1" s="176" t="s">
        <v>196</v>
      </c>
      <c r="JXA1" s="176" t="s">
        <v>196</v>
      </c>
      <c r="JXB1" s="176" t="s">
        <v>196</v>
      </c>
      <c r="JXC1" s="176" t="s">
        <v>196</v>
      </c>
      <c r="JXD1" s="176" t="s">
        <v>196</v>
      </c>
      <c r="JXE1" s="176" t="s">
        <v>196</v>
      </c>
      <c r="JXF1" s="176" t="s">
        <v>196</v>
      </c>
      <c r="JXG1" s="176" t="s">
        <v>196</v>
      </c>
      <c r="JXH1" s="176" t="s">
        <v>196</v>
      </c>
      <c r="JXI1" s="176" t="s">
        <v>196</v>
      </c>
      <c r="JXJ1" s="176" t="s">
        <v>196</v>
      </c>
      <c r="JXK1" s="176" t="s">
        <v>196</v>
      </c>
      <c r="JXL1" s="176" t="s">
        <v>196</v>
      </c>
      <c r="JXM1" s="176" t="s">
        <v>196</v>
      </c>
      <c r="JXN1" s="176" t="s">
        <v>196</v>
      </c>
      <c r="JXO1" s="176" t="s">
        <v>196</v>
      </c>
      <c r="JXP1" s="176" t="s">
        <v>196</v>
      </c>
      <c r="JXQ1" s="176" t="s">
        <v>196</v>
      </c>
      <c r="JXR1" s="176" t="s">
        <v>196</v>
      </c>
      <c r="JXS1" s="176" t="s">
        <v>196</v>
      </c>
      <c r="JXT1" s="176" t="s">
        <v>196</v>
      </c>
      <c r="JXU1" s="176" t="s">
        <v>196</v>
      </c>
      <c r="JXV1" s="176" t="s">
        <v>196</v>
      </c>
      <c r="JXW1" s="176" t="s">
        <v>196</v>
      </c>
      <c r="JXX1" s="176" t="s">
        <v>196</v>
      </c>
      <c r="JXY1" s="176" t="s">
        <v>196</v>
      </c>
      <c r="JXZ1" s="176" t="s">
        <v>196</v>
      </c>
      <c r="JYA1" s="176" t="s">
        <v>196</v>
      </c>
      <c r="JYB1" s="176" t="s">
        <v>196</v>
      </c>
      <c r="JYC1" s="176" t="s">
        <v>196</v>
      </c>
      <c r="JYD1" s="176" t="s">
        <v>196</v>
      </c>
      <c r="JYE1" s="176" t="s">
        <v>196</v>
      </c>
      <c r="JYF1" s="176" t="s">
        <v>196</v>
      </c>
      <c r="JYG1" s="176" t="s">
        <v>196</v>
      </c>
      <c r="JYH1" s="176" t="s">
        <v>196</v>
      </c>
      <c r="JYI1" s="176" t="s">
        <v>196</v>
      </c>
      <c r="JYJ1" s="176" t="s">
        <v>196</v>
      </c>
      <c r="JYK1" s="176" t="s">
        <v>196</v>
      </c>
      <c r="JYL1" s="176" t="s">
        <v>196</v>
      </c>
      <c r="JYM1" s="176" t="s">
        <v>196</v>
      </c>
      <c r="JYN1" s="176" t="s">
        <v>196</v>
      </c>
      <c r="JYO1" s="176" t="s">
        <v>196</v>
      </c>
      <c r="JYP1" s="176" t="s">
        <v>196</v>
      </c>
      <c r="JYQ1" s="176" t="s">
        <v>196</v>
      </c>
      <c r="JYR1" s="176" t="s">
        <v>196</v>
      </c>
      <c r="JYS1" s="176" t="s">
        <v>196</v>
      </c>
      <c r="JYT1" s="176" t="s">
        <v>196</v>
      </c>
      <c r="JYU1" s="176" t="s">
        <v>196</v>
      </c>
      <c r="JYV1" s="176" t="s">
        <v>196</v>
      </c>
      <c r="JYW1" s="176" t="s">
        <v>196</v>
      </c>
      <c r="JYX1" s="176" t="s">
        <v>196</v>
      </c>
      <c r="JYY1" s="176" t="s">
        <v>196</v>
      </c>
      <c r="JYZ1" s="176" t="s">
        <v>196</v>
      </c>
      <c r="JZA1" s="176" t="s">
        <v>196</v>
      </c>
      <c r="JZB1" s="176" t="s">
        <v>196</v>
      </c>
      <c r="JZC1" s="176" t="s">
        <v>196</v>
      </c>
      <c r="JZD1" s="176" t="s">
        <v>196</v>
      </c>
      <c r="JZE1" s="176" t="s">
        <v>196</v>
      </c>
      <c r="JZF1" s="176" t="s">
        <v>196</v>
      </c>
      <c r="JZG1" s="176" t="s">
        <v>196</v>
      </c>
      <c r="JZH1" s="176" t="s">
        <v>196</v>
      </c>
      <c r="JZI1" s="176" t="s">
        <v>196</v>
      </c>
      <c r="JZJ1" s="176" t="s">
        <v>196</v>
      </c>
      <c r="JZK1" s="176" t="s">
        <v>196</v>
      </c>
      <c r="JZL1" s="176" t="s">
        <v>196</v>
      </c>
      <c r="JZM1" s="176" t="s">
        <v>196</v>
      </c>
      <c r="JZN1" s="176" t="s">
        <v>196</v>
      </c>
      <c r="JZO1" s="176" t="s">
        <v>196</v>
      </c>
      <c r="JZP1" s="176" t="s">
        <v>196</v>
      </c>
      <c r="JZQ1" s="176" t="s">
        <v>196</v>
      </c>
      <c r="JZR1" s="176" t="s">
        <v>196</v>
      </c>
      <c r="JZS1" s="176" t="s">
        <v>196</v>
      </c>
      <c r="JZT1" s="176" t="s">
        <v>196</v>
      </c>
      <c r="JZU1" s="176" t="s">
        <v>196</v>
      </c>
      <c r="JZV1" s="176" t="s">
        <v>196</v>
      </c>
      <c r="JZW1" s="176" t="s">
        <v>196</v>
      </c>
      <c r="JZX1" s="176" t="s">
        <v>196</v>
      </c>
      <c r="JZY1" s="176" t="s">
        <v>196</v>
      </c>
      <c r="JZZ1" s="176" t="s">
        <v>196</v>
      </c>
      <c r="KAA1" s="176" t="s">
        <v>196</v>
      </c>
      <c r="KAB1" s="176" t="s">
        <v>196</v>
      </c>
      <c r="KAC1" s="176" t="s">
        <v>196</v>
      </c>
      <c r="KAD1" s="176" t="s">
        <v>196</v>
      </c>
      <c r="KAE1" s="176" t="s">
        <v>196</v>
      </c>
      <c r="KAF1" s="176" t="s">
        <v>196</v>
      </c>
      <c r="KAG1" s="176" t="s">
        <v>196</v>
      </c>
      <c r="KAH1" s="176" t="s">
        <v>196</v>
      </c>
      <c r="KAI1" s="176" t="s">
        <v>196</v>
      </c>
      <c r="KAJ1" s="176" t="s">
        <v>196</v>
      </c>
      <c r="KAK1" s="176" t="s">
        <v>196</v>
      </c>
      <c r="KAL1" s="176" t="s">
        <v>196</v>
      </c>
      <c r="KAM1" s="176" t="s">
        <v>196</v>
      </c>
      <c r="KAN1" s="176" t="s">
        <v>196</v>
      </c>
      <c r="KAO1" s="176" t="s">
        <v>196</v>
      </c>
      <c r="KAP1" s="176" t="s">
        <v>196</v>
      </c>
      <c r="KAQ1" s="176" t="s">
        <v>196</v>
      </c>
      <c r="KAR1" s="176" t="s">
        <v>196</v>
      </c>
      <c r="KAS1" s="176" t="s">
        <v>196</v>
      </c>
      <c r="KAT1" s="176" t="s">
        <v>196</v>
      </c>
      <c r="KAU1" s="176" t="s">
        <v>196</v>
      </c>
      <c r="KAV1" s="176" t="s">
        <v>196</v>
      </c>
      <c r="KAW1" s="176" t="s">
        <v>196</v>
      </c>
      <c r="KAX1" s="176" t="s">
        <v>196</v>
      </c>
      <c r="KAY1" s="176" t="s">
        <v>196</v>
      </c>
      <c r="KAZ1" s="176" t="s">
        <v>196</v>
      </c>
      <c r="KBA1" s="176" t="s">
        <v>196</v>
      </c>
      <c r="KBB1" s="176" t="s">
        <v>196</v>
      </c>
      <c r="KBC1" s="176" t="s">
        <v>196</v>
      </c>
      <c r="KBD1" s="176" t="s">
        <v>196</v>
      </c>
      <c r="KBE1" s="176" t="s">
        <v>196</v>
      </c>
      <c r="KBF1" s="176" t="s">
        <v>196</v>
      </c>
      <c r="KBG1" s="176" t="s">
        <v>196</v>
      </c>
      <c r="KBH1" s="176" t="s">
        <v>196</v>
      </c>
      <c r="KBI1" s="176" t="s">
        <v>196</v>
      </c>
      <c r="KBJ1" s="176" t="s">
        <v>196</v>
      </c>
      <c r="KBK1" s="176" t="s">
        <v>196</v>
      </c>
      <c r="KBL1" s="176" t="s">
        <v>196</v>
      </c>
      <c r="KBM1" s="176" t="s">
        <v>196</v>
      </c>
      <c r="KBN1" s="176" t="s">
        <v>196</v>
      </c>
      <c r="KBO1" s="176" t="s">
        <v>196</v>
      </c>
      <c r="KBP1" s="176" t="s">
        <v>196</v>
      </c>
      <c r="KBQ1" s="176" t="s">
        <v>196</v>
      </c>
      <c r="KBR1" s="176" t="s">
        <v>196</v>
      </c>
      <c r="KBS1" s="176" t="s">
        <v>196</v>
      </c>
      <c r="KBT1" s="176" t="s">
        <v>196</v>
      </c>
      <c r="KBU1" s="176" t="s">
        <v>196</v>
      </c>
      <c r="KBV1" s="176" t="s">
        <v>196</v>
      </c>
      <c r="KBW1" s="176" t="s">
        <v>196</v>
      </c>
      <c r="KBX1" s="176" t="s">
        <v>196</v>
      </c>
      <c r="KBY1" s="176" t="s">
        <v>196</v>
      </c>
      <c r="KBZ1" s="176" t="s">
        <v>196</v>
      </c>
      <c r="KCA1" s="176" t="s">
        <v>196</v>
      </c>
      <c r="KCB1" s="176" t="s">
        <v>196</v>
      </c>
      <c r="KCC1" s="176" t="s">
        <v>196</v>
      </c>
      <c r="KCD1" s="176" t="s">
        <v>196</v>
      </c>
      <c r="KCE1" s="176" t="s">
        <v>196</v>
      </c>
      <c r="KCF1" s="176" t="s">
        <v>196</v>
      </c>
      <c r="KCG1" s="176" t="s">
        <v>196</v>
      </c>
      <c r="KCH1" s="176" t="s">
        <v>196</v>
      </c>
      <c r="KCI1" s="176" t="s">
        <v>196</v>
      </c>
      <c r="KCJ1" s="176" t="s">
        <v>196</v>
      </c>
      <c r="KCK1" s="176" t="s">
        <v>196</v>
      </c>
      <c r="KCL1" s="176" t="s">
        <v>196</v>
      </c>
      <c r="KCM1" s="176" t="s">
        <v>196</v>
      </c>
      <c r="KCN1" s="176" t="s">
        <v>196</v>
      </c>
      <c r="KCO1" s="176" t="s">
        <v>196</v>
      </c>
      <c r="KCP1" s="176" t="s">
        <v>196</v>
      </c>
      <c r="KCQ1" s="176" t="s">
        <v>196</v>
      </c>
      <c r="KCR1" s="176" t="s">
        <v>196</v>
      </c>
      <c r="KCS1" s="176" t="s">
        <v>196</v>
      </c>
      <c r="KCT1" s="176" t="s">
        <v>196</v>
      </c>
      <c r="KCU1" s="176" t="s">
        <v>196</v>
      </c>
      <c r="KCV1" s="176" t="s">
        <v>196</v>
      </c>
      <c r="KCW1" s="176" t="s">
        <v>196</v>
      </c>
      <c r="KCX1" s="176" t="s">
        <v>196</v>
      </c>
      <c r="KCY1" s="176" t="s">
        <v>196</v>
      </c>
      <c r="KCZ1" s="176" t="s">
        <v>196</v>
      </c>
      <c r="KDA1" s="176" t="s">
        <v>196</v>
      </c>
      <c r="KDB1" s="176" t="s">
        <v>196</v>
      </c>
      <c r="KDC1" s="176" t="s">
        <v>196</v>
      </c>
      <c r="KDD1" s="176" t="s">
        <v>196</v>
      </c>
      <c r="KDE1" s="176" t="s">
        <v>196</v>
      </c>
      <c r="KDF1" s="176" t="s">
        <v>196</v>
      </c>
      <c r="KDG1" s="176" t="s">
        <v>196</v>
      </c>
      <c r="KDH1" s="176" t="s">
        <v>196</v>
      </c>
      <c r="KDI1" s="176" t="s">
        <v>196</v>
      </c>
      <c r="KDJ1" s="176" t="s">
        <v>196</v>
      </c>
      <c r="KDK1" s="176" t="s">
        <v>196</v>
      </c>
      <c r="KDL1" s="176" t="s">
        <v>196</v>
      </c>
      <c r="KDM1" s="176" t="s">
        <v>196</v>
      </c>
      <c r="KDN1" s="176" t="s">
        <v>196</v>
      </c>
      <c r="KDO1" s="176" t="s">
        <v>196</v>
      </c>
      <c r="KDP1" s="176" t="s">
        <v>196</v>
      </c>
      <c r="KDQ1" s="176" t="s">
        <v>196</v>
      </c>
      <c r="KDR1" s="176" t="s">
        <v>196</v>
      </c>
      <c r="KDS1" s="176" t="s">
        <v>196</v>
      </c>
      <c r="KDT1" s="176" t="s">
        <v>196</v>
      </c>
      <c r="KDU1" s="176" t="s">
        <v>196</v>
      </c>
      <c r="KDV1" s="176" t="s">
        <v>196</v>
      </c>
      <c r="KDW1" s="176" t="s">
        <v>196</v>
      </c>
      <c r="KDX1" s="176" t="s">
        <v>196</v>
      </c>
      <c r="KDY1" s="176" t="s">
        <v>196</v>
      </c>
      <c r="KDZ1" s="176" t="s">
        <v>196</v>
      </c>
      <c r="KEA1" s="176" t="s">
        <v>196</v>
      </c>
      <c r="KEB1" s="176" t="s">
        <v>196</v>
      </c>
      <c r="KEC1" s="176" t="s">
        <v>196</v>
      </c>
      <c r="KED1" s="176" t="s">
        <v>196</v>
      </c>
      <c r="KEE1" s="176" t="s">
        <v>196</v>
      </c>
      <c r="KEF1" s="176" t="s">
        <v>196</v>
      </c>
      <c r="KEG1" s="176" t="s">
        <v>196</v>
      </c>
      <c r="KEH1" s="176" t="s">
        <v>196</v>
      </c>
      <c r="KEI1" s="176" t="s">
        <v>196</v>
      </c>
      <c r="KEJ1" s="176" t="s">
        <v>196</v>
      </c>
      <c r="KEK1" s="176" t="s">
        <v>196</v>
      </c>
      <c r="KEL1" s="176" t="s">
        <v>196</v>
      </c>
      <c r="KEM1" s="176" t="s">
        <v>196</v>
      </c>
      <c r="KEN1" s="176" t="s">
        <v>196</v>
      </c>
      <c r="KEO1" s="176" t="s">
        <v>196</v>
      </c>
      <c r="KEP1" s="176" t="s">
        <v>196</v>
      </c>
      <c r="KEQ1" s="176" t="s">
        <v>196</v>
      </c>
      <c r="KER1" s="176" t="s">
        <v>196</v>
      </c>
      <c r="KES1" s="176" t="s">
        <v>196</v>
      </c>
      <c r="KET1" s="176" t="s">
        <v>196</v>
      </c>
      <c r="KEU1" s="176" t="s">
        <v>196</v>
      </c>
      <c r="KEV1" s="176" t="s">
        <v>196</v>
      </c>
      <c r="KEW1" s="176" t="s">
        <v>196</v>
      </c>
      <c r="KEX1" s="176" t="s">
        <v>196</v>
      </c>
      <c r="KEY1" s="176" t="s">
        <v>196</v>
      </c>
      <c r="KEZ1" s="176" t="s">
        <v>196</v>
      </c>
      <c r="KFA1" s="176" t="s">
        <v>196</v>
      </c>
      <c r="KFB1" s="176" t="s">
        <v>196</v>
      </c>
      <c r="KFC1" s="176" t="s">
        <v>196</v>
      </c>
      <c r="KFD1" s="176" t="s">
        <v>196</v>
      </c>
      <c r="KFE1" s="176" t="s">
        <v>196</v>
      </c>
      <c r="KFF1" s="176" t="s">
        <v>196</v>
      </c>
      <c r="KFG1" s="176" t="s">
        <v>196</v>
      </c>
      <c r="KFH1" s="176" t="s">
        <v>196</v>
      </c>
      <c r="KFI1" s="176" t="s">
        <v>196</v>
      </c>
      <c r="KFJ1" s="176" t="s">
        <v>196</v>
      </c>
      <c r="KFK1" s="176" t="s">
        <v>196</v>
      </c>
      <c r="KFL1" s="176" t="s">
        <v>196</v>
      </c>
      <c r="KFM1" s="176" t="s">
        <v>196</v>
      </c>
      <c r="KFN1" s="176" t="s">
        <v>196</v>
      </c>
      <c r="KFO1" s="176" t="s">
        <v>196</v>
      </c>
      <c r="KFP1" s="176" t="s">
        <v>196</v>
      </c>
      <c r="KFQ1" s="176" t="s">
        <v>196</v>
      </c>
      <c r="KFR1" s="176" t="s">
        <v>196</v>
      </c>
      <c r="KFS1" s="176" t="s">
        <v>196</v>
      </c>
      <c r="KFT1" s="176" t="s">
        <v>196</v>
      </c>
      <c r="KFU1" s="176" t="s">
        <v>196</v>
      </c>
      <c r="KFV1" s="176" t="s">
        <v>196</v>
      </c>
      <c r="KFW1" s="176" t="s">
        <v>196</v>
      </c>
      <c r="KFX1" s="176" t="s">
        <v>196</v>
      </c>
      <c r="KFY1" s="176" t="s">
        <v>196</v>
      </c>
      <c r="KFZ1" s="176" t="s">
        <v>196</v>
      </c>
      <c r="KGA1" s="176" t="s">
        <v>196</v>
      </c>
      <c r="KGB1" s="176" t="s">
        <v>196</v>
      </c>
      <c r="KGC1" s="176" t="s">
        <v>196</v>
      </c>
      <c r="KGD1" s="176" t="s">
        <v>196</v>
      </c>
      <c r="KGE1" s="176" t="s">
        <v>196</v>
      </c>
      <c r="KGF1" s="176" t="s">
        <v>196</v>
      </c>
      <c r="KGG1" s="176" t="s">
        <v>196</v>
      </c>
      <c r="KGH1" s="176" t="s">
        <v>196</v>
      </c>
      <c r="KGI1" s="176" t="s">
        <v>196</v>
      </c>
      <c r="KGJ1" s="176" t="s">
        <v>196</v>
      </c>
      <c r="KGK1" s="176" t="s">
        <v>196</v>
      </c>
      <c r="KGL1" s="176" t="s">
        <v>196</v>
      </c>
      <c r="KGM1" s="176" t="s">
        <v>196</v>
      </c>
      <c r="KGN1" s="176" t="s">
        <v>196</v>
      </c>
      <c r="KGO1" s="176" t="s">
        <v>196</v>
      </c>
      <c r="KGP1" s="176" t="s">
        <v>196</v>
      </c>
      <c r="KGQ1" s="176" t="s">
        <v>196</v>
      </c>
      <c r="KGR1" s="176" t="s">
        <v>196</v>
      </c>
      <c r="KGS1" s="176" t="s">
        <v>196</v>
      </c>
      <c r="KGT1" s="176" t="s">
        <v>196</v>
      </c>
      <c r="KGU1" s="176" t="s">
        <v>196</v>
      </c>
      <c r="KGV1" s="176" t="s">
        <v>196</v>
      </c>
      <c r="KGW1" s="176" t="s">
        <v>196</v>
      </c>
      <c r="KGX1" s="176" t="s">
        <v>196</v>
      </c>
      <c r="KGY1" s="176" t="s">
        <v>196</v>
      </c>
      <c r="KGZ1" s="176" t="s">
        <v>196</v>
      </c>
      <c r="KHA1" s="176" t="s">
        <v>196</v>
      </c>
      <c r="KHB1" s="176" t="s">
        <v>196</v>
      </c>
      <c r="KHC1" s="176" t="s">
        <v>196</v>
      </c>
      <c r="KHD1" s="176" t="s">
        <v>196</v>
      </c>
      <c r="KHE1" s="176" t="s">
        <v>196</v>
      </c>
      <c r="KHF1" s="176" t="s">
        <v>196</v>
      </c>
      <c r="KHG1" s="176" t="s">
        <v>196</v>
      </c>
      <c r="KHH1" s="176" t="s">
        <v>196</v>
      </c>
      <c r="KHI1" s="176" t="s">
        <v>196</v>
      </c>
      <c r="KHJ1" s="176" t="s">
        <v>196</v>
      </c>
      <c r="KHK1" s="176" t="s">
        <v>196</v>
      </c>
      <c r="KHL1" s="176" t="s">
        <v>196</v>
      </c>
      <c r="KHM1" s="176" t="s">
        <v>196</v>
      </c>
      <c r="KHN1" s="176" t="s">
        <v>196</v>
      </c>
      <c r="KHO1" s="176" t="s">
        <v>196</v>
      </c>
      <c r="KHP1" s="176" t="s">
        <v>196</v>
      </c>
      <c r="KHQ1" s="176" t="s">
        <v>196</v>
      </c>
      <c r="KHR1" s="176" t="s">
        <v>196</v>
      </c>
      <c r="KHS1" s="176" t="s">
        <v>196</v>
      </c>
      <c r="KHT1" s="176" t="s">
        <v>196</v>
      </c>
      <c r="KHU1" s="176" t="s">
        <v>196</v>
      </c>
      <c r="KHV1" s="176" t="s">
        <v>196</v>
      </c>
      <c r="KHW1" s="176" t="s">
        <v>196</v>
      </c>
      <c r="KHX1" s="176" t="s">
        <v>196</v>
      </c>
      <c r="KHY1" s="176" t="s">
        <v>196</v>
      </c>
      <c r="KHZ1" s="176" t="s">
        <v>196</v>
      </c>
      <c r="KIA1" s="176" t="s">
        <v>196</v>
      </c>
      <c r="KIB1" s="176" t="s">
        <v>196</v>
      </c>
      <c r="KIC1" s="176" t="s">
        <v>196</v>
      </c>
      <c r="KID1" s="176" t="s">
        <v>196</v>
      </c>
      <c r="KIE1" s="176" t="s">
        <v>196</v>
      </c>
      <c r="KIF1" s="176" t="s">
        <v>196</v>
      </c>
      <c r="KIG1" s="176" t="s">
        <v>196</v>
      </c>
      <c r="KIH1" s="176" t="s">
        <v>196</v>
      </c>
      <c r="KII1" s="176" t="s">
        <v>196</v>
      </c>
      <c r="KIJ1" s="176" t="s">
        <v>196</v>
      </c>
      <c r="KIK1" s="176" t="s">
        <v>196</v>
      </c>
      <c r="KIL1" s="176" t="s">
        <v>196</v>
      </c>
      <c r="KIM1" s="176" t="s">
        <v>196</v>
      </c>
      <c r="KIN1" s="176" t="s">
        <v>196</v>
      </c>
      <c r="KIO1" s="176" t="s">
        <v>196</v>
      </c>
      <c r="KIP1" s="176" t="s">
        <v>196</v>
      </c>
      <c r="KIQ1" s="176" t="s">
        <v>196</v>
      </c>
      <c r="KIR1" s="176" t="s">
        <v>196</v>
      </c>
      <c r="KIS1" s="176" t="s">
        <v>196</v>
      </c>
      <c r="KIT1" s="176" t="s">
        <v>196</v>
      </c>
      <c r="KIU1" s="176" t="s">
        <v>196</v>
      </c>
      <c r="KIV1" s="176" t="s">
        <v>196</v>
      </c>
      <c r="KIW1" s="176" t="s">
        <v>196</v>
      </c>
      <c r="KIX1" s="176" t="s">
        <v>196</v>
      </c>
      <c r="KIY1" s="176" t="s">
        <v>196</v>
      </c>
      <c r="KIZ1" s="176" t="s">
        <v>196</v>
      </c>
      <c r="KJA1" s="176" t="s">
        <v>196</v>
      </c>
      <c r="KJB1" s="176" t="s">
        <v>196</v>
      </c>
      <c r="KJC1" s="176" t="s">
        <v>196</v>
      </c>
      <c r="KJD1" s="176" t="s">
        <v>196</v>
      </c>
      <c r="KJE1" s="176" t="s">
        <v>196</v>
      </c>
      <c r="KJF1" s="176" t="s">
        <v>196</v>
      </c>
      <c r="KJG1" s="176" t="s">
        <v>196</v>
      </c>
      <c r="KJH1" s="176" t="s">
        <v>196</v>
      </c>
      <c r="KJI1" s="176" t="s">
        <v>196</v>
      </c>
      <c r="KJJ1" s="176" t="s">
        <v>196</v>
      </c>
      <c r="KJK1" s="176" t="s">
        <v>196</v>
      </c>
      <c r="KJL1" s="176" t="s">
        <v>196</v>
      </c>
      <c r="KJM1" s="176" t="s">
        <v>196</v>
      </c>
      <c r="KJN1" s="176" t="s">
        <v>196</v>
      </c>
      <c r="KJO1" s="176" t="s">
        <v>196</v>
      </c>
      <c r="KJP1" s="176" t="s">
        <v>196</v>
      </c>
      <c r="KJQ1" s="176" t="s">
        <v>196</v>
      </c>
      <c r="KJR1" s="176" t="s">
        <v>196</v>
      </c>
      <c r="KJS1" s="176" t="s">
        <v>196</v>
      </c>
      <c r="KJT1" s="176" t="s">
        <v>196</v>
      </c>
      <c r="KJU1" s="176" t="s">
        <v>196</v>
      </c>
      <c r="KJV1" s="176" t="s">
        <v>196</v>
      </c>
      <c r="KJW1" s="176" t="s">
        <v>196</v>
      </c>
      <c r="KJX1" s="176" t="s">
        <v>196</v>
      </c>
      <c r="KJY1" s="176" t="s">
        <v>196</v>
      </c>
      <c r="KJZ1" s="176" t="s">
        <v>196</v>
      </c>
      <c r="KKA1" s="176" t="s">
        <v>196</v>
      </c>
      <c r="KKB1" s="176" t="s">
        <v>196</v>
      </c>
      <c r="KKC1" s="176" t="s">
        <v>196</v>
      </c>
      <c r="KKD1" s="176" t="s">
        <v>196</v>
      </c>
      <c r="KKE1" s="176" t="s">
        <v>196</v>
      </c>
      <c r="KKF1" s="176" t="s">
        <v>196</v>
      </c>
      <c r="KKG1" s="176" t="s">
        <v>196</v>
      </c>
      <c r="KKH1" s="176" t="s">
        <v>196</v>
      </c>
      <c r="KKI1" s="176" t="s">
        <v>196</v>
      </c>
      <c r="KKJ1" s="176" t="s">
        <v>196</v>
      </c>
      <c r="KKK1" s="176" t="s">
        <v>196</v>
      </c>
      <c r="KKL1" s="176" t="s">
        <v>196</v>
      </c>
      <c r="KKM1" s="176" t="s">
        <v>196</v>
      </c>
      <c r="KKN1" s="176" t="s">
        <v>196</v>
      </c>
      <c r="KKO1" s="176" t="s">
        <v>196</v>
      </c>
      <c r="KKP1" s="176" t="s">
        <v>196</v>
      </c>
      <c r="KKQ1" s="176" t="s">
        <v>196</v>
      </c>
      <c r="KKR1" s="176" t="s">
        <v>196</v>
      </c>
      <c r="KKS1" s="176" t="s">
        <v>196</v>
      </c>
      <c r="KKT1" s="176" t="s">
        <v>196</v>
      </c>
      <c r="KKU1" s="176" t="s">
        <v>196</v>
      </c>
      <c r="KKV1" s="176" t="s">
        <v>196</v>
      </c>
      <c r="KKW1" s="176" t="s">
        <v>196</v>
      </c>
      <c r="KKX1" s="176" t="s">
        <v>196</v>
      </c>
      <c r="KKY1" s="176" t="s">
        <v>196</v>
      </c>
      <c r="KKZ1" s="176" t="s">
        <v>196</v>
      </c>
      <c r="KLA1" s="176" t="s">
        <v>196</v>
      </c>
      <c r="KLB1" s="176" t="s">
        <v>196</v>
      </c>
      <c r="KLC1" s="176" t="s">
        <v>196</v>
      </c>
      <c r="KLD1" s="176" t="s">
        <v>196</v>
      </c>
      <c r="KLE1" s="176" t="s">
        <v>196</v>
      </c>
      <c r="KLF1" s="176" t="s">
        <v>196</v>
      </c>
      <c r="KLG1" s="176" t="s">
        <v>196</v>
      </c>
      <c r="KLH1" s="176" t="s">
        <v>196</v>
      </c>
      <c r="KLI1" s="176" t="s">
        <v>196</v>
      </c>
      <c r="KLJ1" s="176" t="s">
        <v>196</v>
      </c>
      <c r="KLK1" s="176" t="s">
        <v>196</v>
      </c>
      <c r="KLL1" s="176" t="s">
        <v>196</v>
      </c>
      <c r="KLM1" s="176" t="s">
        <v>196</v>
      </c>
      <c r="KLN1" s="176" t="s">
        <v>196</v>
      </c>
      <c r="KLO1" s="176" t="s">
        <v>196</v>
      </c>
      <c r="KLP1" s="176" t="s">
        <v>196</v>
      </c>
      <c r="KLQ1" s="176" t="s">
        <v>196</v>
      </c>
      <c r="KLR1" s="176" t="s">
        <v>196</v>
      </c>
      <c r="KLS1" s="176" t="s">
        <v>196</v>
      </c>
      <c r="KLT1" s="176" t="s">
        <v>196</v>
      </c>
      <c r="KLU1" s="176" t="s">
        <v>196</v>
      </c>
      <c r="KLV1" s="176" t="s">
        <v>196</v>
      </c>
      <c r="KLW1" s="176" t="s">
        <v>196</v>
      </c>
      <c r="KLX1" s="176" t="s">
        <v>196</v>
      </c>
      <c r="KLY1" s="176" t="s">
        <v>196</v>
      </c>
      <c r="KLZ1" s="176" t="s">
        <v>196</v>
      </c>
      <c r="KMA1" s="176" t="s">
        <v>196</v>
      </c>
      <c r="KMB1" s="176" t="s">
        <v>196</v>
      </c>
      <c r="KMC1" s="176" t="s">
        <v>196</v>
      </c>
      <c r="KMD1" s="176" t="s">
        <v>196</v>
      </c>
      <c r="KME1" s="176" t="s">
        <v>196</v>
      </c>
      <c r="KMF1" s="176" t="s">
        <v>196</v>
      </c>
      <c r="KMG1" s="176" t="s">
        <v>196</v>
      </c>
      <c r="KMH1" s="176" t="s">
        <v>196</v>
      </c>
      <c r="KMI1" s="176" t="s">
        <v>196</v>
      </c>
      <c r="KMJ1" s="176" t="s">
        <v>196</v>
      </c>
      <c r="KMK1" s="176" t="s">
        <v>196</v>
      </c>
      <c r="KML1" s="176" t="s">
        <v>196</v>
      </c>
      <c r="KMM1" s="176" t="s">
        <v>196</v>
      </c>
      <c r="KMN1" s="176" t="s">
        <v>196</v>
      </c>
      <c r="KMO1" s="176" t="s">
        <v>196</v>
      </c>
      <c r="KMP1" s="176" t="s">
        <v>196</v>
      </c>
      <c r="KMQ1" s="176" t="s">
        <v>196</v>
      </c>
      <c r="KMR1" s="176" t="s">
        <v>196</v>
      </c>
      <c r="KMS1" s="176" t="s">
        <v>196</v>
      </c>
      <c r="KMT1" s="176" t="s">
        <v>196</v>
      </c>
      <c r="KMU1" s="176" t="s">
        <v>196</v>
      </c>
      <c r="KMV1" s="176" t="s">
        <v>196</v>
      </c>
      <c r="KMW1" s="176" t="s">
        <v>196</v>
      </c>
      <c r="KMX1" s="176" t="s">
        <v>196</v>
      </c>
      <c r="KMY1" s="176" t="s">
        <v>196</v>
      </c>
      <c r="KMZ1" s="176" t="s">
        <v>196</v>
      </c>
      <c r="KNA1" s="176" t="s">
        <v>196</v>
      </c>
      <c r="KNB1" s="176" t="s">
        <v>196</v>
      </c>
      <c r="KNC1" s="176" t="s">
        <v>196</v>
      </c>
      <c r="KND1" s="176" t="s">
        <v>196</v>
      </c>
      <c r="KNE1" s="176" t="s">
        <v>196</v>
      </c>
      <c r="KNF1" s="176" t="s">
        <v>196</v>
      </c>
      <c r="KNG1" s="176" t="s">
        <v>196</v>
      </c>
      <c r="KNH1" s="176" t="s">
        <v>196</v>
      </c>
      <c r="KNI1" s="176" t="s">
        <v>196</v>
      </c>
      <c r="KNJ1" s="176" t="s">
        <v>196</v>
      </c>
      <c r="KNK1" s="176" t="s">
        <v>196</v>
      </c>
      <c r="KNL1" s="176" t="s">
        <v>196</v>
      </c>
      <c r="KNM1" s="176" t="s">
        <v>196</v>
      </c>
      <c r="KNN1" s="176" t="s">
        <v>196</v>
      </c>
      <c r="KNO1" s="176" t="s">
        <v>196</v>
      </c>
      <c r="KNP1" s="176" t="s">
        <v>196</v>
      </c>
      <c r="KNQ1" s="176" t="s">
        <v>196</v>
      </c>
      <c r="KNR1" s="176" t="s">
        <v>196</v>
      </c>
      <c r="KNS1" s="176" t="s">
        <v>196</v>
      </c>
      <c r="KNT1" s="176" t="s">
        <v>196</v>
      </c>
      <c r="KNU1" s="176" t="s">
        <v>196</v>
      </c>
      <c r="KNV1" s="176" t="s">
        <v>196</v>
      </c>
      <c r="KNW1" s="176" t="s">
        <v>196</v>
      </c>
      <c r="KNX1" s="176" t="s">
        <v>196</v>
      </c>
      <c r="KNY1" s="176" t="s">
        <v>196</v>
      </c>
      <c r="KNZ1" s="176" t="s">
        <v>196</v>
      </c>
      <c r="KOA1" s="176" t="s">
        <v>196</v>
      </c>
      <c r="KOB1" s="176" t="s">
        <v>196</v>
      </c>
      <c r="KOC1" s="176" t="s">
        <v>196</v>
      </c>
      <c r="KOD1" s="176" t="s">
        <v>196</v>
      </c>
      <c r="KOE1" s="176" t="s">
        <v>196</v>
      </c>
      <c r="KOF1" s="176" t="s">
        <v>196</v>
      </c>
      <c r="KOG1" s="176" t="s">
        <v>196</v>
      </c>
      <c r="KOH1" s="176" t="s">
        <v>196</v>
      </c>
      <c r="KOI1" s="176" t="s">
        <v>196</v>
      </c>
      <c r="KOJ1" s="176" t="s">
        <v>196</v>
      </c>
      <c r="KOK1" s="176" t="s">
        <v>196</v>
      </c>
      <c r="KOL1" s="176" t="s">
        <v>196</v>
      </c>
      <c r="KOM1" s="176" t="s">
        <v>196</v>
      </c>
      <c r="KON1" s="176" t="s">
        <v>196</v>
      </c>
      <c r="KOO1" s="176" t="s">
        <v>196</v>
      </c>
      <c r="KOP1" s="176" t="s">
        <v>196</v>
      </c>
      <c r="KOQ1" s="176" t="s">
        <v>196</v>
      </c>
      <c r="KOR1" s="176" t="s">
        <v>196</v>
      </c>
      <c r="KOS1" s="176" t="s">
        <v>196</v>
      </c>
      <c r="KOT1" s="176" t="s">
        <v>196</v>
      </c>
      <c r="KOU1" s="176" t="s">
        <v>196</v>
      </c>
      <c r="KOV1" s="176" t="s">
        <v>196</v>
      </c>
      <c r="KOW1" s="176" t="s">
        <v>196</v>
      </c>
      <c r="KOX1" s="176" t="s">
        <v>196</v>
      </c>
      <c r="KOY1" s="176" t="s">
        <v>196</v>
      </c>
      <c r="KOZ1" s="176" t="s">
        <v>196</v>
      </c>
      <c r="KPA1" s="176" t="s">
        <v>196</v>
      </c>
      <c r="KPB1" s="176" t="s">
        <v>196</v>
      </c>
      <c r="KPC1" s="176" t="s">
        <v>196</v>
      </c>
      <c r="KPD1" s="176" t="s">
        <v>196</v>
      </c>
      <c r="KPE1" s="176" t="s">
        <v>196</v>
      </c>
      <c r="KPF1" s="176" t="s">
        <v>196</v>
      </c>
      <c r="KPG1" s="176" t="s">
        <v>196</v>
      </c>
      <c r="KPH1" s="176" t="s">
        <v>196</v>
      </c>
      <c r="KPI1" s="176" t="s">
        <v>196</v>
      </c>
      <c r="KPJ1" s="176" t="s">
        <v>196</v>
      </c>
      <c r="KPK1" s="176" t="s">
        <v>196</v>
      </c>
      <c r="KPL1" s="176" t="s">
        <v>196</v>
      </c>
      <c r="KPM1" s="176" t="s">
        <v>196</v>
      </c>
      <c r="KPN1" s="176" t="s">
        <v>196</v>
      </c>
      <c r="KPO1" s="176" t="s">
        <v>196</v>
      </c>
      <c r="KPP1" s="176" t="s">
        <v>196</v>
      </c>
      <c r="KPQ1" s="176" t="s">
        <v>196</v>
      </c>
      <c r="KPR1" s="176" t="s">
        <v>196</v>
      </c>
      <c r="KPS1" s="176" t="s">
        <v>196</v>
      </c>
      <c r="KPT1" s="176" t="s">
        <v>196</v>
      </c>
      <c r="KPU1" s="176" t="s">
        <v>196</v>
      </c>
      <c r="KPV1" s="176" t="s">
        <v>196</v>
      </c>
      <c r="KPW1" s="176" t="s">
        <v>196</v>
      </c>
      <c r="KPX1" s="176" t="s">
        <v>196</v>
      </c>
      <c r="KPY1" s="176" t="s">
        <v>196</v>
      </c>
      <c r="KPZ1" s="176" t="s">
        <v>196</v>
      </c>
      <c r="KQA1" s="176" t="s">
        <v>196</v>
      </c>
      <c r="KQB1" s="176" t="s">
        <v>196</v>
      </c>
      <c r="KQC1" s="176" t="s">
        <v>196</v>
      </c>
      <c r="KQD1" s="176" t="s">
        <v>196</v>
      </c>
      <c r="KQE1" s="176" t="s">
        <v>196</v>
      </c>
      <c r="KQF1" s="176" t="s">
        <v>196</v>
      </c>
      <c r="KQG1" s="176" t="s">
        <v>196</v>
      </c>
      <c r="KQH1" s="176" t="s">
        <v>196</v>
      </c>
      <c r="KQI1" s="176" t="s">
        <v>196</v>
      </c>
      <c r="KQJ1" s="176" t="s">
        <v>196</v>
      </c>
      <c r="KQK1" s="176" t="s">
        <v>196</v>
      </c>
      <c r="KQL1" s="176" t="s">
        <v>196</v>
      </c>
      <c r="KQM1" s="176" t="s">
        <v>196</v>
      </c>
      <c r="KQN1" s="176" t="s">
        <v>196</v>
      </c>
      <c r="KQO1" s="176" t="s">
        <v>196</v>
      </c>
      <c r="KQP1" s="176" t="s">
        <v>196</v>
      </c>
      <c r="KQQ1" s="176" t="s">
        <v>196</v>
      </c>
      <c r="KQR1" s="176" t="s">
        <v>196</v>
      </c>
      <c r="KQS1" s="176" t="s">
        <v>196</v>
      </c>
      <c r="KQT1" s="176" t="s">
        <v>196</v>
      </c>
      <c r="KQU1" s="176" t="s">
        <v>196</v>
      </c>
      <c r="KQV1" s="176" t="s">
        <v>196</v>
      </c>
      <c r="KQW1" s="176" t="s">
        <v>196</v>
      </c>
      <c r="KQX1" s="176" t="s">
        <v>196</v>
      </c>
      <c r="KQY1" s="176" t="s">
        <v>196</v>
      </c>
      <c r="KQZ1" s="176" t="s">
        <v>196</v>
      </c>
      <c r="KRA1" s="176" t="s">
        <v>196</v>
      </c>
      <c r="KRB1" s="176" t="s">
        <v>196</v>
      </c>
      <c r="KRC1" s="176" t="s">
        <v>196</v>
      </c>
      <c r="KRD1" s="176" t="s">
        <v>196</v>
      </c>
      <c r="KRE1" s="176" t="s">
        <v>196</v>
      </c>
      <c r="KRF1" s="176" t="s">
        <v>196</v>
      </c>
      <c r="KRG1" s="176" t="s">
        <v>196</v>
      </c>
      <c r="KRH1" s="176" t="s">
        <v>196</v>
      </c>
      <c r="KRI1" s="176" t="s">
        <v>196</v>
      </c>
      <c r="KRJ1" s="176" t="s">
        <v>196</v>
      </c>
      <c r="KRK1" s="176" t="s">
        <v>196</v>
      </c>
      <c r="KRL1" s="176" t="s">
        <v>196</v>
      </c>
      <c r="KRM1" s="176" t="s">
        <v>196</v>
      </c>
      <c r="KRN1" s="176" t="s">
        <v>196</v>
      </c>
      <c r="KRO1" s="176" t="s">
        <v>196</v>
      </c>
      <c r="KRP1" s="176" t="s">
        <v>196</v>
      </c>
      <c r="KRQ1" s="176" t="s">
        <v>196</v>
      </c>
      <c r="KRR1" s="176" t="s">
        <v>196</v>
      </c>
      <c r="KRS1" s="176" t="s">
        <v>196</v>
      </c>
      <c r="KRT1" s="176" t="s">
        <v>196</v>
      </c>
      <c r="KRU1" s="176" t="s">
        <v>196</v>
      </c>
      <c r="KRV1" s="176" t="s">
        <v>196</v>
      </c>
      <c r="KRW1" s="176" t="s">
        <v>196</v>
      </c>
      <c r="KRX1" s="176" t="s">
        <v>196</v>
      </c>
      <c r="KRY1" s="176" t="s">
        <v>196</v>
      </c>
      <c r="KRZ1" s="176" t="s">
        <v>196</v>
      </c>
      <c r="KSA1" s="176" t="s">
        <v>196</v>
      </c>
      <c r="KSB1" s="176" t="s">
        <v>196</v>
      </c>
      <c r="KSC1" s="176" t="s">
        <v>196</v>
      </c>
      <c r="KSD1" s="176" t="s">
        <v>196</v>
      </c>
      <c r="KSE1" s="176" t="s">
        <v>196</v>
      </c>
      <c r="KSF1" s="176" t="s">
        <v>196</v>
      </c>
      <c r="KSG1" s="176" t="s">
        <v>196</v>
      </c>
      <c r="KSH1" s="176" t="s">
        <v>196</v>
      </c>
      <c r="KSI1" s="176" t="s">
        <v>196</v>
      </c>
      <c r="KSJ1" s="176" t="s">
        <v>196</v>
      </c>
      <c r="KSK1" s="176" t="s">
        <v>196</v>
      </c>
      <c r="KSL1" s="176" t="s">
        <v>196</v>
      </c>
      <c r="KSM1" s="176" t="s">
        <v>196</v>
      </c>
      <c r="KSN1" s="176" t="s">
        <v>196</v>
      </c>
      <c r="KSO1" s="176" t="s">
        <v>196</v>
      </c>
      <c r="KSP1" s="176" t="s">
        <v>196</v>
      </c>
      <c r="KSQ1" s="176" t="s">
        <v>196</v>
      </c>
      <c r="KSR1" s="176" t="s">
        <v>196</v>
      </c>
      <c r="KSS1" s="176" t="s">
        <v>196</v>
      </c>
      <c r="KST1" s="176" t="s">
        <v>196</v>
      </c>
      <c r="KSU1" s="176" t="s">
        <v>196</v>
      </c>
      <c r="KSV1" s="176" t="s">
        <v>196</v>
      </c>
      <c r="KSW1" s="176" t="s">
        <v>196</v>
      </c>
      <c r="KSX1" s="176" t="s">
        <v>196</v>
      </c>
      <c r="KSY1" s="176" t="s">
        <v>196</v>
      </c>
      <c r="KSZ1" s="176" t="s">
        <v>196</v>
      </c>
      <c r="KTA1" s="176" t="s">
        <v>196</v>
      </c>
      <c r="KTB1" s="176" t="s">
        <v>196</v>
      </c>
      <c r="KTC1" s="176" t="s">
        <v>196</v>
      </c>
      <c r="KTD1" s="176" t="s">
        <v>196</v>
      </c>
      <c r="KTE1" s="176" t="s">
        <v>196</v>
      </c>
      <c r="KTF1" s="176" t="s">
        <v>196</v>
      </c>
      <c r="KTG1" s="176" t="s">
        <v>196</v>
      </c>
      <c r="KTH1" s="176" t="s">
        <v>196</v>
      </c>
      <c r="KTI1" s="176" t="s">
        <v>196</v>
      </c>
      <c r="KTJ1" s="176" t="s">
        <v>196</v>
      </c>
      <c r="KTK1" s="176" t="s">
        <v>196</v>
      </c>
      <c r="KTL1" s="176" t="s">
        <v>196</v>
      </c>
      <c r="KTM1" s="176" t="s">
        <v>196</v>
      </c>
      <c r="KTN1" s="176" t="s">
        <v>196</v>
      </c>
      <c r="KTO1" s="176" t="s">
        <v>196</v>
      </c>
      <c r="KTP1" s="176" t="s">
        <v>196</v>
      </c>
      <c r="KTQ1" s="176" t="s">
        <v>196</v>
      </c>
      <c r="KTR1" s="176" t="s">
        <v>196</v>
      </c>
      <c r="KTS1" s="176" t="s">
        <v>196</v>
      </c>
      <c r="KTT1" s="176" t="s">
        <v>196</v>
      </c>
      <c r="KTU1" s="176" t="s">
        <v>196</v>
      </c>
      <c r="KTV1" s="176" t="s">
        <v>196</v>
      </c>
      <c r="KTW1" s="176" t="s">
        <v>196</v>
      </c>
      <c r="KTX1" s="176" t="s">
        <v>196</v>
      </c>
      <c r="KTY1" s="176" t="s">
        <v>196</v>
      </c>
      <c r="KTZ1" s="176" t="s">
        <v>196</v>
      </c>
      <c r="KUA1" s="176" t="s">
        <v>196</v>
      </c>
      <c r="KUB1" s="176" t="s">
        <v>196</v>
      </c>
      <c r="KUC1" s="176" t="s">
        <v>196</v>
      </c>
      <c r="KUD1" s="176" t="s">
        <v>196</v>
      </c>
      <c r="KUE1" s="176" t="s">
        <v>196</v>
      </c>
      <c r="KUF1" s="176" t="s">
        <v>196</v>
      </c>
      <c r="KUG1" s="176" t="s">
        <v>196</v>
      </c>
      <c r="KUH1" s="176" t="s">
        <v>196</v>
      </c>
      <c r="KUI1" s="176" t="s">
        <v>196</v>
      </c>
      <c r="KUJ1" s="176" t="s">
        <v>196</v>
      </c>
      <c r="KUK1" s="176" t="s">
        <v>196</v>
      </c>
      <c r="KUL1" s="176" t="s">
        <v>196</v>
      </c>
      <c r="KUM1" s="176" t="s">
        <v>196</v>
      </c>
      <c r="KUN1" s="176" t="s">
        <v>196</v>
      </c>
      <c r="KUO1" s="176" t="s">
        <v>196</v>
      </c>
      <c r="KUP1" s="176" t="s">
        <v>196</v>
      </c>
      <c r="KUQ1" s="176" t="s">
        <v>196</v>
      </c>
      <c r="KUR1" s="176" t="s">
        <v>196</v>
      </c>
      <c r="KUS1" s="176" t="s">
        <v>196</v>
      </c>
      <c r="KUT1" s="176" t="s">
        <v>196</v>
      </c>
      <c r="KUU1" s="176" t="s">
        <v>196</v>
      </c>
      <c r="KUV1" s="176" t="s">
        <v>196</v>
      </c>
      <c r="KUW1" s="176" t="s">
        <v>196</v>
      </c>
      <c r="KUX1" s="176" t="s">
        <v>196</v>
      </c>
      <c r="KUY1" s="176" t="s">
        <v>196</v>
      </c>
      <c r="KUZ1" s="176" t="s">
        <v>196</v>
      </c>
      <c r="KVA1" s="176" t="s">
        <v>196</v>
      </c>
      <c r="KVB1" s="176" t="s">
        <v>196</v>
      </c>
      <c r="KVC1" s="176" t="s">
        <v>196</v>
      </c>
      <c r="KVD1" s="176" t="s">
        <v>196</v>
      </c>
      <c r="KVE1" s="176" t="s">
        <v>196</v>
      </c>
      <c r="KVF1" s="176" t="s">
        <v>196</v>
      </c>
      <c r="KVG1" s="176" t="s">
        <v>196</v>
      </c>
      <c r="KVH1" s="176" t="s">
        <v>196</v>
      </c>
      <c r="KVI1" s="176" t="s">
        <v>196</v>
      </c>
      <c r="KVJ1" s="176" t="s">
        <v>196</v>
      </c>
      <c r="KVK1" s="176" t="s">
        <v>196</v>
      </c>
      <c r="KVL1" s="176" t="s">
        <v>196</v>
      </c>
      <c r="KVM1" s="176" t="s">
        <v>196</v>
      </c>
      <c r="KVN1" s="176" t="s">
        <v>196</v>
      </c>
      <c r="KVO1" s="176" t="s">
        <v>196</v>
      </c>
      <c r="KVP1" s="176" t="s">
        <v>196</v>
      </c>
      <c r="KVQ1" s="176" t="s">
        <v>196</v>
      </c>
      <c r="KVR1" s="176" t="s">
        <v>196</v>
      </c>
      <c r="KVS1" s="176" t="s">
        <v>196</v>
      </c>
      <c r="KVT1" s="176" t="s">
        <v>196</v>
      </c>
      <c r="KVU1" s="176" t="s">
        <v>196</v>
      </c>
      <c r="KVV1" s="176" t="s">
        <v>196</v>
      </c>
      <c r="KVW1" s="176" t="s">
        <v>196</v>
      </c>
      <c r="KVX1" s="176" t="s">
        <v>196</v>
      </c>
      <c r="KVY1" s="176" t="s">
        <v>196</v>
      </c>
      <c r="KVZ1" s="176" t="s">
        <v>196</v>
      </c>
      <c r="KWA1" s="176" t="s">
        <v>196</v>
      </c>
      <c r="KWB1" s="176" t="s">
        <v>196</v>
      </c>
      <c r="KWC1" s="176" t="s">
        <v>196</v>
      </c>
      <c r="KWD1" s="176" t="s">
        <v>196</v>
      </c>
      <c r="KWE1" s="176" t="s">
        <v>196</v>
      </c>
      <c r="KWF1" s="176" t="s">
        <v>196</v>
      </c>
      <c r="KWG1" s="176" t="s">
        <v>196</v>
      </c>
      <c r="KWH1" s="176" t="s">
        <v>196</v>
      </c>
      <c r="KWI1" s="176" t="s">
        <v>196</v>
      </c>
      <c r="KWJ1" s="176" t="s">
        <v>196</v>
      </c>
      <c r="KWK1" s="176" t="s">
        <v>196</v>
      </c>
      <c r="KWL1" s="176" t="s">
        <v>196</v>
      </c>
      <c r="KWM1" s="176" t="s">
        <v>196</v>
      </c>
      <c r="KWN1" s="176" t="s">
        <v>196</v>
      </c>
      <c r="KWO1" s="176" t="s">
        <v>196</v>
      </c>
      <c r="KWP1" s="176" t="s">
        <v>196</v>
      </c>
      <c r="KWQ1" s="176" t="s">
        <v>196</v>
      </c>
      <c r="KWR1" s="176" t="s">
        <v>196</v>
      </c>
      <c r="KWS1" s="176" t="s">
        <v>196</v>
      </c>
      <c r="KWT1" s="176" t="s">
        <v>196</v>
      </c>
      <c r="KWU1" s="176" t="s">
        <v>196</v>
      </c>
      <c r="KWV1" s="176" t="s">
        <v>196</v>
      </c>
      <c r="KWW1" s="176" t="s">
        <v>196</v>
      </c>
      <c r="KWX1" s="176" t="s">
        <v>196</v>
      </c>
      <c r="KWY1" s="176" t="s">
        <v>196</v>
      </c>
      <c r="KWZ1" s="176" t="s">
        <v>196</v>
      </c>
      <c r="KXA1" s="176" t="s">
        <v>196</v>
      </c>
      <c r="KXB1" s="176" t="s">
        <v>196</v>
      </c>
      <c r="KXC1" s="176" t="s">
        <v>196</v>
      </c>
      <c r="KXD1" s="176" t="s">
        <v>196</v>
      </c>
      <c r="KXE1" s="176" t="s">
        <v>196</v>
      </c>
      <c r="KXF1" s="176" t="s">
        <v>196</v>
      </c>
      <c r="KXG1" s="176" t="s">
        <v>196</v>
      </c>
      <c r="KXH1" s="176" t="s">
        <v>196</v>
      </c>
      <c r="KXI1" s="176" t="s">
        <v>196</v>
      </c>
      <c r="KXJ1" s="176" t="s">
        <v>196</v>
      </c>
      <c r="KXK1" s="176" t="s">
        <v>196</v>
      </c>
      <c r="KXL1" s="176" t="s">
        <v>196</v>
      </c>
      <c r="KXM1" s="176" t="s">
        <v>196</v>
      </c>
      <c r="KXN1" s="176" t="s">
        <v>196</v>
      </c>
      <c r="KXO1" s="176" t="s">
        <v>196</v>
      </c>
      <c r="KXP1" s="176" t="s">
        <v>196</v>
      </c>
      <c r="KXQ1" s="176" t="s">
        <v>196</v>
      </c>
      <c r="KXR1" s="176" t="s">
        <v>196</v>
      </c>
      <c r="KXS1" s="176" t="s">
        <v>196</v>
      </c>
      <c r="KXT1" s="176" t="s">
        <v>196</v>
      </c>
      <c r="KXU1" s="176" t="s">
        <v>196</v>
      </c>
      <c r="KXV1" s="176" t="s">
        <v>196</v>
      </c>
      <c r="KXW1" s="176" t="s">
        <v>196</v>
      </c>
      <c r="KXX1" s="176" t="s">
        <v>196</v>
      </c>
      <c r="KXY1" s="176" t="s">
        <v>196</v>
      </c>
      <c r="KXZ1" s="176" t="s">
        <v>196</v>
      </c>
      <c r="KYA1" s="176" t="s">
        <v>196</v>
      </c>
      <c r="KYB1" s="176" t="s">
        <v>196</v>
      </c>
      <c r="KYC1" s="176" t="s">
        <v>196</v>
      </c>
      <c r="KYD1" s="176" t="s">
        <v>196</v>
      </c>
      <c r="KYE1" s="176" t="s">
        <v>196</v>
      </c>
      <c r="KYF1" s="176" t="s">
        <v>196</v>
      </c>
      <c r="KYG1" s="176" t="s">
        <v>196</v>
      </c>
      <c r="KYH1" s="176" t="s">
        <v>196</v>
      </c>
      <c r="KYI1" s="176" t="s">
        <v>196</v>
      </c>
      <c r="KYJ1" s="176" t="s">
        <v>196</v>
      </c>
      <c r="KYK1" s="176" t="s">
        <v>196</v>
      </c>
      <c r="KYL1" s="176" t="s">
        <v>196</v>
      </c>
      <c r="KYM1" s="176" t="s">
        <v>196</v>
      </c>
      <c r="KYN1" s="176" t="s">
        <v>196</v>
      </c>
      <c r="KYO1" s="176" t="s">
        <v>196</v>
      </c>
      <c r="KYP1" s="176" t="s">
        <v>196</v>
      </c>
      <c r="KYQ1" s="176" t="s">
        <v>196</v>
      </c>
      <c r="KYR1" s="176" t="s">
        <v>196</v>
      </c>
      <c r="KYS1" s="176" t="s">
        <v>196</v>
      </c>
      <c r="KYT1" s="176" t="s">
        <v>196</v>
      </c>
      <c r="KYU1" s="176" t="s">
        <v>196</v>
      </c>
      <c r="KYV1" s="176" t="s">
        <v>196</v>
      </c>
      <c r="KYW1" s="176" t="s">
        <v>196</v>
      </c>
      <c r="KYX1" s="176" t="s">
        <v>196</v>
      </c>
      <c r="KYY1" s="176" t="s">
        <v>196</v>
      </c>
      <c r="KYZ1" s="176" t="s">
        <v>196</v>
      </c>
      <c r="KZA1" s="176" t="s">
        <v>196</v>
      </c>
      <c r="KZB1" s="176" t="s">
        <v>196</v>
      </c>
      <c r="KZC1" s="176" t="s">
        <v>196</v>
      </c>
      <c r="KZD1" s="176" t="s">
        <v>196</v>
      </c>
      <c r="KZE1" s="176" t="s">
        <v>196</v>
      </c>
      <c r="KZF1" s="176" t="s">
        <v>196</v>
      </c>
      <c r="KZG1" s="176" t="s">
        <v>196</v>
      </c>
      <c r="KZH1" s="176" t="s">
        <v>196</v>
      </c>
      <c r="KZI1" s="176" t="s">
        <v>196</v>
      </c>
      <c r="KZJ1" s="176" t="s">
        <v>196</v>
      </c>
      <c r="KZK1" s="176" t="s">
        <v>196</v>
      </c>
      <c r="KZL1" s="176" t="s">
        <v>196</v>
      </c>
      <c r="KZM1" s="176" t="s">
        <v>196</v>
      </c>
      <c r="KZN1" s="176" t="s">
        <v>196</v>
      </c>
      <c r="KZO1" s="176" t="s">
        <v>196</v>
      </c>
      <c r="KZP1" s="176" t="s">
        <v>196</v>
      </c>
      <c r="KZQ1" s="176" t="s">
        <v>196</v>
      </c>
      <c r="KZR1" s="176" t="s">
        <v>196</v>
      </c>
      <c r="KZS1" s="176" t="s">
        <v>196</v>
      </c>
      <c r="KZT1" s="176" t="s">
        <v>196</v>
      </c>
      <c r="KZU1" s="176" t="s">
        <v>196</v>
      </c>
      <c r="KZV1" s="176" t="s">
        <v>196</v>
      </c>
      <c r="KZW1" s="176" t="s">
        <v>196</v>
      </c>
      <c r="KZX1" s="176" t="s">
        <v>196</v>
      </c>
      <c r="KZY1" s="176" t="s">
        <v>196</v>
      </c>
      <c r="KZZ1" s="176" t="s">
        <v>196</v>
      </c>
      <c r="LAA1" s="176" t="s">
        <v>196</v>
      </c>
      <c r="LAB1" s="176" t="s">
        <v>196</v>
      </c>
      <c r="LAC1" s="176" t="s">
        <v>196</v>
      </c>
      <c r="LAD1" s="176" t="s">
        <v>196</v>
      </c>
      <c r="LAE1" s="176" t="s">
        <v>196</v>
      </c>
      <c r="LAF1" s="176" t="s">
        <v>196</v>
      </c>
      <c r="LAG1" s="176" t="s">
        <v>196</v>
      </c>
      <c r="LAH1" s="176" t="s">
        <v>196</v>
      </c>
      <c r="LAI1" s="176" t="s">
        <v>196</v>
      </c>
      <c r="LAJ1" s="176" t="s">
        <v>196</v>
      </c>
      <c r="LAK1" s="176" t="s">
        <v>196</v>
      </c>
      <c r="LAL1" s="176" t="s">
        <v>196</v>
      </c>
      <c r="LAM1" s="176" t="s">
        <v>196</v>
      </c>
      <c r="LAN1" s="176" t="s">
        <v>196</v>
      </c>
      <c r="LAO1" s="176" t="s">
        <v>196</v>
      </c>
      <c r="LAP1" s="176" t="s">
        <v>196</v>
      </c>
      <c r="LAQ1" s="176" t="s">
        <v>196</v>
      </c>
      <c r="LAR1" s="176" t="s">
        <v>196</v>
      </c>
      <c r="LAS1" s="176" t="s">
        <v>196</v>
      </c>
      <c r="LAT1" s="176" t="s">
        <v>196</v>
      </c>
      <c r="LAU1" s="176" t="s">
        <v>196</v>
      </c>
      <c r="LAV1" s="176" t="s">
        <v>196</v>
      </c>
      <c r="LAW1" s="176" t="s">
        <v>196</v>
      </c>
      <c r="LAX1" s="176" t="s">
        <v>196</v>
      </c>
      <c r="LAY1" s="176" t="s">
        <v>196</v>
      </c>
      <c r="LAZ1" s="176" t="s">
        <v>196</v>
      </c>
      <c r="LBA1" s="176" t="s">
        <v>196</v>
      </c>
      <c r="LBB1" s="176" t="s">
        <v>196</v>
      </c>
      <c r="LBC1" s="176" t="s">
        <v>196</v>
      </c>
      <c r="LBD1" s="176" t="s">
        <v>196</v>
      </c>
      <c r="LBE1" s="176" t="s">
        <v>196</v>
      </c>
      <c r="LBF1" s="176" t="s">
        <v>196</v>
      </c>
      <c r="LBG1" s="176" t="s">
        <v>196</v>
      </c>
      <c r="LBH1" s="176" t="s">
        <v>196</v>
      </c>
      <c r="LBI1" s="176" t="s">
        <v>196</v>
      </c>
      <c r="LBJ1" s="176" t="s">
        <v>196</v>
      </c>
      <c r="LBK1" s="176" t="s">
        <v>196</v>
      </c>
      <c r="LBL1" s="176" t="s">
        <v>196</v>
      </c>
      <c r="LBM1" s="176" t="s">
        <v>196</v>
      </c>
      <c r="LBN1" s="176" t="s">
        <v>196</v>
      </c>
      <c r="LBO1" s="176" t="s">
        <v>196</v>
      </c>
      <c r="LBP1" s="176" t="s">
        <v>196</v>
      </c>
      <c r="LBQ1" s="176" t="s">
        <v>196</v>
      </c>
      <c r="LBR1" s="176" t="s">
        <v>196</v>
      </c>
      <c r="LBS1" s="176" t="s">
        <v>196</v>
      </c>
      <c r="LBT1" s="176" t="s">
        <v>196</v>
      </c>
      <c r="LBU1" s="176" t="s">
        <v>196</v>
      </c>
      <c r="LBV1" s="176" t="s">
        <v>196</v>
      </c>
      <c r="LBW1" s="176" t="s">
        <v>196</v>
      </c>
      <c r="LBX1" s="176" t="s">
        <v>196</v>
      </c>
      <c r="LBY1" s="176" t="s">
        <v>196</v>
      </c>
      <c r="LBZ1" s="176" t="s">
        <v>196</v>
      </c>
      <c r="LCA1" s="176" t="s">
        <v>196</v>
      </c>
      <c r="LCB1" s="176" t="s">
        <v>196</v>
      </c>
      <c r="LCC1" s="176" t="s">
        <v>196</v>
      </c>
      <c r="LCD1" s="176" t="s">
        <v>196</v>
      </c>
      <c r="LCE1" s="176" t="s">
        <v>196</v>
      </c>
      <c r="LCF1" s="176" t="s">
        <v>196</v>
      </c>
      <c r="LCG1" s="176" t="s">
        <v>196</v>
      </c>
      <c r="LCH1" s="176" t="s">
        <v>196</v>
      </c>
      <c r="LCI1" s="176" t="s">
        <v>196</v>
      </c>
      <c r="LCJ1" s="176" t="s">
        <v>196</v>
      </c>
      <c r="LCK1" s="176" t="s">
        <v>196</v>
      </c>
      <c r="LCL1" s="176" t="s">
        <v>196</v>
      </c>
      <c r="LCM1" s="176" t="s">
        <v>196</v>
      </c>
      <c r="LCN1" s="176" t="s">
        <v>196</v>
      </c>
      <c r="LCO1" s="176" t="s">
        <v>196</v>
      </c>
      <c r="LCP1" s="176" t="s">
        <v>196</v>
      </c>
      <c r="LCQ1" s="176" t="s">
        <v>196</v>
      </c>
      <c r="LCR1" s="176" t="s">
        <v>196</v>
      </c>
      <c r="LCS1" s="176" t="s">
        <v>196</v>
      </c>
      <c r="LCT1" s="176" t="s">
        <v>196</v>
      </c>
      <c r="LCU1" s="176" t="s">
        <v>196</v>
      </c>
      <c r="LCV1" s="176" t="s">
        <v>196</v>
      </c>
      <c r="LCW1" s="176" t="s">
        <v>196</v>
      </c>
      <c r="LCX1" s="176" t="s">
        <v>196</v>
      </c>
      <c r="LCY1" s="176" t="s">
        <v>196</v>
      </c>
      <c r="LCZ1" s="176" t="s">
        <v>196</v>
      </c>
      <c r="LDA1" s="176" t="s">
        <v>196</v>
      </c>
      <c r="LDB1" s="176" t="s">
        <v>196</v>
      </c>
      <c r="LDC1" s="176" t="s">
        <v>196</v>
      </c>
      <c r="LDD1" s="176" t="s">
        <v>196</v>
      </c>
      <c r="LDE1" s="176" t="s">
        <v>196</v>
      </c>
      <c r="LDF1" s="176" t="s">
        <v>196</v>
      </c>
      <c r="LDG1" s="176" t="s">
        <v>196</v>
      </c>
      <c r="LDH1" s="176" t="s">
        <v>196</v>
      </c>
      <c r="LDI1" s="176" t="s">
        <v>196</v>
      </c>
      <c r="LDJ1" s="176" t="s">
        <v>196</v>
      </c>
      <c r="LDK1" s="176" t="s">
        <v>196</v>
      </c>
      <c r="LDL1" s="176" t="s">
        <v>196</v>
      </c>
      <c r="LDM1" s="176" t="s">
        <v>196</v>
      </c>
      <c r="LDN1" s="176" t="s">
        <v>196</v>
      </c>
      <c r="LDO1" s="176" t="s">
        <v>196</v>
      </c>
      <c r="LDP1" s="176" t="s">
        <v>196</v>
      </c>
      <c r="LDQ1" s="176" t="s">
        <v>196</v>
      </c>
      <c r="LDR1" s="176" t="s">
        <v>196</v>
      </c>
      <c r="LDS1" s="176" t="s">
        <v>196</v>
      </c>
      <c r="LDT1" s="176" t="s">
        <v>196</v>
      </c>
      <c r="LDU1" s="176" t="s">
        <v>196</v>
      </c>
      <c r="LDV1" s="176" t="s">
        <v>196</v>
      </c>
      <c r="LDW1" s="176" t="s">
        <v>196</v>
      </c>
      <c r="LDX1" s="176" t="s">
        <v>196</v>
      </c>
      <c r="LDY1" s="176" t="s">
        <v>196</v>
      </c>
      <c r="LDZ1" s="176" t="s">
        <v>196</v>
      </c>
      <c r="LEA1" s="176" t="s">
        <v>196</v>
      </c>
      <c r="LEB1" s="176" t="s">
        <v>196</v>
      </c>
      <c r="LEC1" s="176" t="s">
        <v>196</v>
      </c>
      <c r="LED1" s="176" t="s">
        <v>196</v>
      </c>
      <c r="LEE1" s="176" t="s">
        <v>196</v>
      </c>
      <c r="LEF1" s="176" t="s">
        <v>196</v>
      </c>
      <c r="LEG1" s="176" t="s">
        <v>196</v>
      </c>
      <c r="LEH1" s="176" t="s">
        <v>196</v>
      </c>
      <c r="LEI1" s="176" t="s">
        <v>196</v>
      </c>
      <c r="LEJ1" s="176" t="s">
        <v>196</v>
      </c>
      <c r="LEK1" s="176" t="s">
        <v>196</v>
      </c>
      <c r="LEL1" s="176" t="s">
        <v>196</v>
      </c>
      <c r="LEM1" s="176" t="s">
        <v>196</v>
      </c>
      <c r="LEN1" s="176" t="s">
        <v>196</v>
      </c>
      <c r="LEO1" s="176" t="s">
        <v>196</v>
      </c>
      <c r="LEP1" s="176" t="s">
        <v>196</v>
      </c>
      <c r="LEQ1" s="176" t="s">
        <v>196</v>
      </c>
      <c r="LER1" s="176" t="s">
        <v>196</v>
      </c>
      <c r="LES1" s="176" t="s">
        <v>196</v>
      </c>
      <c r="LET1" s="176" t="s">
        <v>196</v>
      </c>
      <c r="LEU1" s="176" t="s">
        <v>196</v>
      </c>
      <c r="LEV1" s="176" t="s">
        <v>196</v>
      </c>
      <c r="LEW1" s="176" t="s">
        <v>196</v>
      </c>
      <c r="LEX1" s="176" t="s">
        <v>196</v>
      </c>
      <c r="LEY1" s="176" t="s">
        <v>196</v>
      </c>
      <c r="LEZ1" s="176" t="s">
        <v>196</v>
      </c>
      <c r="LFA1" s="176" t="s">
        <v>196</v>
      </c>
      <c r="LFB1" s="176" t="s">
        <v>196</v>
      </c>
      <c r="LFC1" s="176" t="s">
        <v>196</v>
      </c>
      <c r="LFD1" s="176" t="s">
        <v>196</v>
      </c>
      <c r="LFE1" s="176" t="s">
        <v>196</v>
      </c>
      <c r="LFF1" s="176" t="s">
        <v>196</v>
      </c>
      <c r="LFG1" s="176" t="s">
        <v>196</v>
      </c>
      <c r="LFH1" s="176" t="s">
        <v>196</v>
      </c>
      <c r="LFI1" s="176" t="s">
        <v>196</v>
      </c>
      <c r="LFJ1" s="176" t="s">
        <v>196</v>
      </c>
      <c r="LFK1" s="176" t="s">
        <v>196</v>
      </c>
      <c r="LFL1" s="176" t="s">
        <v>196</v>
      </c>
      <c r="LFM1" s="176" t="s">
        <v>196</v>
      </c>
      <c r="LFN1" s="176" t="s">
        <v>196</v>
      </c>
      <c r="LFO1" s="176" t="s">
        <v>196</v>
      </c>
      <c r="LFP1" s="176" t="s">
        <v>196</v>
      </c>
      <c r="LFQ1" s="176" t="s">
        <v>196</v>
      </c>
      <c r="LFR1" s="176" t="s">
        <v>196</v>
      </c>
      <c r="LFS1" s="176" t="s">
        <v>196</v>
      </c>
      <c r="LFT1" s="176" t="s">
        <v>196</v>
      </c>
      <c r="LFU1" s="176" t="s">
        <v>196</v>
      </c>
      <c r="LFV1" s="176" t="s">
        <v>196</v>
      </c>
      <c r="LFW1" s="176" t="s">
        <v>196</v>
      </c>
      <c r="LFX1" s="176" t="s">
        <v>196</v>
      </c>
      <c r="LFY1" s="176" t="s">
        <v>196</v>
      </c>
      <c r="LFZ1" s="176" t="s">
        <v>196</v>
      </c>
      <c r="LGA1" s="176" t="s">
        <v>196</v>
      </c>
      <c r="LGB1" s="176" t="s">
        <v>196</v>
      </c>
      <c r="LGC1" s="176" t="s">
        <v>196</v>
      </c>
      <c r="LGD1" s="176" t="s">
        <v>196</v>
      </c>
      <c r="LGE1" s="176" t="s">
        <v>196</v>
      </c>
      <c r="LGF1" s="176" t="s">
        <v>196</v>
      </c>
      <c r="LGG1" s="176" t="s">
        <v>196</v>
      </c>
      <c r="LGH1" s="176" t="s">
        <v>196</v>
      </c>
      <c r="LGI1" s="176" t="s">
        <v>196</v>
      </c>
      <c r="LGJ1" s="176" t="s">
        <v>196</v>
      </c>
      <c r="LGK1" s="176" t="s">
        <v>196</v>
      </c>
      <c r="LGL1" s="176" t="s">
        <v>196</v>
      </c>
      <c r="LGM1" s="176" t="s">
        <v>196</v>
      </c>
      <c r="LGN1" s="176" t="s">
        <v>196</v>
      </c>
      <c r="LGO1" s="176" t="s">
        <v>196</v>
      </c>
      <c r="LGP1" s="176" t="s">
        <v>196</v>
      </c>
      <c r="LGQ1" s="176" t="s">
        <v>196</v>
      </c>
      <c r="LGR1" s="176" t="s">
        <v>196</v>
      </c>
      <c r="LGS1" s="176" t="s">
        <v>196</v>
      </c>
      <c r="LGT1" s="176" t="s">
        <v>196</v>
      </c>
      <c r="LGU1" s="176" t="s">
        <v>196</v>
      </c>
      <c r="LGV1" s="176" t="s">
        <v>196</v>
      </c>
      <c r="LGW1" s="176" t="s">
        <v>196</v>
      </c>
      <c r="LGX1" s="176" t="s">
        <v>196</v>
      </c>
      <c r="LGY1" s="176" t="s">
        <v>196</v>
      </c>
      <c r="LGZ1" s="176" t="s">
        <v>196</v>
      </c>
      <c r="LHA1" s="176" t="s">
        <v>196</v>
      </c>
      <c r="LHB1" s="176" t="s">
        <v>196</v>
      </c>
      <c r="LHC1" s="176" t="s">
        <v>196</v>
      </c>
      <c r="LHD1" s="176" t="s">
        <v>196</v>
      </c>
      <c r="LHE1" s="176" t="s">
        <v>196</v>
      </c>
      <c r="LHF1" s="176" t="s">
        <v>196</v>
      </c>
      <c r="LHG1" s="176" t="s">
        <v>196</v>
      </c>
      <c r="LHH1" s="176" t="s">
        <v>196</v>
      </c>
      <c r="LHI1" s="176" t="s">
        <v>196</v>
      </c>
      <c r="LHJ1" s="176" t="s">
        <v>196</v>
      </c>
      <c r="LHK1" s="176" t="s">
        <v>196</v>
      </c>
      <c r="LHL1" s="176" t="s">
        <v>196</v>
      </c>
      <c r="LHM1" s="176" t="s">
        <v>196</v>
      </c>
      <c r="LHN1" s="176" t="s">
        <v>196</v>
      </c>
      <c r="LHO1" s="176" t="s">
        <v>196</v>
      </c>
      <c r="LHP1" s="176" t="s">
        <v>196</v>
      </c>
      <c r="LHQ1" s="176" t="s">
        <v>196</v>
      </c>
      <c r="LHR1" s="176" t="s">
        <v>196</v>
      </c>
      <c r="LHS1" s="176" t="s">
        <v>196</v>
      </c>
      <c r="LHT1" s="176" t="s">
        <v>196</v>
      </c>
      <c r="LHU1" s="176" t="s">
        <v>196</v>
      </c>
      <c r="LHV1" s="176" t="s">
        <v>196</v>
      </c>
      <c r="LHW1" s="176" t="s">
        <v>196</v>
      </c>
      <c r="LHX1" s="176" t="s">
        <v>196</v>
      </c>
      <c r="LHY1" s="176" t="s">
        <v>196</v>
      </c>
      <c r="LHZ1" s="176" t="s">
        <v>196</v>
      </c>
      <c r="LIA1" s="176" t="s">
        <v>196</v>
      </c>
      <c r="LIB1" s="176" t="s">
        <v>196</v>
      </c>
      <c r="LIC1" s="176" t="s">
        <v>196</v>
      </c>
      <c r="LID1" s="176" t="s">
        <v>196</v>
      </c>
      <c r="LIE1" s="176" t="s">
        <v>196</v>
      </c>
      <c r="LIF1" s="176" t="s">
        <v>196</v>
      </c>
      <c r="LIG1" s="176" t="s">
        <v>196</v>
      </c>
      <c r="LIH1" s="176" t="s">
        <v>196</v>
      </c>
      <c r="LII1" s="176" t="s">
        <v>196</v>
      </c>
      <c r="LIJ1" s="176" t="s">
        <v>196</v>
      </c>
      <c r="LIK1" s="176" t="s">
        <v>196</v>
      </c>
      <c r="LIL1" s="176" t="s">
        <v>196</v>
      </c>
      <c r="LIM1" s="176" t="s">
        <v>196</v>
      </c>
      <c r="LIN1" s="176" t="s">
        <v>196</v>
      </c>
      <c r="LIO1" s="176" t="s">
        <v>196</v>
      </c>
      <c r="LIP1" s="176" t="s">
        <v>196</v>
      </c>
      <c r="LIQ1" s="176" t="s">
        <v>196</v>
      </c>
      <c r="LIR1" s="176" t="s">
        <v>196</v>
      </c>
      <c r="LIS1" s="176" t="s">
        <v>196</v>
      </c>
      <c r="LIT1" s="176" t="s">
        <v>196</v>
      </c>
      <c r="LIU1" s="176" t="s">
        <v>196</v>
      </c>
      <c r="LIV1" s="176" t="s">
        <v>196</v>
      </c>
      <c r="LIW1" s="176" t="s">
        <v>196</v>
      </c>
      <c r="LIX1" s="176" t="s">
        <v>196</v>
      </c>
      <c r="LIY1" s="176" t="s">
        <v>196</v>
      </c>
      <c r="LIZ1" s="176" t="s">
        <v>196</v>
      </c>
      <c r="LJA1" s="176" t="s">
        <v>196</v>
      </c>
      <c r="LJB1" s="176" t="s">
        <v>196</v>
      </c>
      <c r="LJC1" s="176" t="s">
        <v>196</v>
      </c>
      <c r="LJD1" s="176" t="s">
        <v>196</v>
      </c>
      <c r="LJE1" s="176" t="s">
        <v>196</v>
      </c>
      <c r="LJF1" s="176" t="s">
        <v>196</v>
      </c>
      <c r="LJG1" s="176" t="s">
        <v>196</v>
      </c>
      <c r="LJH1" s="176" t="s">
        <v>196</v>
      </c>
      <c r="LJI1" s="176" t="s">
        <v>196</v>
      </c>
      <c r="LJJ1" s="176" t="s">
        <v>196</v>
      </c>
      <c r="LJK1" s="176" t="s">
        <v>196</v>
      </c>
      <c r="LJL1" s="176" t="s">
        <v>196</v>
      </c>
      <c r="LJM1" s="176" t="s">
        <v>196</v>
      </c>
      <c r="LJN1" s="176" t="s">
        <v>196</v>
      </c>
      <c r="LJO1" s="176" t="s">
        <v>196</v>
      </c>
      <c r="LJP1" s="176" t="s">
        <v>196</v>
      </c>
      <c r="LJQ1" s="176" t="s">
        <v>196</v>
      </c>
      <c r="LJR1" s="176" t="s">
        <v>196</v>
      </c>
      <c r="LJS1" s="176" t="s">
        <v>196</v>
      </c>
      <c r="LJT1" s="176" t="s">
        <v>196</v>
      </c>
      <c r="LJU1" s="176" t="s">
        <v>196</v>
      </c>
      <c r="LJV1" s="176" t="s">
        <v>196</v>
      </c>
      <c r="LJW1" s="176" t="s">
        <v>196</v>
      </c>
      <c r="LJX1" s="176" t="s">
        <v>196</v>
      </c>
      <c r="LJY1" s="176" t="s">
        <v>196</v>
      </c>
      <c r="LJZ1" s="176" t="s">
        <v>196</v>
      </c>
      <c r="LKA1" s="176" t="s">
        <v>196</v>
      </c>
      <c r="LKB1" s="176" t="s">
        <v>196</v>
      </c>
      <c r="LKC1" s="176" t="s">
        <v>196</v>
      </c>
      <c r="LKD1" s="176" t="s">
        <v>196</v>
      </c>
      <c r="LKE1" s="176" t="s">
        <v>196</v>
      </c>
      <c r="LKF1" s="176" t="s">
        <v>196</v>
      </c>
      <c r="LKG1" s="176" t="s">
        <v>196</v>
      </c>
      <c r="LKH1" s="176" t="s">
        <v>196</v>
      </c>
      <c r="LKI1" s="176" t="s">
        <v>196</v>
      </c>
      <c r="LKJ1" s="176" t="s">
        <v>196</v>
      </c>
      <c r="LKK1" s="176" t="s">
        <v>196</v>
      </c>
      <c r="LKL1" s="176" t="s">
        <v>196</v>
      </c>
      <c r="LKM1" s="176" t="s">
        <v>196</v>
      </c>
      <c r="LKN1" s="176" t="s">
        <v>196</v>
      </c>
      <c r="LKO1" s="176" t="s">
        <v>196</v>
      </c>
      <c r="LKP1" s="176" t="s">
        <v>196</v>
      </c>
      <c r="LKQ1" s="176" t="s">
        <v>196</v>
      </c>
      <c r="LKR1" s="176" t="s">
        <v>196</v>
      </c>
      <c r="LKS1" s="176" t="s">
        <v>196</v>
      </c>
      <c r="LKT1" s="176" t="s">
        <v>196</v>
      </c>
      <c r="LKU1" s="176" t="s">
        <v>196</v>
      </c>
      <c r="LKV1" s="176" t="s">
        <v>196</v>
      </c>
      <c r="LKW1" s="176" t="s">
        <v>196</v>
      </c>
      <c r="LKX1" s="176" t="s">
        <v>196</v>
      </c>
      <c r="LKY1" s="176" t="s">
        <v>196</v>
      </c>
      <c r="LKZ1" s="176" t="s">
        <v>196</v>
      </c>
      <c r="LLA1" s="176" t="s">
        <v>196</v>
      </c>
      <c r="LLB1" s="176" t="s">
        <v>196</v>
      </c>
      <c r="LLC1" s="176" t="s">
        <v>196</v>
      </c>
      <c r="LLD1" s="176" t="s">
        <v>196</v>
      </c>
      <c r="LLE1" s="176" t="s">
        <v>196</v>
      </c>
      <c r="LLF1" s="176" t="s">
        <v>196</v>
      </c>
      <c r="LLG1" s="176" t="s">
        <v>196</v>
      </c>
      <c r="LLH1" s="176" t="s">
        <v>196</v>
      </c>
      <c r="LLI1" s="176" t="s">
        <v>196</v>
      </c>
      <c r="LLJ1" s="176" t="s">
        <v>196</v>
      </c>
      <c r="LLK1" s="176" t="s">
        <v>196</v>
      </c>
      <c r="LLL1" s="176" t="s">
        <v>196</v>
      </c>
      <c r="LLM1" s="176" t="s">
        <v>196</v>
      </c>
      <c r="LLN1" s="176" t="s">
        <v>196</v>
      </c>
      <c r="LLO1" s="176" t="s">
        <v>196</v>
      </c>
      <c r="LLP1" s="176" t="s">
        <v>196</v>
      </c>
      <c r="LLQ1" s="176" t="s">
        <v>196</v>
      </c>
      <c r="LLR1" s="176" t="s">
        <v>196</v>
      </c>
      <c r="LLS1" s="176" t="s">
        <v>196</v>
      </c>
      <c r="LLT1" s="176" t="s">
        <v>196</v>
      </c>
      <c r="LLU1" s="176" t="s">
        <v>196</v>
      </c>
      <c r="LLV1" s="176" t="s">
        <v>196</v>
      </c>
      <c r="LLW1" s="176" t="s">
        <v>196</v>
      </c>
      <c r="LLX1" s="176" t="s">
        <v>196</v>
      </c>
      <c r="LLY1" s="176" t="s">
        <v>196</v>
      </c>
      <c r="LLZ1" s="176" t="s">
        <v>196</v>
      </c>
      <c r="LMA1" s="176" t="s">
        <v>196</v>
      </c>
      <c r="LMB1" s="176" t="s">
        <v>196</v>
      </c>
      <c r="LMC1" s="176" t="s">
        <v>196</v>
      </c>
      <c r="LMD1" s="176" t="s">
        <v>196</v>
      </c>
      <c r="LME1" s="176" t="s">
        <v>196</v>
      </c>
      <c r="LMF1" s="176" t="s">
        <v>196</v>
      </c>
      <c r="LMG1" s="176" t="s">
        <v>196</v>
      </c>
      <c r="LMH1" s="176" t="s">
        <v>196</v>
      </c>
      <c r="LMI1" s="176" t="s">
        <v>196</v>
      </c>
      <c r="LMJ1" s="176" t="s">
        <v>196</v>
      </c>
      <c r="LMK1" s="176" t="s">
        <v>196</v>
      </c>
      <c r="LML1" s="176" t="s">
        <v>196</v>
      </c>
      <c r="LMM1" s="176" t="s">
        <v>196</v>
      </c>
      <c r="LMN1" s="176" t="s">
        <v>196</v>
      </c>
      <c r="LMO1" s="176" t="s">
        <v>196</v>
      </c>
      <c r="LMP1" s="176" t="s">
        <v>196</v>
      </c>
      <c r="LMQ1" s="176" t="s">
        <v>196</v>
      </c>
      <c r="LMR1" s="176" t="s">
        <v>196</v>
      </c>
      <c r="LMS1" s="176" t="s">
        <v>196</v>
      </c>
      <c r="LMT1" s="176" t="s">
        <v>196</v>
      </c>
      <c r="LMU1" s="176" t="s">
        <v>196</v>
      </c>
      <c r="LMV1" s="176" t="s">
        <v>196</v>
      </c>
      <c r="LMW1" s="176" t="s">
        <v>196</v>
      </c>
      <c r="LMX1" s="176" t="s">
        <v>196</v>
      </c>
      <c r="LMY1" s="176" t="s">
        <v>196</v>
      </c>
      <c r="LMZ1" s="176" t="s">
        <v>196</v>
      </c>
      <c r="LNA1" s="176" t="s">
        <v>196</v>
      </c>
      <c r="LNB1" s="176" t="s">
        <v>196</v>
      </c>
      <c r="LNC1" s="176" t="s">
        <v>196</v>
      </c>
      <c r="LND1" s="176" t="s">
        <v>196</v>
      </c>
      <c r="LNE1" s="176" t="s">
        <v>196</v>
      </c>
      <c r="LNF1" s="176" t="s">
        <v>196</v>
      </c>
      <c r="LNG1" s="176" t="s">
        <v>196</v>
      </c>
      <c r="LNH1" s="176" t="s">
        <v>196</v>
      </c>
      <c r="LNI1" s="176" t="s">
        <v>196</v>
      </c>
      <c r="LNJ1" s="176" t="s">
        <v>196</v>
      </c>
      <c r="LNK1" s="176" t="s">
        <v>196</v>
      </c>
      <c r="LNL1" s="176" t="s">
        <v>196</v>
      </c>
      <c r="LNM1" s="176" t="s">
        <v>196</v>
      </c>
      <c r="LNN1" s="176" t="s">
        <v>196</v>
      </c>
      <c r="LNO1" s="176" t="s">
        <v>196</v>
      </c>
      <c r="LNP1" s="176" t="s">
        <v>196</v>
      </c>
      <c r="LNQ1" s="176" t="s">
        <v>196</v>
      </c>
      <c r="LNR1" s="176" t="s">
        <v>196</v>
      </c>
      <c r="LNS1" s="176" t="s">
        <v>196</v>
      </c>
      <c r="LNT1" s="176" t="s">
        <v>196</v>
      </c>
      <c r="LNU1" s="176" t="s">
        <v>196</v>
      </c>
      <c r="LNV1" s="176" t="s">
        <v>196</v>
      </c>
      <c r="LNW1" s="176" t="s">
        <v>196</v>
      </c>
      <c r="LNX1" s="176" t="s">
        <v>196</v>
      </c>
      <c r="LNY1" s="176" t="s">
        <v>196</v>
      </c>
      <c r="LNZ1" s="176" t="s">
        <v>196</v>
      </c>
      <c r="LOA1" s="176" t="s">
        <v>196</v>
      </c>
      <c r="LOB1" s="176" t="s">
        <v>196</v>
      </c>
      <c r="LOC1" s="176" t="s">
        <v>196</v>
      </c>
      <c r="LOD1" s="176" t="s">
        <v>196</v>
      </c>
      <c r="LOE1" s="176" t="s">
        <v>196</v>
      </c>
      <c r="LOF1" s="176" t="s">
        <v>196</v>
      </c>
      <c r="LOG1" s="176" t="s">
        <v>196</v>
      </c>
      <c r="LOH1" s="176" t="s">
        <v>196</v>
      </c>
      <c r="LOI1" s="176" t="s">
        <v>196</v>
      </c>
      <c r="LOJ1" s="176" t="s">
        <v>196</v>
      </c>
      <c r="LOK1" s="176" t="s">
        <v>196</v>
      </c>
      <c r="LOL1" s="176" t="s">
        <v>196</v>
      </c>
      <c r="LOM1" s="176" t="s">
        <v>196</v>
      </c>
      <c r="LON1" s="176" t="s">
        <v>196</v>
      </c>
      <c r="LOO1" s="176" t="s">
        <v>196</v>
      </c>
      <c r="LOP1" s="176" t="s">
        <v>196</v>
      </c>
      <c r="LOQ1" s="176" t="s">
        <v>196</v>
      </c>
      <c r="LOR1" s="176" t="s">
        <v>196</v>
      </c>
      <c r="LOS1" s="176" t="s">
        <v>196</v>
      </c>
      <c r="LOT1" s="176" t="s">
        <v>196</v>
      </c>
      <c r="LOU1" s="176" t="s">
        <v>196</v>
      </c>
      <c r="LOV1" s="176" t="s">
        <v>196</v>
      </c>
      <c r="LOW1" s="176" t="s">
        <v>196</v>
      </c>
      <c r="LOX1" s="176" t="s">
        <v>196</v>
      </c>
      <c r="LOY1" s="176" t="s">
        <v>196</v>
      </c>
      <c r="LOZ1" s="176" t="s">
        <v>196</v>
      </c>
      <c r="LPA1" s="176" t="s">
        <v>196</v>
      </c>
      <c r="LPB1" s="176" t="s">
        <v>196</v>
      </c>
      <c r="LPC1" s="176" t="s">
        <v>196</v>
      </c>
      <c r="LPD1" s="176" t="s">
        <v>196</v>
      </c>
      <c r="LPE1" s="176" t="s">
        <v>196</v>
      </c>
      <c r="LPF1" s="176" t="s">
        <v>196</v>
      </c>
      <c r="LPG1" s="176" t="s">
        <v>196</v>
      </c>
      <c r="LPH1" s="176" t="s">
        <v>196</v>
      </c>
      <c r="LPI1" s="176" t="s">
        <v>196</v>
      </c>
      <c r="LPJ1" s="176" t="s">
        <v>196</v>
      </c>
      <c r="LPK1" s="176" t="s">
        <v>196</v>
      </c>
      <c r="LPL1" s="176" t="s">
        <v>196</v>
      </c>
      <c r="LPM1" s="176" t="s">
        <v>196</v>
      </c>
      <c r="LPN1" s="176" t="s">
        <v>196</v>
      </c>
      <c r="LPO1" s="176" t="s">
        <v>196</v>
      </c>
      <c r="LPP1" s="176" t="s">
        <v>196</v>
      </c>
      <c r="LPQ1" s="176" t="s">
        <v>196</v>
      </c>
      <c r="LPR1" s="176" t="s">
        <v>196</v>
      </c>
      <c r="LPS1" s="176" t="s">
        <v>196</v>
      </c>
      <c r="LPT1" s="176" t="s">
        <v>196</v>
      </c>
      <c r="LPU1" s="176" t="s">
        <v>196</v>
      </c>
      <c r="LPV1" s="176" t="s">
        <v>196</v>
      </c>
      <c r="LPW1" s="176" t="s">
        <v>196</v>
      </c>
      <c r="LPX1" s="176" t="s">
        <v>196</v>
      </c>
      <c r="LPY1" s="176" t="s">
        <v>196</v>
      </c>
      <c r="LPZ1" s="176" t="s">
        <v>196</v>
      </c>
      <c r="LQA1" s="176" t="s">
        <v>196</v>
      </c>
      <c r="LQB1" s="176" t="s">
        <v>196</v>
      </c>
      <c r="LQC1" s="176" t="s">
        <v>196</v>
      </c>
      <c r="LQD1" s="176" t="s">
        <v>196</v>
      </c>
      <c r="LQE1" s="176" t="s">
        <v>196</v>
      </c>
      <c r="LQF1" s="176" t="s">
        <v>196</v>
      </c>
      <c r="LQG1" s="176" t="s">
        <v>196</v>
      </c>
      <c r="LQH1" s="176" t="s">
        <v>196</v>
      </c>
      <c r="LQI1" s="176" t="s">
        <v>196</v>
      </c>
      <c r="LQJ1" s="176" t="s">
        <v>196</v>
      </c>
      <c r="LQK1" s="176" t="s">
        <v>196</v>
      </c>
      <c r="LQL1" s="176" t="s">
        <v>196</v>
      </c>
      <c r="LQM1" s="176" t="s">
        <v>196</v>
      </c>
      <c r="LQN1" s="176" t="s">
        <v>196</v>
      </c>
      <c r="LQO1" s="176" t="s">
        <v>196</v>
      </c>
      <c r="LQP1" s="176" t="s">
        <v>196</v>
      </c>
      <c r="LQQ1" s="176" t="s">
        <v>196</v>
      </c>
      <c r="LQR1" s="176" t="s">
        <v>196</v>
      </c>
      <c r="LQS1" s="176" t="s">
        <v>196</v>
      </c>
      <c r="LQT1" s="176" t="s">
        <v>196</v>
      </c>
      <c r="LQU1" s="176" t="s">
        <v>196</v>
      </c>
      <c r="LQV1" s="176" t="s">
        <v>196</v>
      </c>
      <c r="LQW1" s="176" t="s">
        <v>196</v>
      </c>
      <c r="LQX1" s="176" t="s">
        <v>196</v>
      </c>
      <c r="LQY1" s="176" t="s">
        <v>196</v>
      </c>
      <c r="LQZ1" s="176" t="s">
        <v>196</v>
      </c>
      <c r="LRA1" s="176" t="s">
        <v>196</v>
      </c>
      <c r="LRB1" s="176" t="s">
        <v>196</v>
      </c>
      <c r="LRC1" s="176" t="s">
        <v>196</v>
      </c>
      <c r="LRD1" s="176" t="s">
        <v>196</v>
      </c>
      <c r="LRE1" s="176" t="s">
        <v>196</v>
      </c>
      <c r="LRF1" s="176" t="s">
        <v>196</v>
      </c>
      <c r="LRG1" s="176" t="s">
        <v>196</v>
      </c>
      <c r="LRH1" s="176" t="s">
        <v>196</v>
      </c>
      <c r="LRI1" s="176" t="s">
        <v>196</v>
      </c>
      <c r="LRJ1" s="176" t="s">
        <v>196</v>
      </c>
      <c r="LRK1" s="176" t="s">
        <v>196</v>
      </c>
      <c r="LRL1" s="176" t="s">
        <v>196</v>
      </c>
      <c r="LRM1" s="176" t="s">
        <v>196</v>
      </c>
      <c r="LRN1" s="176" t="s">
        <v>196</v>
      </c>
      <c r="LRO1" s="176" t="s">
        <v>196</v>
      </c>
      <c r="LRP1" s="176" t="s">
        <v>196</v>
      </c>
      <c r="LRQ1" s="176" t="s">
        <v>196</v>
      </c>
      <c r="LRR1" s="176" t="s">
        <v>196</v>
      </c>
      <c r="LRS1" s="176" t="s">
        <v>196</v>
      </c>
      <c r="LRT1" s="176" t="s">
        <v>196</v>
      </c>
      <c r="LRU1" s="176" t="s">
        <v>196</v>
      </c>
      <c r="LRV1" s="176" t="s">
        <v>196</v>
      </c>
      <c r="LRW1" s="176" t="s">
        <v>196</v>
      </c>
      <c r="LRX1" s="176" t="s">
        <v>196</v>
      </c>
      <c r="LRY1" s="176" t="s">
        <v>196</v>
      </c>
      <c r="LRZ1" s="176" t="s">
        <v>196</v>
      </c>
      <c r="LSA1" s="176" t="s">
        <v>196</v>
      </c>
      <c r="LSB1" s="176" t="s">
        <v>196</v>
      </c>
      <c r="LSC1" s="176" t="s">
        <v>196</v>
      </c>
      <c r="LSD1" s="176" t="s">
        <v>196</v>
      </c>
      <c r="LSE1" s="176" t="s">
        <v>196</v>
      </c>
      <c r="LSF1" s="176" t="s">
        <v>196</v>
      </c>
      <c r="LSG1" s="176" t="s">
        <v>196</v>
      </c>
      <c r="LSH1" s="176" t="s">
        <v>196</v>
      </c>
      <c r="LSI1" s="176" t="s">
        <v>196</v>
      </c>
      <c r="LSJ1" s="176" t="s">
        <v>196</v>
      </c>
      <c r="LSK1" s="176" t="s">
        <v>196</v>
      </c>
      <c r="LSL1" s="176" t="s">
        <v>196</v>
      </c>
      <c r="LSM1" s="176" t="s">
        <v>196</v>
      </c>
      <c r="LSN1" s="176" t="s">
        <v>196</v>
      </c>
      <c r="LSO1" s="176" t="s">
        <v>196</v>
      </c>
      <c r="LSP1" s="176" t="s">
        <v>196</v>
      </c>
      <c r="LSQ1" s="176" t="s">
        <v>196</v>
      </c>
      <c r="LSR1" s="176" t="s">
        <v>196</v>
      </c>
      <c r="LSS1" s="176" t="s">
        <v>196</v>
      </c>
      <c r="LST1" s="176" t="s">
        <v>196</v>
      </c>
      <c r="LSU1" s="176" t="s">
        <v>196</v>
      </c>
      <c r="LSV1" s="176" t="s">
        <v>196</v>
      </c>
      <c r="LSW1" s="176" t="s">
        <v>196</v>
      </c>
      <c r="LSX1" s="176" t="s">
        <v>196</v>
      </c>
      <c r="LSY1" s="176" t="s">
        <v>196</v>
      </c>
      <c r="LSZ1" s="176" t="s">
        <v>196</v>
      </c>
      <c r="LTA1" s="176" t="s">
        <v>196</v>
      </c>
      <c r="LTB1" s="176" t="s">
        <v>196</v>
      </c>
      <c r="LTC1" s="176" t="s">
        <v>196</v>
      </c>
      <c r="LTD1" s="176" t="s">
        <v>196</v>
      </c>
      <c r="LTE1" s="176" t="s">
        <v>196</v>
      </c>
      <c r="LTF1" s="176" t="s">
        <v>196</v>
      </c>
      <c r="LTG1" s="176" t="s">
        <v>196</v>
      </c>
      <c r="LTH1" s="176" t="s">
        <v>196</v>
      </c>
      <c r="LTI1" s="176" t="s">
        <v>196</v>
      </c>
      <c r="LTJ1" s="176" t="s">
        <v>196</v>
      </c>
      <c r="LTK1" s="176" t="s">
        <v>196</v>
      </c>
      <c r="LTL1" s="176" t="s">
        <v>196</v>
      </c>
      <c r="LTM1" s="176" t="s">
        <v>196</v>
      </c>
      <c r="LTN1" s="176" t="s">
        <v>196</v>
      </c>
      <c r="LTO1" s="176" t="s">
        <v>196</v>
      </c>
      <c r="LTP1" s="176" t="s">
        <v>196</v>
      </c>
      <c r="LTQ1" s="176" t="s">
        <v>196</v>
      </c>
      <c r="LTR1" s="176" t="s">
        <v>196</v>
      </c>
      <c r="LTS1" s="176" t="s">
        <v>196</v>
      </c>
      <c r="LTT1" s="176" t="s">
        <v>196</v>
      </c>
      <c r="LTU1" s="176" t="s">
        <v>196</v>
      </c>
      <c r="LTV1" s="176" t="s">
        <v>196</v>
      </c>
      <c r="LTW1" s="176" t="s">
        <v>196</v>
      </c>
      <c r="LTX1" s="176" t="s">
        <v>196</v>
      </c>
      <c r="LTY1" s="176" t="s">
        <v>196</v>
      </c>
      <c r="LTZ1" s="176" t="s">
        <v>196</v>
      </c>
      <c r="LUA1" s="176" t="s">
        <v>196</v>
      </c>
      <c r="LUB1" s="176" t="s">
        <v>196</v>
      </c>
      <c r="LUC1" s="176" t="s">
        <v>196</v>
      </c>
      <c r="LUD1" s="176" t="s">
        <v>196</v>
      </c>
      <c r="LUE1" s="176" t="s">
        <v>196</v>
      </c>
      <c r="LUF1" s="176" t="s">
        <v>196</v>
      </c>
      <c r="LUG1" s="176" t="s">
        <v>196</v>
      </c>
      <c r="LUH1" s="176" t="s">
        <v>196</v>
      </c>
      <c r="LUI1" s="176" t="s">
        <v>196</v>
      </c>
      <c r="LUJ1" s="176" t="s">
        <v>196</v>
      </c>
      <c r="LUK1" s="176" t="s">
        <v>196</v>
      </c>
      <c r="LUL1" s="176" t="s">
        <v>196</v>
      </c>
      <c r="LUM1" s="176" t="s">
        <v>196</v>
      </c>
      <c r="LUN1" s="176" t="s">
        <v>196</v>
      </c>
      <c r="LUO1" s="176" t="s">
        <v>196</v>
      </c>
      <c r="LUP1" s="176" t="s">
        <v>196</v>
      </c>
      <c r="LUQ1" s="176" t="s">
        <v>196</v>
      </c>
      <c r="LUR1" s="176" t="s">
        <v>196</v>
      </c>
      <c r="LUS1" s="176" t="s">
        <v>196</v>
      </c>
      <c r="LUT1" s="176" t="s">
        <v>196</v>
      </c>
      <c r="LUU1" s="176" t="s">
        <v>196</v>
      </c>
      <c r="LUV1" s="176" t="s">
        <v>196</v>
      </c>
      <c r="LUW1" s="176" t="s">
        <v>196</v>
      </c>
      <c r="LUX1" s="176" t="s">
        <v>196</v>
      </c>
      <c r="LUY1" s="176" t="s">
        <v>196</v>
      </c>
      <c r="LUZ1" s="176" t="s">
        <v>196</v>
      </c>
      <c r="LVA1" s="176" t="s">
        <v>196</v>
      </c>
      <c r="LVB1" s="176" t="s">
        <v>196</v>
      </c>
      <c r="LVC1" s="176" t="s">
        <v>196</v>
      </c>
      <c r="LVD1" s="176" t="s">
        <v>196</v>
      </c>
      <c r="LVE1" s="176" t="s">
        <v>196</v>
      </c>
      <c r="LVF1" s="176" t="s">
        <v>196</v>
      </c>
      <c r="LVG1" s="176" t="s">
        <v>196</v>
      </c>
      <c r="LVH1" s="176" t="s">
        <v>196</v>
      </c>
      <c r="LVI1" s="176" t="s">
        <v>196</v>
      </c>
      <c r="LVJ1" s="176" t="s">
        <v>196</v>
      </c>
      <c r="LVK1" s="176" t="s">
        <v>196</v>
      </c>
      <c r="LVL1" s="176" t="s">
        <v>196</v>
      </c>
      <c r="LVM1" s="176" t="s">
        <v>196</v>
      </c>
      <c r="LVN1" s="176" t="s">
        <v>196</v>
      </c>
      <c r="LVO1" s="176" t="s">
        <v>196</v>
      </c>
      <c r="LVP1" s="176" t="s">
        <v>196</v>
      </c>
      <c r="LVQ1" s="176" t="s">
        <v>196</v>
      </c>
      <c r="LVR1" s="176" t="s">
        <v>196</v>
      </c>
      <c r="LVS1" s="176" t="s">
        <v>196</v>
      </c>
      <c r="LVT1" s="176" t="s">
        <v>196</v>
      </c>
      <c r="LVU1" s="176" t="s">
        <v>196</v>
      </c>
      <c r="LVV1" s="176" t="s">
        <v>196</v>
      </c>
      <c r="LVW1" s="176" t="s">
        <v>196</v>
      </c>
      <c r="LVX1" s="176" t="s">
        <v>196</v>
      </c>
      <c r="LVY1" s="176" t="s">
        <v>196</v>
      </c>
      <c r="LVZ1" s="176" t="s">
        <v>196</v>
      </c>
      <c r="LWA1" s="176" t="s">
        <v>196</v>
      </c>
      <c r="LWB1" s="176" t="s">
        <v>196</v>
      </c>
      <c r="LWC1" s="176" t="s">
        <v>196</v>
      </c>
      <c r="LWD1" s="176" t="s">
        <v>196</v>
      </c>
      <c r="LWE1" s="176" t="s">
        <v>196</v>
      </c>
      <c r="LWF1" s="176" t="s">
        <v>196</v>
      </c>
      <c r="LWG1" s="176" t="s">
        <v>196</v>
      </c>
      <c r="LWH1" s="176" t="s">
        <v>196</v>
      </c>
      <c r="LWI1" s="176" t="s">
        <v>196</v>
      </c>
      <c r="LWJ1" s="176" t="s">
        <v>196</v>
      </c>
      <c r="LWK1" s="176" t="s">
        <v>196</v>
      </c>
      <c r="LWL1" s="176" t="s">
        <v>196</v>
      </c>
      <c r="LWM1" s="176" t="s">
        <v>196</v>
      </c>
      <c r="LWN1" s="176" t="s">
        <v>196</v>
      </c>
      <c r="LWO1" s="176" t="s">
        <v>196</v>
      </c>
      <c r="LWP1" s="176" t="s">
        <v>196</v>
      </c>
      <c r="LWQ1" s="176" t="s">
        <v>196</v>
      </c>
      <c r="LWR1" s="176" t="s">
        <v>196</v>
      </c>
      <c r="LWS1" s="176" t="s">
        <v>196</v>
      </c>
      <c r="LWT1" s="176" t="s">
        <v>196</v>
      </c>
      <c r="LWU1" s="176" t="s">
        <v>196</v>
      </c>
      <c r="LWV1" s="176" t="s">
        <v>196</v>
      </c>
      <c r="LWW1" s="176" t="s">
        <v>196</v>
      </c>
      <c r="LWX1" s="176" t="s">
        <v>196</v>
      </c>
      <c r="LWY1" s="176" t="s">
        <v>196</v>
      </c>
      <c r="LWZ1" s="176" t="s">
        <v>196</v>
      </c>
      <c r="LXA1" s="176" t="s">
        <v>196</v>
      </c>
      <c r="LXB1" s="176" t="s">
        <v>196</v>
      </c>
      <c r="LXC1" s="176" t="s">
        <v>196</v>
      </c>
      <c r="LXD1" s="176" t="s">
        <v>196</v>
      </c>
      <c r="LXE1" s="176" t="s">
        <v>196</v>
      </c>
      <c r="LXF1" s="176" t="s">
        <v>196</v>
      </c>
      <c r="LXG1" s="176" t="s">
        <v>196</v>
      </c>
      <c r="LXH1" s="176" t="s">
        <v>196</v>
      </c>
      <c r="LXI1" s="176" t="s">
        <v>196</v>
      </c>
      <c r="LXJ1" s="176" t="s">
        <v>196</v>
      </c>
      <c r="LXK1" s="176" t="s">
        <v>196</v>
      </c>
      <c r="LXL1" s="176" t="s">
        <v>196</v>
      </c>
      <c r="LXM1" s="176" t="s">
        <v>196</v>
      </c>
      <c r="LXN1" s="176" t="s">
        <v>196</v>
      </c>
      <c r="LXO1" s="176" t="s">
        <v>196</v>
      </c>
      <c r="LXP1" s="176" t="s">
        <v>196</v>
      </c>
      <c r="LXQ1" s="176" t="s">
        <v>196</v>
      </c>
      <c r="LXR1" s="176" t="s">
        <v>196</v>
      </c>
      <c r="LXS1" s="176" t="s">
        <v>196</v>
      </c>
      <c r="LXT1" s="176" t="s">
        <v>196</v>
      </c>
      <c r="LXU1" s="176" t="s">
        <v>196</v>
      </c>
      <c r="LXV1" s="176" t="s">
        <v>196</v>
      </c>
      <c r="LXW1" s="176" t="s">
        <v>196</v>
      </c>
      <c r="LXX1" s="176" t="s">
        <v>196</v>
      </c>
      <c r="LXY1" s="176" t="s">
        <v>196</v>
      </c>
      <c r="LXZ1" s="176" t="s">
        <v>196</v>
      </c>
      <c r="LYA1" s="176" t="s">
        <v>196</v>
      </c>
      <c r="LYB1" s="176" t="s">
        <v>196</v>
      </c>
      <c r="LYC1" s="176" t="s">
        <v>196</v>
      </c>
      <c r="LYD1" s="176" t="s">
        <v>196</v>
      </c>
      <c r="LYE1" s="176" t="s">
        <v>196</v>
      </c>
      <c r="LYF1" s="176" t="s">
        <v>196</v>
      </c>
      <c r="LYG1" s="176" t="s">
        <v>196</v>
      </c>
      <c r="LYH1" s="176" t="s">
        <v>196</v>
      </c>
      <c r="LYI1" s="176" t="s">
        <v>196</v>
      </c>
      <c r="LYJ1" s="176" t="s">
        <v>196</v>
      </c>
      <c r="LYK1" s="176" t="s">
        <v>196</v>
      </c>
      <c r="LYL1" s="176" t="s">
        <v>196</v>
      </c>
      <c r="LYM1" s="176" t="s">
        <v>196</v>
      </c>
      <c r="LYN1" s="176" t="s">
        <v>196</v>
      </c>
      <c r="LYO1" s="176" t="s">
        <v>196</v>
      </c>
      <c r="LYP1" s="176" t="s">
        <v>196</v>
      </c>
      <c r="LYQ1" s="176" t="s">
        <v>196</v>
      </c>
      <c r="LYR1" s="176" t="s">
        <v>196</v>
      </c>
      <c r="LYS1" s="176" t="s">
        <v>196</v>
      </c>
      <c r="LYT1" s="176" t="s">
        <v>196</v>
      </c>
      <c r="LYU1" s="176" t="s">
        <v>196</v>
      </c>
      <c r="LYV1" s="176" t="s">
        <v>196</v>
      </c>
      <c r="LYW1" s="176" t="s">
        <v>196</v>
      </c>
      <c r="LYX1" s="176" t="s">
        <v>196</v>
      </c>
      <c r="LYY1" s="176" t="s">
        <v>196</v>
      </c>
      <c r="LYZ1" s="176" t="s">
        <v>196</v>
      </c>
      <c r="LZA1" s="176" t="s">
        <v>196</v>
      </c>
      <c r="LZB1" s="176" t="s">
        <v>196</v>
      </c>
      <c r="LZC1" s="176" t="s">
        <v>196</v>
      </c>
      <c r="LZD1" s="176" t="s">
        <v>196</v>
      </c>
      <c r="LZE1" s="176" t="s">
        <v>196</v>
      </c>
      <c r="LZF1" s="176" t="s">
        <v>196</v>
      </c>
      <c r="LZG1" s="176" t="s">
        <v>196</v>
      </c>
      <c r="LZH1" s="176" t="s">
        <v>196</v>
      </c>
      <c r="LZI1" s="176" t="s">
        <v>196</v>
      </c>
      <c r="LZJ1" s="176" t="s">
        <v>196</v>
      </c>
      <c r="LZK1" s="176" t="s">
        <v>196</v>
      </c>
      <c r="LZL1" s="176" t="s">
        <v>196</v>
      </c>
      <c r="LZM1" s="176" t="s">
        <v>196</v>
      </c>
      <c r="LZN1" s="176" t="s">
        <v>196</v>
      </c>
      <c r="LZO1" s="176" t="s">
        <v>196</v>
      </c>
      <c r="LZP1" s="176" t="s">
        <v>196</v>
      </c>
      <c r="LZQ1" s="176" t="s">
        <v>196</v>
      </c>
      <c r="LZR1" s="176" t="s">
        <v>196</v>
      </c>
      <c r="LZS1" s="176" t="s">
        <v>196</v>
      </c>
      <c r="LZT1" s="176" t="s">
        <v>196</v>
      </c>
      <c r="LZU1" s="176" t="s">
        <v>196</v>
      </c>
      <c r="LZV1" s="176" t="s">
        <v>196</v>
      </c>
      <c r="LZW1" s="176" t="s">
        <v>196</v>
      </c>
      <c r="LZX1" s="176" t="s">
        <v>196</v>
      </c>
      <c r="LZY1" s="176" t="s">
        <v>196</v>
      </c>
      <c r="LZZ1" s="176" t="s">
        <v>196</v>
      </c>
      <c r="MAA1" s="176" t="s">
        <v>196</v>
      </c>
      <c r="MAB1" s="176" t="s">
        <v>196</v>
      </c>
      <c r="MAC1" s="176" t="s">
        <v>196</v>
      </c>
      <c r="MAD1" s="176" t="s">
        <v>196</v>
      </c>
      <c r="MAE1" s="176" t="s">
        <v>196</v>
      </c>
      <c r="MAF1" s="176" t="s">
        <v>196</v>
      </c>
      <c r="MAG1" s="176" t="s">
        <v>196</v>
      </c>
      <c r="MAH1" s="176" t="s">
        <v>196</v>
      </c>
      <c r="MAI1" s="176" t="s">
        <v>196</v>
      </c>
      <c r="MAJ1" s="176" t="s">
        <v>196</v>
      </c>
      <c r="MAK1" s="176" t="s">
        <v>196</v>
      </c>
      <c r="MAL1" s="176" t="s">
        <v>196</v>
      </c>
      <c r="MAM1" s="176" t="s">
        <v>196</v>
      </c>
      <c r="MAN1" s="176" t="s">
        <v>196</v>
      </c>
      <c r="MAO1" s="176" t="s">
        <v>196</v>
      </c>
      <c r="MAP1" s="176" t="s">
        <v>196</v>
      </c>
      <c r="MAQ1" s="176" t="s">
        <v>196</v>
      </c>
      <c r="MAR1" s="176" t="s">
        <v>196</v>
      </c>
      <c r="MAS1" s="176" t="s">
        <v>196</v>
      </c>
      <c r="MAT1" s="176" t="s">
        <v>196</v>
      </c>
      <c r="MAU1" s="176" t="s">
        <v>196</v>
      </c>
      <c r="MAV1" s="176" t="s">
        <v>196</v>
      </c>
      <c r="MAW1" s="176" t="s">
        <v>196</v>
      </c>
      <c r="MAX1" s="176" t="s">
        <v>196</v>
      </c>
      <c r="MAY1" s="176" t="s">
        <v>196</v>
      </c>
      <c r="MAZ1" s="176" t="s">
        <v>196</v>
      </c>
      <c r="MBA1" s="176" t="s">
        <v>196</v>
      </c>
      <c r="MBB1" s="176" t="s">
        <v>196</v>
      </c>
      <c r="MBC1" s="176" t="s">
        <v>196</v>
      </c>
      <c r="MBD1" s="176" t="s">
        <v>196</v>
      </c>
      <c r="MBE1" s="176" t="s">
        <v>196</v>
      </c>
      <c r="MBF1" s="176" t="s">
        <v>196</v>
      </c>
      <c r="MBG1" s="176" t="s">
        <v>196</v>
      </c>
      <c r="MBH1" s="176" t="s">
        <v>196</v>
      </c>
      <c r="MBI1" s="176" t="s">
        <v>196</v>
      </c>
      <c r="MBJ1" s="176" t="s">
        <v>196</v>
      </c>
      <c r="MBK1" s="176" t="s">
        <v>196</v>
      </c>
      <c r="MBL1" s="176" t="s">
        <v>196</v>
      </c>
      <c r="MBM1" s="176" t="s">
        <v>196</v>
      </c>
      <c r="MBN1" s="176" t="s">
        <v>196</v>
      </c>
      <c r="MBO1" s="176" t="s">
        <v>196</v>
      </c>
      <c r="MBP1" s="176" t="s">
        <v>196</v>
      </c>
      <c r="MBQ1" s="176" t="s">
        <v>196</v>
      </c>
      <c r="MBR1" s="176" t="s">
        <v>196</v>
      </c>
      <c r="MBS1" s="176" t="s">
        <v>196</v>
      </c>
      <c r="MBT1" s="176" t="s">
        <v>196</v>
      </c>
      <c r="MBU1" s="176" t="s">
        <v>196</v>
      </c>
      <c r="MBV1" s="176" t="s">
        <v>196</v>
      </c>
      <c r="MBW1" s="176" t="s">
        <v>196</v>
      </c>
      <c r="MBX1" s="176" t="s">
        <v>196</v>
      </c>
      <c r="MBY1" s="176" t="s">
        <v>196</v>
      </c>
      <c r="MBZ1" s="176" t="s">
        <v>196</v>
      </c>
      <c r="MCA1" s="176" t="s">
        <v>196</v>
      </c>
      <c r="MCB1" s="176" t="s">
        <v>196</v>
      </c>
      <c r="MCC1" s="176" t="s">
        <v>196</v>
      </c>
      <c r="MCD1" s="176" t="s">
        <v>196</v>
      </c>
      <c r="MCE1" s="176" t="s">
        <v>196</v>
      </c>
      <c r="MCF1" s="176" t="s">
        <v>196</v>
      </c>
      <c r="MCG1" s="176" t="s">
        <v>196</v>
      </c>
      <c r="MCH1" s="176" t="s">
        <v>196</v>
      </c>
      <c r="MCI1" s="176" t="s">
        <v>196</v>
      </c>
      <c r="MCJ1" s="176" t="s">
        <v>196</v>
      </c>
      <c r="MCK1" s="176" t="s">
        <v>196</v>
      </c>
      <c r="MCL1" s="176" t="s">
        <v>196</v>
      </c>
      <c r="MCM1" s="176" t="s">
        <v>196</v>
      </c>
      <c r="MCN1" s="176" t="s">
        <v>196</v>
      </c>
      <c r="MCO1" s="176" t="s">
        <v>196</v>
      </c>
      <c r="MCP1" s="176" t="s">
        <v>196</v>
      </c>
      <c r="MCQ1" s="176" t="s">
        <v>196</v>
      </c>
      <c r="MCR1" s="176" t="s">
        <v>196</v>
      </c>
      <c r="MCS1" s="176" t="s">
        <v>196</v>
      </c>
      <c r="MCT1" s="176" t="s">
        <v>196</v>
      </c>
      <c r="MCU1" s="176" t="s">
        <v>196</v>
      </c>
      <c r="MCV1" s="176" t="s">
        <v>196</v>
      </c>
      <c r="MCW1" s="176" t="s">
        <v>196</v>
      </c>
      <c r="MCX1" s="176" t="s">
        <v>196</v>
      </c>
      <c r="MCY1" s="176" t="s">
        <v>196</v>
      </c>
      <c r="MCZ1" s="176" t="s">
        <v>196</v>
      </c>
      <c r="MDA1" s="176" t="s">
        <v>196</v>
      </c>
      <c r="MDB1" s="176" t="s">
        <v>196</v>
      </c>
      <c r="MDC1" s="176" t="s">
        <v>196</v>
      </c>
      <c r="MDD1" s="176" t="s">
        <v>196</v>
      </c>
      <c r="MDE1" s="176" t="s">
        <v>196</v>
      </c>
      <c r="MDF1" s="176" t="s">
        <v>196</v>
      </c>
      <c r="MDG1" s="176" t="s">
        <v>196</v>
      </c>
      <c r="MDH1" s="176" t="s">
        <v>196</v>
      </c>
      <c r="MDI1" s="176" t="s">
        <v>196</v>
      </c>
      <c r="MDJ1" s="176" t="s">
        <v>196</v>
      </c>
      <c r="MDK1" s="176" t="s">
        <v>196</v>
      </c>
      <c r="MDL1" s="176" t="s">
        <v>196</v>
      </c>
      <c r="MDM1" s="176" t="s">
        <v>196</v>
      </c>
      <c r="MDN1" s="176" t="s">
        <v>196</v>
      </c>
      <c r="MDO1" s="176" t="s">
        <v>196</v>
      </c>
      <c r="MDP1" s="176" t="s">
        <v>196</v>
      </c>
      <c r="MDQ1" s="176" t="s">
        <v>196</v>
      </c>
      <c r="MDR1" s="176" t="s">
        <v>196</v>
      </c>
      <c r="MDS1" s="176" t="s">
        <v>196</v>
      </c>
      <c r="MDT1" s="176" t="s">
        <v>196</v>
      </c>
      <c r="MDU1" s="176" t="s">
        <v>196</v>
      </c>
      <c r="MDV1" s="176" t="s">
        <v>196</v>
      </c>
      <c r="MDW1" s="176" t="s">
        <v>196</v>
      </c>
      <c r="MDX1" s="176" t="s">
        <v>196</v>
      </c>
      <c r="MDY1" s="176" t="s">
        <v>196</v>
      </c>
      <c r="MDZ1" s="176" t="s">
        <v>196</v>
      </c>
      <c r="MEA1" s="176" t="s">
        <v>196</v>
      </c>
      <c r="MEB1" s="176" t="s">
        <v>196</v>
      </c>
      <c r="MEC1" s="176" t="s">
        <v>196</v>
      </c>
      <c r="MED1" s="176" t="s">
        <v>196</v>
      </c>
      <c r="MEE1" s="176" t="s">
        <v>196</v>
      </c>
      <c r="MEF1" s="176" t="s">
        <v>196</v>
      </c>
      <c r="MEG1" s="176" t="s">
        <v>196</v>
      </c>
      <c r="MEH1" s="176" t="s">
        <v>196</v>
      </c>
      <c r="MEI1" s="176" t="s">
        <v>196</v>
      </c>
      <c r="MEJ1" s="176" t="s">
        <v>196</v>
      </c>
      <c r="MEK1" s="176" t="s">
        <v>196</v>
      </c>
      <c r="MEL1" s="176" t="s">
        <v>196</v>
      </c>
      <c r="MEM1" s="176" t="s">
        <v>196</v>
      </c>
      <c r="MEN1" s="176" t="s">
        <v>196</v>
      </c>
      <c r="MEO1" s="176" t="s">
        <v>196</v>
      </c>
      <c r="MEP1" s="176" t="s">
        <v>196</v>
      </c>
      <c r="MEQ1" s="176" t="s">
        <v>196</v>
      </c>
      <c r="MER1" s="176" t="s">
        <v>196</v>
      </c>
      <c r="MES1" s="176" t="s">
        <v>196</v>
      </c>
      <c r="MET1" s="176" t="s">
        <v>196</v>
      </c>
      <c r="MEU1" s="176" t="s">
        <v>196</v>
      </c>
      <c r="MEV1" s="176" t="s">
        <v>196</v>
      </c>
      <c r="MEW1" s="176" t="s">
        <v>196</v>
      </c>
      <c r="MEX1" s="176" t="s">
        <v>196</v>
      </c>
      <c r="MEY1" s="176" t="s">
        <v>196</v>
      </c>
      <c r="MEZ1" s="176" t="s">
        <v>196</v>
      </c>
      <c r="MFA1" s="176" t="s">
        <v>196</v>
      </c>
      <c r="MFB1" s="176" t="s">
        <v>196</v>
      </c>
      <c r="MFC1" s="176" t="s">
        <v>196</v>
      </c>
      <c r="MFD1" s="176" t="s">
        <v>196</v>
      </c>
      <c r="MFE1" s="176" t="s">
        <v>196</v>
      </c>
      <c r="MFF1" s="176" t="s">
        <v>196</v>
      </c>
      <c r="MFG1" s="176" t="s">
        <v>196</v>
      </c>
      <c r="MFH1" s="176" t="s">
        <v>196</v>
      </c>
      <c r="MFI1" s="176" t="s">
        <v>196</v>
      </c>
      <c r="MFJ1" s="176" t="s">
        <v>196</v>
      </c>
      <c r="MFK1" s="176" t="s">
        <v>196</v>
      </c>
      <c r="MFL1" s="176" t="s">
        <v>196</v>
      </c>
      <c r="MFM1" s="176" t="s">
        <v>196</v>
      </c>
      <c r="MFN1" s="176" t="s">
        <v>196</v>
      </c>
      <c r="MFO1" s="176" t="s">
        <v>196</v>
      </c>
      <c r="MFP1" s="176" t="s">
        <v>196</v>
      </c>
      <c r="MFQ1" s="176" t="s">
        <v>196</v>
      </c>
      <c r="MFR1" s="176" t="s">
        <v>196</v>
      </c>
      <c r="MFS1" s="176" t="s">
        <v>196</v>
      </c>
      <c r="MFT1" s="176" t="s">
        <v>196</v>
      </c>
      <c r="MFU1" s="176" t="s">
        <v>196</v>
      </c>
      <c r="MFV1" s="176" t="s">
        <v>196</v>
      </c>
      <c r="MFW1" s="176" t="s">
        <v>196</v>
      </c>
      <c r="MFX1" s="176" t="s">
        <v>196</v>
      </c>
      <c r="MFY1" s="176" t="s">
        <v>196</v>
      </c>
      <c r="MFZ1" s="176" t="s">
        <v>196</v>
      </c>
      <c r="MGA1" s="176" t="s">
        <v>196</v>
      </c>
      <c r="MGB1" s="176" t="s">
        <v>196</v>
      </c>
      <c r="MGC1" s="176" t="s">
        <v>196</v>
      </c>
      <c r="MGD1" s="176" t="s">
        <v>196</v>
      </c>
      <c r="MGE1" s="176" t="s">
        <v>196</v>
      </c>
      <c r="MGF1" s="176" t="s">
        <v>196</v>
      </c>
      <c r="MGG1" s="176" t="s">
        <v>196</v>
      </c>
      <c r="MGH1" s="176" t="s">
        <v>196</v>
      </c>
      <c r="MGI1" s="176" t="s">
        <v>196</v>
      </c>
      <c r="MGJ1" s="176" t="s">
        <v>196</v>
      </c>
      <c r="MGK1" s="176" t="s">
        <v>196</v>
      </c>
      <c r="MGL1" s="176" t="s">
        <v>196</v>
      </c>
      <c r="MGM1" s="176" t="s">
        <v>196</v>
      </c>
      <c r="MGN1" s="176" t="s">
        <v>196</v>
      </c>
      <c r="MGO1" s="176" t="s">
        <v>196</v>
      </c>
      <c r="MGP1" s="176" t="s">
        <v>196</v>
      </c>
      <c r="MGQ1" s="176" t="s">
        <v>196</v>
      </c>
      <c r="MGR1" s="176" t="s">
        <v>196</v>
      </c>
      <c r="MGS1" s="176" t="s">
        <v>196</v>
      </c>
      <c r="MGT1" s="176" t="s">
        <v>196</v>
      </c>
      <c r="MGU1" s="176" t="s">
        <v>196</v>
      </c>
      <c r="MGV1" s="176" t="s">
        <v>196</v>
      </c>
      <c r="MGW1" s="176" t="s">
        <v>196</v>
      </c>
      <c r="MGX1" s="176" t="s">
        <v>196</v>
      </c>
      <c r="MGY1" s="176" t="s">
        <v>196</v>
      </c>
      <c r="MGZ1" s="176" t="s">
        <v>196</v>
      </c>
      <c r="MHA1" s="176" t="s">
        <v>196</v>
      </c>
      <c r="MHB1" s="176" t="s">
        <v>196</v>
      </c>
      <c r="MHC1" s="176" t="s">
        <v>196</v>
      </c>
      <c r="MHD1" s="176" t="s">
        <v>196</v>
      </c>
      <c r="MHE1" s="176" t="s">
        <v>196</v>
      </c>
      <c r="MHF1" s="176" t="s">
        <v>196</v>
      </c>
      <c r="MHG1" s="176" t="s">
        <v>196</v>
      </c>
      <c r="MHH1" s="176" t="s">
        <v>196</v>
      </c>
      <c r="MHI1" s="176" t="s">
        <v>196</v>
      </c>
      <c r="MHJ1" s="176" t="s">
        <v>196</v>
      </c>
      <c r="MHK1" s="176" t="s">
        <v>196</v>
      </c>
      <c r="MHL1" s="176" t="s">
        <v>196</v>
      </c>
      <c r="MHM1" s="176" t="s">
        <v>196</v>
      </c>
      <c r="MHN1" s="176" t="s">
        <v>196</v>
      </c>
      <c r="MHO1" s="176" t="s">
        <v>196</v>
      </c>
      <c r="MHP1" s="176" t="s">
        <v>196</v>
      </c>
      <c r="MHQ1" s="176" t="s">
        <v>196</v>
      </c>
      <c r="MHR1" s="176" t="s">
        <v>196</v>
      </c>
      <c r="MHS1" s="176" t="s">
        <v>196</v>
      </c>
      <c r="MHT1" s="176" t="s">
        <v>196</v>
      </c>
      <c r="MHU1" s="176" t="s">
        <v>196</v>
      </c>
      <c r="MHV1" s="176" t="s">
        <v>196</v>
      </c>
      <c r="MHW1" s="176" t="s">
        <v>196</v>
      </c>
      <c r="MHX1" s="176" t="s">
        <v>196</v>
      </c>
      <c r="MHY1" s="176" t="s">
        <v>196</v>
      </c>
      <c r="MHZ1" s="176" t="s">
        <v>196</v>
      </c>
      <c r="MIA1" s="176" t="s">
        <v>196</v>
      </c>
      <c r="MIB1" s="176" t="s">
        <v>196</v>
      </c>
      <c r="MIC1" s="176" t="s">
        <v>196</v>
      </c>
      <c r="MID1" s="176" t="s">
        <v>196</v>
      </c>
      <c r="MIE1" s="176" t="s">
        <v>196</v>
      </c>
      <c r="MIF1" s="176" t="s">
        <v>196</v>
      </c>
      <c r="MIG1" s="176" t="s">
        <v>196</v>
      </c>
      <c r="MIH1" s="176" t="s">
        <v>196</v>
      </c>
      <c r="MII1" s="176" t="s">
        <v>196</v>
      </c>
      <c r="MIJ1" s="176" t="s">
        <v>196</v>
      </c>
      <c r="MIK1" s="176" t="s">
        <v>196</v>
      </c>
      <c r="MIL1" s="176" t="s">
        <v>196</v>
      </c>
      <c r="MIM1" s="176" t="s">
        <v>196</v>
      </c>
      <c r="MIN1" s="176" t="s">
        <v>196</v>
      </c>
      <c r="MIO1" s="176" t="s">
        <v>196</v>
      </c>
      <c r="MIP1" s="176" t="s">
        <v>196</v>
      </c>
      <c r="MIQ1" s="176" t="s">
        <v>196</v>
      </c>
      <c r="MIR1" s="176" t="s">
        <v>196</v>
      </c>
      <c r="MIS1" s="176" t="s">
        <v>196</v>
      </c>
      <c r="MIT1" s="176" t="s">
        <v>196</v>
      </c>
      <c r="MIU1" s="176" t="s">
        <v>196</v>
      </c>
      <c r="MIV1" s="176" t="s">
        <v>196</v>
      </c>
      <c r="MIW1" s="176" t="s">
        <v>196</v>
      </c>
      <c r="MIX1" s="176" t="s">
        <v>196</v>
      </c>
      <c r="MIY1" s="176" t="s">
        <v>196</v>
      </c>
      <c r="MIZ1" s="176" t="s">
        <v>196</v>
      </c>
      <c r="MJA1" s="176" t="s">
        <v>196</v>
      </c>
      <c r="MJB1" s="176" t="s">
        <v>196</v>
      </c>
      <c r="MJC1" s="176" t="s">
        <v>196</v>
      </c>
      <c r="MJD1" s="176" t="s">
        <v>196</v>
      </c>
      <c r="MJE1" s="176" t="s">
        <v>196</v>
      </c>
      <c r="MJF1" s="176" t="s">
        <v>196</v>
      </c>
      <c r="MJG1" s="176" t="s">
        <v>196</v>
      </c>
      <c r="MJH1" s="176" t="s">
        <v>196</v>
      </c>
      <c r="MJI1" s="176" t="s">
        <v>196</v>
      </c>
      <c r="MJJ1" s="176" t="s">
        <v>196</v>
      </c>
      <c r="MJK1" s="176" t="s">
        <v>196</v>
      </c>
      <c r="MJL1" s="176" t="s">
        <v>196</v>
      </c>
      <c r="MJM1" s="176" t="s">
        <v>196</v>
      </c>
      <c r="MJN1" s="176" t="s">
        <v>196</v>
      </c>
      <c r="MJO1" s="176" t="s">
        <v>196</v>
      </c>
      <c r="MJP1" s="176" t="s">
        <v>196</v>
      </c>
      <c r="MJQ1" s="176" t="s">
        <v>196</v>
      </c>
      <c r="MJR1" s="176" t="s">
        <v>196</v>
      </c>
      <c r="MJS1" s="176" t="s">
        <v>196</v>
      </c>
      <c r="MJT1" s="176" t="s">
        <v>196</v>
      </c>
      <c r="MJU1" s="176" t="s">
        <v>196</v>
      </c>
      <c r="MJV1" s="176" t="s">
        <v>196</v>
      </c>
      <c r="MJW1" s="176" t="s">
        <v>196</v>
      </c>
      <c r="MJX1" s="176" t="s">
        <v>196</v>
      </c>
      <c r="MJY1" s="176" t="s">
        <v>196</v>
      </c>
      <c r="MJZ1" s="176" t="s">
        <v>196</v>
      </c>
      <c r="MKA1" s="176" t="s">
        <v>196</v>
      </c>
      <c r="MKB1" s="176" t="s">
        <v>196</v>
      </c>
      <c r="MKC1" s="176" t="s">
        <v>196</v>
      </c>
      <c r="MKD1" s="176" t="s">
        <v>196</v>
      </c>
      <c r="MKE1" s="176" t="s">
        <v>196</v>
      </c>
      <c r="MKF1" s="176" t="s">
        <v>196</v>
      </c>
      <c r="MKG1" s="176" t="s">
        <v>196</v>
      </c>
      <c r="MKH1" s="176" t="s">
        <v>196</v>
      </c>
      <c r="MKI1" s="176" t="s">
        <v>196</v>
      </c>
      <c r="MKJ1" s="176" t="s">
        <v>196</v>
      </c>
      <c r="MKK1" s="176" t="s">
        <v>196</v>
      </c>
      <c r="MKL1" s="176" t="s">
        <v>196</v>
      </c>
      <c r="MKM1" s="176" t="s">
        <v>196</v>
      </c>
      <c r="MKN1" s="176" t="s">
        <v>196</v>
      </c>
      <c r="MKO1" s="176" t="s">
        <v>196</v>
      </c>
      <c r="MKP1" s="176" t="s">
        <v>196</v>
      </c>
      <c r="MKQ1" s="176" t="s">
        <v>196</v>
      </c>
      <c r="MKR1" s="176" t="s">
        <v>196</v>
      </c>
      <c r="MKS1" s="176" t="s">
        <v>196</v>
      </c>
      <c r="MKT1" s="176" t="s">
        <v>196</v>
      </c>
      <c r="MKU1" s="176" t="s">
        <v>196</v>
      </c>
      <c r="MKV1" s="176" t="s">
        <v>196</v>
      </c>
      <c r="MKW1" s="176" t="s">
        <v>196</v>
      </c>
      <c r="MKX1" s="176" t="s">
        <v>196</v>
      </c>
      <c r="MKY1" s="176" t="s">
        <v>196</v>
      </c>
      <c r="MKZ1" s="176" t="s">
        <v>196</v>
      </c>
      <c r="MLA1" s="176" t="s">
        <v>196</v>
      </c>
      <c r="MLB1" s="176" t="s">
        <v>196</v>
      </c>
      <c r="MLC1" s="176" t="s">
        <v>196</v>
      </c>
      <c r="MLD1" s="176" t="s">
        <v>196</v>
      </c>
      <c r="MLE1" s="176" t="s">
        <v>196</v>
      </c>
      <c r="MLF1" s="176" t="s">
        <v>196</v>
      </c>
      <c r="MLG1" s="176" t="s">
        <v>196</v>
      </c>
      <c r="MLH1" s="176" t="s">
        <v>196</v>
      </c>
      <c r="MLI1" s="176" t="s">
        <v>196</v>
      </c>
      <c r="MLJ1" s="176" t="s">
        <v>196</v>
      </c>
      <c r="MLK1" s="176" t="s">
        <v>196</v>
      </c>
      <c r="MLL1" s="176" t="s">
        <v>196</v>
      </c>
      <c r="MLM1" s="176" t="s">
        <v>196</v>
      </c>
      <c r="MLN1" s="176" t="s">
        <v>196</v>
      </c>
      <c r="MLO1" s="176" t="s">
        <v>196</v>
      </c>
      <c r="MLP1" s="176" t="s">
        <v>196</v>
      </c>
      <c r="MLQ1" s="176" t="s">
        <v>196</v>
      </c>
      <c r="MLR1" s="176" t="s">
        <v>196</v>
      </c>
      <c r="MLS1" s="176" t="s">
        <v>196</v>
      </c>
      <c r="MLT1" s="176" t="s">
        <v>196</v>
      </c>
      <c r="MLU1" s="176" t="s">
        <v>196</v>
      </c>
      <c r="MLV1" s="176" t="s">
        <v>196</v>
      </c>
      <c r="MLW1" s="176" t="s">
        <v>196</v>
      </c>
      <c r="MLX1" s="176" t="s">
        <v>196</v>
      </c>
      <c r="MLY1" s="176" t="s">
        <v>196</v>
      </c>
      <c r="MLZ1" s="176" t="s">
        <v>196</v>
      </c>
      <c r="MMA1" s="176" t="s">
        <v>196</v>
      </c>
      <c r="MMB1" s="176" t="s">
        <v>196</v>
      </c>
      <c r="MMC1" s="176" t="s">
        <v>196</v>
      </c>
      <c r="MMD1" s="176" t="s">
        <v>196</v>
      </c>
      <c r="MME1" s="176" t="s">
        <v>196</v>
      </c>
      <c r="MMF1" s="176" t="s">
        <v>196</v>
      </c>
      <c r="MMG1" s="176" t="s">
        <v>196</v>
      </c>
      <c r="MMH1" s="176" t="s">
        <v>196</v>
      </c>
      <c r="MMI1" s="176" t="s">
        <v>196</v>
      </c>
      <c r="MMJ1" s="176" t="s">
        <v>196</v>
      </c>
      <c r="MMK1" s="176" t="s">
        <v>196</v>
      </c>
      <c r="MML1" s="176" t="s">
        <v>196</v>
      </c>
      <c r="MMM1" s="176" t="s">
        <v>196</v>
      </c>
      <c r="MMN1" s="176" t="s">
        <v>196</v>
      </c>
      <c r="MMO1" s="176" t="s">
        <v>196</v>
      </c>
      <c r="MMP1" s="176" t="s">
        <v>196</v>
      </c>
      <c r="MMQ1" s="176" t="s">
        <v>196</v>
      </c>
      <c r="MMR1" s="176" t="s">
        <v>196</v>
      </c>
      <c r="MMS1" s="176" t="s">
        <v>196</v>
      </c>
      <c r="MMT1" s="176" t="s">
        <v>196</v>
      </c>
      <c r="MMU1" s="176" t="s">
        <v>196</v>
      </c>
      <c r="MMV1" s="176" t="s">
        <v>196</v>
      </c>
      <c r="MMW1" s="176" t="s">
        <v>196</v>
      </c>
      <c r="MMX1" s="176" t="s">
        <v>196</v>
      </c>
      <c r="MMY1" s="176" t="s">
        <v>196</v>
      </c>
      <c r="MMZ1" s="176" t="s">
        <v>196</v>
      </c>
      <c r="MNA1" s="176" t="s">
        <v>196</v>
      </c>
      <c r="MNB1" s="176" t="s">
        <v>196</v>
      </c>
      <c r="MNC1" s="176" t="s">
        <v>196</v>
      </c>
      <c r="MND1" s="176" t="s">
        <v>196</v>
      </c>
      <c r="MNE1" s="176" t="s">
        <v>196</v>
      </c>
      <c r="MNF1" s="176" t="s">
        <v>196</v>
      </c>
      <c r="MNG1" s="176" t="s">
        <v>196</v>
      </c>
      <c r="MNH1" s="176" t="s">
        <v>196</v>
      </c>
      <c r="MNI1" s="176" t="s">
        <v>196</v>
      </c>
      <c r="MNJ1" s="176" t="s">
        <v>196</v>
      </c>
      <c r="MNK1" s="176" t="s">
        <v>196</v>
      </c>
      <c r="MNL1" s="176" t="s">
        <v>196</v>
      </c>
      <c r="MNM1" s="176" t="s">
        <v>196</v>
      </c>
      <c r="MNN1" s="176" t="s">
        <v>196</v>
      </c>
      <c r="MNO1" s="176" t="s">
        <v>196</v>
      </c>
      <c r="MNP1" s="176" t="s">
        <v>196</v>
      </c>
      <c r="MNQ1" s="176" t="s">
        <v>196</v>
      </c>
      <c r="MNR1" s="176" t="s">
        <v>196</v>
      </c>
      <c r="MNS1" s="176" t="s">
        <v>196</v>
      </c>
      <c r="MNT1" s="176" t="s">
        <v>196</v>
      </c>
      <c r="MNU1" s="176" t="s">
        <v>196</v>
      </c>
      <c r="MNV1" s="176" t="s">
        <v>196</v>
      </c>
      <c r="MNW1" s="176" t="s">
        <v>196</v>
      </c>
      <c r="MNX1" s="176" t="s">
        <v>196</v>
      </c>
      <c r="MNY1" s="176" t="s">
        <v>196</v>
      </c>
      <c r="MNZ1" s="176" t="s">
        <v>196</v>
      </c>
      <c r="MOA1" s="176" t="s">
        <v>196</v>
      </c>
      <c r="MOB1" s="176" t="s">
        <v>196</v>
      </c>
      <c r="MOC1" s="176" t="s">
        <v>196</v>
      </c>
      <c r="MOD1" s="176" t="s">
        <v>196</v>
      </c>
      <c r="MOE1" s="176" t="s">
        <v>196</v>
      </c>
      <c r="MOF1" s="176" t="s">
        <v>196</v>
      </c>
      <c r="MOG1" s="176" t="s">
        <v>196</v>
      </c>
      <c r="MOH1" s="176" t="s">
        <v>196</v>
      </c>
      <c r="MOI1" s="176" t="s">
        <v>196</v>
      </c>
      <c r="MOJ1" s="176" t="s">
        <v>196</v>
      </c>
      <c r="MOK1" s="176" t="s">
        <v>196</v>
      </c>
      <c r="MOL1" s="176" t="s">
        <v>196</v>
      </c>
      <c r="MOM1" s="176" t="s">
        <v>196</v>
      </c>
      <c r="MON1" s="176" t="s">
        <v>196</v>
      </c>
      <c r="MOO1" s="176" t="s">
        <v>196</v>
      </c>
      <c r="MOP1" s="176" t="s">
        <v>196</v>
      </c>
      <c r="MOQ1" s="176" t="s">
        <v>196</v>
      </c>
      <c r="MOR1" s="176" t="s">
        <v>196</v>
      </c>
      <c r="MOS1" s="176" t="s">
        <v>196</v>
      </c>
      <c r="MOT1" s="176" t="s">
        <v>196</v>
      </c>
      <c r="MOU1" s="176" t="s">
        <v>196</v>
      </c>
      <c r="MOV1" s="176" t="s">
        <v>196</v>
      </c>
      <c r="MOW1" s="176" t="s">
        <v>196</v>
      </c>
      <c r="MOX1" s="176" t="s">
        <v>196</v>
      </c>
      <c r="MOY1" s="176" t="s">
        <v>196</v>
      </c>
      <c r="MOZ1" s="176" t="s">
        <v>196</v>
      </c>
      <c r="MPA1" s="176" t="s">
        <v>196</v>
      </c>
      <c r="MPB1" s="176" t="s">
        <v>196</v>
      </c>
      <c r="MPC1" s="176" t="s">
        <v>196</v>
      </c>
      <c r="MPD1" s="176" t="s">
        <v>196</v>
      </c>
      <c r="MPE1" s="176" t="s">
        <v>196</v>
      </c>
      <c r="MPF1" s="176" t="s">
        <v>196</v>
      </c>
      <c r="MPG1" s="176" t="s">
        <v>196</v>
      </c>
      <c r="MPH1" s="176" t="s">
        <v>196</v>
      </c>
      <c r="MPI1" s="176" t="s">
        <v>196</v>
      </c>
      <c r="MPJ1" s="176" t="s">
        <v>196</v>
      </c>
      <c r="MPK1" s="176" t="s">
        <v>196</v>
      </c>
      <c r="MPL1" s="176" t="s">
        <v>196</v>
      </c>
      <c r="MPM1" s="176" t="s">
        <v>196</v>
      </c>
      <c r="MPN1" s="176" t="s">
        <v>196</v>
      </c>
      <c r="MPO1" s="176" t="s">
        <v>196</v>
      </c>
      <c r="MPP1" s="176" t="s">
        <v>196</v>
      </c>
      <c r="MPQ1" s="176" t="s">
        <v>196</v>
      </c>
      <c r="MPR1" s="176" t="s">
        <v>196</v>
      </c>
      <c r="MPS1" s="176" t="s">
        <v>196</v>
      </c>
      <c r="MPT1" s="176" t="s">
        <v>196</v>
      </c>
      <c r="MPU1" s="176" t="s">
        <v>196</v>
      </c>
      <c r="MPV1" s="176" t="s">
        <v>196</v>
      </c>
      <c r="MPW1" s="176" t="s">
        <v>196</v>
      </c>
      <c r="MPX1" s="176" t="s">
        <v>196</v>
      </c>
      <c r="MPY1" s="176" t="s">
        <v>196</v>
      </c>
      <c r="MPZ1" s="176" t="s">
        <v>196</v>
      </c>
      <c r="MQA1" s="176" t="s">
        <v>196</v>
      </c>
      <c r="MQB1" s="176" t="s">
        <v>196</v>
      </c>
      <c r="MQC1" s="176" t="s">
        <v>196</v>
      </c>
      <c r="MQD1" s="176" t="s">
        <v>196</v>
      </c>
      <c r="MQE1" s="176" t="s">
        <v>196</v>
      </c>
      <c r="MQF1" s="176" t="s">
        <v>196</v>
      </c>
      <c r="MQG1" s="176" t="s">
        <v>196</v>
      </c>
      <c r="MQH1" s="176" t="s">
        <v>196</v>
      </c>
      <c r="MQI1" s="176" t="s">
        <v>196</v>
      </c>
      <c r="MQJ1" s="176" t="s">
        <v>196</v>
      </c>
      <c r="MQK1" s="176" t="s">
        <v>196</v>
      </c>
      <c r="MQL1" s="176" t="s">
        <v>196</v>
      </c>
      <c r="MQM1" s="176" t="s">
        <v>196</v>
      </c>
      <c r="MQN1" s="176" t="s">
        <v>196</v>
      </c>
      <c r="MQO1" s="176" t="s">
        <v>196</v>
      </c>
      <c r="MQP1" s="176" t="s">
        <v>196</v>
      </c>
      <c r="MQQ1" s="176" t="s">
        <v>196</v>
      </c>
      <c r="MQR1" s="176" t="s">
        <v>196</v>
      </c>
      <c r="MQS1" s="176" t="s">
        <v>196</v>
      </c>
      <c r="MQT1" s="176" t="s">
        <v>196</v>
      </c>
      <c r="MQU1" s="176" t="s">
        <v>196</v>
      </c>
      <c r="MQV1" s="176" t="s">
        <v>196</v>
      </c>
      <c r="MQW1" s="176" t="s">
        <v>196</v>
      </c>
      <c r="MQX1" s="176" t="s">
        <v>196</v>
      </c>
      <c r="MQY1" s="176" t="s">
        <v>196</v>
      </c>
      <c r="MQZ1" s="176" t="s">
        <v>196</v>
      </c>
      <c r="MRA1" s="176" t="s">
        <v>196</v>
      </c>
      <c r="MRB1" s="176" t="s">
        <v>196</v>
      </c>
      <c r="MRC1" s="176" t="s">
        <v>196</v>
      </c>
      <c r="MRD1" s="176" t="s">
        <v>196</v>
      </c>
      <c r="MRE1" s="176" t="s">
        <v>196</v>
      </c>
      <c r="MRF1" s="176" t="s">
        <v>196</v>
      </c>
      <c r="MRG1" s="176" t="s">
        <v>196</v>
      </c>
      <c r="MRH1" s="176" t="s">
        <v>196</v>
      </c>
      <c r="MRI1" s="176" t="s">
        <v>196</v>
      </c>
      <c r="MRJ1" s="176" t="s">
        <v>196</v>
      </c>
      <c r="MRK1" s="176" t="s">
        <v>196</v>
      </c>
      <c r="MRL1" s="176" t="s">
        <v>196</v>
      </c>
      <c r="MRM1" s="176" t="s">
        <v>196</v>
      </c>
      <c r="MRN1" s="176" t="s">
        <v>196</v>
      </c>
      <c r="MRO1" s="176" t="s">
        <v>196</v>
      </c>
      <c r="MRP1" s="176" t="s">
        <v>196</v>
      </c>
      <c r="MRQ1" s="176" t="s">
        <v>196</v>
      </c>
      <c r="MRR1" s="176" t="s">
        <v>196</v>
      </c>
      <c r="MRS1" s="176" t="s">
        <v>196</v>
      </c>
      <c r="MRT1" s="176" t="s">
        <v>196</v>
      </c>
      <c r="MRU1" s="176" t="s">
        <v>196</v>
      </c>
      <c r="MRV1" s="176" t="s">
        <v>196</v>
      </c>
      <c r="MRW1" s="176" t="s">
        <v>196</v>
      </c>
      <c r="MRX1" s="176" t="s">
        <v>196</v>
      </c>
      <c r="MRY1" s="176" t="s">
        <v>196</v>
      </c>
      <c r="MRZ1" s="176" t="s">
        <v>196</v>
      </c>
      <c r="MSA1" s="176" t="s">
        <v>196</v>
      </c>
      <c r="MSB1" s="176" t="s">
        <v>196</v>
      </c>
      <c r="MSC1" s="176" t="s">
        <v>196</v>
      </c>
      <c r="MSD1" s="176" t="s">
        <v>196</v>
      </c>
      <c r="MSE1" s="176" t="s">
        <v>196</v>
      </c>
      <c r="MSF1" s="176" t="s">
        <v>196</v>
      </c>
      <c r="MSG1" s="176" t="s">
        <v>196</v>
      </c>
      <c r="MSH1" s="176" t="s">
        <v>196</v>
      </c>
      <c r="MSI1" s="176" t="s">
        <v>196</v>
      </c>
      <c r="MSJ1" s="176" t="s">
        <v>196</v>
      </c>
      <c r="MSK1" s="176" t="s">
        <v>196</v>
      </c>
      <c r="MSL1" s="176" t="s">
        <v>196</v>
      </c>
      <c r="MSM1" s="176" t="s">
        <v>196</v>
      </c>
      <c r="MSN1" s="176" t="s">
        <v>196</v>
      </c>
      <c r="MSO1" s="176" t="s">
        <v>196</v>
      </c>
      <c r="MSP1" s="176" t="s">
        <v>196</v>
      </c>
      <c r="MSQ1" s="176" t="s">
        <v>196</v>
      </c>
      <c r="MSR1" s="176" t="s">
        <v>196</v>
      </c>
      <c r="MSS1" s="176" t="s">
        <v>196</v>
      </c>
      <c r="MST1" s="176" t="s">
        <v>196</v>
      </c>
      <c r="MSU1" s="176" t="s">
        <v>196</v>
      </c>
      <c r="MSV1" s="176" t="s">
        <v>196</v>
      </c>
      <c r="MSW1" s="176" t="s">
        <v>196</v>
      </c>
      <c r="MSX1" s="176" t="s">
        <v>196</v>
      </c>
      <c r="MSY1" s="176" t="s">
        <v>196</v>
      </c>
      <c r="MSZ1" s="176" t="s">
        <v>196</v>
      </c>
      <c r="MTA1" s="176" t="s">
        <v>196</v>
      </c>
      <c r="MTB1" s="176" t="s">
        <v>196</v>
      </c>
      <c r="MTC1" s="176" t="s">
        <v>196</v>
      </c>
      <c r="MTD1" s="176" t="s">
        <v>196</v>
      </c>
      <c r="MTE1" s="176" t="s">
        <v>196</v>
      </c>
      <c r="MTF1" s="176" t="s">
        <v>196</v>
      </c>
      <c r="MTG1" s="176" t="s">
        <v>196</v>
      </c>
      <c r="MTH1" s="176" t="s">
        <v>196</v>
      </c>
      <c r="MTI1" s="176" t="s">
        <v>196</v>
      </c>
      <c r="MTJ1" s="176" t="s">
        <v>196</v>
      </c>
      <c r="MTK1" s="176" t="s">
        <v>196</v>
      </c>
      <c r="MTL1" s="176" t="s">
        <v>196</v>
      </c>
      <c r="MTM1" s="176" t="s">
        <v>196</v>
      </c>
      <c r="MTN1" s="176" t="s">
        <v>196</v>
      </c>
      <c r="MTO1" s="176" t="s">
        <v>196</v>
      </c>
      <c r="MTP1" s="176" t="s">
        <v>196</v>
      </c>
      <c r="MTQ1" s="176" t="s">
        <v>196</v>
      </c>
      <c r="MTR1" s="176" t="s">
        <v>196</v>
      </c>
      <c r="MTS1" s="176" t="s">
        <v>196</v>
      </c>
      <c r="MTT1" s="176" t="s">
        <v>196</v>
      </c>
      <c r="MTU1" s="176" t="s">
        <v>196</v>
      </c>
      <c r="MTV1" s="176" t="s">
        <v>196</v>
      </c>
      <c r="MTW1" s="176" t="s">
        <v>196</v>
      </c>
      <c r="MTX1" s="176" t="s">
        <v>196</v>
      </c>
      <c r="MTY1" s="176" t="s">
        <v>196</v>
      </c>
      <c r="MTZ1" s="176" t="s">
        <v>196</v>
      </c>
      <c r="MUA1" s="176" t="s">
        <v>196</v>
      </c>
      <c r="MUB1" s="176" t="s">
        <v>196</v>
      </c>
      <c r="MUC1" s="176" t="s">
        <v>196</v>
      </c>
      <c r="MUD1" s="176" t="s">
        <v>196</v>
      </c>
      <c r="MUE1" s="176" t="s">
        <v>196</v>
      </c>
      <c r="MUF1" s="176" t="s">
        <v>196</v>
      </c>
      <c r="MUG1" s="176" t="s">
        <v>196</v>
      </c>
      <c r="MUH1" s="176" t="s">
        <v>196</v>
      </c>
      <c r="MUI1" s="176" t="s">
        <v>196</v>
      </c>
      <c r="MUJ1" s="176" t="s">
        <v>196</v>
      </c>
      <c r="MUK1" s="176" t="s">
        <v>196</v>
      </c>
      <c r="MUL1" s="176" t="s">
        <v>196</v>
      </c>
      <c r="MUM1" s="176" t="s">
        <v>196</v>
      </c>
      <c r="MUN1" s="176" t="s">
        <v>196</v>
      </c>
      <c r="MUO1" s="176" t="s">
        <v>196</v>
      </c>
      <c r="MUP1" s="176" t="s">
        <v>196</v>
      </c>
      <c r="MUQ1" s="176" t="s">
        <v>196</v>
      </c>
      <c r="MUR1" s="176" t="s">
        <v>196</v>
      </c>
      <c r="MUS1" s="176" t="s">
        <v>196</v>
      </c>
      <c r="MUT1" s="176" t="s">
        <v>196</v>
      </c>
      <c r="MUU1" s="176" t="s">
        <v>196</v>
      </c>
      <c r="MUV1" s="176" t="s">
        <v>196</v>
      </c>
      <c r="MUW1" s="176" t="s">
        <v>196</v>
      </c>
      <c r="MUX1" s="176" t="s">
        <v>196</v>
      </c>
      <c r="MUY1" s="176" t="s">
        <v>196</v>
      </c>
      <c r="MUZ1" s="176" t="s">
        <v>196</v>
      </c>
      <c r="MVA1" s="176" t="s">
        <v>196</v>
      </c>
      <c r="MVB1" s="176" t="s">
        <v>196</v>
      </c>
      <c r="MVC1" s="176" t="s">
        <v>196</v>
      </c>
      <c r="MVD1" s="176" t="s">
        <v>196</v>
      </c>
      <c r="MVE1" s="176" t="s">
        <v>196</v>
      </c>
      <c r="MVF1" s="176" t="s">
        <v>196</v>
      </c>
      <c r="MVG1" s="176" t="s">
        <v>196</v>
      </c>
      <c r="MVH1" s="176" t="s">
        <v>196</v>
      </c>
      <c r="MVI1" s="176" t="s">
        <v>196</v>
      </c>
      <c r="MVJ1" s="176" t="s">
        <v>196</v>
      </c>
      <c r="MVK1" s="176" t="s">
        <v>196</v>
      </c>
      <c r="MVL1" s="176" t="s">
        <v>196</v>
      </c>
      <c r="MVM1" s="176" t="s">
        <v>196</v>
      </c>
      <c r="MVN1" s="176" t="s">
        <v>196</v>
      </c>
      <c r="MVO1" s="176" t="s">
        <v>196</v>
      </c>
      <c r="MVP1" s="176" t="s">
        <v>196</v>
      </c>
      <c r="MVQ1" s="176" t="s">
        <v>196</v>
      </c>
      <c r="MVR1" s="176" t="s">
        <v>196</v>
      </c>
      <c r="MVS1" s="176" t="s">
        <v>196</v>
      </c>
      <c r="MVT1" s="176" t="s">
        <v>196</v>
      </c>
      <c r="MVU1" s="176" t="s">
        <v>196</v>
      </c>
      <c r="MVV1" s="176" t="s">
        <v>196</v>
      </c>
      <c r="MVW1" s="176" t="s">
        <v>196</v>
      </c>
      <c r="MVX1" s="176" t="s">
        <v>196</v>
      </c>
      <c r="MVY1" s="176" t="s">
        <v>196</v>
      </c>
      <c r="MVZ1" s="176" t="s">
        <v>196</v>
      </c>
      <c r="MWA1" s="176" t="s">
        <v>196</v>
      </c>
      <c r="MWB1" s="176" t="s">
        <v>196</v>
      </c>
      <c r="MWC1" s="176" t="s">
        <v>196</v>
      </c>
      <c r="MWD1" s="176" t="s">
        <v>196</v>
      </c>
      <c r="MWE1" s="176" t="s">
        <v>196</v>
      </c>
      <c r="MWF1" s="176" t="s">
        <v>196</v>
      </c>
      <c r="MWG1" s="176" t="s">
        <v>196</v>
      </c>
      <c r="MWH1" s="176" t="s">
        <v>196</v>
      </c>
      <c r="MWI1" s="176" t="s">
        <v>196</v>
      </c>
      <c r="MWJ1" s="176" t="s">
        <v>196</v>
      </c>
      <c r="MWK1" s="176" t="s">
        <v>196</v>
      </c>
      <c r="MWL1" s="176" t="s">
        <v>196</v>
      </c>
      <c r="MWM1" s="176" t="s">
        <v>196</v>
      </c>
      <c r="MWN1" s="176" t="s">
        <v>196</v>
      </c>
      <c r="MWO1" s="176" t="s">
        <v>196</v>
      </c>
      <c r="MWP1" s="176" t="s">
        <v>196</v>
      </c>
      <c r="MWQ1" s="176" t="s">
        <v>196</v>
      </c>
      <c r="MWR1" s="176" t="s">
        <v>196</v>
      </c>
      <c r="MWS1" s="176" t="s">
        <v>196</v>
      </c>
      <c r="MWT1" s="176" t="s">
        <v>196</v>
      </c>
      <c r="MWU1" s="176" t="s">
        <v>196</v>
      </c>
      <c r="MWV1" s="176" t="s">
        <v>196</v>
      </c>
      <c r="MWW1" s="176" t="s">
        <v>196</v>
      </c>
      <c r="MWX1" s="176" t="s">
        <v>196</v>
      </c>
      <c r="MWY1" s="176" t="s">
        <v>196</v>
      </c>
      <c r="MWZ1" s="176" t="s">
        <v>196</v>
      </c>
      <c r="MXA1" s="176" t="s">
        <v>196</v>
      </c>
      <c r="MXB1" s="176" t="s">
        <v>196</v>
      </c>
      <c r="MXC1" s="176" t="s">
        <v>196</v>
      </c>
      <c r="MXD1" s="176" t="s">
        <v>196</v>
      </c>
      <c r="MXE1" s="176" t="s">
        <v>196</v>
      </c>
      <c r="MXF1" s="176" t="s">
        <v>196</v>
      </c>
      <c r="MXG1" s="176" t="s">
        <v>196</v>
      </c>
      <c r="MXH1" s="176" t="s">
        <v>196</v>
      </c>
      <c r="MXI1" s="176" t="s">
        <v>196</v>
      </c>
      <c r="MXJ1" s="176" t="s">
        <v>196</v>
      </c>
      <c r="MXK1" s="176" t="s">
        <v>196</v>
      </c>
      <c r="MXL1" s="176" t="s">
        <v>196</v>
      </c>
      <c r="MXM1" s="176" t="s">
        <v>196</v>
      </c>
      <c r="MXN1" s="176" t="s">
        <v>196</v>
      </c>
      <c r="MXO1" s="176" t="s">
        <v>196</v>
      </c>
      <c r="MXP1" s="176" t="s">
        <v>196</v>
      </c>
      <c r="MXQ1" s="176" t="s">
        <v>196</v>
      </c>
      <c r="MXR1" s="176" t="s">
        <v>196</v>
      </c>
      <c r="MXS1" s="176" t="s">
        <v>196</v>
      </c>
      <c r="MXT1" s="176" t="s">
        <v>196</v>
      </c>
      <c r="MXU1" s="176" t="s">
        <v>196</v>
      </c>
      <c r="MXV1" s="176" t="s">
        <v>196</v>
      </c>
      <c r="MXW1" s="176" t="s">
        <v>196</v>
      </c>
      <c r="MXX1" s="176" t="s">
        <v>196</v>
      </c>
      <c r="MXY1" s="176" t="s">
        <v>196</v>
      </c>
      <c r="MXZ1" s="176" t="s">
        <v>196</v>
      </c>
      <c r="MYA1" s="176" t="s">
        <v>196</v>
      </c>
      <c r="MYB1" s="176" t="s">
        <v>196</v>
      </c>
      <c r="MYC1" s="176" t="s">
        <v>196</v>
      </c>
      <c r="MYD1" s="176" t="s">
        <v>196</v>
      </c>
      <c r="MYE1" s="176" t="s">
        <v>196</v>
      </c>
      <c r="MYF1" s="176" t="s">
        <v>196</v>
      </c>
      <c r="MYG1" s="176" t="s">
        <v>196</v>
      </c>
      <c r="MYH1" s="176" t="s">
        <v>196</v>
      </c>
      <c r="MYI1" s="176" t="s">
        <v>196</v>
      </c>
      <c r="MYJ1" s="176" t="s">
        <v>196</v>
      </c>
      <c r="MYK1" s="176" t="s">
        <v>196</v>
      </c>
      <c r="MYL1" s="176" t="s">
        <v>196</v>
      </c>
      <c r="MYM1" s="176" t="s">
        <v>196</v>
      </c>
      <c r="MYN1" s="176" t="s">
        <v>196</v>
      </c>
      <c r="MYO1" s="176" t="s">
        <v>196</v>
      </c>
      <c r="MYP1" s="176" t="s">
        <v>196</v>
      </c>
      <c r="MYQ1" s="176" t="s">
        <v>196</v>
      </c>
      <c r="MYR1" s="176" t="s">
        <v>196</v>
      </c>
      <c r="MYS1" s="176" t="s">
        <v>196</v>
      </c>
      <c r="MYT1" s="176" t="s">
        <v>196</v>
      </c>
      <c r="MYU1" s="176" t="s">
        <v>196</v>
      </c>
      <c r="MYV1" s="176" t="s">
        <v>196</v>
      </c>
      <c r="MYW1" s="176" t="s">
        <v>196</v>
      </c>
      <c r="MYX1" s="176" t="s">
        <v>196</v>
      </c>
      <c r="MYY1" s="176" t="s">
        <v>196</v>
      </c>
      <c r="MYZ1" s="176" t="s">
        <v>196</v>
      </c>
      <c r="MZA1" s="176" t="s">
        <v>196</v>
      </c>
      <c r="MZB1" s="176" t="s">
        <v>196</v>
      </c>
      <c r="MZC1" s="176" t="s">
        <v>196</v>
      </c>
      <c r="MZD1" s="176" t="s">
        <v>196</v>
      </c>
      <c r="MZE1" s="176" t="s">
        <v>196</v>
      </c>
      <c r="MZF1" s="176" t="s">
        <v>196</v>
      </c>
      <c r="MZG1" s="176" t="s">
        <v>196</v>
      </c>
      <c r="MZH1" s="176" t="s">
        <v>196</v>
      </c>
      <c r="MZI1" s="176" t="s">
        <v>196</v>
      </c>
      <c r="MZJ1" s="176" t="s">
        <v>196</v>
      </c>
      <c r="MZK1" s="176" t="s">
        <v>196</v>
      </c>
      <c r="MZL1" s="176" t="s">
        <v>196</v>
      </c>
      <c r="MZM1" s="176" t="s">
        <v>196</v>
      </c>
      <c r="MZN1" s="176" t="s">
        <v>196</v>
      </c>
      <c r="MZO1" s="176" t="s">
        <v>196</v>
      </c>
      <c r="MZP1" s="176" t="s">
        <v>196</v>
      </c>
      <c r="MZQ1" s="176" t="s">
        <v>196</v>
      </c>
      <c r="MZR1" s="176" t="s">
        <v>196</v>
      </c>
      <c r="MZS1" s="176" t="s">
        <v>196</v>
      </c>
      <c r="MZT1" s="176" t="s">
        <v>196</v>
      </c>
      <c r="MZU1" s="176" t="s">
        <v>196</v>
      </c>
      <c r="MZV1" s="176" t="s">
        <v>196</v>
      </c>
      <c r="MZW1" s="176" t="s">
        <v>196</v>
      </c>
      <c r="MZX1" s="176" t="s">
        <v>196</v>
      </c>
      <c r="MZY1" s="176" t="s">
        <v>196</v>
      </c>
      <c r="MZZ1" s="176" t="s">
        <v>196</v>
      </c>
      <c r="NAA1" s="176" t="s">
        <v>196</v>
      </c>
      <c r="NAB1" s="176" t="s">
        <v>196</v>
      </c>
      <c r="NAC1" s="176" t="s">
        <v>196</v>
      </c>
      <c r="NAD1" s="176" t="s">
        <v>196</v>
      </c>
      <c r="NAE1" s="176" t="s">
        <v>196</v>
      </c>
      <c r="NAF1" s="176" t="s">
        <v>196</v>
      </c>
      <c r="NAG1" s="176" t="s">
        <v>196</v>
      </c>
      <c r="NAH1" s="176" t="s">
        <v>196</v>
      </c>
      <c r="NAI1" s="176" t="s">
        <v>196</v>
      </c>
      <c r="NAJ1" s="176" t="s">
        <v>196</v>
      </c>
      <c r="NAK1" s="176" t="s">
        <v>196</v>
      </c>
      <c r="NAL1" s="176" t="s">
        <v>196</v>
      </c>
      <c r="NAM1" s="176" t="s">
        <v>196</v>
      </c>
      <c r="NAN1" s="176" t="s">
        <v>196</v>
      </c>
      <c r="NAO1" s="176" t="s">
        <v>196</v>
      </c>
      <c r="NAP1" s="176" t="s">
        <v>196</v>
      </c>
      <c r="NAQ1" s="176" t="s">
        <v>196</v>
      </c>
      <c r="NAR1" s="176" t="s">
        <v>196</v>
      </c>
      <c r="NAS1" s="176" t="s">
        <v>196</v>
      </c>
      <c r="NAT1" s="176" t="s">
        <v>196</v>
      </c>
      <c r="NAU1" s="176" t="s">
        <v>196</v>
      </c>
      <c r="NAV1" s="176" t="s">
        <v>196</v>
      </c>
      <c r="NAW1" s="176" t="s">
        <v>196</v>
      </c>
      <c r="NAX1" s="176" t="s">
        <v>196</v>
      </c>
      <c r="NAY1" s="176" t="s">
        <v>196</v>
      </c>
      <c r="NAZ1" s="176" t="s">
        <v>196</v>
      </c>
      <c r="NBA1" s="176" t="s">
        <v>196</v>
      </c>
      <c r="NBB1" s="176" t="s">
        <v>196</v>
      </c>
      <c r="NBC1" s="176" t="s">
        <v>196</v>
      </c>
      <c r="NBD1" s="176" t="s">
        <v>196</v>
      </c>
      <c r="NBE1" s="176" t="s">
        <v>196</v>
      </c>
      <c r="NBF1" s="176" t="s">
        <v>196</v>
      </c>
      <c r="NBG1" s="176" t="s">
        <v>196</v>
      </c>
      <c r="NBH1" s="176" t="s">
        <v>196</v>
      </c>
      <c r="NBI1" s="176" t="s">
        <v>196</v>
      </c>
      <c r="NBJ1" s="176" t="s">
        <v>196</v>
      </c>
      <c r="NBK1" s="176" t="s">
        <v>196</v>
      </c>
      <c r="NBL1" s="176" t="s">
        <v>196</v>
      </c>
      <c r="NBM1" s="176" t="s">
        <v>196</v>
      </c>
      <c r="NBN1" s="176" t="s">
        <v>196</v>
      </c>
      <c r="NBO1" s="176" t="s">
        <v>196</v>
      </c>
      <c r="NBP1" s="176" t="s">
        <v>196</v>
      </c>
      <c r="NBQ1" s="176" t="s">
        <v>196</v>
      </c>
      <c r="NBR1" s="176" t="s">
        <v>196</v>
      </c>
      <c r="NBS1" s="176" t="s">
        <v>196</v>
      </c>
      <c r="NBT1" s="176" t="s">
        <v>196</v>
      </c>
      <c r="NBU1" s="176" t="s">
        <v>196</v>
      </c>
      <c r="NBV1" s="176" t="s">
        <v>196</v>
      </c>
      <c r="NBW1" s="176" t="s">
        <v>196</v>
      </c>
      <c r="NBX1" s="176" t="s">
        <v>196</v>
      </c>
      <c r="NBY1" s="176" t="s">
        <v>196</v>
      </c>
      <c r="NBZ1" s="176" t="s">
        <v>196</v>
      </c>
      <c r="NCA1" s="176" t="s">
        <v>196</v>
      </c>
      <c r="NCB1" s="176" t="s">
        <v>196</v>
      </c>
      <c r="NCC1" s="176" t="s">
        <v>196</v>
      </c>
      <c r="NCD1" s="176" t="s">
        <v>196</v>
      </c>
      <c r="NCE1" s="176" t="s">
        <v>196</v>
      </c>
      <c r="NCF1" s="176" t="s">
        <v>196</v>
      </c>
      <c r="NCG1" s="176" t="s">
        <v>196</v>
      </c>
      <c r="NCH1" s="176" t="s">
        <v>196</v>
      </c>
      <c r="NCI1" s="176" t="s">
        <v>196</v>
      </c>
      <c r="NCJ1" s="176" t="s">
        <v>196</v>
      </c>
      <c r="NCK1" s="176" t="s">
        <v>196</v>
      </c>
      <c r="NCL1" s="176" t="s">
        <v>196</v>
      </c>
      <c r="NCM1" s="176" t="s">
        <v>196</v>
      </c>
      <c r="NCN1" s="176" t="s">
        <v>196</v>
      </c>
      <c r="NCO1" s="176" t="s">
        <v>196</v>
      </c>
      <c r="NCP1" s="176" t="s">
        <v>196</v>
      </c>
      <c r="NCQ1" s="176" t="s">
        <v>196</v>
      </c>
      <c r="NCR1" s="176" t="s">
        <v>196</v>
      </c>
      <c r="NCS1" s="176" t="s">
        <v>196</v>
      </c>
      <c r="NCT1" s="176" t="s">
        <v>196</v>
      </c>
      <c r="NCU1" s="176" t="s">
        <v>196</v>
      </c>
      <c r="NCV1" s="176" t="s">
        <v>196</v>
      </c>
      <c r="NCW1" s="176" t="s">
        <v>196</v>
      </c>
      <c r="NCX1" s="176" t="s">
        <v>196</v>
      </c>
      <c r="NCY1" s="176" t="s">
        <v>196</v>
      </c>
      <c r="NCZ1" s="176" t="s">
        <v>196</v>
      </c>
      <c r="NDA1" s="176" t="s">
        <v>196</v>
      </c>
      <c r="NDB1" s="176" t="s">
        <v>196</v>
      </c>
      <c r="NDC1" s="176" t="s">
        <v>196</v>
      </c>
      <c r="NDD1" s="176" t="s">
        <v>196</v>
      </c>
      <c r="NDE1" s="176" t="s">
        <v>196</v>
      </c>
      <c r="NDF1" s="176" t="s">
        <v>196</v>
      </c>
      <c r="NDG1" s="176" t="s">
        <v>196</v>
      </c>
      <c r="NDH1" s="176" t="s">
        <v>196</v>
      </c>
      <c r="NDI1" s="176" t="s">
        <v>196</v>
      </c>
      <c r="NDJ1" s="176" t="s">
        <v>196</v>
      </c>
      <c r="NDK1" s="176" t="s">
        <v>196</v>
      </c>
      <c r="NDL1" s="176" t="s">
        <v>196</v>
      </c>
      <c r="NDM1" s="176" t="s">
        <v>196</v>
      </c>
      <c r="NDN1" s="176" t="s">
        <v>196</v>
      </c>
      <c r="NDO1" s="176" t="s">
        <v>196</v>
      </c>
      <c r="NDP1" s="176" t="s">
        <v>196</v>
      </c>
      <c r="NDQ1" s="176" t="s">
        <v>196</v>
      </c>
      <c r="NDR1" s="176" t="s">
        <v>196</v>
      </c>
      <c r="NDS1" s="176" t="s">
        <v>196</v>
      </c>
      <c r="NDT1" s="176" t="s">
        <v>196</v>
      </c>
      <c r="NDU1" s="176" t="s">
        <v>196</v>
      </c>
      <c r="NDV1" s="176" t="s">
        <v>196</v>
      </c>
      <c r="NDW1" s="176" t="s">
        <v>196</v>
      </c>
      <c r="NDX1" s="176" t="s">
        <v>196</v>
      </c>
      <c r="NDY1" s="176" t="s">
        <v>196</v>
      </c>
      <c r="NDZ1" s="176" t="s">
        <v>196</v>
      </c>
      <c r="NEA1" s="176" t="s">
        <v>196</v>
      </c>
      <c r="NEB1" s="176" t="s">
        <v>196</v>
      </c>
      <c r="NEC1" s="176" t="s">
        <v>196</v>
      </c>
      <c r="NED1" s="176" t="s">
        <v>196</v>
      </c>
      <c r="NEE1" s="176" t="s">
        <v>196</v>
      </c>
      <c r="NEF1" s="176" t="s">
        <v>196</v>
      </c>
      <c r="NEG1" s="176" t="s">
        <v>196</v>
      </c>
      <c r="NEH1" s="176" t="s">
        <v>196</v>
      </c>
      <c r="NEI1" s="176" t="s">
        <v>196</v>
      </c>
      <c r="NEJ1" s="176" t="s">
        <v>196</v>
      </c>
      <c r="NEK1" s="176" t="s">
        <v>196</v>
      </c>
      <c r="NEL1" s="176" t="s">
        <v>196</v>
      </c>
      <c r="NEM1" s="176" t="s">
        <v>196</v>
      </c>
      <c r="NEN1" s="176" t="s">
        <v>196</v>
      </c>
      <c r="NEO1" s="176" t="s">
        <v>196</v>
      </c>
      <c r="NEP1" s="176" t="s">
        <v>196</v>
      </c>
      <c r="NEQ1" s="176" t="s">
        <v>196</v>
      </c>
      <c r="NER1" s="176" t="s">
        <v>196</v>
      </c>
      <c r="NES1" s="176" t="s">
        <v>196</v>
      </c>
      <c r="NET1" s="176" t="s">
        <v>196</v>
      </c>
      <c r="NEU1" s="176" t="s">
        <v>196</v>
      </c>
      <c r="NEV1" s="176" t="s">
        <v>196</v>
      </c>
      <c r="NEW1" s="176" t="s">
        <v>196</v>
      </c>
      <c r="NEX1" s="176" t="s">
        <v>196</v>
      </c>
      <c r="NEY1" s="176" t="s">
        <v>196</v>
      </c>
      <c r="NEZ1" s="176" t="s">
        <v>196</v>
      </c>
      <c r="NFA1" s="176" t="s">
        <v>196</v>
      </c>
      <c r="NFB1" s="176" t="s">
        <v>196</v>
      </c>
      <c r="NFC1" s="176" t="s">
        <v>196</v>
      </c>
      <c r="NFD1" s="176" t="s">
        <v>196</v>
      </c>
      <c r="NFE1" s="176" t="s">
        <v>196</v>
      </c>
      <c r="NFF1" s="176" t="s">
        <v>196</v>
      </c>
      <c r="NFG1" s="176" t="s">
        <v>196</v>
      </c>
      <c r="NFH1" s="176" t="s">
        <v>196</v>
      </c>
      <c r="NFI1" s="176" t="s">
        <v>196</v>
      </c>
      <c r="NFJ1" s="176" t="s">
        <v>196</v>
      </c>
      <c r="NFK1" s="176" t="s">
        <v>196</v>
      </c>
      <c r="NFL1" s="176" t="s">
        <v>196</v>
      </c>
      <c r="NFM1" s="176" t="s">
        <v>196</v>
      </c>
      <c r="NFN1" s="176" t="s">
        <v>196</v>
      </c>
      <c r="NFO1" s="176" t="s">
        <v>196</v>
      </c>
      <c r="NFP1" s="176" t="s">
        <v>196</v>
      </c>
      <c r="NFQ1" s="176" t="s">
        <v>196</v>
      </c>
      <c r="NFR1" s="176" t="s">
        <v>196</v>
      </c>
      <c r="NFS1" s="176" t="s">
        <v>196</v>
      </c>
      <c r="NFT1" s="176" t="s">
        <v>196</v>
      </c>
      <c r="NFU1" s="176" t="s">
        <v>196</v>
      </c>
      <c r="NFV1" s="176" t="s">
        <v>196</v>
      </c>
      <c r="NFW1" s="176" t="s">
        <v>196</v>
      </c>
      <c r="NFX1" s="176" t="s">
        <v>196</v>
      </c>
      <c r="NFY1" s="176" t="s">
        <v>196</v>
      </c>
      <c r="NFZ1" s="176" t="s">
        <v>196</v>
      </c>
      <c r="NGA1" s="176" t="s">
        <v>196</v>
      </c>
      <c r="NGB1" s="176" t="s">
        <v>196</v>
      </c>
      <c r="NGC1" s="176" t="s">
        <v>196</v>
      </c>
      <c r="NGD1" s="176" t="s">
        <v>196</v>
      </c>
      <c r="NGE1" s="176" t="s">
        <v>196</v>
      </c>
      <c r="NGF1" s="176" t="s">
        <v>196</v>
      </c>
      <c r="NGG1" s="176" t="s">
        <v>196</v>
      </c>
      <c r="NGH1" s="176" t="s">
        <v>196</v>
      </c>
      <c r="NGI1" s="176" t="s">
        <v>196</v>
      </c>
      <c r="NGJ1" s="176" t="s">
        <v>196</v>
      </c>
      <c r="NGK1" s="176" t="s">
        <v>196</v>
      </c>
      <c r="NGL1" s="176" t="s">
        <v>196</v>
      </c>
      <c r="NGM1" s="176" t="s">
        <v>196</v>
      </c>
      <c r="NGN1" s="176" t="s">
        <v>196</v>
      </c>
      <c r="NGO1" s="176" t="s">
        <v>196</v>
      </c>
      <c r="NGP1" s="176" t="s">
        <v>196</v>
      </c>
      <c r="NGQ1" s="176" t="s">
        <v>196</v>
      </c>
      <c r="NGR1" s="176" t="s">
        <v>196</v>
      </c>
      <c r="NGS1" s="176" t="s">
        <v>196</v>
      </c>
      <c r="NGT1" s="176" t="s">
        <v>196</v>
      </c>
      <c r="NGU1" s="176" t="s">
        <v>196</v>
      </c>
      <c r="NGV1" s="176" t="s">
        <v>196</v>
      </c>
      <c r="NGW1" s="176" t="s">
        <v>196</v>
      </c>
      <c r="NGX1" s="176" t="s">
        <v>196</v>
      </c>
      <c r="NGY1" s="176" t="s">
        <v>196</v>
      </c>
      <c r="NGZ1" s="176" t="s">
        <v>196</v>
      </c>
      <c r="NHA1" s="176" t="s">
        <v>196</v>
      </c>
      <c r="NHB1" s="176" t="s">
        <v>196</v>
      </c>
      <c r="NHC1" s="176" t="s">
        <v>196</v>
      </c>
      <c r="NHD1" s="176" t="s">
        <v>196</v>
      </c>
      <c r="NHE1" s="176" t="s">
        <v>196</v>
      </c>
      <c r="NHF1" s="176" t="s">
        <v>196</v>
      </c>
      <c r="NHG1" s="176" t="s">
        <v>196</v>
      </c>
      <c r="NHH1" s="176" t="s">
        <v>196</v>
      </c>
      <c r="NHI1" s="176" t="s">
        <v>196</v>
      </c>
      <c r="NHJ1" s="176" t="s">
        <v>196</v>
      </c>
      <c r="NHK1" s="176" t="s">
        <v>196</v>
      </c>
      <c r="NHL1" s="176" t="s">
        <v>196</v>
      </c>
      <c r="NHM1" s="176" t="s">
        <v>196</v>
      </c>
      <c r="NHN1" s="176" t="s">
        <v>196</v>
      </c>
      <c r="NHO1" s="176" t="s">
        <v>196</v>
      </c>
      <c r="NHP1" s="176" t="s">
        <v>196</v>
      </c>
      <c r="NHQ1" s="176" t="s">
        <v>196</v>
      </c>
      <c r="NHR1" s="176" t="s">
        <v>196</v>
      </c>
      <c r="NHS1" s="176" t="s">
        <v>196</v>
      </c>
      <c r="NHT1" s="176" t="s">
        <v>196</v>
      </c>
      <c r="NHU1" s="176" t="s">
        <v>196</v>
      </c>
      <c r="NHV1" s="176" t="s">
        <v>196</v>
      </c>
      <c r="NHW1" s="176" t="s">
        <v>196</v>
      </c>
      <c r="NHX1" s="176" t="s">
        <v>196</v>
      </c>
      <c r="NHY1" s="176" t="s">
        <v>196</v>
      </c>
      <c r="NHZ1" s="176" t="s">
        <v>196</v>
      </c>
      <c r="NIA1" s="176" t="s">
        <v>196</v>
      </c>
      <c r="NIB1" s="176" t="s">
        <v>196</v>
      </c>
      <c r="NIC1" s="176" t="s">
        <v>196</v>
      </c>
      <c r="NID1" s="176" t="s">
        <v>196</v>
      </c>
      <c r="NIE1" s="176" t="s">
        <v>196</v>
      </c>
      <c r="NIF1" s="176" t="s">
        <v>196</v>
      </c>
      <c r="NIG1" s="176" t="s">
        <v>196</v>
      </c>
      <c r="NIH1" s="176" t="s">
        <v>196</v>
      </c>
      <c r="NII1" s="176" t="s">
        <v>196</v>
      </c>
      <c r="NIJ1" s="176" t="s">
        <v>196</v>
      </c>
      <c r="NIK1" s="176" t="s">
        <v>196</v>
      </c>
      <c r="NIL1" s="176" t="s">
        <v>196</v>
      </c>
      <c r="NIM1" s="176" t="s">
        <v>196</v>
      </c>
      <c r="NIN1" s="176" t="s">
        <v>196</v>
      </c>
      <c r="NIO1" s="176" t="s">
        <v>196</v>
      </c>
      <c r="NIP1" s="176" t="s">
        <v>196</v>
      </c>
      <c r="NIQ1" s="176" t="s">
        <v>196</v>
      </c>
      <c r="NIR1" s="176" t="s">
        <v>196</v>
      </c>
      <c r="NIS1" s="176" t="s">
        <v>196</v>
      </c>
      <c r="NIT1" s="176" t="s">
        <v>196</v>
      </c>
      <c r="NIU1" s="176" t="s">
        <v>196</v>
      </c>
      <c r="NIV1" s="176" t="s">
        <v>196</v>
      </c>
      <c r="NIW1" s="176" t="s">
        <v>196</v>
      </c>
      <c r="NIX1" s="176" t="s">
        <v>196</v>
      </c>
      <c r="NIY1" s="176" t="s">
        <v>196</v>
      </c>
      <c r="NIZ1" s="176" t="s">
        <v>196</v>
      </c>
      <c r="NJA1" s="176" t="s">
        <v>196</v>
      </c>
      <c r="NJB1" s="176" t="s">
        <v>196</v>
      </c>
      <c r="NJC1" s="176" t="s">
        <v>196</v>
      </c>
      <c r="NJD1" s="176" t="s">
        <v>196</v>
      </c>
      <c r="NJE1" s="176" t="s">
        <v>196</v>
      </c>
      <c r="NJF1" s="176" t="s">
        <v>196</v>
      </c>
      <c r="NJG1" s="176" t="s">
        <v>196</v>
      </c>
      <c r="NJH1" s="176" t="s">
        <v>196</v>
      </c>
      <c r="NJI1" s="176" t="s">
        <v>196</v>
      </c>
      <c r="NJJ1" s="176" t="s">
        <v>196</v>
      </c>
      <c r="NJK1" s="176" t="s">
        <v>196</v>
      </c>
      <c r="NJL1" s="176" t="s">
        <v>196</v>
      </c>
      <c r="NJM1" s="176" t="s">
        <v>196</v>
      </c>
      <c r="NJN1" s="176" t="s">
        <v>196</v>
      </c>
      <c r="NJO1" s="176" t="s">
        <v>196</v>
      </c>
      <c r="NJP1" s="176" t="s">
        <v>196</v>
      </c>
      <c r="NJQ1" s="176" t="s">
        <v>196</v>
      </c>
      <c r="NJR1" s="176" t="s">
        <v>196</v>
      </c>
      <c r="NJS1" s="176" t="s">
        <v>196</v>
      </c>
      <c r="NJT1" s="176" t="s">
        <v>196</v>
      </c>
      <c r="NJU1" s="176" t="s">
        <v>196</v>
      </c>
      <c r="NJV1" s="176" t="s">
        <v>196</v>
      </c>
      <c r="NJW1" s="176" t="s">
        <v>196</v>
      </c>
      <c r="NJX1" s="176" t="s">
        <v>196</v>
      </c>
      <c r="NJY1" s="176" t="s">
        <v>196</v>
      </c>
      <c r="NJZ1" s="176" t="s">
        <v>196</v>
      </c>
      <c r="NKA1" s="176" t="s">
        <v>196</v>
      </c>
      <c r="NKB1" s="176" t="s">
        <v>196</v>
      </c>
      <c r="NKC1" s="176" t="s">
        <v>196</v>
      </c>
      <c r="NKD1" s="176" t="s">
        <v>196</v>
      </c>
      <c r="NKE1" s="176" t="s">
        <v>196</v>
      </c>
      <c r="NKF1" s="176" t="s">
        <v>196</v>
      </c>
      <c r="NKG1" s="176" t="s">
        <v>196</v>
      </c>
      <c r="NKH1" s="176" t="s">
        <v>196</v>
      </c>
      <c r="NKI1" s="176" t="s">
        <v>196</v>
      </c>
      <c r="NKJ1" s="176" t="s">
        <v>196</v>
      </c>
      <c r="NKK1" s="176" t="s">
        <v>196</v>
      </c>
      <c r="NKL1" s="176" t="s">
        <v>196</v>
      </c>
      <c r="NKM1" s="176" t="s">
        <v>196</v>
      </c>
      <c r="NKN1" s="176" t="s">
        <v>196</v>
      </c>
      <c r="NKO1" s="176" t="s">
        <v>196</v>
      </c>
      <c r="NKP1" s="176" t="s">
        <v>196</v>
      </c>
      <c r="NKQ1" s="176" t="s">
        <v>196</v>
      </c>
      <c r="NKR1" s="176" t="s">
        <v>196</v>
      </c>
      <c r="NKS1" s="176" t="s">
        <v>196</v>
      </c>
      <c r="NKT1" s="176" t="s">
        <v>196</v>
      </c>
      <c r="NKU1" s="176" t="s">
        <v>196</v>
      </c>
      <c r="NKV1" s="176" t="s">
        <v>196</v>
      </c>
      <c r="NKW1" s="176" t="s">
        <v>196</v>
      </c>
      <c r="NKX1" s="176" t="s">
        <v>196</v>
      </c>
      <c r="NKY1" s="176" t="s">
        <v>196</v>
      </c>
      <c r="NKZ1" s="176" t="s">
        <v>196</v>
      </c>
      <c r="NLA1" s="176" t="s">
        <v>196</v>
      </c>
      <c r="NLB1" s="176" t="s">
        <v>196</v>
      </c>
      <c r="NLC1" s="176" t="s">
        <v>196</v>
      </c>
      <c r="NLD1" s="176" t="s">
        <v>196</v>
      </c>
      <c r="NLE1" s="176" t="s">
        <v>196</v>
      </c>
      <c r="NLF1" s="176" t="s">
        <v>196</v>
      </c>
      <c r="NLG1" s="176" t="s">
        <v>196</v>
      </c>
      <c r="NLH1" s="176" t="s">
        <v>196</v>
      </c>
      <c r="NLI1" s="176" t="s">
        <v>196</v>
      </c>
      <c r="NLJ1" s="176" t="s">
        <v>196</v>
      </c>
      <c r="NLK1" s="176" t="s">
        <v>196</v>
      </c>
      <c r="NLL1" s="176" t="s">
        <v>196</v>
      </c>
      <c r="NLM1" s="176" t="s">
        <v>196</v>
      </c>
      <c r="NLN1" s="176" t="s">
        <v>196</v>
      </c>
      <c r="NLO1" s="176" t="s">
        <v>196</v>
      </c>
      <c r="NLP1" s="176" t="s">
        <v>196</v>
      </c>
      <c r="NLQ1" s="176" t="s">
        <v>196</v>
      </c>
      <c r="NLR1" s="176" t="s">
        <v>196</v>
      </c>
      <c r="NLS1" s="176" t="s">
        <v>196</v>
      </c>
      <c r="NLT1" s="176" t="s">
        <v>196</v>
      </c>
      <c r="NLU1" s="176" t="s">
        <v>196</v>
      </c>
      <c r="NLV1" s="176" t="s">
        <v>196</v>
      </c>
      <c r="NLW1" s="176" t="s">
        <v>196</v>
      </c>
      <c r="NLX1" s="176" t="s">
        <v>196</v>
      </c>
      <c r="NLY1" s="176" t="s">
        <v>196</v>
      </c>
      <c r="NLZ1" s="176" t="s">
        <v>196</v>
      </c>
      <c r="NMA1" s="176" t="s">
        <v>196</v>
      </c>
      <c r="NMB1" s="176" t="s">
        <v>196</v>
      </c>
      <c r="NMC1" s="176" t="s">
        <v>196</v>
      </c>
      <c r="NMD1" s="176" t="s">
        <v>196</v>
      </c>
      <c r="NME1" s="176" t="s">
        <v>196</v>
      </c>
      <c r="NMF1" s="176" t="s">
        <v>196</v>
      </c>
      <c r="NMG1" s="176" t="s">
        <v>196</v>
      </c>
      <c r="NMH1" s="176" t="s">
        <v>196</v>
      </c>
      <c r="NMI1" s="176" t="s">
        <v>196</v>
      </c>
      <c r="NMJ1" s="176" t="s">
        <v>196</v>
      </c>
      <c r="NMK1" s="176" t="s">
        <v>196</v>
      </c>
      <c r="NML1" s="176" t="s">
        <v>196</v>
      </c>
      <c r="NMM1" s="176" t="s">
        <v>196</v>
      </c>
      <c r="NMN1" s="176" t="s">
        <v>196</v>
      </c>
      <c r="NMO1" s="176" t="s">
        <v>196</v>
      </c>
      <c r="NMP1" s="176" t="s">
        <v>196</v>
      </c>
      <c r="NMQ1" s="176" t="s">
        <v>196</v>
      </c>
      <c r="NMR1" s="176" t="s">
        <v>196</v>
      </c>
      <c r="NMS1" s="176" t="s">
        <v>196</v>
      </c>
      <c r="NMT1" s="176" t="s">
        <v>196</v>
      </c>
      <c r="NMU1" s="176" t="s">
        <v>196</v>
      </c>
      <c r="NMV1" s="176" t="s">
        <v>196</v>
      </c>
      <c r="NMW1" s="176" t="s">
        <v>196</v>
      </c>
      <c r="NMX1" s="176" t="s">
        <v>196</v>
      </c>
      <c r="NMY1" s="176" t="s">
        <v>196</v>
      </c>
      <c r="NMZ1" s="176" t="s">
        <v>196</v>
      </c>
      <c r="NNA1" s="176" t="s">
        <v>196</v>
      </c>
      <c r="NNB1" s="176" t="s">
        <v>196</v>
      </c>
      <c r="NNC1" s="176" t="s">
        <v>196</v>
      </c>
      <c r="NND1" s="176" t="s">
        <v>196</v>
      </c>
      <c r="NNE1" s="176" t="s">
        <v>196</v>
      </c>
      <c r="NNF1" s="176" t="s">
        <v>196</v>
      </c>
      <c r="NNG1" s="176" t="s">
        <v>196</v>
      </c>
      <c r="NNH1" s="176" t="s">
        <v>196</v>
      </c>
      <c r="NNI1" s="176" t="s">
        <v>196</v>
      </c>
      <c r="NNJ1" s="176" t="s">
        <v>196</v>
      </c>
      <c r="NNK1" s="176" t="s">
        <v>196</v>
      </c>
      <c r="NNL1" s="176" t="s">
        <v>196</v>
      </c>
      <c r="NNM1" s="176" t="s">
        <v>196</v>
      </c>
      <c r="NNN1" s="176" t="s">
        <v>196</v>
      </c>
      <c r="NNO1" s="176" t="s">
        <v>196</v>
      </c>
      <c r="NNP1" s="176" t="s">
        <v>196</v>
      </c>
      <c r="NNQ1" s="176" t="s">
        <v>196</v>
      </c>
      <c r="NNR1" s="176" t="s">
        <v>196</v>
      </c>
      <c r="NNS1" s="176" t="s">
        <v>196</v>
      </c>
      <c r="NNT1" s="176" t="s">
        <v>196</v>
      </c>
      <c r="NNU1" s="176" t="s">
        <v>196</v>
      </c>
      <c r="NNV1" s="176" t="s">
        <v>196</v>
      </c>
      <c r="NNW1" s="176" t="s">
        <v>196</v>
      </c>
      <c r="NNX1" s="176" t="s">
        <v>196</v>
      </c>
      <c r="NNY1" s="176" t="s">
        <v>196</v>
      </c>
      <c r="NNZ1" s="176" t="s">
        <v>196</v>
      </c>
      <c r="NOA1" s="176" t="s">
        <v>196</v>
      </c>
      <c r="NOB1" s="176" t="s">
        <v>196</v>
      </c>
      <c r="NOC1" s="176" t="s">
        <v>196</v>
      </c>
      <c r="NOD1" s="176" t="s">
        <v>196</v>
      </c>
      <c r="NOE1" s="176" t="s">
        <v>196</v>
      </c>
      <c r="NOF1" s="176" t="s">
        <v>196</v>
      </c>
      <c r="NOG1" s="176" t="s">
        <v>196</v>
      </c>
      <c r="NOH1" s="176" t="s">
        <v>196</v>
      </c>
      <c r="NOI1" s="176" t="s">
        <v>196</v>
      </c>
      <c r="NOJ1" s="176" t="s">
        <v>196</v>
      </c>
      <c r="NOK1" s="176" t="s">
        <v>196</v>
      </c>
      <c r="NOL1" s="176" t="s">
        <v>196</v>
      </c>
      <c r="NOM1" s="176" t="s">
        <v>196</v>
      </c>
      <c r="NON1" s="176" t="s">
        <v>196</v>
      </c>
      <c r="NOO1" s="176" t="s">
        <v>196</v>
      </c>
      <c r="NOP1" s="176" t="s">
        <v>196</v>
      </c>
      <c r="NOQ1" s="176" t="s">
        <v>196</v>
      </c>
      <c r="NOR1" s="176" t="s">
        <v>196</v>
      </c>
      <c r="NOS1" s="176" t="s">
        <v>196</v>
      </c>
      <c r="NOT1" s="176" t="s">
        <v>196</v>
      </c>
      <c r="NOU1" s="176" t="s">
        <v>196</v>
      </c>
      <c r="NOV1" s="176" t="s">
        <v>196</v>
      </c>
      <c r="NOW1" s="176" t="s">
        <v>196</v>
      </c>
      <c r="NOX1" s="176" t="s">
        <v>196</v>
      </c>
      <c r="NOY1" s="176" t="s">
        <v>196</v>
      </c>
      <c r="NOZ1" s="176" t="s">
        <v>196</v>
      </c>
      <c r="NPA1" s="176" t="s">
        <v>196</v>
      </c>
      <c r="NPB1" s="176" t="s">
        <v>196</v>
      </c>
      <c r="NPC1" s="176" t="s">
        <v>196</v>
      </c>
      <c r="NPD1" s="176" t="s">
        <v>196</v>
      </c>
      <c r="NPE1" s="176" t="s">
        <v>196</v>
      </c>
      <c r="NPF1" s="176" t="s">
        <v>196</v>
      </c>
      <c r="NPG1" s="176" t="s">
        <v>196</v>
      </c>
      <c r="NPH1" s="176" t="s">
        <v>196</v>
      </c>
      <c r="NPI1" s="176" t="s">
        <v>196</v>
      </c>
      <c r="NPJ1" s="176" t="s">
        <v>196</v>
      </c>
      <c r="NPK1" s="176" t="s">
        <v>196</v>
      </c>
      <c r="NPL1" s="176" t="s">
        <v>196</v>
      </c>
      <c r="NPM1" s="176" t="s">
        <v>196</v>
      </c>
      <c r="NPN1" s="176" t="s">
        <v>196</v>
      </c>
      <c r="NPO1" s="176" t="s">
        <v>196</v>
      </c>
      <c r="NPP1" s="176" t="s">
        <v>196</v>
      </c>
      <c r="NPQ1" s="176" t="s">
        <v>196</v>
      </c>
      <c r="NPR1" s="176" t="s">
        <v>196</v>
      </c>
      <c r="NPS1" s="176" t="s">
        <v>196</v>
      </c>
      <c r="NPT1" s="176" t="s">
        <v>196</v>
      </c>
      <c r="NPU1" s="176" t="s">
        <v>196</v>
      </c>
      <c r="NPV1" s="176" t="s">
        <v>196</v>
      </c>
      <c r="NPW1" s="176" t="s">
        <v>196</v>
      </c>
      <c r="NPX1" s="176" t="s">
        <v>196</v>
      </c>
      <c r="NPY1" s="176" t="s">
        <v>196</v>
      </c>
      <c r="NPZ1" s="176" t="s">
        <v>196</v>
      </c>
      <c r="NQA1" s="176" t="s">
        <v>196</v>
      </c>
      <c r="NQB1" s="176" t="s">
        <v>196</v>
      </c>
      <c r="NQC1" s="176" t="s">
        <v>196</v>
      </c>
      <c r="NQD1" s="176" t="s">
        <v>196</v>
      </c>
      <c r="NQE1" s="176" t="s">
        <v>196</v>
      </c>
      <c r="NQF1" s="176" t="s">
        <v>196</v>
      </c>
      <c r="NQG1" s="176" t="s">
        <v>196</v>
      </c>
      <c r="NQH1" s="176" t="s">
        <v>196</v>
      </c>
      <c r="NQI1" s="176" t="s">
        <v>196</v>
      </c>
      <c r="NQJ1" s="176" t="s">
        <v>196</v>
      </c>
      <c r="NQK1" s="176" t="s">
        <v>196</v>
      </c>
      <c r="NQL1" s="176" t="s">
        <v>196</v>
      </c>
      <c r="NQM1" s="176" t="s">
        <v>196</v>
      </c>
      <c r="NQN1" s="176" t="s">
        <v>196</v>
      </c>
      <c r="NQO1" s="176" t="s">
        <v>196</v>
      </c>
      <c r="NQP1" s="176" t="s">
        <v>196</v>
      </c>
      <c r="NQQ1" s="176" t="s">
        <v>196</v>
      </c>
      <c r="NQR1" s="176" t="s">
        <v>196</v>
      </c>
      <c r="NQS1" s="176" t="s">
        <v>196</v>
      </c>
      <c r="NQT1" s="176" t="s">
        <v>196</v>
      </c>
      <c r="NQU1" s="176" t="s">
        <v>196</v>
      </c>
      <c r="NQV1" s="176" t="s">
        <v>196</v>
      </c>
      <c r="NQW1" s="176" t="s">
        <v>196</v>
      </c>
      <c r="NQX1" s="176" t="s">
        <v>196</v>
      </c>
      <c r="NQY1" s="176" t="s">
        <v>196</v>
      </c>
      <c r="NQZ1" s="176" t="s">
        <v>196</v>
      </c>
      <c r="NRA1" s="176" t="s">
        <v>196</v>
      </c>
      <c r="NRB1" s="176" t="s">
        <v>196</v>
      </c>
      <c r="NRC1" s="176" t="s">
        <v>196</v>
      </c>
      <c r="NRD1" s="176" t="s">
        <v>196</v>
      </c>
      <c r="NRE1" s="176" t="s">
        <v>196</v>
      </c>
      <c r="NRF1" s="176" t="s">
        <v>196</v>
      </c>
      <c r="NRG1" s="176" t="s">
        <v>196</v>
      </c>
      <c r="NRH1" s="176" t="s">
        <v>196</v>
      </c>
      <c r="NRI1" s="176" t="s">
        <v>196</v>
      </c>
      <c r="NRJ1" s="176" t="s">
        <v>196</v>
      </c>
      <c r="NRK1" s="176" t="s">
        <v>196</v>
      </c>
      <c r="NRL1" s="176" t="s">
        <v>196</v>
      </c>
      <c r="NRM1" s="176" t="s">
        <v>196</v>
      </c>
      <c r="NRN1" s="176" t="s">
        <v>196</v>
      </c>
      <c r="NRO1" s="176" t="s">
        <v>196</v>
      </c>
      <c r="NRP1" s="176" t="s">
        <v>196</v>
      </c>
      <c r="NRQ1" s="176" t="s">
        <v>196</v>
      </c>
      <c r="NRR1" s="176" t="s">
        <v>196</v>
      </c>
      <c r="NRS1" s="176" t="s">
        <v>196</v>
      </c>
      <c r="NRT1" s="176" t="s">
        <v>196</v>
      </c>
      <c r="NRU1" s="176" t="s">
        <v>196</v>
      </c>
      <c r="NRV1" s="176" t="s">
        <v>196</v>
      </c>
      <c r="NRW1" s="176" t="s">
        <v>196</v>
      </c>
      <c r="NRX1" s="176" t="s">
        <v>196</v>
      </c>
      <c r="NRY1" s="176" t="s">
        <v>196</v>
      </c>
      <c r="NRZ1" s="176" t="s">
        <v>196</v>
      </c>
      <c r="NSA1" s="176" t="s">
        <v>196</v>
      </c>
      <c r="NSB1" s="176" t="s">
        <v>196</v>
      </c>
      <c r="NSC1" s="176" t="s">
        <v>196</v>
      </c>
      <c r="NSD1" s="176" t="s">
        <v>196</v>
      </c>
      <c r="NSE1" s="176" t="s">
        <v>196</v>
      </c>
      <c r="NSF1" s="176" t="s">
        <v>196</v>
      </c>
      <c r="NSG1" s="176" t="s">
        <v>196</v>
      </c>
      <c r="NSH1" s="176" t="s">
        <v>196</v>
      </c>
      <c r="NSI1" s="176" t="s">
        <v>196</v>
      </c>
      <c r="NSJ1" s="176" t="s">
        <v>196</v>
      </c>
      <c r="NSK1" s="176" t="s">
        <v>196</v>
      </c>
      <c r="NSL1" s="176" t="s">
        <v>196</v>
      </c>
      <c r="NSM1" s="176" t="s">
        <v>196</v>
      </c>
      <c r="NSN1" s="176" t="s">
        <v>196</v>
      </c>
      <c r="NSO1" s="176" t="s">
        <v>196</v>
      </c>
      <c r="NSP1" s="176" t="s">
        <v>196</v>
      </c>
      <c r="NSQ1" s="176" t="s">
        <v>196</v>
      </c>
      <c r="NSR1" s="176" t="s">
        <v>196</v>
      </c>
      <c r="NSS1" s="176" t="s">
        <v>196</v>
      </c>
      <c r="NST1" s="176" t="s">
        <v>196</v>
      </c>
      <c r="NSU1" s="176" t="s">
        <v>196</v>
      </c>
      <c r="NSV1" s="176" t="s">
        <v>196</v>
      </c>
      <c r="NSW1" s="176" t="s">
        <v>196</v>
      </c>
      <c r="NSX1" s="176" t="s">
        <v>196</v>
      </c>
      <c r="NSY1" s="176" t="s">
        <v>196</v>
      </c>
      <c r="NSZ1" s="176" t="s">
        <v>196</v>
      </c>
      <c r="NTA1" s="176" t="s">
        <v>196</v>
      </c>
      <c r="NTB1" s="176" t="s">
        <v>196</v>
      </c>
      <c r="NTC1" s="176" t="s">
        <v>196</v>
      </c>
      <c r="NTD1" s="176" t="s">
        <v>196</v>
      </c>
      <c r="NTE1" s="176" t="s">
        <v>196</v>
      </c>
      <c r="NTF1" s="176" t="s">
        <v>196</v>
      </c>
      <c r="NTG1" s="176" t="s">
        <v>196</v>
      </c>
      <c r="NTH1" s="176" t="s">
        <v>196</v>
      </c>
      <c r="NTI1" s="176" t="s">
        <v>196</v>
      </c>
      <c r="NTJ1" s="176" t="s">
        <v>196</v>
      </c>
      <c r="NTK1" s="176" t="s">
        <v>196</v>
      </c>
      <c r="NTL1" s="176" t="s">
        <v>196</v>
      </c>
      <c r="NTM1" s="176" t="s">
        <v>196</v>
      </c>
      <c r="NTN1" s="176" t="s">
        <v>196</v>
      </c>
      <c r="NTO1" s="176" t="s">
        <v>196</v>
      </c>
      <c r="NTP1" s="176" t="s">
        <v>196</v>
      </c>
      <c r="NTQ1" s="176" t="s">
        <v>196</v>
      </c>
      <c r="NTR1" s="176" t="s">
        <v>196</v>
      </c>
      <c r="NTS1" s="176" t="s">
        <v>196</v>
      </c>
      <c r="NTT1" s="176" t="s">
        <v>196</v>
      </c>
      <c r="NTU1" s="176" t="s">
        <v>196</v>
      </c>
      <c r="NTV1" s="176" t="s">
        <v>196</v>
      </c>
      <c r="NTW1" s="176" t="s">
        <v>196</v>
      </c>
      <c r="NTX1" s="176" t="s">
        <v>196</v>
      </c>
      <c r="NTY1" s="176" t="s">
        <v>196</v>
      </c>
      <c r="NTZ1" s="176" t="s">
        <v>196</v>
      </c>
      <c r="NUA1" s="176" t="s">
        <v>196</v>
      </c>
      <c r="NUB1" s="176" t="s">
        <v>196</v>
      </c>
      <c r="NUC1" s="176" t="s">
        <v>196</v>
      </c>
      <c r="NUD1" s="176" t="s">
        <v>196</v>
      </c>
      <c r="NUE1" s="176" t="s">
        <v>196</v>
      </c>
      <c r="NUF1" s="176" t="s">
        <v>196</v>
      </c>
      <c r="NUG1" s="176" t="s">
        <v>196</v>
      </c>
      <c r="NUH1" s="176" t="s">
        <v>196</v>
      </c>
      <c r="NUI1" s="176" t="s">
        <v>196</v>
      </c>
      <c r="NUJ1" s="176" t="s">
        <v>196</v>
      </c>
      <c r="NUK1" s="176" t="s">
        <v>196</v>
      </c>
      <c r="NUL1" s="176" t="s">
        <v>196</v>
      </c>
      <c r="NUM1" s="176" t="s">
        <v>196</v>
      </c>
      <c r="NUN1" s="176" t="s">
        <v>196</v>
      </c>
      <c r="NUO1" s="176" t="s">
        <v>196</v>
      </c>
      <c r="NUP1" s="176" t="s">
        <v>196</v>
      </c>
      <c r="NUQ1" s="176" t="s">
        <v>196</v>
      </c>
      <c r="NUR1" s="176" t="s">
        <v>196</v>
      </c>
      <c r="NUS1" s="176" t="s">
        <v>196</v>
      </c>
      <c r="NUT1" s="176" t="s">
        <v>196</v>
      </c>
      <c r="NUU1" s="176" t="s">
        <v>196</v>
      </c>
      <c r="NUV1" s="176" t="s">
        <v>196</v>
      </c>
      <c r="NUW1" s="176" t="s">
        <v>196</v>
      </c>
      <c r="NUX1" s="176" t="s">
        <v>196</v>
      </c>
      <c r="NUY1" s="176" t="s">
        <v>196</v>
      </c>
      <c r="NUZ1" s="176" t="s">
        <v>196</v>
      </c>
      <c r="NVA1" s="176" t="s">
        <v>196</v>
      </c>
      <c r="NVB1" s="176" t="s">
        <v>196</v>
      </c>
      <c r="NVC1" s="176" t="s">
        <v>196</v>
      </c>
      <c r="NVD1" s="176" t="s">
        <v>196</v>
      </c>
      <c r="NVE1" s="176" t="s">
        <v>196</v>
      </c>
      <c r="NVF1" s="176" t="s">
        <v>196</v>
      </c>
      <c r="NVG1" s="176" t="s">
        <v>196</v>
      </c>
      <c r="NVH1" s="176" t="s">
        <v>196</v>
      </c>
      <c r="NVI1" s="176" t="s">
        <v>196</v>
      </c>
      <c r="NVJ1" s="176" t="s">
        <v>196</v>
      </c>
      <c r="NVK1" s="176" t="s">
        <v>196</v>
      </c>
      <c r="NVL1" s="176" t="s">
        <v>196</v>
      </c>
      <c r="NVM1" s="176" t="s">
        <v>196</v>
      </c>
      <c r="NVN1" s="176" t="s">
        <v>196</v>
      </c>
      <c r="NVO1" s="176" t="s">
        <v>196</v>
      </c>
      <c r="NVP1" s="176" t="s">
        <v>196</v>
      </c>
      <c r="NVQ1" s="176" t="s">
        <v>196</v>
      </c>
      <c r="NVR1" s="176" t="s">
        <v>196</v>
      </c>
      <c r="NVS1" s="176" t="s">
        <v>196</v>
      </c>
      <c r="NVT1" s="176" t="s">
        <v>196</v>
      </c>
      <c r="NVU1" s="176" t="s">
        <v>196</v>
      </c>
      <c r="NVV1" s="176" t="s">
        <v>196</v>
      </c>
      <c r="NVW1" s="176" t="s">
        <v>196</v>
      </c>
      <c r="NVX1" s="176" t="s">
        <v>196</v>
      </c>
      <c r="NVY1" s="176" t="s">
        <v>196</v>
      </c>
      <c r="NVZ1" s="176" t="s">
        <v>196</v>
      </c>
      <c r="NWA1" s="176" t="s">
        <v>196</v>
      </c>
      <c r="NWB1" s="176" t="s">
        <v>196</v>
      </c>
      <c r="NWC1" s="176" t="s">
        <v>196</v>
      </c>
      <c r="NWD1" s="176" t="s">
        <v>196</v>
      </c>
      <c r="NWE1" s="176" t="s">
        <v>196</v>
      </c>
      <c r="NWF1" s="176" t="s">
        <v>196</v>
      </c>
      <c r="NWG1" s="176" t="s">
        <v>196</v>
      </c>
      <c r="NWH1" s="176" t="s">
        <v>196</v>
      </c>
      <c r="NWI1" s="176" t="s">
        <v>196</v>
      </c>
      <c r="NWJ1" s="176" t="s">
        <v>196</v>
      </c>
      <c r="NWK1" s="176" t="s">
        <v>196</v>
      </c>
      <c r="NWL1" s="176" t="s">
        <v>196</v>
      </c>
      <c r="NWM1" s="176" t="s">
        <v>196</v>
      </c>
      <c r="NWN1" s="176" t="s">
        <v>196</v>
      </c>
      <c r="NWO1" s="176" t="s">
        <v>196</v>
      </c>
      <c r="NWP1" s="176" t="s">
        <v>196</v>
      </c>
      <c r="NWQ1" s="176" t="s">
        <v>196</v>
      </c>
      <c r="NWR1" s="176" t="s">
        <v>196</v>
      </c>
      <c r="NWS1" s="176" t="s">
        <v>196</v>
      </c>
      <c r="NWT1" s="176" t="s">
        <v>196</v>
      </c>
      <c r="NWU1" s="176" t="s">
        <v>196</v>
      </c>
      <c r="NWV1" s="176" t="s">
        <v>196</v>
      </c>
      <c r="NWW1" s="176" t="s">
        <v>196</v>
      </c>
      <c r="NWX1" s="176" t="s">
        <v>196</v>
      </c>
      <c r="NWY1" s="176" t="s">
        <v>196</v>
      </c>
      <c r="NWZ1" s="176" t="s">
        <v>196</v>
      </c>
      <c r="NXA1" s="176" t="s">
        <v>196</v>
      </c>
      <c r="NXB1" s="176" t="s">
        <v>196</v>
      </c>
      <c r="NXC1" s="176" t="s">
        <v>196</v>
      </c>
      <c r="NXD1" s="176" t="s">
        <v>196</v>
      </c>
      <c r="NXE1" s="176" t="s">
        <v>196</v>
      </c>
      <c r="NXF1" s="176" t="s">
        <v>196</v>
      </c>
      <c r="NXG1" s="176" t="s">
        <v>196</v>
      </c>
      <c r="NXH1" s="176" t="s">
        <v>196</v>
      </c>
      <c r="NXI1" s="176" t="s">
        <v>196</v>
      </c>
      <c r="NXJ1" s="176" t="s">
        <v>196</v>
      </c>
      <c r="NXK1" s="176" t="s">
        <v>196</v>
      </c>
      <c r="NXL1" s="176" t="s">
        <v>196</v>
      </c>
      <c r="NXM1" s="176" t="s">
        <v>196</v>
      </c>
      <c r="NXN1" s="176" t="s">
        <v>196</v>
      </c>
      <c r="NXO1" s="176" t="s">
        <v>196</v>
      </c>
      <c r="NXP1" s="176" t="s">
        <v>196</v>
      </c>
      <c r="NXQ1" s="176" t="s">
        <v>196</v>
      </c>
      <c r="NXR1" s="176" t="s">
        <v>196</v>
      </c>
      <c r="NXS1" s="176" t="s">
        <v>196</v>
      </c>
      <c r="NXT1" s="176" t="s">
        <v>196</v>
      </c>
      <c r="NXU1" s="176" t="s">
        <v>196</v>
      </c>
      <c r="NXV1" s="176" t="s">
        <v>196</v>
      </c>
      <c r="NXW1" s="176" t="s">
        <v>196</v>
      </c>
      <c r="NXX1" s="176" t="s">
        <v>196</v>
      </c>
      <c r="NXY1" s="176" t="s">
        <v>196</v>
      </c>
      <c r="NXZ1" s="176" t="s">
        <v>196</v>
      </c>
      <c r="NYA1" s="176" t="s">
        <v>196</v>
      </c>
      <c r="NYB1" s="176" t="s">
        <v>196</v>
      </c>
      <c r="NYC1" s="176" t="s">
        <v>196</v>
      </c>
      <c r="NYD1" s="176" t="s">
        <v>196</v>
      </c>
      <c r="NYE1" s="176" t="s">
        <v>196</v>
      </c>
      <c r="NYF1" s="176" t="s">
        <v>196</v>
      </c>
      <c r="NYG1" s="176" t="s">
        <v>196</v>
      </c>
      <c r="NYH1" s="176" t="s">
        <v>196</v>
      </c>
      <c r="NYI1" s="176" t="s">
        <v>196</v>
      </c>
      <c r="NYJ1" s="176" t="s">
        <v>196</v>
      </c>
      <c r="NYK1" s="176" t="s">
        <v>196</v>
      </c>
      <c r="NYL1" s="176" t="s">
        <v>196</v>
      </c>
      <c r="NYM1" s="176" t="s">
        <v>196</v>
      </c>
      <c r="NYN1" s="176" t="s">
        <v>196</v>
      </c>
      <c r="NYO1" s="176" t="s">
        <v>196</v>
      </c>
      <c r="NYP1" s="176" t="s">
        <v>196</v>
      </c>
      <c r="NYQ1" s="176" t="s">
        <v>196</v>
      </c>
      <c r="NYR1" s="176" t="s">
        <v>196</v>
      </c>
      <c r="NYS1" s="176" t="s">
        <v>196</v>
      </c>
      <c r="NYT1" s="176" t="s">
        <v>196</v>
      </c>
      <c r="NYU1" s="176" t="s">
        <v>196</v>
      </c>
      <c r="NYV1" s="176" t="s">
        <v>196</v>
      </c>
      <c r="NYW1" s="176" t="s">
        <v>196</v>
      </c>
      <c r="NYX1" s="176" t="s">
        <v>196</v>
      </c>
      <c r="NYY1" s="176" t="s">
        <v>196</v>
      </c>
      <c r="NYZ1" s="176" t="s">
        <v>196</v>
      </c>
      <c r="NZA1" s="176" t="s">
        <v>196</v>
      </c>
      <c r="NZB1" s="176" t="s">
        <v>196</v>
      </c>
      <c r="NZC1" s="176" t="s">
        <v>196</v>
      </c>
      <c r="NZD1" s="176" t="s">
        <v>196</v>
      </c>
      <c r="NZE1" s="176" t="s">
        <v>196</v>
      </c>
      <c r="NZF1" s="176" t="s">
        <v>196</v>
      </c>
      <c r="NZG1" s="176" t="s">
        <v>196</v>
      </c>
      <c r="NZH1" s="176" t="s">
        <v>196</v>
      </c>
      <c r="NZI1" s="176" t="s">
        <v>196</v>
      </c>
      <c r="NZJ1" s="176" t="s">
        <v>196</v>
      </c>
      <c r="NZK1" s="176" t="s">
        <v>196</v>
      </c>
      <c r="NZL1" s="176" t="s">
        <v>196</v>
      </c>
      <c r="NZM1" s="176" t="s">
        <v>196</v>
      </c>
      <c r="NZN1" s="176" t="s">
        <v>196</v>
      </c>
      <c r="NZO1" s="176" t="s">
        <v>196</v>
      </c>
      <c r="NZP1" s="176" t="s">
        <v>196</v>
      </c>
      <c r="NZQ1" s="176" t="s">
        <v>196</v>
      </c>
      <c r="NZR1" s="176" t="s">
        <v>196</v>
      </c>
      <c r="NZS1" s="176" t="s">
        <v>196</v>
      </c>
      <c r="NZT1" s="176" t="s">
        <v>196</v>
      </c>
      <c r="NZU1" s="176" t="s">
        <v>196</v>
      </c>
      <c r="NZV1" s="176" t="s">
        <v>196</v>
      </c>
      <c r="NZW1" s="176" t="s">
        <v>196</v>
      </c>
      <c r="NZX1" s="176" t="s">
        <v>196</v>
      </c>
      <c r="NZY1" s="176" t="s">
        <v>196</v>
      </c>
      <c r="NZZ1" s="176" t="s">
        <v>196</v>
      </c>
      <c r="OAA1" s="176" t="s">
        <v>196</v>
      </c>
      <c r="OAB1" s="176" t="s">
        <v>196</v>
      </c>
      <c r="OAC1" s="176" t="s">
        <v>196</v>
      </c>
      <c r="OAD1" s="176" t="s">
        <v>196</v>
      </c>
      <c r="OAE1" s="176" t="s">
        <v>196</v>
      </c>
      <c r="OAF1" s="176" t="s">
        <v>196</v>
      </c>
      <c r="OAG1" s="176" t="s">
        <v>196</v>
      </c>
      <c r="OAH1" s="176" t="s">
        <v>196</v>
      </c>
      <c r="OAI1" s="176" t="s">
        <v>196</v>
      </c>
      <c r="OAJ1" s="176" t="s">
        <v>196</v>
      </c>
      <c r="OAK1" s="176" t="s">
        <v>196</v>
      </c>
      <c r="OAL1" s="176" t="s">
        <v>196</v>
      </c>
      <c r="OAM1" s="176" t="s">
        <v>196</v>
      </c>
      <c r="OAN1" s="176" t="s">
        <v>196</v>
      </c>
      <c r="OAO1" s="176" t="s">
        <v>196</v>
      </c>
      <c r="OAP1" s="176" t="s">
        <v>196</v>
      </c>
      <c r="OAQ1" s="176" t="s">
        <v>196</v>
      </c>
      <c r="OAR1" s="176" t="s">
        <v>196</v>
      </c>
      <c r="OAS1" s="176" t="s">
        <v>196</v>
      </c>
      <c r="OAT1" s="176" t="s">
        <v>196</v>
      </c>
      <c r="OAU1" s="176" t="s">
        <v>196</v>
      </c>
      <c r="OAV1" s="176" t="s">
        <v>196</v>
      </c>
      <c r="OAW1" s="176" t="s">
        <v>196</v>
      </c>
      <c r="OAX1" s="176" t="s">
        <v>196</v>
      </c>
      <c r="OAY1" s="176" t="s">
        <v>196</v>
      </c>
      <c r="OAZ1" s="176" t="s">
        <v>196</v>
      </c>
      <c r="OBA1" s="176" t="s">
        <v>196</v>
      </c>
      <c r="OBB1" s="176" t="s">
        <v>196</v>
      </c>
      <c r="OBC1" s="176" t="s">
        <v>196</v>
      </c>
      <c r="OBD1" s="176" t="s">
        <v>196</v>
      </c>
      <c r="OBE1" s="176" t="s">
        <v>196</v>
      </c>
      <c r="OBF1" s="176" t="s">
        <v>196</v>
      </c>
      <c r="OBG1" s="176" t="s">
        <v>196</v>
      </c>
      <c r="OBH1" s="176" t="s">
        <v>196</v>
      </c>
      <c r="OBI1" s="176" t="s">
        <v>196</v>
      </c>
      <c r="OBJ1" s="176" t="s">
        <v>196</v>
      </c>
      <c r="OBK1" s="176" t="s">
        <v>196</v>
      </c>
      <c r="OBL1" s="176" t="s">
        <v>196</v>
      </c>
      <c r="OBM1" s="176" t="s">
        <v>196</v>
      </c>
      <c r="OBN1" s="176" t="s">
        <v>196</v>
      </c>
      <c r="OBO1" s="176" t="s">
        <v>196</v>
      </c>
      <c r="OBP1" s="176" t="s">
        <v>196</v>
      </c>
      <c r="OBQ1" s="176" t="s">
        <v>196</v>
      </c>
      <c r="OBR1" s="176" t="s">
        <v>196</v>
      </c>
      <c r="OBS1" s="176" t="s">
        <v>196</v>
      </c>
      <c r="OBT1" s="176" t="s">
        <v>196</v>
      </c>
      <c r="OBU1" s="176" t="s">
        <v>196</v>
      </c>
      <c r="OBV1" s="176" t="s">
        <v>196</v>
      </c>
      <c r="OBW1" s="176" t="s">
        <v>196</v>
      </c>
      <c r="OBX1" s="176" t="s">
        <v>196</v>
      </c>
      <c r="OBY1" s="176" t="s">
        <v>196</v>
      </c>
      <c r="OBZ1" s="176" t="s">
        <v>196</v>
      </c>
      <c r="OCA1" s="176" t="s">
        <v>196</v>
      </c>
      <c r="OCB1" s="176" t="s">
        <v>196</v>
      </c>
      <c r="OCC1" s="176" t="s">
        <v>196</v>
      </c>
      <c r="OCD1" s="176" t="s">
        <v>196</v>
      </c>
      <c r="OCE1" s="176" t="s">
        <v>196</v>
      </c>
      <c r="OCF1" s="176" t="s">
        <v>196</v>
      </c>
      <c r="OCG1" s="176" t="s">
        <v>196</v>
      </c>
      <c r="OCH1" s="176" t="s">
        <v>196</v>
      </c>
      <c r="OCI1" s="176" t="s">
        <v>196</v>
      </c>
      <c r="OCJ1" s="176" t="s">
        <v>196</v>
      </c>
      <c r="OCK1" s="176" t="s">
        <v>196</v>
      </c>
      <c r="OCL1" s="176" t="s">
        <v>196</v>
      </c>
      <c r="OCM1" s="176" t="s">
        <v>196</v>
      </c>
      <c r="OCN1" s="176" t="s">
        <v>196</v>
      </c>
      <c r="OCO1" s="176" t="s">
        <v>196</v>
      </c>
      <c r="OCP1" s="176" t="s">
        <v>196</v>
      </c>
      <c r="OCQ1" s="176" t="s">
        <v>196</v>
      </c>
      <c r="OCR1" s="176" t="s">
        <v>196</v>
      </c>
      <c r="OCS1" s="176" t="s">
        <v>196</v>
      </c>
      <c r="OCT1" s="176" t="s">
        <v>196</v>
      </c>
      <c r="OCU1" s="176" t="s">
        <v>196</v>
      </c>
      <c r="OCV1" s="176" t="s">
        <v>196</v>
      </c>
      <c r="OCW1" s="176" t="s">
        <v>196</v>
      </c>
      <c r="OCX1" s="176" t="s">
        <v>196</v>
      </c>
      <c r="OCY1" s="176" t="s">
        <v>196</v>
      </c>
      <c r="OCZ1" s="176" t="s">
        <v>196</v>
      </c>
      <c r="ODA1" s="176" t="s">
        <v>196</v>
      </c>
      <c r="ODB1" s="176" t="s">
        <v>196</v>
      </c>
      <c r="ODC1" s="176" t="s">
        <v>196</v>
      </c>
      <c r="ODD1" s="176" t="s">
        <v>196</v>
      </c>
      <c r="ODE1" s="176" t="s">
        <v>196</v>
      </c>
      <c r="ODF1" s="176" t="s">
        <v>196</v>
      </c>
      <c r="ODG1" s="176" t="s">
        <v>196</v>
      </c>
      <c r="ODH1" s="176" t="s">
        <v>196</v>
      </c>
      <c r="ODI1" s="176" t="s">
        <v>196</v>
      </c>
      <c r="ODJ1" s="176" t="s">
        <v>196</v>
      </c>
      <c r="ODK1" s="176" t="s">
        <v>196</v>
      </c>
      <c r="ODL1" s="176" t="s">
        <v>196</v>
      </c>
      <c r="ODM1" s="176" t="s">
        <v>196</v>
      </c>
      <c r="ODN1" s="176" t="s">
        <v>196</v>
      </c>
      <c r="ODO1" s="176" t="s">
        <v>196</v>
      </c>
      <c r="ODP1" s="176" t="s">
        <v>196</v>
      </c>
      <c r="ODQ1" s="176" t="s">
        <v>196</v>
      </c>
      <c r="ODR1" s="176" t="s">
        <v>196</v>
      </c>
      <c r="ODS1" s="176" t="s">
        <v>196</v>
      </c>
      <c r="ODT1" s="176" t="s">
        <v>196</v>
      </c>
      <c r="ODU1" s="176" t="s">
        <v>196</v>
      </c>
      <c r="ODV1" s="176" t="s">
        <v>196</v>
      </c>
      <c r="ODW1" s="176" t="s">
        <v>196</v>
      </c>
      <c r="ODX1" s="176" t="s">
        <v>196</v>
      </c>
      <c r="ODY1" s="176" t="s">
        <v>196</v>
      </c>
      <c r="ODZ1" s="176" t="s">
        <v>196</v>
      </c>
      <c r="OEA1" s="176" t="s">
        <v>196</v>
      </c>
      <c r="OEB1" s="176" t="s">
        <v>196</v>
      </c>
      <c r="OEC1" s="176" t="s">
        <v>196</v>
      </c>
      <c r="OED1" s="176" t="s">
        <v>196</v>
      </c>
      <c r="OEE1" s="176" t="s">
        <v>196</v>
      </c>
      <c r="OEF1" s="176" t="s">
        <v>196</v>
      </c>
      <c r="OEG1" s="176" t="s">
        <v>196</v>
      </c>
      <c r="OEH1" s="176" t="s">
        <v>196</v>
      </c>
      <c r="OEI1" s="176" t="s">
        <v>196</v>
      </c>
      <c r="OEJ1" s="176" t="s">
        <v>196</v>
      </c>
      <c r="OEK1" s="176" t="s">
        <v>196</v>
      </c>
      <c r="OEL1" s="176" t="s">
        <v>196</v>
      </c>
      <c r="OEM1" s="176" t="s">
        <v>196</v>
      </c>
      <c r="OEN1" s="176" t="s">
        <v>196</v>
      </c>
      <c r="OEO1" s="176" t="s">
        <v>196</v>
      </c>
      <c r="OEP1" s="176" t="s">
        <v>196</v>
      </c>
      <c r="OEQ1" s="176" t="s">
        <v>196</v>
      </c>
      <c r="OER1" s="176" t="s">
        <v>196</v>
      </c>
      <c r="OES1" s="176" t="s">
        <v>196</v>
      </c>
      <c r="OET1" s="176" t="s">
        <v>196</v>
      </c>
      <c r="OEU1" s="176" t="s">
        <v>196</v>
      </c>
      <c r="OEV1" s="176" t="s">
        <v>196</v>
      </c>
      <c r="OEW1" s="176" t="s">
        <v>196</v>
      </c>
      <c r="OEX1" s="176" t="s">
        <v>196</v>
      </c>
      <c r="OEY1" s="176" t="s">
        <v>196</v>
      </c>
      <c r="OEZ1" s="176" t="s">
        <v>196</v>
      </c>
      <c r="OFA1" s="176" t="s">
        <v>196</v>
      </c>
      <c r="OFB1" s="176" t="s">
        <v>196</v>
      </c>
      <c r="OFC1" s="176" t="s">
        <v>196</v>
      </c>
      <c r="OFD1" s="176" t="s">
        <v>196</v>
      </c>
      <c r="OFE1" s="176" t="s">
        <v>196</v>
      </c>
      <c r="OFF1" s="176" t="s">
        <v>196</v>
      </c>
      <c r="OFG1" s="176" t="s">
        <v>196</v>
      </c>
      <c r="OFH1" s="176" t="s">
        <v>196</v>
      </c>
      <c r="OFI1" s="176" t="s">
        <v>196</v>
      </c>
      <c r="OFJ1" s="176" t="s">
        <v>196</v>
      </c>
      <c r="OFK1" s="176" t="s">
        <v>196</v>
      </c>
      <c r="OFL1" s="176" t="s">
        <v>196</v>
      </c>
      <c r="OFM1" s="176" t="s">
        <v>196</v>
      </c>
      <c r="OFN1" s="176" t="s">
        <v>196</v>
      </c>
      <c r="OFO1" s="176" t="s">
        <v>196</v>
      </c>
      <c r="OFP1" s="176" t="s">
        <v>196</v>
      </c>
      <c r="OFQ1" s="176" t="s">
        <v>196</v>
      </c>
      <c r="OFR1" s="176" t="s">
        <v>196</v>
      </c>
      <c r="OFS1" s="176" t="s">
        <v>196</v>
      </c>
      <c r="OFT1" s="176" t="s">
        <v>196</v>
      </c>
      <c r="OFU1" s="176" t="s">
        <v>196</v>
      </c>
      <c r="OFV1" s="176" t="s">
        <v>196</v>
      </c>
      <c r="OFW1" s="176" t="s">
        <v>196</v>
      </c>
      <c r="OFX1" s="176" t="s">
        <v>196</v>
      </c>
      <c r="OFY1" s="176" t="s">
        <v>196</v>
      </c>
      <c r="OFZ1" s="176" t="s">
        <v>196</v>
      </c>
      <c r="OGA1" s="176" t="s">
        <v>196</v>
      </c>
      <c r="OGB1" s="176" t="s">
        <v>196</v>
      </c>
      <c r="OGC1" s="176" t="s">
        <v>196</v>
      </c>
      <c r="OGD1" s="176" t="s">
        <v>196</v>
      </c>
      <c r="OGE1" s="176" t="s">
        <v>196</v>
      </c>
      <c r="OGF1" s="176" t="s">
        <v>196</v>
      </c>
      <c r="OGG1" s="176" t="s">
        <v>196</v>
      </c>
      <c r="OGH1" s="176" t="s">
        <v>196</v>
      </c>
      <c r="OGI1" s="176" t="s">
        <v>196</v>
      </c>
      <c r="OGJ1" s="176" t="s">
        <v>196</v>
      </c>
      <c r="OGK1" s="176" t="s">
        <v>196</v>
      </c>
      <c r="OGL1" s="176" t="s">
        <v>196</v>
      </c>
      <c r="OGM1" s="176" t="s">
        <v>196</v>
      </c>
      <c r="OGN1" s="176" t="s">
        <v>196</v>
      </c>
      <c r="OGO1" s="176" t="s">
        <v>196</v>
      </c>
      <c r="OGP1" s="176" t="s">
        <v>196</v>
      </c>
      <c r="OGQ1" s="176" t="s">
        <v>196</v>
      </c>
      <c r="OGR1" s="176" t="s">
        <v>196</v>
      </c>
      <c r="OGS1" s="176" t="s">
        <v>196</v>
      </c>
      <c r="OGT1" s="176" t="s">
        <v>196</v>
      </c>
      <c r="OGU1" s="176" t="s">
        <v>196</v>
      </c>
      <c r="OGV1" s="176" t="s">
        <v>196</v>
      </c>
      <c r="OGW1" s="176" t="s">
        <v>196</v>
      </c>
      <c r="OGX1" s="176" t="s">
        <v>196</v>
      </c>
      <c r="OGY1" s="176" t="s">
        <v>196</v>
      </c>
      <c r="OGZ1" s="176" t="s">
        <v>196</v>
      </c>
      <c r="OHA1" s="176" t="s">
        <v>196</v>
      </c>
      <c r="OHB1" s="176" t="s">
        <v>196</v>
      </c>
      <c r="OHC1" s="176" t="s">
        <v>196</v>
      </c>
      <c r="OHD1" s="176" t="s">
        <v>196</v>
      </c>
      <c r="OHE1" s="176" t="s">
        <v>196</v>
      </c>
      <c r="OHF1" s="176" t="s">
        <v>196</v>
      </c>
      <c r="OHG1" s="176" t="s">
        <v>196</v>
      </c>
      <c r="OHH1" s="176" t="s">
        <v>196</v>
      </c>
      <c r="OHI1" s="176" t="s">
        <v>196</v>
      </c>
      <c r="OHJ1" s="176" t="s">
        <v>196</v>
      </c>
      <c r="OHK1" s="176" t="s">
        <v>196</v>
      </c>
      <c r="OHL1" s="176" t="s">
        <v>196</v>
      </c>
      <c r="OHM1" s="176" t="s">
        <v>196</v>
      </c>
      <c r="OHN1" s="176" t="s">
        <v>196</v>
      </c>
      <c r="OHO1" s="176" t="s">
        <v>196</v>
      </c>
      <c r="OHP1" s="176" t="s">
        <v>196</v>
      </c>
      <c r="OHQ1" s="176" t="s">
        <v>196</v>
      </c>
      <c r="OHR1" s="176" t="s">
        <v>196</v>
      </c>
      <c r="OHS1" s="176" t="s">
        <v>196</v>
      </c>
      <c r="OHT1" s="176" t="s">
        <v>196</v>
      </c>
      <c r="OHU1" s="176" t="s">
        <v>196</v>
      </c>
      <c r="OHV1" s="176" t="s">
        <v>196</v>
      </c>
      <c r="OHW1" s="176" t="s">
        <v>196</v>
      </c>
      <c r="OHX1" s="176" t="s">
        <v>196</v>
      </c>
      <c r="OHY1" s="176" t="s">
        <v>196</v>
      </c>
      <c r="OHZ1" s="176" t="s">
        <v>196</v>
      </c>
      <c r="OIA1" s="176" t="s">
        <v>196</v>
      </c>
      <c r="OIB1" s="176" t="s">
        <v>196</v>
      </c>
      <c r="OIC1" s="176" t="s">
        <v>196</v>
      </c>
      <c r="OID1" s="176" t="s">
        <v>196</v>
      </c>
      <c r="OIE1" s="176" t="s">
        <v>196</v>
      </c>
      <c r="OIF1" s="176" t="s">
        <v>196</v>
      </c>
      <c r="OIG1" s="176" t="s">
        <v>196</v>
      </c>
      <c r="OIH1" s="176" t="s">
        <v>196</v>
      </c>
      <c r="OII1" s="176" t="s">
        <v>196</v>
      </c>
      <c r="OIJ1" s="176" t="s">
        <v>196</v>
      </c>
      <c r="OIK1" s="176" t="s">
        <v>196</v>
      </c>
      <c r="OIL1" s="176" t="s">
        <v>196</v>
      </c>
      <c r="OIM1" s="176" t="s">
        <v>196</v>
      </c>
      <c r="OIN1" s="176" t="s">
        <v>196</v>
      </c>
      <c r="OIO1" s="176" t="s">
        <v>196</v>
      </c>
      <c r="OIP1" s="176" t="s">
        <v>196</v>
      </c>
      <c r="OIQ1" s="176" t="s">
        <v>196</v>
      </c>
      <c r="OIR1" s="176" t="s">
        <v>196</v>
      </c>
      <c r="OIS1" s="176" t="s">
        <v>196</v>
      </c>
      <c r="OIT1" s="176" t="s">
        <v>196</v>
      </c>
      <c r="OIU1" s="176" t="s">
        <v>196</v>
      </c>
      <c r="OIV1" s="176" t="s">
        <v>196</v>
      </c>
      <c r="OIW1" s="176" t="s">
        <v>196</v>
      </c>
      <c r="OIX1" s="176" t="s">
        <v>196</v>
      </c>
      <c r="OIY1" s="176" t="s">
        <v>196</v>
      </c>
      <c r="OIZ1" s="176" t="s">
        <v>196</v>
      </c>
      <c r="OJA1" s="176" t="s">
        <v>196</v>
      </c>
      <c r="OJB1" s="176" t="s">
        <v>196</v>
      </c>
      <c r="OJC1" s="176" t="s">
        <v>196</v>
      </c>
      <c r="OJD1" s="176" t="s">
        <v>196</v>
      </c>
      <c r="OJE1" s="176" t="s">
        <v>196</v>
      </c>
      <c r="OJF1" s="176" t="s">
        <v>196</v>
      </c>
      <c r="OJG1" s="176" t="s">
        <v>196</v>
      </c>
      <c r="OJH1" s="176" t="s">
        <v>196</v>
      </c>
      <c r="OJI1" s="176" t="s">
        <v>196</v>
      </c>
      <c r="OJJ1" s="176" t="s">
        <v>196</v>
      </c>
      <c r="OJK1" s="176" t="s">
        <v>196</v>
      </c>
      <c r="OJL1" s="176" t="s">
        <v>196</v>
      </c>
      <c r="OJM1" s="176" t="s">
        <v>196</v>
      </c>
      <c r="OJN1" s="176" t="s">
        <v>196</v>
      </c>
      <c r="OJO1" s="176" t="s">
        <v>196</v>
      </c>
      <c r="OJP1" s="176" t="s">
        <v>196</v>
      </c>
      <c r="OJQ1" s="176" t="s">
        <v>196</v>
      </c>
      <c r="OJR1" s="176" t="s">
        <v>196</v>
      </c>
      <c r="OJS1" s="176" t="s">
        <v>196</v>
      </c>
      <c r="OJT1" s="176" t="s">
        <v>196</v>
      </c>
      <c r="OJU1" s="176" t="s">
        <v>196</v>
      </c>
      <c r="OJV1" s="176" t="s">
        <v>196</v>
      </c>
      <c r="OJW1" s="176" t="s">
        <v>196</v>
      </c>
      <c r="OJX1" s="176" t="s">
        <v>196</v>
      </c>
      <c r="OJY1" s="176" t="s">
        <v>196</v>
      </c>
      <c r="OJZ1" s="176" t="s">
        <v>196</v>
      </c>
      <c r="OKA1" s="176" t="s">
        <v>196</v>
      </c>
      <c r="OKB1" s="176" t="s">
        <v>196</v>
      </c>
      <c r="OKC1" s="176" t="s">
        <v>196</v>
      </c>
      <c r="OKD1" s="176" t="s">
        <v>196</v>
      </c>
      <c r="OKE1" s="176" t="s">
        <v>196</v>
      </c>
      <c r="OKF1" s="176" t="s">
        <v>196</v>
      </c>
      <c r="OKG1" s="176" t="s">
        <v>196</v>
      </c>
      <c r="OKH1" s="176" t="s">
        <v>196</v>
      </c>
      <c r="OKI1" s="176" t="s">
        <v>196</v>
      </c>
      <c r="OKJ1" s="176" t="s">
        <v>196</v>
      </c>
      <c r="OKK1" s="176" t="s">
        <v>196</v>
      </c>
      <c r="OKL1" s="176" t="s">
        <v>196</v>
      </c>
      <c r="OKM1" s="176" t="s">
        <v>196</v>
      </c>
      <c r="OKN1" s="176" t="s">
        <v>196</v>
      </c>
      <c r="OKO1" s="176" t="s">
        <v>196</v>
      </c>
      <c r="OKP1" s="176" t="s">
        <v>196</v>
      </c>
      <c r="OKQ1" s="176" t="s">
        <v>196</v>
      </c>
      <c r="OKR1" s="176" t="s">
        <v>196</v>
      </c>
      <c r="OKS1" s="176" t="s">
        <v>196</v>
      </c>
      <c r="OKT1" s="176" t="s">
        <v>196</v>
      </c>
      <c r="OKU1" s="176" t="s">
        <v>196</v>
      </c>
      <c r="OKV1" s="176" t="s">
        <v>196</v>
      </c>
      <c r="OKW1" s="176" t="s">
        <v>196</v>
      </c>
      <c r="OKX1" s="176" t="s">
        <v>196</v>
      </c>
      <c r="OKY1" s="176" t="s">
        <v>196</v>
      </c>
      <c r="OKZ1" s="176" t="s">
        <v>196</v>
      </c>
      <c r="OLA1" s="176" t="s">
        <v>196</v>
      </c>
      <c r="OLB1" s="176" t="s">
        <v>196</v>
      </c>
      <c r="OLC1" s="176" t="s">
        <v>196</v>
      </c>
      <c r="OLD1" s="176" t="s">
        <v>196</v>
      </c>
      <c r="OLE1" s="176" t="s">
        <v>196</v>
      </c>
      <c r="OLF1" s="176" t="s">
        <v>196</v>
      </c>
      <c r="OLG1" s="176" t="s">
        <v>196</v>
      </c>
      <c r="OLH1" s="176" t="s">
        <v>196</v>
      </c>
      <c r="OLI1" s="176" t="s">
        <v>196</v>
      </c>
      <c r="OLJ1" s="176" t="s">
        <v>196</v>
      </c>
      <c r="OLK1" s="176" t="s">
        <v>196</v>
      </c>
      <c r="OLL1" s="176" t="s">
        <v>196</v>
      </c>
      <c r="OLM1" s="176" t="s">
        <v>196</v>
      </c>
      <c r="OLN1" s="176" t="s">
        <v>196</v>
      </c>
      <c r="OLO1" s="176" t="s">
        <v>196</v>
      </c>
      <c r="OLP1" s="176" t="s">
        <v>196</v>
      </c>
      <c r="OLQ1" s="176" t="s">
        <v>196</v>
      </c>
      <c r="OLR1" s="176" t="s">
        <v>196</v>
      </c>
      <c r="OLS1" s="176" t="s">
        <v>196</v>
      </c>
      <c r="OLT1" s="176" t="s">
        <v>196</v>
      </c>
      <c r="OLU1" s="176" t="s">
        <v>196</v>
      </c>
      <c r="OLV1" s="176" t="s">
        <v>196</v>
      </c>
      <c r="OLW1" s="176" t="s">
        <v>196</v>
      </c>
      <c r="OLX1" s="176" t="s">
        <v>196</v>
      </c>
      <c r="OLY1" s="176" t="s">
        <v>196</v>
      </c>
      <c r="OLZ1" s="176" t="s">
        <v>196</v>
      </c>
      <c r="OMA1" s="176" t="s">
        <v>196</v>
      </c>
      <c r="OMB1" s="176" t="s">
        <v>196</v>
      </c>
      <c r="OMC1" s="176" t="s">
        <v>196</v>
      </c>
      <c r="OMD1" s="176" t="s">
        <v>196</v>
      </c>
      <c r="OME1" s="176" t="s">
        <v>196</v>
      </c>
      <c r="OMF1" s="176" t="s">
        <v>196</v>
      </c>
      <c r="OMG1" s="176" t="s">
        <v>196</v>
      </c>
      <c r="OMH1" s="176" t="s">
        <v>196</v>
      </c>
      <c r="OMI1" s="176" t="s">
        <v>196</v>
      </c>
      <c r="OMJ1" s="176" t="s">
        <v>196</v>
      </c>
      <c r="OMK1" s="176" t="s">
        <v>196</v>
      </c>
      <c r="OML1" s="176" t="s">
        <v>196</v>
      </c>
      <c r="OMM1" s="176" t="s">
        <v>196</v>
      </c>
      <c r="OMN1" s="176" t="s">
        <v>196</v>
      </c>
      <c r="OMO1" s="176" t="s">
        <v>196</v>
      </c>
      <c r="OMP1" s="176" t="s">
        <v>196</v>
      </c>
      <c r="OMQ1" s="176" t="s">
        <v>196</v>
      </c>
      <c r="OMR1" s="176" t="s">
        <v>196</v>
      </c>
      <c r="OMS1" s="176" t="s">
        <v>196</v>
      </c>
      <c r="OMT1" s="176" t="s">
        <v>196</v>
      </c>
      <c r="OMU1" s="176" t="s">
        <v>196</v>
      </c>
      <c r="OMV1" s="176" t="s">
        <v>196</v>
      </c>
      <c r="OMW1" s="176" t="s">
        <v>196</v>
      </c>
      <c r="OMX1" s="176" t="s">
        <v>196</v>
      </c>
      <c r="OMY1" s="176" t="s">
        <v>196</v>
      </c>
      <c r="OMZ1" s="176" t="s">
        <v>196</v>
      </c>
      <c r="ONA1" s="176" t="s">
        <v>196</v>
      </c>
      <c r="ONB1" s="176" t="s">
        <v>196</v>
      </c>
      <c r="ONC1" s="176" t="s">
        <v>196</v>
      </c>
      <c r="OND1" s="176" t="s">
        <v>196</v>
      </c>
      <c r="ONE1" s="176" t="s">
        <v>196</v>
      </c>
      <c r="ONF1" s="176" t="s">
        <v>196</v>
      </c>
      <c r="ONG1" s="176" t="s">
        <v>196</v>
      </c>
      <c r="ONH1" s="176" t="s">
        <v>196</v>
      </c>
      <c r="ONI1" s="176" t="s">
        <v>196</v>
      </c>
      <c r="ONJ1" s="176" t="s">
        <v>196</v>
      </c>
      <c r="ONK1" s="176" t="s">
        <v>196</v>
      </c>
      <c r="ONL1" s="176" t="s">
        <v>196</v>
      </c>
      <c r="ONM1" s="176" t="s">
        <v>196</v>
      </c>
      <c r="ONN1" s="176" t="s">
        <v>196</v>
      </c>
      <c r="ONO1" s="176" t="s">
        <v>196</v>
      </c>
      <c r="ONP1" s="176" t="s">
        <v>196</v>
      </c>
      <c r="ONQ1" s="176" t="s">
        <v>196</v>
      </c>
      <c r="ONR1" s="176" t="s">
        <v>196</v>
      </c>
      <c r="ONS1" s="176" t="s">
        <v>196</v>
      </c>
      <c r="ONT1" s="176" t="s">
        <v>196</v>
      </c>
      <c r="ONU1" s="176" t="s">
        <v>196</v>
      </c>
      <c r="ONV1" s="176" t="s">
        <v>196</v>
      </c>
      <c r="ONW1" s="176" t="s">
        <v>196</v>
      </c>
      <c r="ONX1" s="176" t="s">
        <v>196</v>
      </c>
      <c r="ONY1" s="176" t="s">
        <v>196</v>
      </c>
      <c r="ONZ1" s="176" t="s">
        <v>196</v>
      </c>
      <c r="OOA1" s="176" t="s">
        <v>196</v>
      </c>
      <c r="OOB1" s="176" t="s">
        <v>196</v>
      </c>
      <c r="OOC1" s="176" t="s">
        <v>196</v>
      </c>
      <c r="OOD1" s="176" t="s">
        <v>196</v>
      </c>
      <c r="OOE1" s="176" t="s">
        <v>196</v>
      </c>
      <c r="OOF1" s="176" t="s">
        <v>196</v>
      </c>
      <c r="OOG1" s="176" t="s">
        <v>196</v>
      </c>
      <c r="OOH1" s="176" t="s">
        <v>196</v>
      </c>
      <c r="OOI1" s="176" t="s">
        <v>196</v>
      </c>
      <c r="OOJ1" s="176" t="s">
        <v>196</v>
      </c>
      <c r="OOK1" s="176" t="s">
        <v>196</v>
      </c>
      <c r="OOL1" s="176" t="s">
        <v>196</v>
      </c>
      <c r="OOM1" s="176" t="s">
        <v>196</v>
      </c>
      <c r="OON1" s="176" t="s">
        <v>196</v>
      </c>
      <c r="OOO1" s="176" t="s">
        <v>196</v>
      </c>
      <c r="OOP1" s="176" t="s">
        <v>196</v>
      </c>
      <c r="OOQ1" s="176" t="s">
        <v>196</v>
      </c>
      <c r="OOR1" s="176" t="s">
        <v>196</v>
      </c>
      <c r="OOS1" s="176" t="s">
        <v>196</v>
      </c>
      <c r="OOT1" s="176" t="s">
        <v>196</v>
      </c>
      <c r="OOU1" s="176" t="s">
        <v>196</v>
      </c>
      <c r="OOV1" s="176" t="s">
        <v>196</v>
      </c>
      <c r="OOW1" s="176" t="s">
        <v>196</v>
      </c>
      <c r="OOX1" s="176" t="s">
        <v>196</v>
      </c>
      <c r="OOY1" s="176" t="s">
        <v>196</v>
      </c>
      <c r="OOZ1" s="176" t="s">
        <v>196</v>
      </c>
      <c r="OPA1" s="176" t="s">
        <v>196</v>
      </c>
      <c r="OPB1" s="176" t="s">
        <v>196</v>
      </c>
      <c r="OPC1" s="176" t="s">
        <v>196</v>
      </c>
      <c r="OPD1" s="176" t="s">
        <v>196</v>
      </c>
      <c r="OPE1" s="176" t="s">
        <v>196</v>
      </c>
      <c r="OPF1" s="176" t="s">
        <v>196</v>
      </c>
      <c r="OPG1" s="176" t="s">
        <v>196</v>
      </c>
      <c r="OPH1" s="176" t="s">
        <v>196</v>
      </c>
      <c r="OPI1" s="176" t="s">
        <v>196</v>
      </c>
      <c r="OPJ1" s="176" t="s">
        <v>196</v>
      </c>
      <c r="OPK1" s="176" t="s">
        <v>196</v>
      </c>
      <c r="OPL1" s="176" t="s">
        <v>196</v>
      </c>
      <c r="OPM1" s="176" t="s">
        <v>196</v>
      </c>
      <c r="OPN1" s="176" t="s">
        <v>196</v>
      </c>
      <c r="OPO1" s="176" t="s">
        <v>196</v>
      </c>
      <c r="OPP1" s="176" t="s">
        <v>196</v>
      </c>
      <c r="OPQ1" s="176" t="s">
        <v>196</v>
      </c>
      <c r="OPR1" s="176" t="s">
        <v>196</v>
      </c>
      <c r="OPS1" s="176" t="s">
        <v>196</v>
      </c>
      <c r="OPT1" s="176" t="s">
        <v>196</v>
      </c>
      <c r="OPU1" s="176" t="s">
        <v>196</v>
      </c>
      <c r="OPV1" s="176" t="s">
        <v>196</v>
      </c>
      <c r="OPW1" s="176" t="s">
        <v>196</v>
      </c>
      <c r="OPX1" s="176" t="s">
        <v>196</v>
      </c>
      <c r="OPY1" s="176" t="s">
        <v>196</v>
      </c>
      <c r="OPZ1" s="176" t="s">
        <v>196</v>
      </c>
      <c r="OQA1" s="176" t="s">
        <v>196</v>
      </c>
      <c r="OQB1" s="176" t="s">
        <v>196</v>
      </c>
      <c r="OQC1" s="176" t="s">
        <v>196</v>
      </c>
      <c r="OQD1" s="176" t="s">
        <v>196</v>
      </c>
      <c r="OQE1" s="176" t="s">
        <v>196</v>
      </c>
      <c r="OQF1" s="176" t="s">
        <v>196</v>
      </c>
      <c r="OQG1" s="176" t="s">
        <v>196</v>
      </c>
      <c r="OQH1" s="176" t="s">
        <v>196</v>
      </c>
      <c r="OQI1" s="176" t="s">
        <v>196</v>
      </c>
      <c r="OQJ1" s="176" t="s">
        <v>196</v>
      </c>
      <c r="OQK1" s="176" t="s">
        <v>196</v>
      </c>
      <c r="OQL1" s="176" t="s">
        <v>196</v>
      </c>
      <c r="OQM1" s="176" t="s">
        <v>196</v>
      </c>
      <c r="OQN1" s="176" t="s">
        <v>196</v>
      </c>
      <c r="OQO1" s="176" t="s">
        <v>196</v>
      </c>
      <c r="OQP1" s="176" t="s">
        <v>196</v>
      </c>
      <c r="OQQ1" s="176" t="s">
        <v>196</v>
      </c>
      <c r="OQR1" s="176" t="s">
        <v>196</v>
      </c>
      <c r="OQS1" s="176" t="s">
        <v>196</v>
      </c>
      <c r="OQT1" s="176" t="s">
        <v>196</v>
      </c>
      <c r="OQU1" s="176" t="s">
        <v>196</v>
      </c>
      <c r="OQV1" s="176" t="s">
        <v>196</v>
      </c>
      <c r="OQW1" s="176" t="s">
        <v>196</v>
      </c>
      <c r="OQX1" s="176" t="s">
        <v>196</v>
      </c>
      <c r="OQY1" s="176" t="s">
        <v>196</v>
      </c>
      <c r="OQZ1" s="176" t="s">
        <v>196</v>
      </c>
      <c r="ORA1" s="176" t="s">
        <v>196</v>
      </c>
      <c r="ORB1" s="176" t="s">
        <v>196</v>
      </c>
      <c r="ORC1" s="176" t="s">
        <v>196</v>
      </c>
      <c r="ORD1" s="176" t="s">
        <v>196</v>
      </c>
      <c r="ORE1" s="176" t="s">
        <v>196</v>
      </c>
      <c r="ORF1" s="176" t="s">
        <v>196</v>
      </c>
      <c r="ORG1" s="176" t="s">
        <v>196</v>
      </c>
      <c r="ORH1" s="176" t="s">
        <v>196</v>
      </c>
      <c r="ORI1" s="176" t="s">
        <v>196</v>
      </c>
      <c r="ORJ1" s="176" t="s">
        <v>196</v>
      </c>
      <c r="ORK1" s="176" t="s">
        <v>196</v>
      </c>
      <c r="ORL1" s="176" t="s">
        <v>196</v>
      </c>
      <c r="ORM1" s="176" t="s">
        <v>196</v>
      </c>
      <c r="ORN1" s="176" t="s">
        <v>196</v>
      </c>
      <c r="ORO1" s="176" t="s">
        <v>196</v>
      </c>
      <c r="ORP1" s="176" t="s">
        <v>196</v>
      </c>
      <c r="ORQ1" s="176" t="s">
        <v>196</v>
      </c>
      <c r="ORR1" s="176" t="s">
        <v>196</v>
      </c>
      <c r="ORS1" s="176" t="s">
        <v>196</v>
      </c>
      <c r="ORT1" s="176" t="s">
        <v>196</v>
      </c>
      <c r="ORU1" s="176" t="s">
        <v>196</v>
      </c>
      <c r="ORV1" s="176" t="s">
        <v>196</v>
      </c>
      <c r="ORW1" s="176" t="s">
        <v>196</v>
      </c>
      <c r="ORX1" s="176" t="s">
        <v>196</v>
      </c>
      <c r="ORY1" s="176" t="s">
        <v>196</v>
      </c>
      <c r="ORZ1" s="176" t="s">
        <v>196</v>
      </c>
      <c r="OSA1" s="176" t="s">
        <v>196</v>
      </c>
      <c r="OSB1" s="176" t="s">
        <v>196</v>
      </c>
      <c r="OSC1" s="176" t="s">
        <v>196</v>
      </c>
      <c r="OSD1" s="176" t="s">
        <v>196</v>
      </c>
      <c r="OSE1" s="176" t="s">
        <v>196</v>
      </c>
      <c r="OSF1" s="176" t="s">
        <v>196</v>
      </c>
      <c r="OSG1" s="176" t="s">
        <v>196</v>
      </c>
      <c r="OSH1" s="176" t="s">
        <v>196</v>
      </c>
      <c r="OSI1" s="176" t="s">
        <v>196</v>
      </c>
      <c r="OSJ1" s="176" t="s">
        <v>196</v>
      </c>
      <c r="OSK1" s="176" t="s">
        <v>196</v>
      </c>
      <c r="OSL1" s="176" t="s">
        <v>196</v>
      </c>
      <c r="OSM1" s="176" t="s">
        <v>196</v>
      </c>
      <c r="OSN1" s="176" t="s">
        <v>196</v>
      </c>
      <c r="OSO1" s="176" t="s">
        <v>196</v>
      </c>
      <c r="OSP1" s="176" t="s">
        <v>196</v>
      </c>
      <c r="OSQ1" s="176" t="s">
        <v>196</v>
      </c>
      <c r="OSR1" s="176" t="s">
        <v>196</v>
      </c>
      <c r="OSS1" s="176" t="s">
        <v>196</v>
      </c>
      <c r="OST1" s="176" t="s">
        <v>196</v>
      </c>
      <c r="OSU1" s="176" t="s">
        <v>196</v>
      </c>
      <c r="OSV1" s="176" t="s">
        <v>196</v>
      </c>
      <c r="OSW1" s="176" t="s">
        <v>196</v>
      </c>
      <c r="OSX1" s="176" t="s">
        <v>196</v>
      </c>
      <c r="OSY1" s="176" t="s">
        <v>196</v>
      </c>
      <c r="OSZ1" s="176" t="s">
        <v>196</v>
      </c>
      <c r="OTA1" s="176" t="s">
        <v>196</v>
      </c>
      <c r="OTB1" s="176" t="s">
        <v>196</v>
      </c>
      <c r="OTC1" s="176" t="s">
        <v>196</v>
      </c>
      <c r="OTD1" s="176" t="s">
        <v>196</v>
      </c>
      <c r="OTE1" s="176" t="s">
        <v>196</v>
      </c>
      <c r="OTF1" s="176" t="s">
        <v>196</v>
      </c>
      <c r="OTG1" s="176" t="s">
        <v>196</v>
      </c>
      <c r="OTH1" s="176" t="s">
        <v>196</v>
      </c>
      <c r="OTI1" s="176" t="s">
        <v>196</v>
      </c>
      <c r="OTJ1" s="176" t="s">
        <v>196</v>
      </c>
      <c r="OTK1" s="176" t="s">
        <v>196</v>
      </c>
      <c r="OTL1" s="176" t="s">
        <v>196</v>
      </c>
      <c r="OTM1" s="176" t="s">
        <v>196</v>
      </c>
      <c r="OTN1" s="176" t="s">
        <v>196</v>
      </c>
      <c r="OTO1" s="176" t="s">
        <v>196</v>
      </c>
      <c r="OTP1" s="176" t="s">
        <v>196</v>
      </c>
      <c r="OTQ1" s="176" t="s">
        <v>196</v>
      </c>
      <c r="OTR1" s="176" t="s">
        <v>196</v>
      </c>
      <c r="OTS1" s="176" t="s">
        <v>196</v>
      </c>
      <c r="OTT1" s="176" t="s">
        <v>196</v>
      </c>
      <c r="OTU1" s="176" t="s">
        <v>196</v>
      </c>
      <c r="OTV1" s="176" t="s">
        <v>196</v>
      </c>
      <c r="OTW1" s="176" t="s">
        <v>196</v>
      </c>
      <c r="OTX1" s="176" t="s">
        <v>196</v>
      </c>
      <c r="OTY1" s="176" t="s">
        <v>196</v>
      </c>
      <c r="OTZ1" s="176" t="s">
        <v>196</v>
      </c>
      <c r="OUA1" s="176" t="s">
        <v>196</v>
      </c>
      <c r="OUB1" s="176" t="s">
        <v>196</v>
      </c>
      <c r="OUC1" s="176" t="s">
        <v>196</v>
      </c>
      <c r="OUD1" s="176" t="s">
        <v>196</v>
      </c>
      <c r="OUE1" s="176" t="s">
        <v>196</v>
      </c>
      <c r="OUF1" s="176" t="s">
        <v>196</v>
      </c>
      <c r="OUG1" s="176" t="s">
        <v>196</v>
      </c>
      <c r="OUH1" s="176" t="s">
        <v>196</v>
      </c>
      <c r="OUI1" s="176" t="s">
        <v>196</v>
      </c>
      <c r="OUJ1" s="176" t="s">
        <v>196</v>
      </c>
      <c r="OUK1" s="176" t="s">
        <v>196</v>
      </c>
      <c r="OUL1" s="176" t="s">
        <v>196</v>
      </c>
      <c r="OUM1" s="176" t="s">
        <v>196</v>
      </c>
      <c r="OUN1" s="176" t="s">
        <v>196</v>
      </c>
      <c r="OUO1" s="176" t="s">
        <v>196</v>
      </c>
      <c r="OUP1" s="176" t="s">
        <v>196</v>
      </c>
      <c r="OUQ1" s="176" t="s">
        <v>196</v>
      </c>
      <c r="OUR1" s="176" t="s">
        <v>196</v>
      </c>
      <c r="OUS1" s="176" t="s">
        <v>196</v>
      </c>
      <c r="OUT1" s="176" t="s">
        <v>196</v>
      </c>
      <c r="OUU1" s="176" t="s">
        <v>196</v>
      </c>
      <c r="OUV1" s="176" t="s">
        <v>196</v>
      </c>
      <c r="OUW1" s="176" t="s">
        <v>196</v>
      </c>
      <c r="OUX1" s="176" t="s">
        <v>196</v>
      </c>
      <c r="OUY1" s="176" t="s">
        <v>196</v>
      </c>
      <c r="OUZ1" s="176" t="s">
        <v>196</v>
      </c>
      <c r="OVA1" s="176" t="s">
        <v>196</v>
      </c>
      <c r="OVB1" s="176" t="s">
        <v>196</v>
      </c>
      <c r="OVC1" s="176" t="s">
        <v>196</v>
      </c>
      <c r="OVD1" s="176" t="s">
        <v>196</v>
      </c>
      <c r="OVE1" s="176" t="s">
        <v>196</v>
      </c>
      <c r="OVF1" s="176" t="s">
        <v>196</v>
      </c>
      <c r="OVG1" s="176" t="s">
        <v>196</v>
      </c>
      <c r="OVH1" s="176" t="s">
        <v>196</v>
      </c>
      <c r="OVI1" s="176" t="s">
        <v>196</v>
      </c>
      <c r="OVJ1" s="176" t="s">
        <v>196</v>
      </c>
      <c r="OVK1" s="176" t="s">
        <v>196</v>
      </c>
      <c r="OVL1" s="176" t="s">
        <v>196</v>
      </c>
      <c r="OVM1" s="176" t="s">
        <v>196</v>
      </c>
      <c r="OVN1" s="176" t="s">
        <v>196</v>
      </c>
      <c r="OVO1" s="176" t="s">
        <v>196</v>
      </c>
      <c r="OVP1" s="176" t="s">
        <v>196</v>
      </c>
      <c r="OVQ1" s="176" t="s">
        <v>196</v>
      </c>
      <c r="OVR1" s="176" t="s">
        <v>196</v>
      </c>
      <c r="OVS1" s="176" t="s">
        <v>196</v>
      </c>
      <c r="OVT1" s="176" t="s">
        <v>196</v>
      </c>
      <c r="OVU1" s="176" t="s">
        <v>196</v>
      </c>
      <c r="OVV1" s="176" t="s">
        <v>196</v>
      </c>
      <c r="OVW1" s="176" t="s">
        <v>196</v>
      </c>
      <c r="OVX1" s="176" t="s">
        <v>196</v>
      </c>
      <c r="OVY1" s="176" t="s">
        <v>196</v>
      </c>
      <c r="OVZ1" s="176" t="s">
        <v>196</v>
      </c>
      <c r="OWA1" s="176" t="s">
        <v>196</v>
      </c>
      <c r="OWB1" s="176" t="s">
        <v>196</v>
      </c>
      <c r="OWC1" s="176" t="s">
        <v>196</v>
      </c>
      <c r="OWD1" s="176" t="s">
        <v>196</v>
      </c>
      <c r="OWE1" s="176" t="s">
        <v>196</v>
      </c>
      <c r="OWF1" s="176" t="s">
        <v>196</v>
      </c>
      <c r="OWG1" s="176" t="s">
        <v>196</v>
      </c>
      <c r="OWH1" s="176" t="s">
        <v>196</v>
      </c>
      <c r="OWI1" s="176" t="s">
        <v>196</v>
      </c>
      <c r="OWJ1" s="176" t="s">
        <v>196</v>
      </c>
      <c r="OWK1" s="176" t="s">
        <v>196</v>
      </c>
      <c r="OWL1" s="176" t="s">
        <v>196</v>
      </c>
      <c r="OWM1" s="176" t="s">
        <v>196</v>
      </c>
      <c r="OWN1" s="176" t="s">
        <v>196</v>
      </c>
      <c r="OWO1" s="176" t="s">
        <v>196</v>
      </c>
      <c r="OWP1" s="176" t="s">
        <v>196</v>
      </c>
      <c r="OWQ1" s="176" t="s">
        <v>196</v>
      </c>
      <c r="OWR1" s="176" t="s">
        <v>196</v>
      </c>
      <c r="OWS1" s="176" t="s">
        <v>196</v>
      </c>
      <c r="OWT1" s="176" t="s">
        <v>196</v>
      </c>
      <c r="OWU1" s="176" t="s">
        <v>196</v>
      </c>
      <c r="OWV1" s="176" t="s">
        <v>196</v>
      </c>
      <c r="OWW1" s="176" t="s">
        <v>196</v>
      </c>
      <c r="OWX1" s="176" t="s">
        <v>196</v>
      </c>
      <c r="OWY1" s="176" t="s">
        <v>196</v>
      </c>
      <c r="OWZ1" s="176" t="s">
        <v>196</v>
      </c>
      <c r="OXA1" s="176" t="s">
        <v>196</v>
      </c>
      <c r="OXB1" s="176" t="s">
        <v>196</v>
      </c>
      <c r="OXC1" s="176" t="s">
        <v>196</v>
      </c>
      <c r="OXD1" s="176" t="s">
        <v>196</v>
      </c>
      <c r="OXE1" s="176" t="s">
        <v>196</v>
      </c>
      <c r="OXF1" s="176" t="s">
        <v>196</v>
      </c>
      <c r="OXG1" s="176" t="s">
        <v>196</v>
      </c>
      <c r="OXH1" s="176" t="s">
        <v>196</v>
      </c>
      <c r="OXI1" s="176" t="s">
        <v>196</v>
      </c>
      <c r="OXJ1" s="176" t="s">
        <v>196</v>
      </c>
      <c r="OXK1" s="176" t="s">
        <v>196</v>
      </c>
      <c r="OXL1" s="176" t="s">
        <v>196</v>
      </c>
      <c r="OXM1" s="176" t="s">
        <v>196</v>
      </c>
      <c r="OXN1" s="176" t="s">
        <v>196</v>
      </c>
      <c r="OXO1" s="176" t="s">
        <v>196</v>
      </c>
      <c r="OXP1" s="176" t="s">
        <v>196</v>
      </c>
      <c r="OXQ1" s="176" t="s">
        <v>196</v>
      </c>
      <c r="OXR1" s="176" t="s">
        <v>196</v>
      </c>
      <c r="OXS1" s="176" t="s">
        <v>196</v>
      </c>
      <c r="OXT1" s="176" t="s">
        <v>196</v>
      </c>
      <c r="OXU1" s="176" t="s">
        <v>196</v>
      </c>
      <c r="OXV1" s="176" t="s">
        <v>196</v>
      </c>
      <c r="OXW1" s="176" t="s">
        <v>196</v>
      </c>
      <c r="OXX1" s="176" t="s">
        <v>196</v>
      </c>
      <c r="OXY1" s="176" t="s">
        <v>196</v>
      </c>
      <c r="OXZ1" s="176" t="s">
        <v>196</v>
      </c>
      <c r="OYA1" s="176" t="s">
        <v>196</v>
      </c>
      <c r="OYB1" s="176" t="s">
        <v>196</v>
      </c>
      <c r="OYC1" s="176" t="s">
        <v>196</v>
      </c>
      <c r="OYD1" s="176" t="s">
        <v>196</v>
      </c>
      <c r="OYE1" s="176" t="s">
        <v>196</v>
      </c>
      <c r="OYF1" s="176" t="s">
        <v>196</v>
      </c>
      <c r="OYG1" s="176" t="s">
        <v>196</v>
      </c>
      <c r="OYH1" s="176" t="s">
        <v>196</v>
      </c>
      <c r="OYI1" s="176" t="s">
        <v>196</v>
      </c>
      <c r="OYJ1" s="176" t="s">
        <v>196</v>
      </c>
      <c r="OYK1" s="176" t="s">
        <v>196</v>
      </c>
      <c r="OYL1" s="176" t="s">
        <v>196</v>
      </c>
      <c r="OYM1" s="176" t="s">
        <v>196</v>
      </c>
      <c r="OYN1" s="176" t="s">
        <v>196</v>
      </c>
      <c r="OYO1" s="176" t="s">
        <v>196</v>
      </c>
      <c r="OYP1" s="176" t="s">
        <v>196</v>
      </c>
      <c r="OYQ1" s="176" t="s">
        <v>196</v>
      </c>
      <c r="OYR1" s="176" t="s">
        <v>196</v>
      </c>
      <c r="OYS1" s="176" t="s">
        <v>196</v>
      </c>
      <c r="OYT1" s="176" t="s">
        <v>196</v>
      </c>
      <c r="OYU1" s="176" t="s">
        <v>196</v>
      </c>
      <c r="OYV1" s="176" t="s">
        <v>196</v>
      </c>
      <c r="OYW1" s="176" t="s">
        <v>196</v>
      </c>
      <c r="OYX1" s="176" t="s">
        <v>196</v>
      </c>
      <c r="OYY1" s="176" t="s">
        <v>196</v>
      </c>
      <c r="OYZ1" s="176" t="s">
        <v>196</v>
      </c>
      <c r="OZA1" s="176" t="s">
        <v>196</v>
      </c>
      <c r="OZB1" s="176" t="s">
        <v>196</v>
      </c>
      <c r="OZC1" s="176" t="s">
        <v>196</v>
      </c>
      <c r="OZD1" s="176" t="s">
        <v>196</v>
      </c>
      <c r="OZE1" s="176" t="s">
        <v>196</v>
      </c>
      <c r="OZF1" s="176" t="s">
        <v>196</v>
      </c>
      <c r="OZG1" s="176" t="s">
        <v>196</v>
      </c>
      <c r="OZH1" s="176" t="s">
        <v>196</v>
      </c>
      <c r="OZI1" s="176" t="s">
        <v>196</v>
      </c>
      <c r="OZJ1" s="176" t="s">
        <v>196</v>
      </c>
      <c r="OZK1" s="176" t="s">
        <v>196</v>
      </c>
      <c r="OZL1" s="176" t="s">
        <v>196</v>
      </c>
      <c r="OZM1" s="176" t="s">
        <v>196</v>
      </c>
      <c r="OZN1" s="176" t="s">
        <v>196</v>
      </c>
      <c r="OZO1" s="176" t="s">
        <v>196</v>
      </c>
      <c r="OZP1" s="176" t="s">
        <v>196</v>
      </c>
      <c r="OZQ1" s="176" t="s">
        <v>196</v>
      </c>
      <c r="OZR1" s="176" t="s">
        <v>196</v>
      </c>
      <c r="OZS1" s="176" t="s">
        <v>196</v>
      </c>
      <c r="OZT1" s="176" t="s">
        <v>196</v>
      </c>
      <c r="OZU1" s="176" t="s">
        <v>196</v>
      </c>
      <c r="OZV1" s="176" t="s">
        <v>196</v>
      </c>
      <c r="OZW1" s="176" t="s">
        <v>196</v>
      </c>
      <c r="OZX1" s="176" t="s">
        <v>196</v>
      </c>
      <c r="OZY1" s="176" t="s">
        <v>196</v>
      </c>
      <c r="OZZ1" s="176" t="s">
        <v>196</v>
      </c>
      <c r="PAA1" s="176" t="s">
        <v>196</v>
      </c>
      <c r="PAB1" s="176" t="s">
        <v>196</v>
      </c>
      <c r="PAC1" s="176" t="s">
        <v>196</v>
      </c>
      <c r="PAD1" s="176" t="s">
        <v>196</v>
      </c>
      <c r="PAE1" s="176" t="s">
        <v>196</v>
      </c>
      <c r="PAF1" s="176" t="s">
        <v>196</v>
      </c>
      <c r="PAG1" s="176" t="s">
        <v>196</v>
      </c>
      <c r="PAH1" s="176" t="s">
        <v>196</v>
      </c>
      <c r="PAI1" s="176" t="s">
        <v>196</v>
      </c>
      <c r="PAJ1" s="176" t="s">
        <v>196</v>
      </c>
      <c r="PAK1" s="176" t="s">
        <v>196</v>
      </c>
      <c r="PAL1" s="176" t="s">
        <v>196</v>
      </c>
      <c r="PAM1" s="176" t="s">
        <v>196</v>
      </c>
      <c r="PAN1" s="176" t="s">
        <v>196</v>
      </c>
      <c r="PAO1" s="176" t="s">
        <v>196</v>
      </c>
      <c r="PAP1" s="176" t="s">
        <v>196</v>
      </c>
      <c r="PAQ1" s="176" t="s">
        <v>196</v>
      </c>
      <c r="PAR1" s="176" t="s">
        <v>196</v>
      </c>
      <c r="PAS1" s="176" t="s">
        <v>196</v>
      </c>
      <c r="PAT1" s="176" t="s">
        <v>196</v>
      </c>
      <c r="PAU1" s="176" t="s">
        <v>196</v>
      </c>
      <c r="PAV1" s="176" t="s">
        <v>196</v>
      </c>
      <c r="PAW1" s="176" t="s">
        <v>196</v>
      </c>
      <c r="PAX1" s="176" t="s">
        <v>196</v>
      </c>
      <c r="PAY1" s="176" t="s">
        <v>196</v>
      </c>
      <c r="PAZ1" s="176" t="s">
        <v>196</v>
      </c>
      <c r="PBA1" s="176" t="s">
        <v>196</v>
      </c>
      <c r="PBB1" s="176" t="s">
        <v>196</v>
      </c>
      <c r="PBC1" s="176" t="s">
        <v>196</v>
      </c>
      <c r="PBD1" s="176" t="s">
        <v>196</v>
      </c>
      <c r="PBE1" s="176" t="s">
        <v>196</v>
      </c>
      <c r="PBF1" s="176" t="s">
        <v>196</v>
      </c>
      <c r="PBG1" s="176" t="s">
        <v>196</v>
      </c>
      <c r="PBH1" s="176" t="s">
        <v>196</v>
      </c>
      <c r="PBI1" s="176" t="s">
        <v>196</v>
      </c>
      <c r="PBJ1" s="176" t="s">
        <v>196</v>
      </c>
      <c r="PBK1" s="176" t="s">
        <v>196</v>
      </c>
      <c r="PBL1" s="176" t="s">
        <v>196</v>
      </c>
      <c r="PBM1" s="176" t="s">
        <v>196</v>
      </c>
      <c r="PBN1" s="176" t="s">
        <v>196</v>
      </c>
      <c r="PBO1" s="176" t="s">
        <v>196</v>
      </c>
      <c r="PBP1" s="176" t="s">
        <v>196</v>
      </c>
      <c r="PBQ1" s="176" t="s">
        <v>196</v>
      </c>
      <c r="PBR1" s="176" t="s">
        <v>196</v>
      </c>
      <c r="PBS1" s="176" t="s">
        <v>196</v>
      </c>
      <c r="PBT1" s="176" t="s">
        <v>196</v>
      </c>
      <c r="PBU1" s="176" t="s">
        <v>196</v>
      </c>
      <c r="PBV1" s="176" t="s">
        <v>196</v>
      </c>
      <c r="PBW1" s="176" t="s">
        <v>196</v>
      </c>
      <c r="PBX1" s="176" t="s">
        <v>196</v>
      </c>
      <c r="PBY1" s="176" t="s">
        <v>196</v>
      </c>
      <c r="PBZ1" s="176" t="s">
        <v>196</v>
      </c>
      <c r="PCA1" s="176" t="s">
        <v>196</v>
      </c>
      <c r="PCB1" s="176" t="s">
        <v>196</v>
      </c>
      <c r="PCC1" s="176" t="s">
        <v>196</v>
      </c>
      <c r="PCD1" s="176" t="s">
        <v>196</v>
      </c>
      <c r="PCE1" s="176" t="s">
        <v>196</v>
      </c>
      <c r="PCF1" s="176" t="s">
        <v>196</v>
      </c>
      <c r="PCG1" s="176" t="s">
        <v>196</v>
      </c>
      <c r="PCH1" s="176" t="s">
        <v>196</v>
      </c>
      <c r="PCI1" s="176" t="s">
        <v>196</v>
      </c>
      <c r="PCJ1" s="176" t="s">
        <v>196</v>
      </c>
      <c r="PCK1" s="176" t="s">
        <v>196</v>
      </c>
      <c r="PCL1" s="176" t="s">
        <v>196</v>
      </c>
      <c r="PCM1" s="176" t="s">
        <v>196</v>
      </c>
      <c r="PCN1" s="176" t="s">
        <v>196</v>
      </c>
      <c r="PCO1" s="176" t="s">
        <v>196</v>
      </c>
      <c r="PCP1" s="176" t="s">
        <v>196</v>
      </c>
      <c r="PCQ1" s="176" t="s">
        <v>196</v>
      </c>
      <c r="PCR1" s="176" t="s">
        <v>196</v>
      </c>
      <c r="PCS1" s="176" t="s">
        <v>196</v>
      </c>
      <c r="PCT1" s="176" t="s">
        <v>196</v>
      </c>
      <c r="PCU1" s="176" t="s">
        <v>196</v>
      </c>
      <c r="PCV1" s="176" t="s">
        <v>196</v>
      </c>
      <c r="PCW1" s="176" t="s">
        <v>196</v>
      </c>
      <c r="PCX1" s="176" t="s">
        <v>196</v>
      </c>
      <c r="PCY1" s="176" t="s">
        <v>196</v>
      </c>
      <c r="PCZ1" s="176" t="s">
        <v>196</v>
      </c>
      <c r="PDA1" s="176" t="s">
        <v>196</v>
      </c>
      <c r="PDB1" s="176" t="s">
        <v>196</v>
      </c>
      <c r="PDC1" s="176" t="s">
        <v>196</v>
      </c>
      <c r="PDD1" s="176" t="s">
        <v>196</v>
      </c>
      <c r="PDE1" s="176" t="s">
        <v>196</v>
      </c>
      <c r="PDF1" s="176" t="s">
        <v>196</v>
      </c>
      <c r="PDG1" s="176" t="s">
        <v>196</v>
      </c>
      <c r="PDH1" s="176" t="s">
        <v>196</v>
      </c>
      <c r="PDI1" s="176" t="s">
        <v>196</v>
      </c>
      <c r="PDJ1" s="176" t="s">
        <v>196</v>
      </c>
      <c r="PDK1" s="176" t="s">
        <v>196</v>
      </c>
      <c r="PDL1" s="176" t="s">
        <v>196</v>
      </c>
      <c r="PDM1" s="176" t="s">
        <v>196</v>
      </c>
      <c r="PDN1" s="176" t="s">
        <v>196</v>
      </c>
      <c r="PDO1" s="176" t="s">
        <v>196</v>
      </c>
      <c r="PDP1" s="176" t="s">
        <v>196</v>
      </c>
      <c r="PDQ1" s="176" t="s">
        <v>196</v>
      </c>
      <c r="PDR1" s="176" t="s">
        <v>196</v>
      </c>
      <c r="PDS1" s="176" t="s">
        <v>196</v>
      </c>
      <c r="PDT1" s="176" t="s">
        <v>196</v>
      </c>
      <c r="PDU1" s="176" t="s">
        <v>196</v>
      </c>
      <c r="PDV1" s="176" t="s">
        <v>196</v>
      </c>
      <c r="PDW1" s="176" t="s">
        <v>196</v>
      </c>
      <c r="PDX1" s="176" t="s">
        <v>196</v>
      </c>
      <c r="PDY1" s="176" t="s">
        <v>196</v>
      </c>
      <c r="PDZ1" s="176" t="s">
        <v>196</v>
      </c>
      <c r="PEA1" s="176" t="s">
        <v>196</v>
      </c>
      <c r="PEB1" s="176" t="s">
        <v>196</v>
      </c>
      <c r="PEC1" s="176" t="s">
        <v>196</v>
      </c>
      <c r="PED1" s="176" t="s">
        <v>196</v>
      </c>
      <c r="PEE1" s="176" t="s">
        <v>196</v>
      </c>
      <c r="PEF1" s="176" t="s">
        <v>196</v>
      </c>
      <c r="PEG1" s="176" t="s">
        <v>196</v>
      </c>
      <c r="PEH1" s="176" t="s">
        <v>196</v>
      </c>
      <c r="PEI1" s="176" t="s">
        <v>196</v>
      </c>
      <c r="PEJ1" s="176" t="s">
        <v>196</v>
      </c>
      <c r="PEK1" s="176" t="s">
        <v>196</v>
      </c>
      <c r="PEL1" s="176" t="s">
        <v>196</v>
      </c>
      <c r="PEM1" s="176" t="s">
        <v>196</v>
      </c>
      <c r="PEN1" s="176" t="s">
        <v>196</v>
      </c>
      <c r="PEO1" s="176" t="s">
        <v>196</v>
      </c>
      <c r="PEP1" s="176" t="s">
        <v>196</v>
      </c>
      <c r="PEQ1" s="176" t="s">
        <v>196</v>
      </c>
      <c r="PER1" s="176" t="s">
        <v>196</v>
      </c>
      <c r="PES1" s="176" t="s">
        <v>196</v>
      </c>
      <c r="PET1" s="176" t="s">
        <v>196</v>
      </c>
      <c r="PEU1" s="176" t="s">
        <v>196</v>
      </c>
      <c r="PEV1" s="176" t="s">
        <v>196</v>
      </c>
      <c r="PEW1" s="176" t="s">
        <v>196</v>
      </c>
      <c r="PEX1" s="176" t="s">
        <v>196</v>
      </c>
      <c r="PEY1" s="176" t="s">
        <v>196</v>
      </c>
      <c r="PEZ1" s="176" t="s">
        <v>196</v>
      </c>
      <c r="PFA1" s="176" t="s">
        <v>196</v>
      </c>
      <c r="PFB1" s="176" t="s">
        <v>196</v>
      </c>
      <c r="PFC1" s="176" t="s">
        <v>196</v>
      </c>
      <c r="PFD1" s="176" t="s">
        <v>196</v>
      </c>
      <c r="PFE1" s="176" t="s">
        <v>196</v>
      </c>
      <c r="PFF1" s="176" t="s">
        <v>196</v>
      </c>
      <c r="PFG1" s="176" t="s">
        <v>196</v>
      </c>
      <c r="PFH1" s="176" t="s">
        <v>196</v>
      </c>
      <c r="PFI1" s="176" t="s">
        <v>196</v>
      </c>
      <c r="PFJ1" s="176" t="s">
        <v>196</v>
      </c>
      <c r="PFK1" s="176" t="s">
        <v>196</v>
      </c>
      <c r="PFL1" s="176" t="s">
        <v>196</v>
      </c>
      <c r="PFM1" s="176" t="s">
        <v>196</v>
      </c>
      <c r="PFN1" s="176" t="s">
        <v>196</v>
      </c>
      <c r="PFO1" s="176" t="s">
        <v>196</v>
      </c>
      <c r="PFP1" s="176" t="s">
        <v>196</v>
      </c>
      <c r="PFQ1" s="176" t="s">
        <v>196</v>
      </c>
      <c r="PFR1" s="176" t="s">
        <v>196</v>
      </c>
      <c r="PFS1" s="176" t="s">
        <v>196</v>
      </c>
      <c r="PFT1" s="176" t="s">
        <v>196</v>
      </c>
      <c r="PFU1" s="176" t="s">
        <v>196</v>
      </c>
      <c r="PFV1" s="176" t="s">
        <v>196</v>
      </c>
      <c r="PFW1" s="176" t="s">
        <v>196</v>
      </c>
      <c r="PFX1" s="176" t="s">
        <v>196</v>
      </c>
      <c r="PFY1" s="176" t="s">
        <v>196</v>
      </c>
      <c r="PFZ1" s="176" t="s">
        <v>196</v>
      </c>
      <c r="PGA1" s="176" t="s">
        <v>196</v>
      </c>
      <c r="PGB1" s="176" t="s">
        <v>196</v>
      </c>
      <c r="PGC1" s="176" t="s">
        <v>196</v>
      </c>
      <c r="PGD1" s="176" t="s">
        <v>196</v>
      </c>
      <c r="PGE1" s="176" t="s">
        <v>196</v>
      </c>
      <c r="PGF1" s="176" t="s">
        <v>196</v>
      </c>
      <c r="PGG1" s="176" t="s">
        <v>196</v>
      </c>
      <c r="PGH1" s="176" t="s">
        <v>196</v>
      </c>
      <c r="PGI1" s="176" t="s">
        <v>196</v>
      </c>
      <c r="PGJ1" s="176" t="s">
        <v>196</v>
      </c>
      <c r="PGK1" s="176" t="s">
        <v>196</v>
      </c>
      <c r="PGL1" s="176" t="s">
        <v>196</v>
      </c>
      <c r="PGM1" s="176" t="s">
        <v>196</v>
      </c>
      <c r="PGN1" s="176" t="s">
        <v>196</v>
      </c>
      <c r="PGO1" s="176" t="s">
        <v>196</v>
      </c>
      <c r="PGP1" s="176" t="s">
        <v>196</v>
      </c>
      <c r="PGQ1" s="176" t="s">
        <v>196</v>
      </c>
      <c r="PGR1" s="176" t="s">
        <v>196</v>
      </c>
      <c r="PGS1" s="176" t="s">
        <v>196</v>
      </c>
      <c r="PGT1" s="176" t="s">
        <v>196</v>
      </c>
      <c r="PGU1" s="176" t="s">
        <v>196</v>
      </c>
      <c r="PGV1" s="176" t="s">
        <v>196</v>
      </c>
      <c r="PGW1" s="176" t="s">
        <v>196</v>
      </c>
      <c r="PGX1" s="176" t="s">
        <v>196</v>
      </c>
      <c r="PGY1" s="176" t="s">
        <v>196</v>
      </c>
      <c r="PGZ1" s="176" t="s">
        <v>196</v>
      </c>
      <c r="PHA1" s="176" t="s">
        <v>196</v>
      </c>
      <c r="PHB1" s="176" t="s">
        <v>196</v>
      </c>
      <c r="PHC1" s="176" t="s">
        <v>196</v>
      </c>
      <c r="PHD1" s="176" t="s">
        <v>196</v>
      </c>
      <c r="PHE1" s="176" t="s">
        <v>196</v>
      </c>
      <c r="PHF1" s="176" t="s">
        <v>196</v>
      </c>
      <c r="PHG1" s="176" t="s">
        <v>196</v>
      </c>
      <c r="PHH1" s="176" t="s">
        <v>196</v>
      </c>
      <c r="PHI1" s="176" t="s">
        <v>196</v>
      </c>
      <c r="PHJ1" s="176" t="s">
        <v>196</v>
      </c>
      <c r="PHK1" s="176" t="s">
        <v>196</v>
      </c>
      <c r="PHL1" s="176" t="s">
        <v>196</v>
      </c>
      <c r="PHM1" s="176" t="s">
        <v>196</v>
      </c>
      <c r="PHN1" s="176" t="s">
        <v>196</v>
      </c>
      <c r="PHO1" s="176" t="s">
        <v>196</v>
      </c>
      <c r="PHP1" s="176" t="s">
        <v>196</v>
      </c>
      <c r="PHQ1" s="176" t="s">
        <v>196</v>
      </c>
      <c r="PHR1" s="176" t="s">
        <v>196</v>
      </c>
      <c r="PHS1" s="176" t="s">
        <v>196</v>
      </c>
      <c r="PHT1" s="176" t="s">
        <v>196</v>
      </c>
      <c r="PHU1" s="176" t="s">
        <v>196</v>
      </c>
      <c r="PHV1" s="176" t="s">
        <v>196</v>
      </c>
      <c r="PHW1" s="176" t="s">
        <v>196</v>
      </c>
      <c r="PHX1" s="176" t="s">
        <v>196</v>
      </c>
      <c r="PHY1" s="176" t="s">
        <v>196</v>
      </c>
      <c r="PHZ1" s="176" t="s">
        <v>196</v>
      </c>
      <c r="PIA1" s="176" t="s">
        <v>196</v>
      </c>
      <c r="PIB1" s="176" t="s">
        <v>196</v>
      </c>
      <c r="PIC1" s="176" t="s">
        <v>196</v>
      </c>
      <c r="PID1" s="176" t="s">
        <v>196</v>
      </c>
      <c r="PIE1" s="176" t="s">
        <v>196</v>
      </c>
      <c r="PIF1" s="176" t="s">
        <v>196</v>
      </c>
      <c r="PIG1" s="176" t="s">
        <v>196</v>
      </c>
      <c r="PIH1" s="176" t="s">
        <v>196</v>
      </c>
      <c r="PII1" s="176" t="s">
        <v>196</v>
      </c>
      <c r="PIJ1" s="176" t="s">
        <v>196</v>
      </c>
      <c r="PIK1" s="176" t="s">
        <v>196</v>
      </c>
      <c r="PIL1" s="176" t="s">
        <v>196</v>
      </c>
      <c r="PIM1" s="176" t="s">
        <v>196</v>
      </c>
      <c r="PIN1" s="176" t="s">
        <v>196</v>
      </c>
      <c r="PIO1" s="176" t="s">
        <v>196</v>
      </c>
      <c r="PIP1" s="176" t="s">
        <v>196</v>
      </c>
      <c r="PIQ1" s="176" t="s">
        <v>196</v>
      </c>
      <c r="PIR1" s="176" t="s">
        <v>196</v>
      </c>
      <c r="PIS1" s="176" t="s">
        <v>196</v>
      </c>
      <c r="PIT1" s="176" t="s">
        <v>196</v>
      </c>
      <c r="PIU1" s="176" t="s">
        <v>196</v>
      </c>
      <c r="PIV1" s="176" t="s">
        <v>196</v>
      </c>
      <c r="PIW1" s="176" t="s">
        <v>196</v>
      </c>
      <c r="PIX1" s="176" t="s">
        <v>196</v>
      </c>
      <c r="PIY1" s="176" t="s">
        <v>196</v>
      </c>
      <c r="PIZ1" s="176" t="s">
        <v>196</v>
      </c>
      <c r="PJA1" s="176" t="s">
        <v>196</v>
      </c>
      <c r="PJB1" s="176" t="s">
        <v>196</v>
      </c>
      <c r="PJC1" s="176" t="s">
        <v>196</v>
      </c>
      <c r="PJD1" s="176" t="s">
        <v>196</v>
      </c>
      <c r="PJE1" s="176" t="s">
        <v>196</v>
      </c>
      <c r="PJF1" s="176" t="s">
        <v>196</v>
      </c>
      <c r="PJG1" s="176" t="s">
        <v>196</v>
      </c>
      <c r="PJH1" s="176" t="s">
        <v>196</v>
      </c>
      <c r="PJI1" s="176" t="s">
        <v>196</v>
      </c>
      <c r="PJJ1" s="176" t="s">
        <v>196</v>
      </c>
      <c r="PJK1" s="176" t="s">
        <v>196</v>
      </c>
      <c r="PJL1" s="176" t="s">
        <v>196</v>
      </c>
      <c r="PJM1" s="176" t="s">
        <v>196</v>
      </c>
      <c r="PJN1" s="176" t="s">
        <v>196</v>
      </c>
      <c r="PJO1" s="176" t="s">
        <v>196</v>
      </c>
      <c r="PJP1" s="176" t="s">
        <v>196</v>
      </c>
      <c r="PJQ1" s="176" t="s">
        <v>196</v>
      </c>
      <c r="PJR1" s="176" t="s">
        <v>196</v>
      </c>
      <c r="PJS1" s="176" t="s">
        <v>196</v>
      </c>
      <c r="PJT1" s="176" t="s">
        <v>196</v>
      </c>
      <c r="PJU1" s="176" t="s">
        <v>196</v>
      </c>
      <c r="PJV1" s="176" t="s">
        <v>196</v>
      </c>
      <c r="PJW1" s="176" t="s">
        <v>196</v>
      </c>
      <c r="PJX1" s="176" t="s">
        <v>196</v>
      </c>
      <c r="PJY1" s="176" t="s">
        <v>196</v>
      </c>
      <c r="PJZ1" s="176" t="s">
        <v>196</v>
      </c>
      <c r="PKA1" s="176" t="s">
        <v>196</v>
      </c>
      <c r="PKB1" s="176" t="s">
        <v>196</v>
      </c>
      <c r="PKC1" s="176" t="s">
        <v>196</v>
      </c>
      <c r="PKD1" s="176" t="s">
        <v>196</v>
      </c>
      <c r="PKE1" s="176" t="s">
        <v>196</v>
      </c>
      <c r="PKF1" s="176" t="s">
        <v>196</v>
      </c>
      <c r="PKG1" s="176" t="s">
        <v>196</v>
      </c>
      <c r="PKH1" s="176" t="s">
        <v>196</v>
      </c>
      <c r="PKI1" s="176" t="s">
        <v>196</v>
      </c>
      <c r="PKJ1" s="176" t="s">
        <v>196</v>
      </c>
      <c r="PKK1" s="176" t="s">
        <v>196</v>
      </c>
      <c r="PKL1" s="176" t="s">
        <v>196</v>
      </c>
      <c r="PKM1" s="176" t="s">
        <v>196</v>
      </c>
      <c r="PKN1" s="176" t="s">
        <v>196</v>
      </c>
      <c r="PKO1" s="176" t="s">
        <v>196</v>
      </c>
      <c r="PKP1" s="176" t="s">
        <v>196</v>
      </c>
      <c r="PKQ1" s="176" t="s">
        <v>196</v>
      </c>
      <c r="PKR1" s="176" t="s">
        <v>196</v>
      </c>
      <c r="PKS1" s="176" t="s">
        <v>196</v>
      </c>
      <c r="PKT1" s="176" t="s">
        <v>196</v>
      </c>
      <c r="PKU1" s="176" t="s">
        <v>196</v>
      </c>
      <c r="PKV1" s="176" t="s">
        <v>196</v>
      </c>
      <c r="PKW1" s="176" t="s">
        <v>196</v>
      </c>
      <c r="PKX1" s="176" t="s">
        <v>196</v>
      </c>
      <c r="PKY1" s="176" t="s">
        <v>196</v>
      </c>
      <c r="PKZ1" s="176" t="s">
        <v>196</v>
      </c>
      <c r="PLA1" s="176" t="s">
        <v>196</v>
      </c>
      <c r="PLB1" s="176" t="s">
        <v>196</v>
      </c>
      <c r="PLC1" s="176" t="s">
        <v>196</v>
      </c>
      <c r="PLD1" s="176" t="s">
        <v>196</v>
      </c>
      <c r="PLE1" s="176" t="s">
        <v>196</v>
      </c>
      <c r="PLF1" s="176" t="s">
        <v>196</v>
      </c>
      <c r="PLG1" s="176" t="s">
        <v>196</v>
      </c>
      <c r="PLH1" s="176" t="s">
        <v>196</v>
      </c>
      <c r="PLI1" s="176" t="s">
        <v>196</v>
      </c>
      <c r="PLJ1" s="176" t="s">
        <v>196</v>
      </c>
      <c r="PLK1" s="176" t="s">
        <v>196</v>
      </c>
      <c r="PLL1" s="176" t="s">
        <v>196</v>
      </c>
      <c r="PLM1" s="176" t="s">
        <v>196</v>
      </c>
      <c r="PLN1" s="176" t="s">
        <v>196</v>
      </c>
      <c r="PLO1" s="176" t="s">
        <v>196</v>
      </c>
      <c r="PLP1" s="176" t="s">
        <v>196</v>
      </c>
      <c r="PLQ1" s="176" t="s">
        <v>196</v>
      </c>
      <c r="PLR1" s="176" t="s">
        <v>196</v>
      </c>
      <c r="PLS1" s="176" t="s">
        <v>196</v>
      </c>
      <c r="PLT1" s="176" t="s">
        <v>196</v>
      </c>
      <c r="PLU1" s="176" t="s">
        <v>196</v>
      </c>
      <c r="PLV1" s="176" t="s">
        <v>196</v>
      </c>
      <c r="PLW1" s="176" t="s">
        <v>196</v>
      </c>
      <c r="PLX1" s="176" t="s">
        <v>196</v>
      </c>
      <c r="PLY1" s="176" t="s">
        <v>196</v>
      </c>
      <c r="PLZ1" s="176" t="s">
        <v>196</v>
      </c>
      <c r="PMA1" s="176" t="s">
        <v>196</v>
      </c>
      <c r="PMB1" s="176" t="s">
        <v>196</v>
      </c>
      <c r="PMC1" s="176" t="s">
        <v>196</v>
      </c>
      <c r="PMD1" s="176" t="s">
        <v>196</v>
      </c>
      <c r="PME1" s="176" t="s">
        <v>196</v>
      </c>
      <c r="PMF1" s="176" t="s">
        <v>196</v>
      </c>
      <c r="PMG1" s="176" t="s">
        <v>196</v>
      </c>
      <c r="PMH1" s="176" t="s">
        <v>196</v>
      </c>
      <c r="PMI1" s="176" t="s">
        <v>196</v>
      </c>
      <c r="PMJ1" s="176" t="s">
        <v>196</v>
      </c>
      <c r="PMK1" s="176" t="s">
        <v>196</v>
      </c>
      <c r="PML1" s="176" t="s">
        <v>196</v>
      </c>
      <c r="PMM1" s="176" t="s">
        <v>196</v>
      </c>
      <c r="PMN1" s="176" t="s">
        <v>196</v>
      </c>
      <c r="PMO1" s="176" t="s">
        <v>196</v>
      </c>
      <c r="PMP1" s="176" t="s">
        <v>196</v>
      </c>
      <c r="PMQ1" s="176" t="s">
        <v>196</v>
      </c>
      <c r="PMR1" s="176" t="s">
        <v>196</v>
      </c>
      <c r="PMS1" s="176" t="s">
        <v>196</v>
      </c>
      <c r="PMT1" s="176" t="s">
        <v>196</v>
      </c>
      <c r="PMU1" s="176" t="s">
        <v>196</v>
      </c>
      <c r="PMV1" s="176" t="s">
        <v>196</v>
      </c>
      <c r="PMW1" s="176" t="s">
        <v>196</v>
      </c>
      <c r="PMX1" s="176" t="s">
        <v>196</v>
      </c>
      <c r="PMY1" s="176" t="s">
        <v>196</v>
      </c>
      <c r="PMZ1" s="176" t="s">
        <v>196</v>
      </c>
      <c r="PNA1" s="176" t="s">
        <v>196</v>
      </c>
      <c r="PNB1" s="176" t="s">
        <v>196</v>
      </c>
      <c r="PNC1" s="176" t="s">
        <v>196</v>
      </c>
      <c r="PND1" s="176" t="s">
        <v>196</v>
      </c>
      <c r="PNE1" s="176" t="s">
        <v>196</v>
      </c>
      <c r="PNF1" s="176" t="s">
        <v>196</v>
      </c>
      <c r="PNG1" s="176" t="s">
        <v>196</v>
      </c>
      <c r="PNH1" s="176" t="s">
        <v>196</v>
      </c>
      <c r="PNI1" s="176" t="s">
        <v>196</v>
      </c>
      <c r="PNJ1" s="176" t="s">
        <v>196</v>
      </c>
      <c r="PNK1" s="176" t="s">
        <v>196</v>
      </c>
      <c r="PNL1" s="176" t="s">
        <v>196</v>
      </c>
      <c r="PNM1" s="176" t="s">
        <v>196</v>
      </c>
      <c r="PNN1" s="176" t="s">
        <v>196</v>
      </c>
      <c r="PNO1" s="176" t="s">
        <v>196</v>
      </c>
      <c r="PNP1" s="176" t="s">
        <v>196</v>
      </c>
      <c r="PNQ1" s="176" t="s">
        <v>196</v>
      </c>
      <c r="PNR1" s="176" t="s">
        <v>196</v>
      </c>
      <c r="PNS1" s="176" t="s">
        <v>196</v>
      </c>
      <c r="PNT1" s="176" t="s">
        <v>196</v>
      </c>
      <c r="PNU1" s="176" t="s">
        <v>196</v>
      </c>
      <c r="PNV1" s="176" t="s">
        <v>196</v>
      </c>
      <c r="PNW1" s="176" t="s">
        <v>196</v>
      </c>
      <c r="PNX1" s="176" t="s">
        <v>196</v>
      </c>
      <c r="PNY1" s="176" t="s">
        <v>196</v>
      </c>
      <c r="PNZ1" s="176" t="s">
        <v>196</v>
      </c>
      <c r="POA1" s="176" t="s">
        <v>196</v>
      </c>
      <c r="POB1" s="176" t="s">
        <v>196</v>
      </c>
      <c r="POC1" s="176" t="s">
        <v>196</v>
      </c>
      <c r="POD1" s="176" t="s">
        <v>196</v>
      </c>
      <c r="POE1" s="176" t="s">
        <v>196</v>
      </c>
      <c r="POF1" s="176" t="s">
        <v>196</v>
      </c>
      <c r="POG1" s="176" t="s">
        <v>196</v>
      </c>
      <c r="POH1" s="176" t="s">
        <v>196</v>
      </c>
      <c r="POI1" s="176" t="s">
        <v>196</v>
      </c>
      <c r="POJ1" s="176" t="s">
        <v>196</v>
      </c>
      <c r="POK1" s="176" t="s">
        <v>196</v>
      </c>
      <c r="POL1" s="176" t="s">
        <v>196</v>
      </c>
      <c r="POM1" s="176" t="s">
        <v>196</v>
      </c>
      <c r="PON1" s="176" t="s">
        <v>196</v>
      </c>
      <c r="POO1" s="176" t="s">
        <v>196</v>
      </c>
      <c r="POP1" s="176" t="s">
        <v>196</v>
      </c>
      <c r="POQ1" s="176" t="s">
        <v>196</v>
      </c>
      <c r="POR1" s="176" t="s">
        <v>196</v>
      </c>
      <c r="POS1" s="176" t="s">
        <v>196</v>
      </c>
      <c r="POT1" s="176" t="s">
        <v>196</v>
      </c>
      <c r="POU1" s="176" t="s">
        <v>196</v>
      </c>
      <c r="POV1" s="176" t="s">
        <v>196</v>
      </c>
      <c r="POW1" s="176" t="s">
        <v>196</v>
      </c>
      <c r="POX1" s="176" t="s">
        <v>196</v>
      </c>
      <c r="POY1" s="176" t="s">
        <v>196</v>
      </c>
      <c r="POZ1" s="176" t="s">
        <v>196</v>
      </c>
      <c r="PPA1" s="176" t="s">
        <v>196</v>
      </c>
      <c r="PPB1" s="176" t="s">
        <v>196</v>
      </c>
      <c r="PPC1" s="176" t="s">
        <v>196</v>
      </c>
      <c r="PPD1" s="176" t="s">
        <v>196</v>
      </c>
      <c r="PPE1" s="176" t="s">
        <v>196</v>
      </c>
      <c r="PPF1" s="176" t="s">
        <v>196</v>
      </c>
      <c r="PPG1" s="176" t="s">
        <v>196</v>
      </c>
      <c r="PPH1" s="176" t="s">
        <v>196</v>
      </c>
      <c r="PPI1" s="176" t="s">
        <v>196</v>
      </c>
      <c r="PPJ1" s="176" t="s">
        <v>196</v>
      </c>
      <c r="PPK1" s="176" t="s">
        <v>196</v>
      </c>
      <c r="PPL1" s="176" t="s">
        <v>196</v>
      </c>
      <c r="PPM1" s="176" t="s">
        <v>196</v>
      </c>
      <c r="PPN1" s="176" t="s">
        <v>196</v>
      </c>
      <c r="PPO1" s="176" t="s">
        <v>196</v>
      </c>
      <c r="PPP1" s="176" t="s">
        <v>196</v>
      </c>
      <c r="PPQ1" s="176" t="s">
        <v>196</v>
      </c>
      <c r="PPR1" s="176" t="s">
        <v>196</v>
      </c>
      <c r="PPS1" s="176" t="s">
        <v>196</v>
      </c>
      <c r="PPT1" s="176" t="s">
        <v>196</v>
      </c>
      <c r="PPU1" s="176" t="s">
        <v>196</v>
      </c>
      <c r="PPV1" s="176" t="s">
        <v>196</v>
      </c>
      <c r="PPW1" s="176" t="s">
        <v>196</v>
      </c>
      <c r="PPX1" s="176" t="s">
        <v>196</v>
      </c>
      <c r="PPY1" s="176" t="s">
        <v>196</v>
      </c>
      <c r="PPZ1" s="176" t="s">
        <v>196</v>
      </c>
      <c r="PQA1" s="176" t="s">
        <v>196</v>
      </c>
      <c r="PQB1" s="176" t="s">
        <v>196</v>
      </c>
      <c r="PQC1" s="176" t="s">
        <v>196</v>
      </c>
      <c r="PQD1" s="176" t="s">
        <v>196</v>
      </c>
      <c r="PQE1" s="176" t="s">
        <v>196</v>
      </c>
      <c r="PQF1" s="176" t="s">
        <v>196</v>
      </c>
      <c r="PQG1" s="176" t="s">
        <v>196</v>
      </c>
      <c r="PQH1" s="176" t="s">
        <v>196</v>
      </c>
      <c r="PQI1" s="176" t="s">
        <v>196</v>
      </c>
      <c r="PQJ1" s="176" t="s">
        <v>196</v>
      </c>
      <c r="PQK1" s="176" t="s">
        <v>196</v>
      </c>
      <c r="PQL1" s="176" t="s">
        <v>196</v>
      </c>
      <c r="PQM1" s="176" t="s">
        <v>196</v>
      </c>
      <c r="PQN1" s="176" t="s">
        <v>196</v>
      </c>
      <c r="PQO1" s="176" t="s">
        <v>196</v>
      </c>
      <c r="PQP1" s="176" t="s">
        <v>196</v>
      </c>
      <c r="PQQ1" s="176" t="s">
        <v>196</v>
      </c>
      <c r="PQR1" s="176" t="s">
        <v>196</v>
      </c>
      <c r="PQS1" s="176" t="s">
        <v>196</v>
      </c>
      <c r="PQT1" s="176" t="s">
        <v>196</v>
      </c>
      <c r="PQU1" s="176" t="s">
        <v>196</v>
      </c>
      <c r="PQV1" s="176" t="s">
        <v>196</v>
      </c>
      <c r="PQW1" s="176" t="s">
        <v>196</v>
      </c>
      <c r="PQX1" s="176" t="s">
        <v>196</v>
      </c>
      <c r="PQY1" s="176" t="s">
        <v>196</v>
      </c>
      <c r="PQZ1" s="176" t="s">
        <v>196</v>
      </c>
      <c r="PRA1" s="176" t="s">
        <v>196</v>
      </c>
      <c r="PRB1" s="176" t="s">
        <v>196</v>
      </c>
      <c r="PRC1" s="176" t="s">
        <v>196</v>
      </c>
      <c r="PRD1" s="176" t="s">
        <v>196</v>
      </c>
      <c r="PRE1" s="176" t="s">
        <v>196</v>
      </c>
      <c r="PRF1" s="176" t="s">
        <v>196</v>
      </c>
      <c r="PRG1" s="176" t="s">
        <v>196</v>
      </c>
      <c r="PRH1" s="176" t="s">
        <v>196</v>
      </c>
      <c r="PRI1" s="176" t="s">
        <v>196</v>
      </c>
      <c r="PRJ1" s="176" t="s">
        <v>196</v>
      </c>
      <c r="PRK1" s="176" t="s">
        <v>196</v>
      </c>
      <c r="PRL1" s="176" t="s">
        <v>196</v>
      </c>
      <c r="PRM1" s="176" t="s">
        <v>196</v>
      </c>
      <c r="PRN1" s="176" t="s">
        <v>196</v>
      </c>
      <c r="PRO1" s="176" t="s">
        <v>196</v>
      </c>
      <c r="PRP1" s="176" t="s">
        <v>196</v>
      </c>
      <c r="PRQ1" s="176" t="s">
        <v>196</v>
      </c>
      <c r="PRR1" s="176" t="s">
        <v>196</v>
      </c>
      <c r="PRS1" s="176" t="s">
        <v>196</v>
      </c>
      <c r="PRT1" s="176" t="s">
        <v>196</v>
      </c>
      <c r="PRU1" s="176" t="s">
        <v>196</v>
      </c>
      <c r="PRV1" s="176" t="s">
        <v>196</v>
      </c>
      <c r="PRW1" s="176" t="s">
        <v>196</v>
      </c>
      <c r="PRX1" s="176" t="s">
        <v>196</v>
      </c>
      <c r="PRY1" s="176" t="s">
        <v>196</v>
      </c>
      <c r="PRZ1" s="176" t="s">
        <v>196</v>
      </c>
      <c r="PSA1" s="176" t="s">
        <v>196</v>
      </c>
      <c r="PSB1" s="176" t="s">
        <v>196</v>
      </c>
      <c r="PSC1" s="176" t="s">
        <v>196</v>
      </c>
      <c r="PSD1" s="176" t="s">
        <v>196</v>
      </c>
      <c r="PSE1" s="176" t="s">
        <v>196</v>
      </c>
      <c r="PSF1" s="176" t="s">
        <v>196</v>
      </c>
      <c r="PSG1" s="176" t="s">
        <v>196</v>
      </c>
      <c r="PSH1" s="176" t="s">
        <v>196</v>
      </c>
      <c r="PSI1" s="176" t="s">
        <v>196</v>
      </c>
      <c r="PSJ1" s="176" t="s">
        <v>196</v>
      </c>
      <c r="PSK1" s="176" t="s">
        <v>196</v>
      </c>
      <c r="PSL1" s="176" t="s">
        <v>196</v>
      </c>
      <c r="PSM1" s="176" t="s">
        <v>196</v>
      </c>
      <c r="PSN1" s="176" t="s">
        <v>196</v>
      </c>
      <c r="PSO1" s="176" t="s">
        <v>196</v>
      </c>
      <c r="PSP1" s="176" t="s">
        <v>196</v>
      </c>
      <c r="PSQ1" s="176" t="s">
        <v>196</v>
      </c>
      <c r="PSR1" s="176" t="s">
        <v>196</v>
      </c>
      <c r="PSS1" s="176" t="s">
        <v>196</v>
      </c>
      <c r="PST1" s="176" t="s">
        <v>196</v>
      </c>
      <c r="PSU1" s="176" t="s">
        <v>196</v>
      </c>
      <c r="PSV1" s="176" t="s">
        <v>196</v>
      </c>
      <c r="PSW1" s="176" t="s">
        <v>196</v>
      </c>
      <c r="PSX1" s="176" t="s">
        <v>196</v>
      </c>
      <c r="PSY1" s="176" t="s">
        <v>196</v>
      </c>
      <c r="PSZ1" s="176" t="s">
        <v>196</v>
      </c>
      <c r="PTA1" s="176" t="s">
        <v>196</v>
      </c>
      <c r="PTB1" s="176" t="s">
        <v>196</v>
      </c>
      <c r="PTC1" s="176" t="s">
        <v>196</v>
      </c>
      <c r="PTD1" s="176" t="s">
        <v>196</v>
      </c>
      <c r="PTE1" s="176" t="s">
        <v>196</v>
      </c>
      <c r="PTF1" s="176" t="s">
        <v>196</v>
      </c>
      <c r="PTG1" s="176" t="s">
        <v>196</v>
      </c>
      <c r="PTH1" s="176" t="s">
        <v>196</v>
      </c>
      <c r="PTI1" s="176" t="s">
        <v>196</v>
      </c>
      <c r="PTJ1" s="176" t="s">
        <v>196</v>
      </c>
      <c r="PTK1" s="176" t="s">
        <v>196</v>
      </c>
      <c r="PTL1" s="176" t="s">
        <v>196</v>
      </c>
      <c r="PTM1" s="176" t="s">
        <v>196</v>
      </c>
      <c r="PTN1" s="176" t="s">
        <v>196</v>
      </c>
      <c r="PTO1" s="176" t="s">
        <v>196</v>
      </c>
      <c r="PTP1" s="176" t="s">
        <v>196</v>
      </c>
      <c r="PTQ1" s="176" t="s">
        <v>196</v>
      </c>
      <c r="PTR1" s="176" t="s">
        <v>196</v>
      </c>
      <c r="PTS1" s="176" t="s">
        <v>196</v>
      </c>
      <c r="PTT1" s="176" t="s">
        <v>196</v>
      </c>
      <c r="PTU1" s="176" t="s">
        <v>196</v>
      </c>
      <c r="PTV1" s="176" t="s">
        <v>196</v>
      </c>
      <c r="PTW1" s="176" t="s">
        <v>196</v>
      </c>
      <c r="PTX1" s="176" t="s">
        <v>196</v>
      </c>
      <c r="PTY1" s="176" t="s">
        <v>196</v>
      </c>
      <c r="PTZ1" s="176" t="s">
        <v>196</v>
      </c>
      <c r="PUA1" s="176" t="s">
        <v>196</v>
      </c>
      <c r="PUB1" s="176" t="s">
        <v>196</v>
      </c>
      <c r="PUC1" s="176" t="s">
        <v>196</v>
      </c>
      <c r="PUD1" s="176" t="s">
        <v>196</v>
      </c>
      <c r="PUE1" s="176" t="s">
        <v>196</v>
      </c>
      <c r="PUF1" s="176" t="s">
        <v>196</v>
      </c>
      <c r="PUG1" s="176" t="s">
        <v>196</v>
      </c>
      <c r="PUH1" s="176" t="s">
        <v>196</v>
      </c>
      <c r="PUI1" s="176" t="s">
        <v>196</v>
      </c>
      <c r="PUJ1" s="176" t="s">
        <v>196</v>
      </c>
      <c r="PUK1" s="176" t="s">
        <v>196</v>
      </c>
      <c r="PUL1" s="176" t="s">
        <v>196</v>
      </c>
      <c r="PUM1" s="176" t="s">
        <v>196</v>
      </c>
      <c r="PUN1" s="176" t="s">
        <v>196</v>
      </c>
      <c r="PUO1" s="176" t="s">
        <v>196</v>
      </c>
      <c r="PUP1" s="176" t="s">
        <v>196</v>
      </c>
      <c r="PUQ1" s="176" t="s">
        <v>196</v>
      </c>
      <c r="PUR1" s="176" t="s">
        <v>196</v>
      </c>
      <c r="PUS1" s="176" t="s">
        <v>196</v>
      </c>
      <c r="PUT1" s="176" t="s">
        <v>196</v>
      </c>
      <c r="PUU1" s="176" t="s">
        <v>196</v>
      </c>
      <c r="PUV1" s="176" t="s">
        <v>196</v>
      </c>
      <c r="PUW1" s="176" t="s">
        <v>196</v>
      </c>
      <c r="PUX1" s="176" t="s">
        <v>196</v>
      </c>
      <c r="PUY1" s="176" t="s">
        <v>196</v>
      </c>
      <c r="PUZ1" s="176" t="s">
        <v>196</v>
      </c>
      <c r="PVA1" s="176" t="s">
        <v>196</v>
      </c>
      <c r="PVB1" s="176" t="s">
        <v>196</v>
      </c>
      <c r="PVC1" s="176" t="s">
        <v>196</v>
      </c>
      <c r="PVD1" s="176" t="s">
        <v>196</v>
      </c>
      <c r="PVE1" s="176" t="s">
        <v>196</v>
      </c>
      <c r="PVF1" s="176" t="s">
        <v>196</v>
      </c>
      <c r="PVG1" s="176" t="s">
        <v>196</v>
      </c>
      <c r="PVH1" s="176" t="s">
        <v>196</v>
      </c>
      <c r="PVI1" s="176" t="s">
        <v>196</v>
      </c>
      <c r="PVJ1" s="176" t="s">
        <v>196</v>
      </c>
      <c r="PVK1" s="176" t="s">
        <v>196</v>
      </c>
      <c r="PVL1" s="176" t="s">
        <v>196</v>
      </c>
      <c r="PVM1" s="176" t="s">
        <v>196</v>
      </c>
      <c r="PVN1" s="176" t="s">
        <v>196</v>
      </c>
      <c r="PVO1" s="176" t="s">
        <v>196</v>
      </c>
      <c r="PVP1" s="176" t="s">
        <v>196</v>
      </c>
      <c r="PVQ1" s="176" t="s">
        <v>196</v>
      </c>
      <c r="PVR1" s="176" t="s">
        <v>196</v>
      </c>
      <c r="PVS1" s="176" t="s">
        <v>196</v>
      </c>
      <c r="PVT1" s="176" t="s">
        <v>196</v>
      </c>
      <c r="PVU1" s="176" t="s">
        <v>196</v>
      </c>
      <c r="PVV1" s="176" t="s">
        <v>196</v>
      </c>
      <c r="PVW1" s="176" t="s">
        <v>196</v>
      </c>
      <c r="PVX1" s="176" t="s">
        <v>196</v>
      </c>
      <c r="PVY1" s="176" t="s">
        <v>196</v>
      </c>
      <c r="PVZ1" s="176" t="s">
        <v>196</v>
      </c>
      <c r="PWA1" s="176" t="s">
        <v>196</v>
      </c>
      <c r="PWB1" s="176" t="s">
        <v>196</v>
      </c>
      <c r="PWC1" s="176" t="s">
        <v>196</v>
      </c>
      <c r="PWD1" s="176" t="s">
        <v>196</v>
      </c>
      <c r="PWE1" s="176" t="s">
        <v>196</v>
      </c>
      <c r="PWF1" s="176" t="s">
        <v>196</v>
      </c>
      <c r="PWG1" s="176" t="s">
        <v>196</v>
      </c>
      <c r="PWH1" s="176" t="s">
        <v>196</v>
      </c>
      <c r="PWI1" s="176" t="s">
        <v>196</v>
      </c>
      <c r="PWJ1" s="176" t="s">
        <v>196</v>
      </c>
      <c r="PWK1" s="176" t="s">
        <v>196</v>
      </c>
      <c r="PWL1" s="176" t="s">
        <v>196</v>
      </c>
      <c r="PWM1" s="176" t="s">
        <v>196</v>
      </c>
      <c r="PWN1" s="176" t="s">
        <v>196</v>
      </c>
      <c r="PWO1" s="176" t="s">
        <v>196</v>
      </c>
      <c r="PWP1" s="176" t="s">
        <v>196</v>
      </c>
      <c r="PWQ1" s="176" t="s">
        <v>196</v>
      </c>
      <c r="PWR1" s="176" t="s">
        <v>196</v>
      </c>
      <c r="PWS1" s="176" t="s">
        <v>196</v>
      </c>
      <c r="PWT1" s="176" t="s">
        <v>196</v>
      </c>
      <c r="PWU1" s="176" t="s">
        <v>196</v>
      </c>
      <c r="PWV1" s="176" t="s">
        <v>196</v>
      </c>
      <c r="PWW1" s="176" t="s">
        <v>196</v>
      </c>
      <c r="PWX1" s="176" t="s">
        <v>196</v>
      </c>
      <c r="PWY1" s="176" t="s">
        <v>196</v>
      </c>
      <c r="PWZ1" s="176" t="s">
        <v>196</v>
      </c>
      <c r="PXA1" s="176" t="s">
        <v>196</v>
      </c>
      <c r="PXB1" s="176" t="s">
        <v>196</v>
      </c>
      <c r="PXC1" s="176" t="s">
        <v>196</v>
      </c>
      <c r="PXD1" s="176" t="s">
        <v>196</v>
      </c>
      <c r="PXE1" s="176" t="s">
        <v>196</v>
      </c>
      <c r="PXF1" s="176" t="s">
        <v>196</v>
      </c>
      <c r="PXG1" s="176" t="s">
        <v>196</v>
      </c>
      <c r="PXH1" s="176" t="s">
        <v>196</v>
      </c>
      <c r="PXI1" s="176" t="s">
        <v>196</v>
      </c>
      <c r="PXJ1" s="176" t="s">
        <v>196</v>
      </c>
      <c r="PXK1" s="176" t="s">
        <v>196</v>
      </c>
      <c r="PXL1" s="176" t="s">
        <v>196</v>
      </c>
      <c r="PXM1" s="176" t="s">
        <v>196</v>
      </c>
      <c r="PXN1" s="176" t="s">
        <v>196</v>
      </c>
      <c r="PXO1" s="176" t="s">
        <v>196</v>
      </c>
      <c r="PXP1" s="176" t="s">
        <v>196</v>
      </c>
      <c r="PXQ1" s="176" t="s">
        <v>196</v>
      </c>
      <c r="PXR1" s="176" t="s">
        <v>196</v>
      </c>
      <c r="PXS1" s="176" t="s">
        <v>196</v>
      </c>
      <c r="PXT1" s="176" t="s">
        <v>196</v>
      </c>
      <c r="PXU1" s="176" t="s">
        <v>196</v>
      </c>
      <c r="PXV1" s="176" t="s">
        <v>196</v>
      </c>
      <c r="PXW1" s="176" t="s">
        <v>196</v>
      </c>
      <c r="PXX1" s="176" t="s">
        <v>196</v>
      </c>
      <c r="PXY1" s="176" t="s">
        <v>196</v>
      </c>
      <c r="PXZ1" s="176" t="s">
        <v>196</v>
      </c>
      <c r="PYA1" s="176" t="s">
        <v>196</v>
      </c>
      <c r="PYB1" s="176" t="s">
        <v>196</v>
      </c>
      <c r="PYC1" s="176" t="s">
        <v>196</v>
      </c>
      <c r="PYD1" s="176" t="s">
        <v>196</v>
      </c>
      <c r="PYE1" s="176" t="s">
        <v>196</v>
      </c>
      <c r="PYF1" s="176" t="s">
        <v>196</v>
      </c>
      <c r="PYG1" s="176" t="s">
        <v>196</v>
      </c>
      <c r="PYH1" s="176" t="s">
        <v>196</v>
      </c>
      <c r="PYI1" s="176" t="s">
        <v>196</v>
      </c>
      <c r="PYJ1" s="176" t="s">
        <v>196</v>
      </c>
      <c r="PYK1" s="176" t="s">
        <v>196</v>
      </c>
      <c r="PYL1" s="176" t="s">
        <v>196</v>
      </c>
      <c r="PYM1" s="176" t="s">
        <v>196</v>
      </c>
      <c r="PYN1" s="176" t="s">
        <v>196</v>
      </c>
      <c r="PYO1" s="176" t="s">
        <v>196</v>
      </c>
      <c r="PYP1" s="176" t="s">
        <v>196</v>
      </c>
      <c r="PYQ1" s="176" t="s">
        <v>196</v>
      </c>
      <c r="PYR1" s="176" t="s">
        <v>196</v>
      </c>
      <c r="PYS1" s="176" t="s">
        <v>196</v>
      </c>
      <c r="PYT1" s="176" t="s">
        <v>196</v>
      </c>
      <c r="PYU1" s="176" t="s">
        <v>196</v>
      </c>
      <c r="PYV1" s="176" t="s">
        <v>196</v>
      </c>
      <c r="PYW1" s="176" t="s">
        <v>196</v>
      </c>
      <c r="PYX1" s="176" t="s">
        <v>196</v>
      </c>
      <c r="PYY1" s="176" t="s">
        <v>196</v>
      </c>
      <c r="PYZ1" s="176" t="s">
        <v>196</v>
      </c>
      <c r="PZA1" s="176" t="s">
        <v>196</v>
      </c>
      <c r="PZB1" s="176" t="s">
        <v>196</v>
      </c>
      <c r="PZC1" s="176" t="s">
        <v>196</v>
      </c>
      <c r="PZD1" s="176" t="s">
        <v>196</v>
      </c>
      <c r="PZE1" s="176" t="s">
        <v>196</v>
      </c>
      <c r="PZF1" s="176" t="s">
        <v>196</v>
      </c>
      <c r="PZG1" s="176" t="s">
        <v>196</v>
      </c>
      <c r="PZH1" s="176" t="s">
        <v>196</v>
      </c>
      <c r="PZI1" s="176" t="s">
        <v>196</v>
      </c>
      <c r="PZJ1" s="176" t="s">
        <v>196</v>
      </c>
      <c r="PZK1" s="176" t="s">
        <v>196</v>
      </c>
      <c r="PZL1" s="176" t="s">
        <v>196</v>
      </c>
      <c r="PZM1" s="176" t="s">
        <v>196</v>
      </c>
      <c r="PZN1" s="176" t="s">
        <v>196</v>
      </c>
      <c r="PZO1" s="176" t="s">
        <v>196</v>
      </c>
      <c r="PZP1" s="176" t="s">
        <v>196</v>
      </c>
      <c r="PZQ1" s="176" t="s">
        <v>196</v>
      </c>
      <c r="PZR1" s="176" t="s">
        <v>196</v>
      </c>
      <c r="PZS1" s="176" t="s">
        <v>196</v>
      </c>
      <c r="PZT1" s="176" t="s">
        <v>196</v>
      </c>
      <c r="PZU1" s="176" t="s">
        <v>196</v>
      </c>
      <c r="PZV1" s="176" t="s">
        <v>196</v>
      </c>
      <c r="PZW1" s="176" t="s">
        <v>196</v>
      </c>
      <c r="PZX1" s="176" t="s">
        <v>196</v>
      </c>
      <c r="PZY1" s="176" t="s">
        <v>196</v>
      </c>
      <c r="PZZ1" s="176" t="s">
        <v>196</v>
      </c>
      <c r="QAA1" s="176" t="s">
        <v>196</v>
      </c>
      <c r="QAB1" s="176" t="s">
        <v>196</v>
      </c>
      <c r="QAC1" s="176" t="s">
        <v>196</v>
      </c>
      <c r="QAD1" s="176" t="s">
        <v>196</v>
      </c>
      <c r="QAE1" s="176" t="s">
        <v>196</v>
      </c>
      <c r="QAF1" s="176" t="s">
        <v>196</v>
      </c>
      <c r="QAG1" s="176" t="s">
        <v>196</v>
      </c>
      <c r="QAH1" s="176" t="s">
        <v>196</v>
      </c>
      <c r="QAI1" s="176" t="s">
        <v>196</v>
      </c>
      <c r="QAJ1" s="176" t="s">
        <v>196</v>
      </c>
      <c r="QAK1" s="176" t="s">
        <v>196</v>
      </c>
      <c r="QAL1" s="176" t="s">
        <v>196</v>
      </c>
      <c r="QAM1" s="176" t="s">
        <v>196</v>
      </c>
      <c r="QAN1" s="176" t="s">
        <v>196</v>
      </c>
      <c r="QAO1" s="176" t="s">
        <v>196</v>
      </c>
      <c r="QAP1" s="176" t="s">
        <v>196</v>
      </c>
      <c r="QAQ1" s="176" t="s">
        <v>196</v>
      </c>
      <c r="QAR1" s="176" t="s">
        <v>196</v>
      </c>
      <c r="QAS1" s="176" t="s">
        <v>196</v>
      </c>
      <c r="QAT1" s="176" t="s">
        <v>196</v>
      </c>
      <c r="QAU1" s="176" t="s">
        <v>196</v>
      </c>
      <c r="QAV1" s="176" t="s">
        <v>196</v>
      </c>
      <c r="QAW1" s="176" t="s">
        <v>196</v>
      </c>
      <c r="QAX1" s="176" t="s">
        <v>196</v>
      </c>
      <c r="QAY1" s="176" t="s">
        <v>196</v>
      </c>
      <c r="QAZ1" s="176" t="s">
        <v>196</v>
      </c>
      <c r="QBA1" s="176" t="s">
        <v>196</v>
      </c>
      <c r="QBB1" s="176" t="s">
        <v>196</v>
      </c>
      <c r="QBC1" s="176" t="s">
        <v>196</v>
      </c>
      <c r="QBD1" s="176" t="s">
        <v>196</v>
      </c>
      <c r="QBE1" s="176" t="s">
        <v>196</v>
      </c>
      <c r="QBF1" s="176" t="s">
        <v>196</v>
      </c>
      <c r="QBG1" s="176" t="s">
        <v>196</v>
      </c>
      <c r="QBH1" s="176" t="s">
        <v>196</v>
      </c>
      <c r="QBI1" s="176" t="s">
        <v>196</v>
      </c>
      <c r="QBJ1" s="176" t="s">
        <v>196</v>
      </c>
      <c r="QBK1" s="176" t="s">
        <v>196</v>
      </c>
      <c r="QBL1" s="176" t="s">
        <v>196</v>
      </c>
      <c r="QBM1" s="176" t="s">
        <v>196</v>
      </c>
      <c r="QBN1" s="176" t="s">
        <v>196</v>
      </c>
      <c r="QBO1" s="176" t="s">
        <v>196</v>
      </c>
      <c r="QBP1" s="176" t="s">
        <v>196</v>
      </c>
      <c r="QBQ1" s="176" t="s">
        <v>196</v>
      </c>
      <c r="QBR1" s="176" t="s">
        <v>196</v>
      </c>
      <c r="QBS1" s="176" t="s">
        <v>196</v>
      </c>
      <c r="QBT1" s="176" t="s">
        <v>196</v>
      </c>
      <c r="QBU1" s="176" t="s">
        <v>196</v>
      </c>
      <c r="QBV1" s="176" t="s">
        <v>196</v>
      </c>
      <c r="QBW1" s="176" t="s">
        <v>196</v>
      </c>
      <c r="QBX1" s="176" t="s">
        <v>196</v>
      </c>
      <c r="QBY1" s="176" t="s">
        <v>196</v>
      </c>
      <c r="QBZ1" s="176" t="s">
        <v>196</v>
      </c>
      <c r="QCA1" s="176" t="s">
        <v>196</v>
      </c>
      <c r="QCB1" s="176" t="s">
        <v>196</v>
      </c>
      <c r="QCC1" s="176" t="s">
        <v>196</v>
      </c>
      <c r="QCD1" s="176" t="s">
        <v>196</v>
      </c>
      <c r="QCE1" s="176" t="s">
        <v>196</v>
      </c>
      <c r="QCF1" s="176" t="s">
        <v>196</v>
      </c>
      <c r="QCG1" s="176" t="s">
        <v>196</v>
      </c>
      <c r="QCH1" s="176" t="s">
        <v>196</v>
      </c>
      <c r="QCI1" s="176" t="s">
        <v>196</v>
      </c>
      <c r="QCJ1" s="176" t="s">
        <v>196</v>
      </c>
      <c r="QCK1" s="176" t="s">
        <v>196</v>
      </c>
      <c r="QCL1" s="176" t="s">
        <v>196</v>
      </c>
      <c r="QCM1" s="176" t="s">
        <v>196</v>
      </c>
      <c r="QCN1" s="176" t="s">
        <v>196</v>
      </c>
      <c r="QCO1" s="176" t="s">
        <v>196</v>
      </c>
      <c r="QCP1" s="176" t="s">
        <v>196</v>
      </c>
      <c r="QCQ1" s="176" t="s">
        <v>196</v>
      </c>
      <c r="QCR1" s="176" t="s">
        <v>196</v>
      </c>
      <c r="QCS1" s="176" t="s">
        <v>196</v>
      </c>
      <c r="QCT1" s="176" t="s">
        <v>196</v>
      </c>
      <c r="QCU1" s="176" t="s">
        <v>196</v>
      </c>
      <c r="QCV1" s="176" t="s">
        <v>196</v>
      </c>
      <c r="QCW1" s="176" t="s">
        <v>196</v>
      </c>
      <c r="QCX1" s="176" t="s">
        <v>196</v>
      </c>
      <c r="QCY1" s="176" t="s">
        <v>196</v>
      </c>
      <c r="QCZ1" s="176" t="s">
        <v>196</v>
      </c>
      <c r="QDA1" s="176" t="s">
        <v>196</v>
      </c>
      <c r="QDB1" s="176" t="s">
        <v>196</v>
      </c>
      <c r="QDC1" s="176" t="s">
        <v>196</v>
      </c>
      <c r="QDD1" s="176" t="s">
        <v>196</v>
      </c>
      <c r="QDE1" s="176" t="s">
        <v>196</v>
      </c>
      <c r="QDF1" s="176" t="s">
        <v>196</v>
      </c>
      <c r="QDG1" s="176" t="s">
        <v>196</v>
      </c>
      <c r="QDH1" s="176" t="s">
        <v>196</v>
      </c>
      <c r="QDI1" s="176" t="s">
        <v>196</v>
      </c>
      <c r="QDJ1" s="176" t="s">
        <v>196</v>
      </c>
      <c r="QDK1" s="176" t="s">
        <v>196</v>
      </c>
      <c r="QDL1" s="176" t="s">
        <v>196</v>
      </c>
      <c r="QDM1" s="176" t="s">
        <v>196</v>
      </c>
      <c r="QDN1" s="176" t="s">
        <v>196</v>
      </c>
      <c r="QDO1" s="176" t="s">
        <v>196</v>
      </c>
      <c r="QDP1" s="176" t="s">
        <v>196</v>
      </c>
      <c r="QDQ1" s="176" t="s">
        <v>196</v>
      </c>
      <c r="QDR1" s="176" t="s">
        <v>196</v>
      </c>
      <c r="QDS1" s="176" t="s">
        <v>196</v>
      </c>
      <c r="QDT1" s="176" t="s">
        <v>196</v>
      </c>
      <c r="QDU1" s="176" t="s">
        <v>196</v>
      </c>
      <c r="QDV1" s="176" t="s">
        <v>196</v>
      </c>
      <c r="QDW1" s="176" t="s">
        <v>196</v>
      </c>
      <c r="QDX1" s="176" t="s">
        <v>196</v>
      </c>
      <c r="QDY1" s="176" t="s">
        <v>196</v>
      </c>
      <c r="QDZ1" s="176" t="s">
        <v>196</v>
      </c>
      <c r="QEA1" s="176" t="s">
        <v>196</v>
      </c>
      <c r="QEB1" s="176" t="s">
        <v>196</v>
      </c>
      <c r="QEC1" s="176" t="s">
        <v>196</v>
      </c>
      <c r="QED1" s="176" t="s">
        <v>196</v>
      </c>
      <c r="QEE1" s="176" t="s">
        <v>196</v>
      </c>
      <c r="QEF1" s="176" t="s">
        <v>196</v>
      </c>
      <c r="QEG1" s="176" t="s">
        <v>196</v>
      </c>
      <c r="QEH1" s="176" t="s">
        <v>196</v>
      </c>
      <c r="QEI1" s="176" t="s">
        <v>196</v>
      </c>
      <c r="QEJ1" s="176" t="s">
        <v>196</v>
      </c>
      <c r="QEK1" s="176" t="s">
        <v>196</v>
      </c>
      <c r="QEL1" s="176" t="s">
        <v>196</v>
      </c>
      <c r="QEM1" s="176" t="s">
        <v>196</v>
      </c>
      <c r="QEN1" s="176" t="s">
        <v>196</v>
      </c>
      <c r="QEO1" s="176" t="s">
        <v>196</v>
      </c>
      <c r="QEP1" s="176" t="s">
        <v>196</v>
      </c>
      <c r="QEQ1" s="176" t="s">
        <v>196</v>
      </c>
      <c r="QER1" s="176" t="s">
        <v>196</v>
      </c>
      <c r="QES1" s="176" t="s">
        <v>196</v>
      </c>
      <c r="QET1" s="176" t="s">
        <v>196</v>
      </c>
      <c r="QEU1" s="176" t="s">
        <v>196</v>
      </c>
      <c r="QEV1" s="176" t="s">
        <v>196</v>
      </c>
      <c r="QEW1" s="176" t="s">
        <v>196</v>
      </c>
      <c r="QEX1" s="176" t="s">
        <v>196</v>
      </c>
      <c r="QEY1" s="176" t="s">
        <v>196</v>
      </c>
      <c r="QEZ1" s="176" t="s">
        <v>196</v>
      </c>
      <c r="QFA1" s="176" t="s">
        <v>196</v>
      </c>
      <c r="QFB1" s="176" t="s">
        <v>196</v>
      </c>
      <c r="QFC1" s="176" t="s">
        <v>196</v>
      </c>
      <c r="QFD1" s="176" t="s">
        <v>196</v>
      </c>
      <c r="QFE1" s="176" t="s">
        <v>196</v>
      </c>
      <c r="QFF1" s="176" t="s">
        <v>196</v>
      </c>
      <c r="QFG1" s="176" t="s">
        <v>196</v>
      </c>
      <c r="QFH1" s="176" t="s">
        <v>196</v>
      </c>
      <c r="QFI1" s="176" t="s">
        <v>196</v>
      </c>
      <c r="QFJ1" s="176" t="s">
        <v>196</v>
      </c>
      <c r="QFK1" s="176" t="s">
        <v>196</v>
      </c>
      <c r="QFL1" s="176" t="s">
        <v>196</v>
      </c>
      <c r="QFM1" s="176" t="s">
        <v>196</v>
      </c>
      <c r="QFN1" s="176" t="s">
        <v>196</v>
      </c>
      <c r="QFO1" s="176" t="s">
        <v>196</v>
      </c>
      <c r="QFP1" s="176" t="s">
        <v>196</v>
      </c>
      <c r="QFQ1" s="176" t="s">
        <v>196</v>
      </c>
      <c r="QFR1" s="176" t="s">
        <v>196</v>
      </c>
      <c r="QFS1" s="176" t="s">
        <v>196</v>
      </c>
      <c r="QFT1" s="176" t="s">
        <v>196</v>
      </c>
      <c r="QFU1" s="176" t="s">
        <v>196</v>
      </c>
      <c r="QFV1" s="176" t="s">
        <v>196</v>
      </c>
      <c r="QFW1" s="176" t="s">
        <v>196</v>
      </c>
      <c r="QFX1" s="176" t="s">
        <v>196</v>
      </c>
      <c r="QFY1" s="176" t="s">
        <v>196</v>
      </c>
      <c r="QFZ1" s="176" t="s">
        <v>196</v>
      </c>
      <c r="QGA1" s="176" t="s">
        <v>196</v>
      </c>
      <c r="QGB1" s="176" t="s">
        <v>196</v>
      </c>
      <c r="QGC1" s="176" t="s">
        <v>196</v>
      </c>
      <c r="QGD1" s="176" t="s">
        <v>196</v>
      </c>
      <c r="QGE1" s="176" t="s">
        <v>196</v>
      </c>
      <c r="QGF1" s="176" t="s">
        <v>196</v>
      </c>
      <c r="QGG1" s="176" t="s">
        <v>196</v>
      </c>
      <c r="QGH1" s="176" t="s">
        <v>196</v>
      </c>
      <c r="QGI1" s="176" t="s">
        <v>196</v>
      </c>
      <c r="QGJ1" s="176" t="s">
        <v>196</v>
      </c>
      <c r="QGK1" s="176" t="s">
        <v>196</v>
      </c>
      <c r="QGL1" s="176" t="s">
        <v>196</v>
      </c>
      <c r="QGM1" s="176" t="s">
        <v>196</v>
      </c>
      <c r="QGN1" s="176" t="s">
        <v>196</v>
      </c>
      <c r="QGO1" s="176" t="s">
        <v>196</v>
      </c>
      <c r="QGP1" s="176" t="s">
        <v>196</v>
      </c>
      <c r="QGQ1" s="176" t="s">
        <v>196</v>
      </c>
      <c r="QGR1" s="176" t="s">
        <v>196</v>
      </c>
      <c r="QGS1" s="176" t="s">
        <v>196</v>
      </c>
      <c r="QGT1" s="176" t="s">
        <v>196</v>
      </c>
      <c r="QGU1" s="176" t="s">
        <v>196</v>
      </c>
      <c r="QGV1" s="176" t="s">
        <v>196</v>
      </c>
      <c r="QGW1" s="176" t="s">
        <v>196</v>
      </c>
      <c r="QGX1" s="176" t="s">
        <v>196</v>
      </c>
      <c r="QGY1" s="176" t="s">
        <v>196</v>
      </c>
      <c r="QGZ1" s="176" t="s">
        <v>196</v>
      </c>
      <c r="QHA1" s="176" t="s">
        <v>196</v>
      </c>
      <c r="QHB1" s="176" t="s">
        <v>196</v>
      </c>
      <c r="QHC1" s="176" t="s">
        <v>196</v>
      </c>
      <c r="QHD1" s="176" t="s">
        <v>196</v>
      </c>
      <c r="QHE1" s="176" t="s">
        <v>196</v>
      </c>
      <c r="QHF1" s="176" t="s">
        <v>196</v>
      </c>
      <c r="QHG1" s="176" t="s">
        <v>196</v>
      </c>
      <c r="QHH1" s="176" t="s">
        <v>196</v>
      </c>
      <c r="QHI1" s="176" t="s">
        <v>196</v>
      </c>
      <c r="QHJ1" s="176" t="s">
        <v>196</v>
      </c>
      <c r="QHK1" s="176" t="s">
        <v>196</v>
      </c>
      <c r="QHL1" s="176" t="s">
        <v>196</v>
      </c>
      <c r="QHM1" s="176" t="s">
        <v>196</v>
      </c>
      <c r="QHN1" s="176" t="s">
        <v>196</v>
      </c>
      <c r="QHO1" s="176" t="s">
        <v>196</v>
      </c>
      <c r="QHP1" s="176" t="s">
        <v>196</v>
      </c>
      <c r="QHQ1" s="176" t="s">
        <v>196</v>
      </c>
      <c r="QHR1" s="176" t="s">
        <v>196</v>
      </c>
      <c r="QHS1" s="176" t="s">
        <v>196</v>
      </c>
      <c r="QHT1" s="176" t="s">
        <v>196</v>
      </c>
      <c r="QHU1" s="176" t="s">
        <v>196</v>
      </c>
      <c r="QHV1" s="176" t="s">
        <v>196</v>
      </c>
      <c r="QHW1" s="176" t="s">
        <v>196</v>
      </c>
      <c r="QHX1" s="176" t="s">
        <v>196</v>
      </c>
      <c r="QHY1" s="176" t="s">
        <v>196</v>
      </c>
      <c r="QHZ1" s="176" t="s">
        <v>196</v>
      </c>
      <c r="QIA1" s="176" t="s">
        <v>196</v>
      </c>
      <c r="QIB1" s="176" t="s">
        <v>196</v>
      </c>
      <c r="QIC1" s="176" t="s">
        <v>196</v>
      </c>
      <c r="QID1" s="176" t="s">
        <v>196</v>
      </c>
      <c r="QIE1" s="176" t="s">
        <v>196</v>
      </c>
      <c r="QIF1" s="176" t="s">
        <v>196</v>
      </c>
      <c r="QIG1" s="176" t="s">
        <v>196</v>
      </c>
      <c r="QIH1" s="176" t="s">
        <v>196</v>
      </c>
      <c r="QII1" s="176" t="s">
        <v>196</v>
      </c>
      <c r="QIJ1" s="176" t="s">
        <v>196</v>
      </c>
      <c r="QIK1" s="176" t="s">
        <v>196</v>
      </c>
      <c r="QIL1" s="176" t="s">
        <v>196</v>
      </c>
      <c r="QIM1" s="176" t="s">
        <v>196</v>
      </c>
      <c r="QIN1" s="176" t="s">
        <v>196</v>
      </c>
      <c r="QIO1" s="176" t="s">
        <v>196</v>
      </c>
      <c r="QIP1" s="176" t="s">
        <v>196</v>
      </c>
      <c r="QIQ1" s="176" t="s">
        <v>196</v>
      </c>
      <c r="QIR1" s="176" t="s">
        <v>196</v>
      </c>
      <c r="QIS1" s="176" t="s">
        <v>196</v>
      </c>
      <c r="QIT1" s="176" t="s">
        <v>196</v>
      </c>
      <c r="QIU1" s="176" t="s">
        <v>196</v>
      </c>
      <c r="QIV1" s="176" t="s">
        <v>196</v>
      </c>
      <c r="QIW1" s="176" t="s">
        <v>196</v>
      </c>
      <c r="QIX1" s="176" t="s">
        <v>196</v>
      </c>
      <c r="QIY1" s="176" t="s">
        <v>196</v>
      </c>
      <c r="QIZ1" s="176" t="s">
        <v>196</v>
      </c>
      <c r="QJA1" s="176" t="s">
        <v>196</v>
      </c>
      <c r="QJB1" s="176" t="s">
        <v>196</v>
      </c>
      <c r="QJC1" s="176" t="s">
        <v>196</v>
      </c>
      <c r="QJD1" s="176" t="s">
        <v>196</v>
      </c>
      <c r="QJE1" s="176" t="s">
        <v>196</v>
      </c>
      <c r="QJF1" s="176" t="s">
        <v>196</v>
      </c>
      <c r="QJG1" s="176" t="s">
        <v>196</v>
      </c>
      <c r="QJH1" s="176" t="s">
        <v>196</v>
      </c>
      <c r="QJI1" s="176" t="s">
        <v>196</v>
      </c>
      <c r="QJJ1" s="176" t="s">
        <v>196</v>
      </c>
      <c r="QJK1" s="176" t="s">
        <v>196</v>
      </c>
      <c r="QJL1" s="176" t="s">
        <v>196</v>
      </c>
      <c r="QJM1" s="176" t="s">
        <v>196</v>
      </c>
      <c r="QJN1" s="176" t="s">
        <v>196</v>
      </c>
      <c r="QJO1" s="176" t="s">
        <v>196</v>
      </c>
      <c r="QJP1" s="176" t="s">
        <v>196</v>
      </c>
      <c r="QJQ1" s="176" t="s">
        <v>196</v>
      </c>
      <c r="QJR1" s="176" t="s">
        <v>196</v>
      </c>
      <c r="QJS1" s="176" t="s">
        <v>196</v>
      </c>
      <c r="QJT1" s="176" t="s">
        <v>196</v>
      </c>
      <c r="QJU1" s="176" t="s">
        <v>196</v>
      </c>
      <c r="QJV1" s="176" t="s">
        <v>196</v>
      </c>
      <c r="QJW1" s="176" t="s">
        <v>196</v>
      </c>
      <c r="QJX1" s="176" t="s">
        <v>196</v>
      </c>
      <c r="QJY1" s="176" t="s">
        <v>196</v>
      </c>
      <c r="QJZ1" s="176" t="s">
        <v>196</v>
      </c>
      <c r="QKA1" s="176" t="s">
        <v>196</v>
      </c>
      <c r="QKB1" s="176" t="s">
        <v>196</v>
      </c>
      <c r="QKC1" s="176" t="s">
        <v>196</v>
      </c>
      <c r="QKD1" s="176" t="s">
        <v>196</v>
      </c>
      <c r="QKE1" s="176" t="s">
        <v>196</v>
      </c>
      <c r="QKF1" s="176" t="s">
        <v>196</v>
      </c>
      <c r="QKG1" s="176" t="s">
        <v>196</v>
      </c>
      <c r="QKH1" s="176" t="s">
        <v>196</v>
      </c>
      <c r="QKI1" s="176" t="s">
        <v>196</v>
      </c>
      <c r="QKJ1" s="176" t="s">
        <v>196</v>
      </c>
      <c r="QKK1" s="176" t="s">
        <v>196</v>
      </c>
      <c r="QKL1" s="176" t="s">
        <v>196</v>
      </c>
      <c r="QKM1" s="176" t="s">
        <v>196</v>
      </c>
      <c r="QKN1" s="176" t="s">
        <v>196</v>
      </c>
      <c r="QKO1" s="176" t="s">
        <v>196</v>
      </c>
      <c r="QKP1" s="176" t="s">
        <v>196</v>
      </c>
      <c r="QKQ1" s="176" t="s">
        <v>196</v>
      </c>
      <c r="QKR1" s="176" t="s">
        <v>196</v>
      </c>
      <c r="QKS1" s="176" t="s">
        <v>196</v>
      </c>
      <c r="QKT1" s="176" t="s">
        <v>196</v>
      </c>
      <c r="QKU1" s="176" t="s">
        <v>196</v>
      </c>
      <c r="QKV1" s="176" t="s">
        <v>196</v>
      </c>
      <c r="QKW1" s="176" t="s">
        <v>196</v>
      </c>
      <c r="QKX1" s="176" t="s">
        <v>196</v>
      </c>
      <c r="QKY1" s="176" t="s">
        <v>196</v>
      </c>
      <c r="QKZ1" s="176" t="s">
        <v>196</v>
      </c>
      <c r="QLA1" s="176" t="s">
        <v>196</v>
      </c>
      <c r="QLB1" s="176" t="s">
        <v>196</v>
      </c>
      <c r="QLC1" s="176" t="s">
        <v>196</v>
      </c>
      <c r="QLD1" s="176" t="s">
        <v>196</v>
      </c>
      <c r="QLE1" s="176" t="s">
        <v>196</v>
      </c>
      <c r="QLF1" s="176" t="s">
        <v>196</v>
      </c>
      <c r="QLG1" s="176" t="s">
        <v>196</v>
      </c>
      <c r="QLH1" s="176" t="s">
        <v>196</v>
      </c>
      <c r="QLI1" s="176" t="s">
        <v>196</v>
      </c>
      <c r="QLJ1" s="176" t="s">
        <v>196</v>
      </c>
      <c r="QLK1" s="176" t="s">
        <v>196</v>
      </c>
      <c r="QLL1" s="176" t="s">
        <v>196</v>
      </c>
      <c r="QLM1" s="176" t="s">
        <v>196</v>
      </c>
      <c r="QLN1" s="176" t="s">
        <v>196</v>
      </c>
      <c r="QLO1" s="176" t="s">
        <v>196</v>
      </c>
      <c r="QLP1" s="176" t="s">
        <v>196</v>
      </c>
      <c r="QLQ1" s="176" t="s">
        <v>196</v>
      </c>
      <c r="QLR1" s="176" t="s">
        <v>196</v>
      </c>
      <c r="QLS1" s="176" t="s">
        <v>196</v>
      </c>
      <c r="QLT1" s="176" t="s">
        <v>196</v>
      </c>
      <c r="QLU1" s="176" t="s">
        <v>196</v>
      </c>
      <c r="QLV1" s="176" t="s">
        <v>196</v>
      </c>
      <c r="QLW1" s="176" t="s">
        <v>196</v>
      </c>
      <c r="QLX1" s="176" t="s">
        <v>196</v>
      </c>
      <c r="QLY1" s="176" t="s">
        <v>196</v>
      </c>
      <c r="QLZ1" s="176" t="s">
        <v>196</v>
      </c>
      <c r="QMA1" s="176" t="s">
        <v>196</v>
      </c>
      <c r="QMB1" s="176" t="s">
        <v>196</v>
      </c>
      <c r="QMC1" s="176" t="s">
        <v>196</v>
      </c>
      <c r="QMD1" s="176" t="s">
        <v>196</v>
      </c>
      <c r="QME1" s="176" t="s">
        <v>196</v>
      </c>
      <c r="QMF1" s="176" t="s">
        <v>196</v>
      </c>
      <c r="QMG1" s="176" t="s">
        <v>196</v>
      </c>
      <c r="QMH1" s="176" t="s">
        <v>196</v>
      </c>
      <c r="QMI1" s="176" t="s">
        <v>196</v>
      </c>
      <c r="QMJ1" s="176" t="s">
        <v>196</v>
      </c>
      <c r="QMK1" s="176" t="s">
        <v>196</v>
      </c>
      <c r="QML1" s="176" t="s">
        <v>196</v>
      </c>
      <c r="QMM1" s="176" t="s">
        <v>196</v>
      </c>
      <c r="QMN1" s="176" t="s">
        <v>196</v>
      </c>
      <c r="QMO1" s="176" t="s">
        <v>196</v>
      </c>
      <c r="QMP1" s="176" t="s">
        <v>196</v>
      </c>
      <c r="QMQ1" s="176" t="s">
        <v>196</v>
      </c>
      <c r="QMR1" s="176" t="s">
        <v>196</v>
      </c>
      <c r="QMS1" s="176" t="s">
        <v>196</v>
      </c>
      <c r="QMT1" s="176" t="s">
        <v>196</v>
      </c>
      <c r="QMU1" s="176" t="s">
        <v>196</v>
      </c>
      <c r="QMV1" s="176" t="s">
        <v>196</v>
      </c>
      <c r="QMW1" s="176" t="s">
        <v>196</v>
      </c>
      <c r="QMX1" s="176" t="s">
        <v>196</v>
      </c>
      <c r="QMY1" s="176" t="s">
        <v>196</v>
      </c>
      <c r="QMZ1" s="176" t="s">
        <v>196</v>
      </c>
      <c r="QNA1" s="176" t="s">
        <v>196</v>
      </c>
      <c r="QNB1" s="176" t="s">
        <v>196</v>
      </c>
      <c r="QNC1" s="176" t="s">
        <v>196</v>
      </c>
      <c r="QND1" s="176" t="s">
        <v>196</v>
      </c>
      <c r="QNE1" s="176" t="s">
        <v>196</v>
      </c>
      <c r="QNF1" s="176" t="s">
        <v>196</v>
      </c>
      <c r="QNG1" s="176" t="s">
        <v>196</v>
      </c>
      <c r="QNH1" s="176" t="s">
        <v>196</v>
      </c>
      <c r="QNI1" s="176" t="s">
        <v>196</v>
      </c>
      <c r="QNJ1" s="176" t="s">
        <v>196</v>
      </c>
      <c r="QNK1" s="176" t="s">
        <v>196</v>
      </c>
      <c r="QNL1" s="176" t="s">
        <v>196</v>
      </c>
      <c r="QNM1" s="176" t="s">
        <v>196</v>
      </c>
      <c r="QNN1" s="176" t="s">
        <v>196</v>
      </c>
      <c r="QNO1" s="176" t="s">
        <v>196</v>
      </c>
      <c r="QNP1" s="176" t="s">
        <v>196</v>
      </c>
      <c r="QNQ1" s="176" t="s">
        <v>196</v>
      </c>
      <c r="QNR1" s="176" t="s">
        <v>196</v>
      </c>
      <c r="QNS1" s="176" t="s">
        <v>196</v>
      </c>
      <c r="QNT1" s="176" t="s">
        <v>196</v>
      </c>
      <c r="QNU1" s="176" t="s">
        <v>196</v>
      </c>
      <c r="QNV1" s="176" t="s">
        <v>196</v>
      </c>
      <c r="QNW1" s="176" t="s">
        <v>196</v>
      </c>
      <c r="QNX1" s="176" t="s">
        <v>196</v>
      </c>
      <c r="QNY1" s="176" t="s">
        <v>196</v>
      </c>
      <c r="QNZ1" s="176" t="s">
        <v>196</v>
      </c>
      <c r="QOA1" s="176" t="s">
        <v>196</v>
      </c>
      <c r="QOB1" s="176" t="s">
        <v>196</v>
      </c>
      <c r="QOC1" s="176" t="s">
        <v>196</v>
      </c>
      <c r="QOD1" s="176" t="s">
        <v>196</v>
      </c>
      <c r="QOE1" s="176" t="s">
        <v>196</v>
      </c>
      <c r="QOF1" s="176" t="s">
        <v>196</v>
      </c>
      <c r="QOG1" s="176" t="s">
        <v>196</v>
      </c>
      <c r="QOH1" s="176" t="s">
        <v>196</v>
      </c>
      <c r="QOI1" s="176" t="s">
        <v>196</v>
      </c>
      <c r="QOJ1" s="176" t="s">
        <v>196</v>
      </c>
      <c r="QOK1" s="176" t="s">
        <v>196</v>
      </c>
      <c r="QOL1" s="176" t="s">
        <v>196</v>
      </c>
      <c r="QOM1" s="176" t="s">
        <v>196</v>
      </c>
      <c r="QON1" s="176" t="s">
        <v>196</v>
      </c>
      <c r="QOO1" s="176" t="s">
        <v>196</v>
      </c>
      <c r="QOP1" s="176" t="s">
        <v>196</v>
      </c>
      <c r="QOQ1" s="176" t="s">
        <v>196</v>
      </c>
      <c r="QOR1" s="176" t="s">
        <v>196</v>
      </c>
      <c r="QOS1" s="176" t="s">
        <v>196</v>
      </c>
      <c r="QOT1" s="176" t="s">
        <v>196</v>
      </c>
      <c r="QOU1" s="176" t="s">
        <v>196</v>
      </c>
      <c r="QOV1" s="176" t="s">
        <v>196</v>
      </c>
      <c r="QOW1" s="176" t="s">
        <v>196</v>
      </c>
      <c r="QOX1" s="176" t="s">
        <v>196</v>
      </c>
      <c r="QOY1" s="176" t="s">
        <v>196</v>
      </c>
      <c r="QOZ1" s="176" t="s">
        <v>196</v>
      </c>
      <c r="QPA1" s="176" t="s">
        <v>196</v>
      </c>
      <c r="QPB1" s="176" t="s">
        <v>196</v>
      </c>
      <c r="QPC1" s="176" t="s">
        <v>196</v>
      </c>
      <c r="QPD1" s="176" t="s">
        <v>196</v>
      </c>
      <c r="QPE1" s="176" t="s">
        <v>196</v>
      </c>
      <c r="QPF1" s="176" t="s">
        <v>196</v>
      </c>
      <c r="QPG1" s="176" t="s">
        <v>196</v>
      </c>
      <c r="QPH1" s="176" t="s">
        <v>196</v>
      </c>
      <c r="QPI1" s="176" t="s">
        <v>196</v>
      </c>
      <c r="QPJ1" s="176" t="s">
        <v>196</v>
      </c>
      <c r="QPK1" s="176" t="s">
        <v>196</v>
      </c>
      <c r="QPL1" s="176" t="s">
        <v>196</v>
      </c>
      <c r="QPM1" s="176" t="s">
        <v>196</v>
      </c>
      <c r="QPN1" s="176" t="s">
        <v>196</v>
      </c>
      <c r="QPO1" s="176" t="s">
        <v>196</v>
      </c>
      <c r="QPP1" s="176" t="s">
        <v>196</v>
      </c>
      <c r="QPQ1" s="176" t="s">
        <v>196</v>
      </c>
      <c r="QPR1" s="176" t="s">
        <v>196</v>
      </c>
      <c r="QPS1" s="176" t="s">
        <v>196</v>
      </c>
      <c r="QPT1" s="176" t="s">
        <v>196</v>
      </c>
      <c r="QPU1" s="176" t="s">
        <v>196</v>
      </c>
      <c r="QPV1" s="176" t="s">
        <v>196</v>
      </c>
      <c r="QPW1" s="176" t="s">
        <v>196</v>
      </c>
      <c r="QPX1" s="176" t="s">
        <v>196</v>
      </c>
      <c r="QPY1" s="176" t="s">
        <v>196</v>
      </c>
      <c r="QPZ1" s="176" t="s">
        <v>196</v>
      </c>
      <c r="QQA1" s="176" t="s">
        <v>196</v>
      </c>
      <c r="QQB1" s="176" t="s">
        <v>196</v>
      </c>
      <c r="QQC1" s="176" t="s">
        <v>196</v>
      </c>
      <c r="QQD1" s="176" t="s">
        <v>196</v>
      </c>
      <c r="QQE1" s="176" t="s">
        <v>196</v>
      </c>
      <c r="QQF1" s="176" t="s">
        <v>196</v>
      </c>
      <c r="QQG1" s="176" t="s">
        <v>196</v>
      </c>
      <c r="QQH1" s="176" t="s">
        <v>196</v>
      </c>
      <c r="QQI1" s="176" t="s">
        <v>196</v>
      </c>
      <c r="QQJ1" s="176" t="s">
        <v>196</v>
      </c>
      <c r="QQK1" s="176" t="s">
        <v>196</v>
      </c>
      <c r="QQL1" s="176" t="s">
        <v>196</v>
      </c>
      <c r="QQM1" s="176" t="s">
        <v>196</v>
      </c>
      <c r="QQN1" s="176" t="s">
        <v>196</v>
      </c>
      <c r="QQO1" s="176" t="s">
        <v>196</v>
      </c>
      <c r="QQP1" s="176" t="s">
        <v>196</v>
      </c>
      <c r="QQQ1" s="176" t="s">
        <v>196</v>
      </c>
      <c r="QQR1" s="176" t="s">
        <v>196</v>
      </c>
      <c r="QQS1" s="176" t="s">
        <v>196</v>
      </c>
      <c r="QQT1" s="176" t="s">
        <v>196</v>
      </c>
      <c r="QQU1" s="176" t="s">
        <v>196</v>
      </c>
      <c r="QQV1" s="176" t="s">
        <v>196</v>
      </c>
      <c r="QQW1" s="176" t="s">
        <v>196</v>
      </c>
      <c r="QQX1" s="176" t="s">
        <v>196</v>
      </c>
      <c r="QQY1" s="176" t="s">
        <v>196</v>
      </c>
      <c r="QQZ1" s="176" t="s">
        <v>196</v>
      </c>
      <c r="QRA1" s="176" t="s">
        <v>196</v>
      </c>
      <c r="QRB1" s="176" t="s">
        <v>196</v>
      </c>
      <c r="QRC1" s="176" t="s">
        <v>196</v>
      </c>
      <c r="QRD1" s="176" t="s">
        <v>196</v>
      </c>
      <c r="QRE1" s="176" t="s">
        <v>196</v>
      </c>
      <c r="QRF1" s="176" t="s">
        <v>196</v>
      </c>
      <c r="QRG1" s="176" t="s">
        <v>196</v>
      </c>
      <c r="QRH1" s="176" t="s">
        <v>196</v>
      </c>
      <c r="QRI1" s="176" t="s">
        <v>196</v>
      </c>
      <c r="QRJ1" s="176" t="s">
        <v>196</v>
      </c>
      <c r="QRK1" s="176" t="s">
        <v>196</v>
      </c>
      <c r="QRL1" s="176" t="s">
        <v>196</v>
      </c>
      <c r="QRM1" s="176" t="s">
        <v>196</v>
      </c>
      <c r="QRN1" s="176" t="s">
        <v>196</v>
      </c>
      <c r="QRO1" s="176" t="s">
        <v>196</v>
      </c>
      <c r="QRP1" s="176" t="s">
        <v>196</v>
      </c>
      <c r="QRQ1" s="176" t="s">
        <v>196</v>
      </c>
      <c r="QRR1" s="176" t="s">
        <v>196</v>
      </c>
      <c r="QRS1" s="176" t="s">
        <v>196</v>
      </c>
      <c r="QRT1" s="176" t="s">
        <v>196</v>
      </c>
      <c r="QRU1" s="176" t="s">
        <v>196</v>
      </c>
      <c r="QRV1" s="176" t="s">
        <v>196</v>
      </c>
      <c r="QRW1" s="176" t="s">
        <v>196</v>
      </c>
      <c r="QRX1" s="176" t="s">
        <v>196</v>
      </c>
      <c r="QRY1" s="176" t="s">
        <v>196</v>
      </c>
      <c r="QRZ1" s="176" t="s">
        <v>196</v>
      </c>
      <c r="QSA1" s="176" t="s">
        <v>196</v>
      </c>
      <c r="QSB1" s="176" t="s">
        <v>196</v>
      </c>
      <c r="QSC1" s="176" t="s">
        <v>196</v>
      </c>
      <c r="QSD1" s="176" t="s">
        <v>196</v>
      </c>
      <c r="QSE1" s="176" t="s">
        <v>196</v>
      </c>
      <c r="QSF1" s="176" t="s">
        <v>196</v>
      </c>
      <c r="QSG1" s="176" t="s">
        <v>196</v>
      </c>
      <c r="QSH1" s="176" t="s">
        <v>196</v>
      </c>
      <c r="QSI1" s="176" t="s">
        <v>196</v>
      </c>
      <c r="QSJ1" s="176" t="s">
        <v>196</v>
      </c>
      <c r="QSK1" s="176" t="s">
        <v>196</v>
      </c>
      <c r="QSL1" s="176" t="s">
        <v>196</v>
      </c>
      <c r="QSM1" s="176" t="s">
        <v>196</v>
      </c>
      <c r="QSN1" s="176" t="s">
        <v>196</v>
      </c>
      <c r="QSO1" s="176" t="s">
        <v>196</v>
      </c>
      <c r="QSP1" s="176" t="s">
        <v>196</v>
      </c>
      <c r="QSQ1" s="176" t="s">
        <v>196</v>
      </c>
      <c r="QSR1" s="176" t="s">
        <v>196</v>
      </c>
      <c r="QSS1" s="176" t="s">
        <v>196</v>
      </c>
      <c r="QST1" s="176" t="s">
        <v>196</v>
      </c>
      <c r="QSU1" s="176" t="s">
        <v>196</v>
      </c>
      <c r="QSV1" s="176" t="s">
        <v>196</v>
      </c>
      <c r="QSW1" s="176" t="s">
        <v>196</v>
      </c>
      <c r="QSX1" s="176" t="s">
        <v>196</v>
      </c>
      <c r="QSY1" s="176" t="s">
        <v>196</v>
      </c>
      <c r="QSZ1" s="176" t="s">
        <v>196</v>
      </c>
      <c r="QTA1" s="176" t="s">
        <v>196</v>
      </c>
      <c r="QTB1" s="176" t="s">
        <v>196</v>
      </c>
      <c r="QTC1" s="176" t="s">
        <v>196</v>
      </c>
      <c r="QTD1" s="176" t="s">
        <v>196</v>
      </c>
      <c r="QTE1" s="176" t="s">
        <v>196</v>
      </c>
      <c r="QTF1" s="176" t="s">
        <v>196</v>
      </c>
      <c r="QTG1" s="176" t="s">
        <v>196</v>
      </c>
      <c r="QTH1" s="176" t="s">
        <v>196</v>
      </c>
      <c r="QTI1" s="176" t="s">
        <v>196</v>
      </c>
      <c r="QTJ1" s="176" t="s">
        <v>196</v>
      </c>
      <c r="QTK1" s="176" t="s">
        <v>196</v>
      </c>
      <c r="QTL1" s="176" t="s">
        <v>196</v>
      </c>
      <c r="QTM1" s="176" t="s">
        <v>196</v>
      </c>
      <c r="QTN1" s="176" t="s">
        <v>196</v>
      </c>
      <c r="QTO1" s="176" t="s">
        <v>196</v>
      </c>
      <c r="QTP1" s="176" t="s">
        <v>196</v>
      </c>
      <c r="QTQ1" s="176" t="s">
        <v>196</v>
      </c>
      <c r="QTR1" s="176" t="s">
        <v>196</v>
      </c>
      <c r="QTS1" s="176" t="s">
        <v>196</v>
      </c>
      <c r="QTT1" s="176" t="s">
        <v>196</v>
      </c>
      <c r="QTU1" s="176" t="s">
        <v>196</v>
      </c>
      <c r="QTV1" s="176" t="s">
        <v>196</v>
      </c>
      <c r="QTW1" s="176" t="s">
        <v>196</v>
      </c>
      <c r="QTX1" s="176" t="s">
        <v>196</v>
      </c>
      <c r="QTY1" s="176" t="s">
        <v>196</v>
      </c>
      <c r="QTZ1" s="176" t="s">
        <v>196</v>
      </c>
      <c r="QUA1" s="176" t="s">
        <v>196</v>
      </c>
      <c r="QUB1" s="176" t="s">
        <v>196</v>
      </c>
      <c r="QUC1" s="176" t="s">
        <v>196</v>
      </c>
      <c r="QUD1" s="176" t="s">
        <v>196</v>
      </c>
      <c r="QUE1" s="176" t="s">
        <v>196</v>
      </c>
      <c r="QUF1" s="176" t="s">
        <v>196</v>
      </c>
      <c r="QUG1" s="176" t="s">
        <v>196</v>
      </c>
      <c r="QUH1" s="176" t="s">
        <v>196</v>
      </c>
      <c r="QUI1" s="176" t="s">
        <v>196</v>
      </c>
      <c r="QUJ1" s="176" t="s">
        <v>196</v>
      </c>
      <c r="QUK1" s="176" t="s">
        <v>196</v>
      </c>
      <c r="QUL1" s="176" t="s">
        <v>196</v>
      </c>
      <c r="QUM1" s="176" t="s">
        <v>196</v>
      </c>
      <c r="QUN1" s="176" t="s">
        <v>196</v>
      </c>
      <c r="QUO1" s="176" t="s">
        <v>196</v>
      </c>
      <c r="QUP1" s="176" t="s">
        <v>196</v>
      </c>
      <c r="QUQ1" s="176" t="s">
        <v>196</v>
      </c>
      <c r="QUR1" s="176" t="s">
        <v>196</v>
      </c>
      <c r="QUS1" s="176" t="s">
        <v>196</v>
      </c>
      <c r="QUT1" s="176" t="s">
        <v>196</v>
      </c>
      <c r="QUU1" s="176" t="s">
        <v>196</v>
      </c>
      <c r="QUV1" s="176" t="s">
        <v>196</v>
      </c>
      <c r="QUW1" s="176" t="s">
        <v>196</v>
      </c>
      <c r="QUX1" s="176" t="s">
        <v>196</v>
      </c>
      <c r="QUY1" s="176" t="s">
        <v>196</v>
      </c>
      <c r="QUZ1" s="176" t="s">
        <v>196</v>
      </c>
      <c r="QVA1" s="176" t="s">
        <v>196</v>
      </c>
      <c r="QVB1" s="176" t="s">
        <v>196</v>
      </c>
      <c r="QVC1" s="176" t="s">
        <v>196</v>
      </c>
      <c r="QVD1" s="176" t="s">
        <v>196</v>
      </c>
      <c r="QVE1" s="176" t="s">
        <v>196</v>
      </c>
      <c r="QVF1" s="176" t="s">
        <v>196</v>
      </c>
      <c r="QVG1" s="176" t="s">
        <v>196</v>
      </c>
      <c r="QVH1" s="176" t="s">
        <v>196</v>
      </c>
      <c r="QVI1" s="176" t="s">
        <v>196</v>
      </c>
      <c r="QVJ1" s="176" t="s">
        <v>196</v>
      </c>
      <c r="QVK1" s="176" t="s">
        <v>196</v>
      </c>
      <c r="QVL1" s="176" t="s">
        <v>196</v>
      </c>
      <c r="QVM1" s="176" t="s">
        <v>196</v>
      </c>
      <c r="QVN1" s="176" t="s">
        <v>196</v>
      </c>
      <c r="QVO1" s="176" t="s">
        <v>196</v>
      </c>
      <c r="QVP1" s="176" t="s">
        <v>196</v>
      </c>
      <c r="QVQ1" s="176" t="s">
        <v>196</v>
      </c>
      <c r="QVR1" s="176" t="s">
        <v>196</v>
      </c>
      <c r="QVS1" s="176" t="s">
        <v>196</v>
      </c>
      <c r="QVT1" s="176" t="s">
        <v>196</v>
      </c>
      <c r="QVU1" s="176" t="s">
        <v>196</v>
      </c>
      <c r="QVV1" s="176" t="s">
        <v>196</v>
      </c>
      <c r="QVW1" s="176" t="s">
        <v>196</v>
      </c>
      <c r="QVX1" s="176" t="s">
        <v>196</v>
      </c>
      <c r="QVY1" s="176" t="s">
        <v>196</v>
      </c>
      <c r="QVZ1" s="176" t="s">
        <v>196</v>
      </c>
      <c r="QWA1" s="176" t="s">
        <v>196</v>
      </c>
      <c r="QWB1" s="176" t="s">
        <v>196</v>
      </c>
      <c r="QWC1" s="176" t="s">
        <v>196</v>
      </c>
      <c r="QWD1" s="176" t="s">
        <v>196</v>
      </c>
      <c r="QWE1" s="176" t="s">
        <v>196</v>
      </c>
      <c r="QWF1" s="176" t="s">
        <v>196</v>
      </c>
      <c r="QWG1" s="176" t="s">
        <v>196</v>
      </c>
      <c r="QWH1" s="176" t="s">
        <v>196</v>
      </c>
      <c r="QWI1" s="176" t="s">
        <v>196</v>
      </c>
      <c r="QWJ1" s="176" t="s">
        <v>196</v>
      </c>
      <c r="QWK1" s="176" t="s">
        <v>196</v>
      </c>
      <c r="QWL1" s="176" t="s">
        <v>196</v>
      </c>
      <c r="QWM1" s="176" t="s">
        <v>196</v>
      </c>
      <c r="QWN1" s="176" t="s">
        <v>196</v>
      </c>
      <c r="QWO1" s="176" t="s">
        <v>196</v>
      </c>
      <c r="QWP1" s="176" t="s">
        <v>196</v>
      </c>
      <c r="QWQ1" s="176" t="s">
        <v>196</v>
      </c>
      <c r="QWR1" s="176" t="s">
        <v>196</v>
      </c>
      <c r="QWS1" s="176" t="s">
        <v>196</v>
      </c>
      <c r="QWT1" s="176" t="s">
        <v>196</v>
      </c>
      <c r="QWU1" s="176" t="s">
        <v>196</v>
      </c>
      <c r="QWV1" s="176" t="s">
        <v>196</v>
      </c>
      <c r="QWW1" s="176" t="s">
        <v>196</v>
      </c>
      <c r="QWX1" s="176" t="s">
        <v>196</v>
      </c>
      <c r="QWY1" s="176" t="s">
        <v>196</v>
      </c>
      <c r="QWZ1" s="176" t="s">
        <v>196</v>
      </c>
      <c r="QXA1" s="176" t="s">
        <v>196</v>
      </c>
      <c r="QXB1" s="176" t="s">
        <v>196</v>
      </c>
      <c r="QXC1" s="176" t="s">
        <v>196</v>
      </c>
      <c r="QXD1" s="176" t="s">
        <v>196</v>
      </c>
      <c r="QXE1" s="176" t="s">
        <v>196</v>
      </c>
      <c r="QXF1" s="176" t="s">
        <v>196</v>
      </c>
      <c r="QXG1" s="176" t="s">
        <v>196</v>
      </c>
      <c r="QXH1" s="176" t="s">
        <v>196</v>
      </c>
      <c r="QXI1" s="176" t="s">
        <v>196</v>
      </c>
      <c r="QXJ1" s="176" t="s">
        <v>196</v>
      </c>
      <c r="QXK1" s="176" t="s">
        <v>196</v>
      </c>
      <c r="QXL1" s="176" t="s">
        <v>196</v>
      </c>
      <c r="QXM1" s="176" t="s">
        <v>196</v>
      </c>
      <c r="QXN1" s="176" t="s">
        <v>196</v>
      </c>
      <c r="QXO1" s="176" t="s">
        <v>196</v>
      </c>
      <c r="QXP1" s="176" t="s">
        <v>196</v>
      </c>
      <c r="QXQ1" s="176" t="s">
        <v>196</v>
      </c>
      <c r="QXR1" s="176" t="s">
        <v>196</v>
      </c>
      <c r="QXS1" s="176" t="s">
        <v>196</v>
      </c>
      <c r="QXT1" s="176" t="s">
        <v>196</v>
      </c>
      <c r="QXU1" s="176" t="s">
        <v>196</v>
      </c>
      <c r="QXV1" s="176" t="s">
        <v>196</v>
      </c>
      <c r="QXW1" s="176" t="s">
        <v>196</v>
      </c>
      <c r="QXX1" s="176" t="s">
        <v>196</v>
      </c>
      <c r="QXY1" s="176" t="s">
        <v>196</v>
      </c>
      <c r="QXZ1" s="176" t="s">
        <v>196</v>
      </c>
      <c r="QYA1" s="176" t="s">
        <v>196</v>
      </c>
      <c r="QYB1" s="176" t="s">
        <v>196</v>
      </c>
      <c r="QYC1" s="176" t="s">
        <v>196</v>
      </c>
      <c r="QYD1" s="176" t="s">
        <v>196</v>
      </c>
      <c r="QYE1" s="176" t="s">
        <v>196</v>
      </c>
      <c r="QYF1" s="176" t="s">
        <v>196</v>
      </c>
      <c r="QYG1" s="176" t="s">
        <v>196</v>
      </c>
      <c r="QYH1" s="176" t="s">
        <v>196</v>
      </c>
      <c r="QYI1" s="176" t="s">
        <v>196</v>
      </c>
      <c r="QYJ1" s="176" t="s">
        <v>196</v>
      </c>
      <c r="QYK1" s="176" t="s">
        <v>196</v>
      </c>
      <c r="QYL1" s="176" t="s">
        <v>196</v>
      </c>
      <c r="QYM1" s="176" t="s">
        <v>196</v>
      </c>
      <c r="QYN1" s="176" t="s">
        <v>196</v>
      </c>
      <c r="QYO1" s="176" t="s">
        <v>196</v>
      </c>
      <c r="QYP1" s="176" t="s">
        <v>196</v>
      </c>
      <c r="QYQ1" s="176" t="s">
        <v>196</v>
      </c>
      <c r="QYR1" s="176" t="s">
        <v>196</v>
      </c>
      <c r="QYS1" s="176" t="s">
        <v>196</v>
      </c>
      <c r="QYT1" s="176" t="s">
        <v>196</v>
      </c>
      <c r="QYU1" s="176" t="s">
        <v>196</v>
      </c>
      <c r="QYV1" s="176" t="s">
        <v>196</v>
      </c>
      <c r="QYW1" s="176" t="s">
        <v>196</v>
      </c>
      <c r="QYX1" s="176" t="s">
        <v>196</v>
      </c>
      <c r="QYY1" s="176" t="s">
        <v>196</v>
      </c>
      <c r="QYZ1" s="176" t="s">
        <v>196</v>
      </c>
      <c r="QZA1" s="176" t="s">
        <v>196</v>
      </c>
      <c r="QZB1" s="176" t="s">
        <v>196</v>
      </c>
      <c r="QZC1" s="176" t="s">
        <v>196</v>
      </c>
      <c r="QZD1" s="176" t="s">
        <v>196</v>
      </c>
      <c r="QZE1" s="176" t="s">
        <v>196</v>
      </c>
      <c r="QZF1" s="176" t="s">
        <v>196</v>
      </c>
      <c r="QZG1" s="176" t="s">
        <v>196</v>
      </c>
      <c r="QZH1" s="176" t="s">
        <v>196</v>
      </c>
      <c r="QZI1" s="176" t="s">
        <v>196</v>
      </c>
      <c r="QZJ1" s="176" t="s">
        <v>196</v>
      </c>
      <c r="QZK1" s="176" t="s">
        <v>196</v>
      </c>
      <c r="QZL1" s="176" t="s">
        <v>196</v>
      </c>
      <c r="QZM1" s="176" t="s">
        <v>196</v>
      </c>
      <c r="QZN1" s="176" t="s">
        <v>196</v>
      </c>
      <c r="QZO1" s="176" t="s">
        <v>196</v>
      </c>
      <c r="QZP1" s="176" t="s">
        <v>196</v>
      </c>
      <c r="QZQ1" s="176" t="s">
        <v>196</v>
      </c>
      <c r="QZR1" s="176" t="s">
        <v>196</v>
      </c>
      <c r="QZS1" s="176" t="s">
        <v>196</v>
      </c>
      <c r="QZT1" s="176" t="s">
        <v>196</v>
      </c>
      <c r="QZU1" s="176" t="s">
        <v>196</v>
      </c>
      <c r="QZV1" s="176" t="s">
        <v>196</v>
      </c>
      <c r="QZW1" s="176" t="s">
        <v>196</v>
      </c>
      <c r="QZX1" s="176" t="s">
        <v>196</v>
      </c>
      <c r="QZY1" s="176" t="s">
        <v>196</v>
      </c>
      <c r="QZZ1" s="176" t="s">
        <v>196</v>
      </c>
      <c r="RAA1" s="176" t="s">
        <v>196</v>
      </c>
      <c r="RAB1" s="176" t="s">
        <v>196</v>
      </c>
      <c r="RAC1" s="176" t="s">
        <v>196</v>
      </c>
      <c r="RAD1" s="176" t="s">
        <v>196</v>
      </c>
      <c r="RAE1" s="176" t="s">
        <v>196</v>
      </c>
      <c r="RAF1" s="176" t="s">
        <v>196</v>
      </c>
      <c r="RAG1" s="176" t="s">
        <v>196</v>
      </c>
      <c r="RAH1" s="176" t="s">
        <v>196</v>
      </c>
      <c r="RAI1" s="176" t="s">
        <v>196</v>
      </c>
      <c r="RAJ1" s="176" t="s">
        <v>196</v>
      </c>
      <c r="RAK1" s="176" t="s">
        <v>196</v>
      </c>
      <c r="RAL1" s="176" t="s">
        <v>196</v>
      </c>
      <c r="RAM1" s="176" t="s">
        <v>196</v>
      </c>
      <c r="RAN1" s="176" t="s">
        <v>196</v>
      </c>
      <c r="RAO1" s="176" t="s">
        <v>196</v>
      </c>
      <c r="RAP1" s="176" t="s">
        <v>196</v>
      </c>
      <c r="RAQ1" s="176" t="s">
        <v>196</v>
      </c>
      <c r="RAR1" s="176" t="s">
        <v>196</v>
      </c>
      <c r="RAS1" s="176" t="s">
        <v>196</v>
      </c>
      <c r="RAT1" s="176" t="s">
        <v>196</v>
      </c>
      <c r="RAU1" s="176" t="s">
        <v>196</v>
      </c>
      <c r="RAV1" s="176" t="s">
        <v>196</v>
      </c>
      <c r="RAW1" s="176" t="s">
        <v>196</v>
      </c>
      <c r="RAX1" s="176" t="s">
        <v>196</v>
      </c>
      <c r="RAY1" s="176" t="s">
        <v>196</v>
      </c>
      <c r="RAZ1" s="176" t="s">
        <v>196</v>
      </c>
      <c r="RBA1" s="176" t="s">
        <v>196</v>
      </c>
      <c r="RBB1" s="176" t="s">
        <v>196</v>
      </c>
      <c r="RBC1" s="176" t="s">
        <v>196</v>
      </c>
      <c r="RBD1" s="176" t="s">
        <v>196</v>
      </c>
      <c r="RBE1" s="176" t="s">
        <v>196</v>
      </c>
      <c r="RBF1" s="176" t="s">
        <v>196</v>
      </c>
      <c r="RBG1" s="176" t="s">
        <v>196</v>
      </c>
      <c r="RBH1" s="176" t="s">
        <v>196</v>
      </c>
      <c r="RBI1" s="176" t="s">
        <v>196</v>
      </c>
      <c r="RBJ1" s="176" t="s">
        <v>196</v>
      </c>
      <c r="RBK1" s="176" t="s">
        <v>196</v>
      </c>
      <c r="RBL1" s="176" t="s">
        <v>196</v>
      </c>
      <c r="RBM1" s="176" t="s">
        <v>196</v>
      </c>
      <c r="RBN1" s="176" t="s">
        <v>196</v>
      </c>
      <c r="RBO1" s="176" t="s">
        <v>196</v>
      </c>
      <c r="RBP1" s="176" t="s">
        <v>196</v>
      </c>
      <c r="RBQ1" s="176" t="s">
        <v>196</v>
      </c>
      <c r="RBR1" s="176" t="s">
        <v>196</v>
      </c>
      <c r="RBS1" s="176" t="s">
        <v>196</v>
      </c>
      <c r="RBT1" s="176" t="s">
        <v>196</v>
      </c>
      <c r="RBU1" s="176" t="s">
        <v>196</v>
      </c>
      <c r="RBV1" s="176" t="s">
        <v>196</v>
      </c>
      <c r="RBW1" s="176" t="s">
        <v>196</v>
      </c>
      <c r="RBX1" s="176" t="s">
        <v>196</v>
      </c>
      <c r="RBY1" s="176" t="s">
        <v>196</v>
      </c>
      <c r="RBZ1" s="176" t="s">
        <v>196</v>
      </c>
      <c r="RCA1" s="176" t="s">
        <v>196</v>
      </c>
      <c r="RCB1" s="176" t="s">
        <v>196</v>
      </c>
      <c r="RCC1" s="176" t="s">
        <v>196</v>
      </c>
      <c r="RCD1" s="176" t="s">
        <v>196</v>
      </c>
      <c r="RCE1" s="176" t="s">
        <v>196</v>
      </c>
      <c r="RCF1" s="176" t="s">
        <v>196</v>
      </c>
      <c r="RCG1" s="176" t="s">
        <v>196</v>
      </c>
      <c r="RCH1" s="176" t="s">
        <v>196</v>
      </c>
      <c r="RCI1" s="176" t="s">
        <v>196</v>
      </c>
      <c r="RCJ1" s="176" t="s">
        <v>196</v>
      </c>
      <c r="RCK1" s="176" t="s">
        <v>196</v>
      </c>
      <c r="RCL1" s="176" t="s">
        <v>196</v>
      </c>
      <c r="RCM1" s="176" t="s">
        <v>196</v>
      </c>
      <c r="RCN1" s="176" t="s">
        <v>196</v>
      </c>
      <c r="RCO1" s="176" t="s">
        <v>196</v>
      </c>
      <c r="RCP1" s="176" t="s">
        <v>196</v>
      </c>
      <c r="RCQ1" s="176" t="s">
        <v>196</v>
      </c>
      <c r="RCR1" s="176" t="s">
        <v>196</v>
      </c>
      <c r="RCS1" s="176" t="s">
        <v>196</v>
      </c>
      <c r="RCT1" s="176" t="s">
        <v>196</v>
      </c>
      <c r="RCU1" s="176" t="s">
        <v>196</v>
      </c>
      <c r="RCV1" s="176" t="s">
        <v>196</v>
      </c>
      <c r="RCW1" s="176" t="s">
        <v>196</v>
      </c>
      <c r="RCX1" s="176" t="s">
        <v>196</v>
      </c>
      <c r="RCY1" s="176" t="s">
        <v>196</v>
      </c>
      <c r="RCZ1" s="176" t="s">
        <v>196</v>
      </c>
      <c r="RDA1" s="176" t="s">
        <v>196</v>
      </c>
      <c r="RDB1" s="176" t="s">
        <v>196</v>
      </c>
      <c r="RDC1" s="176" t="s">
        <v>196</v>
      </c>
      <c r="RDD1" s="176" t="s">
        <v>196</v>
      </c>
      <c r="RDE1" s="176" t="s">
        <v>196</v>
      </c>
      <c r="RDF1" s="176" t="s">
        <v>196</v>
      </c>
      <c r="RDG1" s="176" t="s">
        <v>196</v>
      </c>
      <c r="RDH1" s="176" t="s">
        <v>196</v>
      </c>
      <c r="RDI1" s="176" t="s">
        <v>196</v>
      </c>
      <c r="RDJ1" s="176" t="s">
        <v>196</v>
      </c>
      <c r="RDK1" s="176" t="s">
        <v>196</v>
      </c>
      <c r="RDL1" s="176" t="s">
        <v>196</v>
      </c>
      <c r="RDM1" s="176" t="s">
        <v>196</v>
      </c>
      <c r="RDN1" s="176" t="s">
        <v>196</v>
      </c>
      <c r="RDO1" s="176" t="s">
        <v>196</v>
      </c>
      <c r="RDP1" s="176" t="s">
        <v>196</v>
      </c>
      <c r="RDQ1" s="176" t="s">
        <v>196</v>
      </c>
      <c r="RDR1" s="176" t="s">
        <v>196</v>
      </c>
      <c r="RDS1" s="176" t="s">
        <v>196</v>
      </c>
      <c r="RDT1" s="176" t="s">
        <v>196</v>
      </c>
      <c r="RDU1" s="176" t="s">
        <v>196</v>
      </c>
      <c r="RDV1" s="176" t="s">
        <v>196</v>
      </c>
      <c r="RDW1" s="176" t="s">
        <v>196</v>
      </c>
      <c r="RDX1" s="176" t="s">
        <v>196</v>
      </c>
      <c r="RDY1" s="176" t="s">
        <v>196</v>
      </c>
      <c r="RDZ1" s="176" t="s">
        <v>196</v>
      </c>
      <c r="REA1" s="176" t="s">
        <v>196</v>
      </c>
      <c r="REB1" s="176" t="s">
        <v>196</v>
      </c>
      <c r="REC1" s="176" t="s">
        <v>196</v>
      </c>
      <c r="RED1" s="176" t="s">
        <v>196</v>
      </c>
      <c r="REE1" s="176" t="s">
        <v>196</v>
      </c>
      <c r="REF1" s="176" t="s">
        <v>196</v>
      </c>
      <c r="REG1" s="176" t="s">
        <v>196</v>
      </c>
      <c r="REH1" s="176" t="s">
        <v>196</v>
      </c>
      <c r="REI1" s="176" t="s">
        <v>196</v>
      </c>
      <c r="REJ1" s="176" t="s">
        <v>196</v>
      </c>
      <c r="REK1" s="176" t="s">
        <v>196</v>
      </c>
      <c r="REL1" s="176" t="s">
        <v>196</v>
      </c>
      <c r="REM1" s="176" t="s">
        <v>196</v>
      </c>
      <c r="REN1" s="176" t="s">
        <v>196</v>
      </c>
      <c r="REO1" s="176" t="s">
        <v>196</v>
      </c>
      <c r="REP1" s="176" t="s">
        <v>196</v>
      </c>
      <c r="REQ1" s="176" t="s">
        <v>196</v>
      </c>
      <c r="RER1" s="176" t="s">
        <v>196</v>
      </c>
      <c r="RES1" s="176" t="s">
        <v>196</v>
      </c>
      <c r="RET1" s="176" t="s">
        <v>196</v>
      </c>
      <c r="REU1" s="176" t="s">
        <v>196</v>
      </c>
      <c r="REV1" s="176" t="s">
        <v>196</v>
      </c>
      <c r="REW1" s="176" t="s">
        <v>196</v>
      </c>
      <c r="REX1" s="176" t="s">
        <v>196</v>
      </c>
      <c r="REY1" s="176" t="s">
        <v>196</v>
      </c>
      <c r="REZ1" s="176" t="s">
        <v>196</v>
      </c>
      <c r="RFA1" s="176" t="s">
        <v>196</v>
      </c>
      <c r="RFB1" s="176" t="s">
        <v>196</v>
      </c>
      <c r="RFC1" s="176" t="s">
        <v>196</v>
      </c>
      <c r="RFD1" s="176" t="s">
        <v>196</v>
      </c>
      <c r="RFE1" s="176" t="s">
        <v>196</v>
      </c>
      <c r="RFF1" s="176" t="s">
        <v>196</v>
      </c>
      <c r="RFG1" s="176" t="s">
        <v>196</v>
      </c>
      <c r="RFH1" s="176" t="s">
        <v>196</v>
      </c>
      <c r="RFI1" s="176" t="s">
        <v>196</v>
      </c>
      <c r="RFJ1" s="176" t="s">
        <v>196</v>
      </c>
      <c r="RFK1" s="176" t="s">
        <v>196</v>
      </c>
      <c r="RFL1" s="176" t="s">
        <v>196</v>
      </c>
      <c r="RFM1" s="176" t="s">
        <v>196</v>
      </c>
      <c r="RFN1" s="176" t="s">
        <v>196</v>
      </c>
      <c r="RFO1" s="176" t="s">
        <v>196</v>
      </c>
      <c r="RFP1" s="176" t="s">
        <v>196</v>
      </c>
      <c r="RFQ1" s="176" t="s">
        <v>196</v>
      </c>
      <c r="RFR1" s="176" t="s">
        <v>196</v>
      </c>
      <c r="RFS1" s="176" t="s">
        <v>196</v>
      </c>
      <c r="RFT1" s="176" t="s">
        <v>196</v>
      </c>
      <c r="RFU1" s="176" t="s">
        <v>196</v>
      </c>
      <c r="RFV1" s="176" t="s">
        <v>196</v>
      </c>
      <c r="RFW1" s="176" t="s">
        <v>196</v>
      </c>
      <c r="RFX1" s="176" t="s">
        <v>196</v>
      </c>
      <c r="RFY1" s="176" t="s">
        <v>196</v>
      </c>
      <c r="RFZ1" s="176" t="s">
        <v>196</v>
      </c>
      <c r="RGA1" s="176" t="s">
        <v>196</v>
      </c>
      <c r="RGB1" s="176" t="s">
        <v>196</v>
      </c>
      <c r="RGC1" s="176" t="s">
        <v>196</v>
      </c>
      <c r="RGD1" s="176" t="s">
        <v>196</v>
      </c>
      <c r="RGE1" s="176" t="s">
        <v>196</v>
      </c>
      <c r="RGF1" s="176" t="s">
        <v>196</v>
      </c>
      <c r="RGG1" s="176" t="s">
        <v>196</v>
      </c>
      <c r="RGH1" s="176" t="s">
        <v>196</v>
      </c>
      <c r="RGI1" s="176" t="s">
        <v>196</v>
      </c>
      <c r="RGJ1" s="176" t="s">
        <v>196</v>
      </c>
      <c r="RGK1" s="176" t="s">
        <v>196</v>
      </c>
      <c r="RGL1" s="176" t="s">
        <v>196</v>
      </c>
      <c r="RGM1" s="176" t="s">
        <v>196</v>
      </c>
      <c r="RGN1" s="176" t="s">
        <v>196</v>
      </c>
      <c r="RGO1" s="176" t="s">
        <v>196</v>
      </c>
      <c r="RGP1" s="176" t="s">
        <v>196</v>
      </c>
      <c r="RGQ1" s="176" t="s">
        <v>196</v>
      </c>
      <c r="RGR1" s="176" t="s">
        <v>196</v>
      </c>
      <c r="RGS1" s="176" t="s">
        <v>196</v>
      </c>
      <c r="RGT1" s="176" t="s">
        <v>196</v>
      </c>
      <c r="RGU1" s="176" t="s">
        <v>196</v>
      </c>
      <c r="RGV1" s="176" t="s">
        <v>196</v>
      </c>
      <c r="RGW1" s="176" t="s">
        <v>196</v>
      </c>
      <c r="RGX1" s="176" t="s">
        <v>196</v>
      </c>
      <c r="RGY1" s="176" t="s">
        <v>196</v>
      </c>
      <c r="RGZ1" s="176" t="s">
        <v>196</v>
      </c>
      <c r="RHA1" s="176" t="s">
        <v>196</v>
      </c>
      <c r="RHB1" s="176" t="s">
        <v>196</v>
      </c>
      <c r="RHC1" s="176" t="s">
        <v>196</v>
      </c>
      <c r="RHD1" s="176" t="s">
        <v>196</v>
      </c>
      <c r="RHE1" s="176" t="s">
        <v>196</v>
      </c>
      <c r="RHF1" s="176" t="s">
        <v>196</v>
      </c>
      <c r="RHG1" s="176" t="s">
        <v>196</v>
      </c>
      <c r="RHH1" s="176" t="s">
        <v>196</v>
      </c>
      <c r="RHI1" s="176" t="s">
        <v>196</v>
      </c>
      <c r="RHJ1" s="176" t="s">
        <v>196</v>
      </c>
      <c r="RHK1" s="176" t="s">
        <v>196</v>
      </c>
      <c r="RHL1" s="176" t="s">
        <v>196</v>
      </c>
      <c r="RHM1" s="176" t="s">
        <v>196</v>
      </c>
      <c r="RHN1" s="176" t="s">
        <v>196</v>
      </c>
      <c r="RHO1" s="176" t="s">
        <v>196</v>
      </c>
      <c r="RHP1" s="176" t="s">
        <v>196</v>
      </c>
      <c r="RHQ1" s="176" t="s">
        <v>196</v>
      </c>
      <c r="RHR1" s="176" t="s">
        <v>196</v>
      </c>
      <c r="RHS1" s="176" t="s">
        <v>196</v>
      </c>
      <c r="RHT1" s="176" t="s">
        <v>196</v>
      </c>
      <c r="RHU1" s="176" t="s">
        <v>196</v>
      </c>
      <c r="RHV1" s="176" t="s">
        <v>196</v>
      </c>
      <c r="RHW1" s="176" t="s">
        <v>196</v>
      </c>
      <c r="RHX1" s="176" t="s">
        <v>196</v>
      </c>
      <c r="RHY1" s="176" t="s">
        <v>196</v>
      </c>
      <c r="RHZ1" s="176" t="s">
        <v>196</v>
      </c>
      <c r="RIA1" s="176" t="s">
        <v>196</v>
      </c>
      <c r="RIB1" s="176" t="s">
        <v>196</v>
      </c>
      <c r="RIC1" s="176" t="s">
        <v>196</v>
      </c>
      <c r="RID1" s="176" t="s">
        <v>196</v>
      </c>
      <c r="RIE1" s="176" t="s">
        <v>196</v>
      </c>
      <c r="RIF1" s="176" t="s">
        <v>196</v>
      </c>
      <c r="RIG1" s="176" t="s">
        <v>196</v>
      </c>
      <c r="RIH1" s="176" t="s">
        <v>196</v>
      </c>
      <c r="RII1" s="176" t="s">
        <v>196</v>
      </c>
      <c r="RIJ1" s="176" t="s">
        <v>196</v>
      </c>
      <c r="RIK1" s="176" t="s">
        <v>196</v>
      </c>
      <c r="RIL1" s="176" t="s">
        <v>196</v>
      </c>
      <c r="RIM1" s="176" t="s">
        <v>196</v>
      </c>
      <c r="RIN1" s="176" t="s">
        <v>196</v>
      </c>
      <c r="RIO1" s="176" t="s">
        <v>196</v>
      </c>
      <c r="RIP1" s="176" t="s">
        <v>196</v>
      </c>
      <c r="RIQ1" s="176" t="s">
        <v>196</v>
      </c>
      <c r="RIR1" s="176" t="s">
        <v>196</v>
      </c>
      <c r="RIS1" s="176" t="s">
        <v>196</v>
      </c>
      <c r="RIT1" s="176" t="s">
        <v>196</v>
      </c>
      <c r="RIU1" s="176" t="s">
        <v>196</v>
      </c>
      <c r="RIV1" s="176" t="s">
        <v>196</v>
      </c>
      <c r="RIW1" s="176" t="s">
        <v>196</v>
      </c>
      <c r="RIX1" s="176" t="s">
        <v>196</v>
      </c>
      <c r="RIY1" s="176" t="s">
        <v>196</v>
      </c>
      <c r="RIZ1" s="176" t="s">
        <v>196</v>
      </c>
      <c r="RJA1" s="176" t="s">
        <v>196</v>
      </c>
      <c r="RJB1" s="176" t="s">
        <v>196</v>
      </c>
      <c r="RJC1" s="176" t="s">
        <v>196</v>
      </c>
      <c r="RJD1" s="176" t="s">
        <v>196</v>
      </c>
      <c r="RJE1" s="176" t="s">
        <v>196</v>
      </c>
      <c r="RJF1" s="176" t="s">
        <v>196</v>
      </c>
      <c r="RJG1" s="176" t="s">
        <v>196</v>
      </c>
      <c r="RJH1" s="176" t="s">
        <v>196</v>
      </c>
      <c r="RJI1" s="176" t="s">
        <v>196</v>
      </c>
      <c r="RJJ1" s="176" t="s">
        <v>196</v>
      </c>
      <c r="RJK1" s="176" t="s">
        <v>196</v>
      </c>
      <c r="RJL1" s="176" t="s">
        <v>196</v>
      </c>
      <c r="RJM1" s="176" t="s">
        <v>196</v>
      </c>
      <c r="RJN1" s="176" t="s">
        <v>196</v>
      </c>
      <c r="RJO1" s="176" t="s">
        <v>196</v>
      </c>
      <c r="RJP1" s="176" t="s">
        <v>196</v>
      </c>
      <c r="RJQ1" s="176" t="s">
        <v>196</v>
      </c>
      <c r="RJR1" s="176" t="s">
        <v>196</v>
      </c>
      <c r="RJS1" s="176" t="s">
        <v>196</v>
      </c>
      <c r="RJT1" s="176" t="s">
        <v>196</v>
      </c>
      <c r="RJU1" s="176" t="s">
        <v>196</v>
      </c>
      <c r="RJV1" s="176" t="s">
        <v>196</v>
      </c>
      <c r="RJW1" s="176" t="s">
        <v>196</v>
      </c>
      <c r="RJX1" s="176" t="s">
        <v>196</v>
      </c>
      <c r="RJY1" s="176" t="s">
        <v>196</v>
      </c>
      <c r="RJZ1" s="176" t="s">
        <v>196</v>
      </c>
      <c r="RKA1" s="176" t="s">
        <v>196</v>
      </c>
      <c r="RKB1" s="176" t="s">
        <v>196</v>
      </c>
      <c r="RKC1" s="176" t="s">
        <v>196</v>
      </c>
      <c r="RKD1" s="176" t="s">
        <v>196</v>
      </c>
      <c r="RKE1" s="176" t="s">
        <v>196</v>
      </c>
      <c r="RKF1" s="176" t="s">
        <v>196</v>
      </c>
      <c r="RKG1" s="176" t="s">
        <v>196</v>
      </c>
      <c r="RKH1" s="176" t="s">
        <v>196</v>
      </c>
      <c r="RKI1" s="176" t="s">
        <v>196</v>
      </c>
      <c r="RKJ1" s="176" t="s">
        <v>196</v>
      </c>
      <c r="RKK1" s="176" t="s">
        <v>196</v>
      </c>
      <c r="RKL1" s="176" t="s">
        <v>196</v>
      </c>
      <c r="RKM1" s="176" t="s">
        <v>196</v>
      </c>
      <c r="RKN1" s="176" t="s">
        <v>196</v>
      </c>
      <c r="RKO1" s="176" t="s">
        <v>196</v>
      </c>
      <c r="RKP1" s="176" t="s">
        <v>196</v>
      </c>
      <c r="RKQ1" s="176" t="s">
        <v>196</v>
      </c>
      <c r="RKR1" s="176" t="s">
        <v>196</v>
      </c>
      <c r="RKS1" s="176" t="s">
        <v>196</v>
      </c>
      <c r="RKT1" s="176" t="s">
        <v>196</v>
      </c>
      <c r="RKU1" s="176" t="s">
        <v>196</v>
      </c>
      <c r="RKV1" s="176" t="s">
        <v>196</v>
      </c>
      <c r="RKW1" s="176" t="s">
        <v>196</v>
      </c>
      <c r="RKX1" s="176" t="s">
        <v>196</v>
      </c>
      <c r="RKY1" s="176" t="s">
        <v>196</v>
      </c>
      <c r="RKZ1" s="176" t="s">
        <v>196</v>
      </c>
      <c r="RLA1" s="176" t="s">
        <v>196</v>
      </c>
      <c r="RLB1" s="176" t="s">
        <v>196</v>
      </c>
      <c r="RLC1" s="176" t="s">
        <v>196</v>
      </c>
      <c r="RLD1" s="176" t="s">
        <v>196</v>
      </c>
      <c r="RLE1" s="176" t="s">
        <v>196</v>
      </c>
      <c r="RLF1" s="176" t="s">
        <v>196</v>
      </c>
      <c r="RLG1" s="176" t="s">
        <v>196</v>
      </c>
      <c r="RLH1" s="176" t="s">
        <v>196</v>
      </c>
      <c r="RLI1" s="176" t="s">
        <v>196</v>
      </c>
      <c r="RLJ1" s="176" t="s">
        <v>196</v>
      </c>
      <c r="RLK1" s="176" t="s">
        <v>196</v>
      </c>
      <c r="RLL1" s="176" t="s">
        <v>196</v>
      </c>
      <c r="RLM1" s="176" t="s">
        <v>196</v>
      </c>
      <c r="RLN1" s="176" t="s">
        <v>196</v>
      </c>
      <c r="RLO1" s="176" t="s">
        <v>196</v>
      </c>
      <c r="RLP1" s="176" t="s">
        <v>196</v>
      </c>
      <c r="RLQ1" s="176" t="s">
        <v>196</v>
      </c>
      <c r="RLR1" s="176" t="s">
        <v>196</v>
      </c>
      <c r="RLS1" s="176" t="s">
        <v>196</v>
      </c>
      <c r="RLT1" s="176" t="s">
        <v>196</v>
      </c>
      <c r="RLU1" s="176" t="s">
        <v>196</v>
      </c>
      <c r="RLV1" s="176" t="s">
        <v>196</v>
      </c>
      <c r="RLW1" s="176" t="s">
        <v>196</v>
      </c>
      <c r="RLX1" s="176" t="s">
        <v>196</v>
      </c>
      <c r="RLY1" s="176" t="s">
        <v>196</v>
      </c>
      <c r="RLZ1" s="176" t="s">
        <v>196</v>
      </c>
      <c r="RMA1" s="176" t="s">
        <v>196</v>
      </c>
      <c r="RMB1" s="176" t="s">
        <v>196</v>
      </c>
      <c r="RMC1" s="176" t="s">
        <v>196</v>
      </c>
      <c r="RMD1" s="176" t="s">
        <v>196</v>
      </c>
      <c r="RME1" s="176" t="s">
        <v>196</v>
      </c>
      <c r="RMF1" s="176" t="s">
        <v>196</v>
      </c>
      <c r="RMG1" s="176" t="s">
        <v>196</v>
      </c>
      <c r="RMH1" s="176" t="s">
        <v>196</v>
      </c>
      <c r="RMI1" s="176" t="s">
        <v>196</v>
      </c>
      <c r="RMJ1" s="176" t="s">
        <v>196</v>
      </c>
      <c r="RMK1" s="176" t="s">
        <v>196</v>
      </c>
      <c r="RML1" s="176" t="s">
        <v>196</v>
      </c>
      <c r="RMM1" s="176" t="s">
        <v>196</v>
      </c>
      <c r="RMN1" s="176" t="s">
        <v>196</v>
      </c>
      <c r="RMO1" s="176" t="s">
        <v>196</v>
      </c>
      <c r="RMP1" s="176" t="s">
        <v>196</v>
      </c>
      <c r="RMQ1" s="176" t="s">
        <v>196</v>
      </c>
      <c r="RMR1" s="176" t="s">
        <v>196</v>
      </c>
      <c r="RMS1" s="176" t="s">
        <v>196</v>
      </c>
      <c r="RMT1" s="176" t="s">
        <v>196</v>
      </c>
      <c r="RMU1" s="176" t="s">
        <v>196</v>
      </c>
      <c r="RMV1" s="176" t="s">
        <v>196</v>
      </c>
      <c r="RMW1" s="176" t="s">
        <v>196</v>
      </c>
      <c r="RMX1" s="176" t="s">
        <v>196</v>
      </c>
      <c r="RMY1" s="176" t="s">
        <v>196</v>
      </c>
      <c r="RMZ1" s="176" t="s">
        <v>196</v>
      </c>
      <c r="RNA1" s="176" t="s">
        <v>196</v>
      </c>
      <c r="RNB1" s="176" t="s">
        <v>196</v>
      </c>
      <c r="RNC1" s="176" t="s">
        <v>196</v>
      </c>
      <c r="RND1" s="176" t="s">
        <v>196</v>
      </c>
      <c r="RNE1" s="176" t="s">
        <v>196</v>
      </c>
      <c r="RNF1" s="176" t="s">
        <v>196</v>
      </c>
      <c r="RNG1" s="176" t="s">
        <v>196</v>
      </c>
      <c r="RNH1" s="176" t="s">
        <v>196</v>
      </c>
      <c r="RNI1" s="176" t="s">
        <v>196</v>
      </c>
      <c r="RNJ1" s="176" t="s">
        <v>196</v>
      </c>
      <c r="RNK1" s="176" t="s">
        <v>196</v>
      </c>
      <c r="RNL1" s="176" t="s">
        <v>196</v>
      </c>
      <c r="RNM1" s="176" t="s">
        <v>196</v>
      </c>
      <c r="RNN1" s="176" t="s">
        <v>196</v>
      </c>
      <c r="RNO1" s="176" t="s">
        <v>196</v>
      </c>
      <c r="RNP1" s="176" t="s">
        <v>196</v>
      </c>
      <c r="RNQ1" s="176" t="s">
        <v>196</v>
      </c>
      <c r="RNR1" s="176" t="s">
        <v>196</v>
      </c>
      <c r="RNS1" s="176" t="s">
        <v>196</v>
      </c>
      <c r="RNT1" s="176" t="s">
        <v>196</v>
      </c>
      <c r="RNU1" s="176" t="s">
        <v>196</v>
      </c>
      <c r="RNV1" s="176" t="s">
        <v>196</v>
      </c>
      <c r="RNW1" s="176" t="s">
        <v>196</v>
      </c>
      <c r="RNX1" s="176" t="s">
        <v>196</v>
      </c>
      <c r="RNY1" s="176" t="s">
        <v>196</v>
      </c>
      <c r="RNZ1" s="176" t="s">
        <v>196</v>
      </c>
      <c r="ROA1" s="176" t="s">
        <v>196</v>
      </c>
      <c r="ROB1" s="176" t="s">
        <v>196</v>
      </c>
      <c r="ROC1" s="176" t="s">
        <v>196</v>
      </c>
      <c r="ROD1" s="176" t="s">
        <v>196</v>
      </c>
      <c r="ROE1" s="176" t="s">
        <v>196</v>
      </c>
      <c r="ROF1" s="176" t="s">
        <v>196</v>
      </c>
      <c r="ROG1" s="176" t="s">
        <v>196</v>
      </c>
      <c r="ROH1" s="176" t="s">
        <v>196</v>
      </c>
      <c r="ROI1" s="176" t="s">
        <v>196</v>
      </c>
      <c r="ROJ1" s="176" t="s">
        <v>196</v>
      </c>
      <c r="ROK1" s="176" t="s">
        <v>196</v>
      </c>
      <c r="ROL1" s="176" t="s">
        <v>196</v>
      </c>
      <c r="ROM1" s="176" t="s">
        <v>196</v>
      </c>
      <c r="RON1" s="176" t="s">
        <v>196</v>
      </c>
      <c r="ROO1" s="176" t="s">
        <v>196</v>
      </c>
      <c r="ROP1" s="176" t="s">
        <v>196</v>
      </c>
      <c r="ROQ1" s="176" t="s">
        <v>196</v>
      </c>
      <c r="ROR1" s="176" t="s">
        <v>196</v>
      </c>
      <c r="ROS1" s="176" t="s">
        <v>196</v>
      </c>
      <c r="ROT1" s="176" t="s">
        <v>196</v>
      </c>
      <c r="ROU1" s="176" t="s">
        <v>196</v>
      </c>
      <c r="ROV1" s="176" t="s">
        <v>196</v>
      </c>
      <c r="ROW1" s="176" t="s">
        <v>196</v>
      </c>
      <c r="ROX1" s="176" t="s">
        <v>196</v>
      </c>
      <c r="ROY1" s="176" t="s">
        <v>196</v>
      </c>
      <c r="ROZ1" s="176" t="s">
        <v>196</v>
      </c>
      <c r="RPA1" s="176" t="s">
        <v>196</v>
      </c>
      <c r="RPB1" s="176" t="s">
        <v>196</v>
      </c>
      <c r="RPC1" s="176" t="s">
        <v>196</v>
      </c>
      <c r="RPD1" s="176" t="s">
        <v>196</v>
      </c>
      <c r="RPE1" s="176" t="s">
        <v>196</v>
      </c>
      <c r="RPF1" s="176" t="s">
        <v>196</v>
      </c>
      <c r="RPG1" s="176" t="s">
        <v>196</v>
      </c>
      <c r="RPH1" s="176" t="s">
        <v>196</v>
      </c>
      <c r="RPI1" s="176" t="s">
        <v>196</v>
      </c>
      <c r="RPJ1" s="176" t="s">
        <v>196</v>
      </c>
      <c r="RPK1" s="176" t="s">
        <v>196</v>
      </c>
      <c r="RPL1" s="176" t="s">
        <v>196</v>
      </c>
      <c r="RPM1" s="176" t="s">
        <v>196</v>
      </c>
      <c r="RPN1" s="176" t="s">
        <v>196</v>
      </c>
      <c r="RPO1" s="176" t="s">
        <v>196</v>
      </c>
      <c r="RPP1" s="176" t="s">
        <v>196</v>
      </c>
      <c r="RPQ1" s="176" t="s">
        <v>196</v>
      </c>
      <c r="RPR1" s="176" t="s">
        <v>196</v>
      </c>
      <c r="RPS1" s="176" t="s">
        <v>196</v>
      </c>
      <c r="RPT1" s="176" t="s">
        <v>196</v>
      </c>
      <c r="RPU1" s="176" t="s">
        <v>196</v>
      </c>
      <c r="RPV1" s="176" t="s">
        <v>196</v>
      </c>
      <c r="RPW1" s="176" t="s">
        <v>196</v>
      </c>
      <c r="RPX1" s="176" t="s">
        <v>196</v>
      </c>
      <c r="RPY1" s="176" t="s">
        <v>196</v>
      </c>
      <c r="RPZ1" s="176" t="s">
        <v>196</v>
      </c>
      <c r="RQA1" s="176" t="s">
        <v>196</v>
      </c>
      <c r="RQB1" s="176" t="s">
        <v>196</v>
      </c>
      <c r="RQC1" s="176" t="s">
        <v>196</v>
      </c>
      <c r="RQD1" s="176" t="s">
        <v>196</v>
      </c>
      <c r="RQE1" s="176" t="s">
        <v>196</v>
      </c>
      <c r="RQF1" s="176" t="s">
        <v>196</v>
      </c>
      <c r="RQG1" s="176" t="s">
        <v>196</v>
      </c>
      <c r="RQH1" s="176" t="s">
        <v>196</v>
      </c>
      <c r="RQI1" s="176" t="s">
        <v>196</v>
      </c>
      <c r="RQJ1" s="176" t="s">
        <v>196</v>
      </c>
      <c r="RQK1" s="176" t="s">
        <v>196</v>
      </c>
      <c r="RQL1" s="176" t="s">
        <v>196</v>
      </c>
      <c r="RQM1" s="176" t="s">
        <v>196</v>
      </c>
      <c r="RQN1" s="176" t="s">
        <v>196</v>
      </c>
      <c r="RQO1" s="176" t="s">
        <v>196</v>
      </c>
      <c r="RQP1" s="176" t="s">
        <v>196</v>
      </c>
      <c r="RQQ1" s="176" t="s">
        <v>196</v>
      </c>
      <c r="RQR1" s="176" t="s">
        <v>196</v>
      </c>
      <c r="RQS1" s="176" t="s">
        <v>196</v>
      </c>
      <c r="RQT1" s="176" t="s">
        <v>196</v>
      </c>
      <c r="RQU1" s="176" t="s">
        <v>196</v>
      </c>
      <c r="RQV1" s="176" t="s">
        <v>196</v>
      </c>
      <c r="RQW1" s="176" t="s">
        <v>196</v>
      </c>
      <c r="RQX1" s="176" t="s">
        <v>196</v>
      </c>
      <c r="RQY1" s="176" t="s">
        <v>196</v>
      </c>
      <c r="RQZ1" s="176" t="s">
        <v>196</v>
      </c>
      <c r="RRA1" s="176" t="s">
        <v>196</v>
      </c>
      <c r="RRB1" s="176" t="s">
        <v>196</v>
      </c>
      <c r="RRC1" s="176" t="s">
        <v>196</v>
      </c>
      <c r="RRD1" s="176" t="s">
        <v>196</v>
      </c>
      <c r="RRE1" s="176" t="s">
        <v>196</v>
      </c>
      <c r="RRF1" s="176" t="s">
        <v>196</v>
      </c>
      <c r="RRG1" s="176" t="s">
        <v>196</v>
      </c>
      <c r="RRH1" s="176" t="s">
        <v>196</v>
      </c>
      <c r="RRI1" s="176" t="s">
        <v>196</v>
      </c>
      <c r="RRJ1" s="176" t="s">
        <v>196</v>
      </c>
      <c r="RRK1" s="176" t="s">
        <v>196</v>
      </c>
      <c r="RRL1" s="176" t="s">
        <v>196</v>
      </c>
      <c r="RRM1" s="176" t="s">
        <v>196</v>
      </c>
      <c r="RRN1" s="176" t="s">
        <v>196</v>
      </c>
      <c r="RRO1" s="176" t="s">
        <v>196</v>
      </c>
      <c r="RRP1" s="176" t="s">
        <v>196</v>
      </c>
      <c r="RRQ1" s="176" t="s">
        <v>196</v>
      </c>
      <c r="RRR1" s="176" t="s">
        <v>196</v>
      </c>
      <c r="RRS1" s="176" t="s">
        <v>196</v>
      </c>
      <c r="RRT1" s="176" t="s">
        <v>196</v>
      </c>
      <c r="RRU1" s="176" t="s">
        <v>196</v>
      </c>
      <c r="RRV1" s="176" t="s">
        <v>196</v>
      </c>
      <c r="RRW1" s="176" t="s">
        <v>196</v>
      </c>
      <c r="RRX1" s="176" t="s">
        <v>196</v>
      </c>
      <c r="RRY1" s="176" t="s">
        <v>196</v>
      </c>
      <c r="RRZ1" s="176" t="s">
        <v>196</v>
      </c>
      <c r="RSA1" s="176" t="s">
        <v>196</v>
      </c>
      <c r="RSB1" s="176" t="s">
        <v>196</v>
      </c>
      <c r="RSC1" s="176" t="s">
        <v>196</v>
      </c>
      <c r="RSD1" s="176" t="s">
        <v>196</v>
      </c>
      <c r="RSE1" s="176" t="s">
        <v>196</v>
      </c>
      <c r="RSF1" s="176" t="s">
        <v>196</v>
      </c>
      <c r="RSG1" s="176" t="s">
        <v>196</v>
      </c>
      <c r="RSH1" s="176" t="s">
        <v>196</v>
      </c>
      <c r="RSI1" s="176" t="s">
        <v>196</v>
      </c>
      <c r="RSJ1" s="176" t="s">
        <v>196</v>
      </c>
      <c r="RSK1" s="176" t="s">
        <v>196</v>
      </c>
      <c r="RSL1" s="176" t="s">
        <v>196</v>
      </c>
      <c r="RSM1" s="176" t="s">
        <v>196</v>
      </c>
      <c r="RSN1" s="176" t="s">
        <v>196</v>
      </c>
      <c r="RSO1" s="176" t="s">
        <v>196</v>
      </c>
      <c r="RSP1" s="176" t="s">
        <v>196</v>
      </c>
      <c r="RSQ1" s="176" t="s">
        <v>196</v>
      </c>
      <c r="RSR1" s="176" t="s">
        <v>196</v>
      </c>
      <c r="RSS1" s="176" t="s">
        <v>196</v>
      </c>
      <c r="RST1" s="176" t="s">
        <v>196</v>
      </c>
      <c r="RSU1" s="176" t="s">
        <v>196</v>
      </c>
      <c r="RSV1" s="176" t="s">
        <v>196</v>
      </c>
      <c r="RSW1" s="176" t="s">
        <v>196</v>
      </c>
      <c r="RSX1" s="176" t="s">
        <v>196</v>
      </c>
      <c r="RSY1" s="176" t="s">
        <v>196</v>
      </c>
      <c r="RSZ1" s="176" t="s">
        <v>196</v>
      </c>
      <c r="RTA1" s="176" t="s">
        <v>196</v>
      </c>
      <c r="RTB1" s="176" t="s">
        <v>196</v>
      </c>
      <c r="RTC1" s="176" t="s">
        <v>196</v>
      </c>
      <c r="RTD1" s="176" t="s">
        <v>196</v>
      </c>
      <c r="RTE1" s="176" t="s">
        <v>196</v>
      </c>
      <c r="RTF1" s="176" t="s">
        <v>196</v>
      </c>
      <c r="RTG1" s="176" t="s">
        <v>196</v>
      </c>
      <c r="RTH1" s="176" t="s">
        <v>196</v>
      </c>
      <c r="RTI1" s="176" t="s">
        <v>196</v>
      </c>
      <c r="RTJ1" s="176" t="s">
        <v>196</v>
      </c>
      <c r="RTK1" s="176" t="s">
        <v>196</v>
      </c>
      <c r="RTL1" s="176" t="s">
        <v>196</v>
      </c>
      <c r="RTM1" s="176" t="s">
        <v>196</v>
      </c>
      <c r="RTN1" s="176" t="s">
        <v>196</v>
      </c>
      <c r="RTO1" s="176" t="s">
        <v>196</v>
      </c>
      <c r="RTP1" s="176" t="s">
        <v>196</v>
      </c>
      <c r="RTQ1" s="176" t="s">
        <v>196</v>
      </c>
      <c r="RTR1" s="176" t="s">
        <v>196</v>
      </c>
      <c r="RTS1" s="176" t="s">
        <v>196</v>
      </c>
      <c r="RTT1" s="176" t="s">
        <v>196</v>
      </c>
      <c r="RTU1" s="176" t="s">
        <v>196</v>
      </c>
      <c r="RTV1" s="176" t="s">
        <v>196</v>
      </c>
      <c r="RTW1" s="176" t="s">
        <v>196</v>
      </c>
      <c r="RTX1" s="176" t="s">
        <v>196</v>
      </c>
      <c r="RTY1" s="176" t="s">
        <v>196</v>
      </c>
      <c r="RTZ1" s="176" t="s">
        <v>196</v>
      </c>
      <c r="RUA1" s="176" t="s">
        <v>196</v>
      </c>
      <c r="RUB1" s="176" t="s">
        <v>196</v>
      </c>
      <c r="RUC1" s="176" t="s">
        <v>196</v>
      </c>
      <c r="RUD1" s="176" t="s">
        <v>196</v>
      </c>
      <c r="RUE1" s="176" t="s">
        <v>196</v>
      </c>
      <c r="RUF1" s="176" t="s">
        <v>196</v>
      </c>
      <c r="RUG1" s="176" t="s">
        <v>196</v>
      </c>
      <c r="RUH1" s="176" t="s">
        <v>196</v>
      </c>
      <c r="RUI1" s="176" t="s">
        <v>196</v>
      </c>
      <c r="RUJ1" s="176" t="s">
        <v>196</v>
      </c>
      <c r="RUK1" s="176" t="s">
        <v>196</v>
      </c>
      <c r="RUL1" s="176" t="s">
        <v>196</v>
      </c>
      <c r="RUM1" s="176" t="s">
        <v>196</v>
      </c>
      <c r="RUN1" s="176" t="s">
        <v>196</v>
      </c>
      <c r="RUO1" s="176" t="s">
        <v>196</v>
      </c>
      <c r="RUP1" s="176" t="s">
        <v>196</v>
      </c>
      <c r="RUQ1" s="176" t="s">
        <v>196</v>
      </c>
      <c r="RUR1" s="176" t="s">
        <v>196</v>
      </c>
      <c r="RUS1" s="176" t="s">
        <v>196</v>
      </c>
      <c r="RUT1" s="176" t="s">
        <v>196</v>
      </c>
      <c r="RUU1" s="176" t="s">
        <v>196</v>
      </c>
      <c r="RUV1" s="176" t="s">
        <v>196</v>
      </c>
      <c r="RUW1" s="176" t="s">
        <v>196</v>
      </c>
      <c r="RUX1" s="176" t="s">
        <v>196</v>
      </c>
      <c r="RUY1" s="176" t="s">
        <v>196</v>
      </c>
      <c r="RUZ1" s="176" t="s">
        <v>196</v>
      </c>
      <c r="RVA1" s="176" t="s">
        <v>196</v>
      </c>
      <c r="RVB1" s="176" t="s">
        <v>196</v>
      </c>
      <c r="RVC1" s="176" t="s">
        <v>196</v>
      </c>
      <c r="RVD1" s="176" t="s">
        <v>196</v>
      </c>
      <c r="RVE1" s="176" t="s">
        <v>196</v>
      </c>
      <c r="RVF1" s="176" t="s">
        <v>196</v>
      </c>
      <c r="RVG1" s="176" t="s">
        <v>196</v>
      </c>
      <c r="RVH1" s="176" t="s">
        <v>196</v>
      </c>
      <c r="RVI1" s="176" t="s">
        <v>196</v>
      </c>
      <c r="RVJ1" s="176" t="s">
        <v>196</v>
      </c>
      <c r="RVK1" s="176" t="s">
        <v>196</v>
      </c>
      <c r="RVL1" s="176" t="s">
        <v>196</v>
      </c>
      <c r="RVM1" s="176" t="s">
        <v>196</v>
      </c>
      <c r="RVN1" s="176" t="s">
        <v>196</v>
      </c>
      <c r="RVO1" s="176" t="s">
        <v>196</v>
      </c>
      <c r="RVP1" s="176" t="s">
        <v>196</v>
      </c>
      <c r="RVQ1" s="176" t="s">
        <v>196</v>
      </c>
      <c r="RVR1" s="176" t="s">
        <v>196</v>
      </c>
      <c r="RVS1" s="176" t="s">
        <v>196</v>
      </c>
      <c r="RVT1" s="176" t="s">
        <v>196</v>
      </c>
      <c r="RVU1" s="176" t="s">
        <v>196</v>
      </c>
      <c r="RVV1" s="176" t="s">
        <v>196</v>
      </c>
      <c r="RVW1" s="176" t="s">
        <v>196</v>
      </c>
      <c r="RVX1" s="176" t="s">
        <v>196</v>
      </c>
      <c r="RVY1" s="176" t="s">
        <v>196</v>
      </c>
      <c r="RVZ1" s="176" t="s">
        <v>196</v>
      </c>
      <c r="RWA1" s="176" t="s">
        <v>196</v>
      </c>
      <c r="RWB1" s="176" t="s">
        <v>196</v>
      </c>
      <c r="RWC1" s="176" t="s">
        <v>196</v>
      </c>
      <c r="RWD1" s="176" t="s">
        <v>196</v>
      </c>
      <c r="RWE1" s="176" t="s">
        <v>196</v>
      </c>
      <c r="RWF1" s="176" t="s">
        <v>196</v>
      </c>
      <c r="RWG1" s="176" t="s">
        <v>196</v>
      </c>
      <c r="RWH1" s="176" t="s">
        <v>196</v>
      </c>
      <c r="RWI1" s="176" t="s">
        <v>196</v>
      </c>
      <c r="RWJ1" s="176" t="s">
        <v>196</v>
      </c>
      <c r="RWK1" s="176" t="s">
        <v>196</v>
      </c>
      <c r="RWL1" s="176" t="s">
        <v>196</v>
      </c>
      <c r="RWM1" s="176" t="s">
        <v>196</v>
      </c>
      <c r="RWN1" s="176" t="s">
        <v>196</v>
      </c>
      <c r="RWO1" s="176" t="s">
        <v>196</v>
      </c>
      <c r="RWP1" s="176" t="s">
        <v>196</v>
      </c>
      <c r="RWQ1" s="176" t="s">
        <v>196</v>
      </c>
      <c r="RWR1" s="176" t="s">
        <v>196</v>
      </c>
      <c r="RWS1" s="176" t="s">
        <v>196</v>
      </c>
      <c r="RWT1" s="176" t="s">
        <v>196</v>
      </c>
      <c r="RWU1" s="176" t="s">
        <v>196</v>
      </c>
      <c r="RWV1" s="176" t="s">
        <v>196</v>
      </c>
      <c r="RWW1" s="176" t="s">
        <v>196</v>
      </c>
      <c r="RWX1" s="176" t="s">
        <v>196</v>
      </c>
      <c r="RWY1" s="176" t="s">
        <v>196</v>
      </c>
      <c r="RWZ1" s="176" t="s">
        <v>196</v>
      </c>
      <c r="RXA1" s="176" t="s">
        <v>196</v>
      </c>
      <c r="RXB1" s="176" t="s">
        <v>196</v>
      </c>
      <c r="RXC1" s="176" t="s">
        <v>196</v>
      </c>
      <c r="RXD1" s="176" t="s">
        <v>196</v>
      </c>
      <c r="RXE1" s="176" t="s">
        <v>196</v>
      </c>
      <c r="RXF1" s="176" t="s">
        <v>196</v>
      </c>
      <c r="RXG1" s="176" t="s">
        <v>196</v>
      </c>
      <c r="RXH1" s="176" t="s">
        <v>196</v>
      </c>
      <c r="RXI1" s="176" t="s">
        <v>196</v>
      </c>
      <c r="RXJ1" s="176" t="s">
        <v>196</v>
      </c>
      <c r="RXK1" s="176" t="s">
        <v>196</v>
      </c>
      <c r="RXL1" s="176" t="s">
        <v>196</v>
      </c>
      <c r="RXM1" s="176" t="s">
        <v>196</v>
      </c>
      <c r="RXN1" s="176" t="s">
        <v>196</v>
      </c>
      <c r="RXO1" s="176" t="s">
        <v>196</v>
      </c>
      <c r="RXP1" s="176" t="s">
        <v>196</v>
      </c>
      <c r="RXQ1" s="176" t="s">
        <v>196</v>
      </c>
      <c r="RXR1" s="176" t="s">
        <v>196</v>
      </c>
      <c r="RXS1" s="176" t="s">
        <v>196</v>
      </c>
      <c r="RXT1" s="176" t="s">
        <v>196</v>
      </c>
      <c r="RXU1" s="176" t="s">
        <v>196</v>
      </c>
      <c r="RXV1" s="176" t="s">
        <v>196</v>
      </c>
      <c r="RXW1" s="176" t="s">
        <v>196</v>
      </c>
      <c r="RXX1" s="176" t="s">
        <v>196</v>
      </c>
      <c r="RXY1" s="176" t="s">
        <v>196</v>
      </c>
      <c r="RXZ1" s="176" t="s">
        <v>196</v>
      </c>
      <c r="RYA1" s="176" t="s">
        <v>196</v>
      </c>
      <c r="RYB1" s="176" t="s">
        <v>196</v>
      </c>
      <c r="RYC1" s="176" t="s">
        <v>196</v>
      </c>
      <c r="RYD1" s="176" t="s">
        <v>196</v>
      </c>
      <c r="RYE1" s="176" t="s">
        <v>196</v>
      </c>
      <c r="RYF1" s="176" t="s">
        <v>196</v>
      </c>
      <c r="RYG1" s="176" t="s">
        <v>196</v>
      </c>
      <c r="RYH1" s="176" t="s">
        <v>196</v>
      </c>
      <c r="RYI1" s="176" t="s">
        <v>196</v>
      </c>
      <c r="RYJ1" s="176" t="s">
        <v>196</v>
      </c>
      <c r="RYK1" s="176" t="s">
        <v>196</v>
      </c>
      <c r="RYL1" s="176" t="s">
        <v>196</v>
      </c>
      <c r="RYM1" s="176" t="s">
        <v>196</v>
      </c>
      <c r="RYN1" s="176" t="s">
        <v>196</v>
      </c>
      <c r="RYO1" s="176" t="s">
        <v>196</v>
      </c>
      <c r="RYP1" s="176" t="s">
        <v>196</v>
      </c>
      <c r="RYQ1" s="176" t="s">
        <v>196</v>
      </c>
      <c r="RYR1" s="176" t="s">
        <v>196</v>
      </c>
      <c r="RYS1" s="176" t="s">
        <v>196</v>
      </c>
      <c r="RYT1" s="176" t="s">
        <v>196</v>
      </c>
      <c r="RYU1" s="176" t="s">
        <v>196</v>
      </c>
      <c r="RYV1" s="176" t="s">
        <v>196</v>
      </c>
      <c r="RYW1" s="176" t="s">
        <v>196</v>
      </c>
      <c r="RYX1" s="176" t="s">
        <v>196</v>
      </c>
      <c r="RYY1" s="176" t="s">
        <v>196</v>
      </c>
      <c r="RYZ1" s="176" t="s">
        <v>196</v>
      </c>
      <c r="RZA1" s="176" t="s">
        <v>196</v>
      </c>
      <c r="RZB1" s="176" t="s">
        <v>196</v>
      </c>
      <c r="RZC1" s="176" t="s">
        <v>196</v>
      </c>
      <c r="RZD1" s="176" t="s">
        <v>196</v>
      </c>
      <c r="RZE1" s="176" t="s">
        <v>196</v>
      </c>
      <c r="RZF1" s="176" t="s">
        <v>196</v>
      </c>
      <c r="RZG1" s="176" t="s">
        <v>196</v>
      </c>
      <c r="RZH1" s="176" t="s">
        <v>196</v>
      </c>
      <c r="RZI1" s="176" t="s">
        <v>196</v>
      </c>
      <c r="RZJ1" s="176" t="s">
        <v>196</v>
      </c>
      <c r="RZK1" s="176" t="s">
        <v>196</v>
      </c>
      <c r="RZL1" s="176" t="s">
        <v>196</v>
      </c>
      <c r="RZM1" s="176" t="s">
        <v>196</v>
      </c>
      <c r="RZN1" s="176" t="s">
        <v>196</v>
      </c>
      <c r="RZO1" s="176" t="s">
        <v>196</v>
      </c>
      <c r="RZP1" s="176" t="s">
        <v>196</v>
      </c>
      <c r="RZQ1" s="176" t="s">
        <v>196</v>
      </c>
      <c r="RZR1" s="176" t="s">
        <v>196</v>
      </c>
      <c r="RZS1" s="176" t="s">
        <v>196</v>
      </c>
      <c r="RZT1" s="176" t="s">
        <v>196</v>
      </c>
      <c r="RZU1" s="176" t="s">
        <v>196</v>
      </c>
      <c r="RZV1" s="176" t="s">
        <v>196</v>
      </c>
      <c r="RZW1" s="176" t="s">
        <v>196</v>
      </c>
      <c r="RZX1" s="176" t="s">
        <v>196</v>
      </c>
      <c r="RZY1" s="176" t="s">
        <v>196</v>
      </c>
      <c r="RZZ1" s="176" t="s">
        <v>196</v>
      </c>
      <c r="SAA1" s="176" t="s">
        <v>196</v>
      </c>
      <c r="SAB1" s="176" t="s">
        <v>196</v>
      </c>
      <c r="SAC1" s="176" t="s">
        <v>196</v>
      </c>
      <c r="SAD1" s="176" t="s">
        <v>196</v>
      </c>
      <c r="SAE1" s="176" t="s">
        <v>196</v>
      </c>
      <c r="SAF1" s="176" t="s">
        <v>196</v>
      </c>
      <c r="SAG1" s="176" t="s">
        <v>196</v>
      </c>
      <c r="SAH1" s="176" t="s">
        <v>196</v>
      </c>
      <c r="SAI1" s="176" t="s">
        <v>196</v>
      </c>
      <c r="SAJ1" s="176" t="s">
        <v>196</v>
      </c>
      <c r="SAK1" s="176" t="s">
        <v>196</v>
      </c>
      <c r="SAL1" s="176" t="s">
        <v>196</v>
      </c>
      <c r="SAM1" s="176" t="s">
        <v>196</v>
      </c>
      <c r="SAN1" s="176" t="s">
        <v>196</v>
      </c>
      <c r="SAO1" s="176" t="s">
        <v>196</v>
      </c>
      <c r="SAP1" s="176" t="s">
        <v>196</v>
      </c>
      <c r="SAQ1" s="176" t="s">
        <v>196</v>
      </c>
      <c r="SAR1" s="176" t="s">
        <v>196</v>
      </c>
      <c r="SAS1" s="176" t="s">
        <v>196</v>
      </c>
      <c r="SAT1" s="176" t="s">
        <v>196</v>
      </c>
      <c r="SAU1" s="176" t="s">
        <v>196</v>
      </c>
      <c r="SAV1" s="176" t="s">
        <v>196</v>
      </c>
      <c r="SAW1" s="176" t="s">
        <v>196</v>
      </c>
      <c r="SAX1" s="176" t="s">
        <v>196</v>
      </c>
      <c r="SAY1" s="176" t="s">
        <v>196</v>
      </c>
      <c r="SAZ1" s="176" t="s">
        <v>196</v>
      </c>
      <c r="SBA1" s="176" t="s">
        <v>196</v>
      </c>
      <c r="SBB1" s="176" t="s">
        <v>196</v>
      </c>
      <c r="SBC1" s="176" t="s">
        <v>196</v>
      </c>
      <c r="SBD1" s="176" t="s">
        <v>196</v>
      </c>
      <c r="SBE1" s="176" t="s">
        <v>196</v>
      </c>
      <c r="SBF1" s="176" t="s">
        <v>196</v>
      </c>
      <c r="SBG1" s="176" t="s">
        <v>196</v>
      </c>
      <c r="SBH1" s="176" t="s">
        <v>196</v>
      </c>
      <c r="SBI1" s="176" t="s">
        <v>196</v>
      </c>
      <c r="SBJ1" s="176" t="s">
        <v>196</v>
      </c>
      <c r="SBK1" s="176" t="s">
        <v>196</v>
      </c>
      <c r="SBL1" s="176" t="s">
        <v>196</v>
      </c>
      <c r="SBM1" s="176" t="s">
        <v>196</v>
      </c>
      <c r="SBN1" s="176" t="s">
        <v>196</v>
      </c>
      <c r="SBO1" s="176" t="s">
        <v>196</v>
      </c>
      <c r="SBP1" s="176" t="s">
        <v>196</v>
      </c>
      <c r="SBQ1" s="176" t="s">
        <v>196</v>
      </c>
      <c r="SBR1" s="176" t="s">
        <v>196</v>
      </c>
      <c r="SBS1" s="176" t="s">
        <v>196</v>
      </c>
      <c r="SBT1" s="176" t="s">
        <v>196</v>
      </c>
      <c r="SBU1" s="176" t="s">
        <v>196</v>
      </c>
      <c r="SBV1" s="176" t="s">
        <v>196</v>
      </c>
      <c r="SBW1" s="176" t="s">
        <v>196</v>
      </c>
      <c r="SBX1" s="176" t="s">
        <v>196</v>
      </c>
      <c r="SBY1" s="176" t="s">
        <v>196</v>
      </c>
      <c r="SBZ1" s="176" t="s">
        <v>196</v>
      </c>
      <c r="SCA1" s="176" t="s">
        <v>196</v>
      </c>
      <c r="SCB1" s="176" t="s">
        <v>196</v>
      </c>
      <c r="SCC1" s="176" t="s">
        <v>196</v>
      </c>
      <c r="SCD1" s="176" t="s">
        <v>196</v>
      </c>
      <c r="SCE1" s="176" t="s">
        <v>196</v>
      </c>
      <c r="SCF1" s="176" t="s">
        <v>196</v>
      </c>
      <c r="SCG1" s="176" t="s">
        <v>196</v>
      </c>
      <c r="SCH1" s="176" t="s">
        <v>196</v>
      </c>
      <c r="SCI1" s="176" t="s">
        <v>196</v>
      </c>
      <c r="SCJ1" s="176" t="s">
        <v>196</v>
      </c>
      <c r="SCK1" s="176" t="s">
        <v>196</v>
      </c>
      <c r="SCL1" s="176" t="s">
        <v>196</v>
      </c>
      <c r="SCM1" s="176" t="s">
        <v>196</v>
      </c>
      <c r="SCN1" s="176" t="s">
        <v>196</v>
      </c>
      <c r="SCO1" s="176" t="s">
        <v>196</v>
      </c>
      <c r="SCP1" s="176" t="s">
        <v>196</v>
      </c>
      <c r="SCQ1" s="176" t="s">
        <v>196</v>
      </c>
      <c r="SCR1" s="176" t="s">
        <v>196</v>
      </c>
      <c r="SCS1" s="176" t="s">
        <v>196</v>
      </c>
      <c r="SCT1" s="176" t="s">
        <v>196</v>
      </c>
      <c r="SCU1" s="176" t="s">
        <v>196</v>
      </c>
      <c r="SCV1" s="176" t="s">
        <v>196</v>
      </c>
      <c r="SCW1" s="176" t="s">
        <v>196</v>
      </c>
      <c r="SCX1" s="176" t="s">
        <v>196</v>
      </c>
      <c r="SCY1" s="176" t="s">
        <v>196</v>
      </c>
      <c r="SCZ1" s="176" t="s">
        <v>196</v>
      </c>
      <c r="SDA1" s="176" t="s">
        <v>196</v>
      </c>
      <c r="SDB1" s="176" t="s">
        <v>196</v>
      </c>
      <c r="SDC1" s="176" t="s">
        <v>196</v>
      </c>
      <c r="SDD1" s="176" t="s">
        <v>196</v>
      </c>
      <c r="SDE1" s="176" t="s">
        <v>196</v>
      </c>
      <c r="SDF1" s="176" t="s">
        <v>196</v>
      </c>
      <c r="SDG1" s="176" t="s">
        <v>196</v>
      </c>
      <c r="SDH1" s="176" t="s">
        <v>196</v>
      </c>
      <c r="SDI1" s="176" t="s">
        <v>196</v>
      </c>
      <c r="SDJ1" s="176" t="s">
        <v>196</v>
      </c>
      <c r="SDK1" s="176" t="s">
        <v>196</v>
      </c>
      <c r="SDL1" s="176" t="s">
        <v>196</v>
      </c>
      <c r="SDM1" s="176" t="s">
        <v>196</v>
      </c>
      <c r="SDN1" s="176" t="s">
        <v>196</v>
      </c>
      <c r="SDO1" s="176" t="s">
        <v>196</v>
      </c>
      <c r="SDP1" s="176" t="s">
        <v>196</v>
      </c>
      <c r="SDQ1" s="176" t="s">
        <v>196</v>
      </c>
      <c r="SDR1" s="176" t="s">
        <v>196</v>
      </c>
      <c r="SDS1" s="176" t="s">
        <v>196</v>
      </c>
      <c r="SDT1" s="176" t="s">
        <v>196</v>
      </c>
      <c r="SDU1" s="176" t="s">
        <v>196</v>
      </c>
      <c r="SDV1" s="176" t="s">
        <v>196</v>
      </c>
      <c r="SDW1" s="176" t="s">
        <v>196</v>
      </c>
      <c r="SDX1" s="176" t="s">
        <v>196</v>
      </c>
      <c r="SDY1" s="176" t="s">
        <v>196</v>
      </c>
      <c r="SDZ1" s="176" t="s">
        <v>196</v>
      </c>
      <c r="SEA1" s="176" t="s">
        <v>196</v>
      </c>
      <c r="SEB1" s="176" t="s">
        <v>196</v>
      </c>
      <c r="SEC1" s="176" t="s">
        <v>196</v>
      </c>
      <c r="SED1" s="176" t="s">
        <v>196</v>
      </c>
      <c r="SEE1" s="176" t="s">
        <v>196</v>
      </c>
      <c r="SEF1" s="176" t="s">
        <v>196</v>
      </c>
      <c r="SEG1" s="176" t="s">
        <v>196</v>
      </c>
      <c r="SEH1" s="176" t="s">
        <v>196</v>
      </c>
      <c r="SEI1" s="176" t="s">
        <v>196</v>
      </c>
      <c r="SEJ1" s="176" t="s">
        <v>196</v>
      </c>
      <c r="SEK1" s="176" t="s">
        <v>196</v>
      </c>
      <c r="SEL1" s="176" t="s">
        <v>196</v>
      </c>
      <c r="SEM1" s="176" t="s">
        <v>196</v>
      </c>
      <c r="SEN1" s="176" t="s">
        <v>196</v>
      </c>
      <c r="SEO1" s="176" t="s">
        <v>196</v>
      </c>
      <c r="SEP1" s="176" t="s">
        <v>196</v>
      </c>
      <c r="SEQ1" s="176" t="s">
        <v>196</v>
      </c>
      <c r="SER1" s="176" t="s">
        <v>196</v>
      </c>
      <c r="SES1" s="176" t="s">
        <v>196</v>
      </c>
      <c r="SET1" s="176" t="s">
        <v>196</v>
      </c>
      <c r="SEU1" s="176" t="s">
        <v>196</v>
      </c>
      <c r="SEV1" s="176" t="s">
        <v>196</v>
      </c>
      <c r="SEW1" s="176" t="s">
        <v>196</v>
      </c>
      <c r="SEX1" s="176" t="s">
        <v>196</v>
      </c>
      <c r="SEY1" s="176" t="s">
        <v>196</v>
      </c>
      <c r="SEZ1" s="176" t="s">
        <v>196</v>
      </c>
      <c r="SFA1" s="176" t="s">
        <v>196</v>
      </c>
      <c r="SFB1" s="176" t="s">
        <v>196</v>
      </c>
      <c r="SFC1" s="176" t="s">
        <v>196</v>
      </c>
      <c r="SFD1" s="176" t="s">
        <v>196</v>
      </c>
      <c r="SFE1" s="176" t="s">
        <v>196</v>
      </c>
      <c r="SFF1" s="176" t="s">
        <v>196</v>
      </c>
      <c r="SFG1" s="176" t="s">
        <v>196</v>
      </c>
      <c r="SFH1" s="176" t="s">
        <v>196</v>
      </c>
      <c r="SFI1" s="176" t="s">
        <v>196</v>
      </c>
      <c r="SFJ1" s="176" t="s">
        <v>196</v>
      </c>
      <c r="SFK1" s="176" t="s">
        <v>196</v>
      </c>
      <c r="SFL1" s="176" t="s">
        <v>196</v>
      </c>
      <c r="SFM1" s="176" t="s">
        <v>196</v>
      </c>
      <c r="SFN1" s="176" t="s">
        <v>196</v>
      </c>
      <c r="SFO1" s="176" t="s">
        <v>196</v>
      </c>
      <c r="SFP1" s="176" t="s">
        <v>196</v>
      </c>
      <c r="SFQ1" s="176" t="s">
        <v>196</v>
      </c>
      <c r="SFR1" s="176" t="s">
        <v>196</v>
      </c>
      <c r="SFS1" s="176" t="s">
        <v>196</v>
      </c>
      <c r="SFT1" s="176" t="s">
        <v>196</v>
      </c>
      <c r="SFU1" s="176" t="s">
        <v>196</v>
      </c>
      <c r="SFV1" s="176" t="s">
        <v>196</v>
      </c>
      <c r="SFW1" s="176" t="s">
        <v>196</v>
      </c>
      <c r="SFX1" s="176" t="s">
        <v>196</v>
      </c>
      <c r="SFY1" s="176" t="s">
        <v>196</v>
      </c>
      <c r="SFZ1" s="176" t="s">
        <v>196</v>
      </c>
      <c r="SGA1" s="176" t="s">
        <v>196</v>
      </c>
      <c r="SGB1" s="176" t="s">
        <v>196</v>
      </c>
      <c r="SGC1" s="176" t="s">
        <v>196</v>
      </c>
      <c r="SGD1" s="176" t="s">
        <v>196</v>
      </c>
      <c r="SGE1" s="176" t="s">
        <v>196</v>
      </c>
      <c r="SGF1" s="176" t="s">
        <v>196</v>
      </c>
      <c r="SGG1" s="176" t="s">
        <v>196</v>
      </c>
      <c r="SGH1" s="176" t="s">
        <v>196</v>
      </c>
      <c r="SGI1" s="176" t="s">
        <v>196</v>
      </c>
      <c r="SGJ1" s="176" t="s">
        <v>196</v>
      </c>
      <c r="SGK1" s="176" t="s">
        <v>196</v>
      </c>
      <c r="SGL1" s="176" t="s">
        <v>196</v>
      </c>
      <c r="SGM1" s="176" t="s">
        <v>196</v>
      </c>
      <c r="SGN1" s="176" t="s">
        <v>196</v>
      </c>
      <c r="SGO1" s="176" t="s">
        <v>196</v>
      </c>
      <c r="SGP1" s="176" t="s">
        <v>196</v>
      </c>
      <c r="SGQ1" s="176" t="s">
        <v>196</v>
      </c>
      <c r="SGR1" s="176" t="s">
        <v>196</v>
      </c>
      <c r="SGS1" s="176" t="s">
        <v>196</v>
      </c>
      <c r="SGT1" s="176" t="s">
        <v>196</v>
      </c>
      <c r="SGU1" s="176" t="s">
        <v>196</v>
      </c>
      <c r="SGV1" s="176" t="s">
        <v>196</v>
      </c>
      <c r="SGW1" s="176" t="s">
        <v>196</v>
      </c>
      <c r="SGX1" s="176" t="s">
        <v>196</v>
      </c>
      <c r="SGY1" s="176" t="s">
        <v>196</v>
      </c>
      <c r="SGZ1" s="176" t="s">
        <v>196</v>
      </c>
      <c r="SHA1" s="176" t="s">
        <v>196</v>
      </c>
      <c r="SHB1" s="176" t="s">
        <v>196</v>
      </c>
      <c r="SHC1" s="176" t="s">
        <v>196</v>
      </c>
      <c r="SHD1" s="176" t="s">
        <v>196</v>
      </c>
      <c r="SHE1" s="176" t="s">
        <v>196</v>
      </c>
      <c r="SHF1" s="176" t="s">
        <v>196</v>
      </c>
      <c r="SHG1" s="176" t="s">
        <v>196</v>
      </c>
      <c r="SHH1" s="176" t="s">
        <v>196</v>
      </c>
      <c r="SHI1" s="176" t="s">
        <v>196</v>
      </c>
      <c r="SHJ1" s="176" t="s">
        <v>196</v>
      </c>
      <c r="SHK1" s="176" t="s">
        <v>196</v>
      </c>
      <c r="SHL1" s="176" t="s">
        <v>196</v>
      </c>
      <c r="SHM1" s="176" t="s">
        <v>196</v>
      </c>
      <c r="SHN1" s="176" t="s">
        <v>196</v>
      </c>
      <c r="SHO1" s="176" t="s">
        <v>196</v>
      </c>
      <c r="SHP1" s="176" t="s">
        <v>196</v>
      </c>
      <c r="SHQ1" s="176" t="s">
        <v>196</v>
      </c>
      <c r="SHR1" s="176" t="s">
        <v>196</v>
      </c>
      <c r="SHS1" s="176" t="s">
        <v>196</v>
      </c>
      <c r="SHT1" s="176" t="s">
        <v>196</v>
      </c>
      <c r="SHU1" s="176" t="s">
        <v>196</v>
      </c>
      <c r="SHV1" s="176" t="s">
        <v>196</v>
      </c>
      <c r="SHW1" s="176" t="s">
        <v>196</v>
      </c>
      <c r="SHX1" s="176" t="s">
        <v>196</v>
      </c>
      <c r="SHY1" s="176" t="s">
        <v>196</v>
      </c>
      <c r="SHZ1" s="176" t="s">
        <v>196</v>
      </c>
      <c r="SIA1" s="176" t="s">
        <v>196</v>
      </c>
      <c r="SIB1" s="176" t="s">
        <v>196</v>
      </c>
      <c r="SIC1" s="176" t="s">
        <v>196</v>
      </c>
      <c r="SID1" s="176" t="s">
        <v>196</v>
      </c>
      <c r="SIE1" s="176" t="s">
        <v>196</v>
      </c>
      <c r="SIF1" s="176" t="s">
        <v>196</v>
      </c>
      <c r="SIG1" s="176" t="s">
        <v>196</v>
      </c>
      <c r="SIH1" s="176" t="s">
        <v>196</v>
      </c>
      <c r="SII1" s="176" t="s">
        <v>196</v>
      </c>
      <c r="SIJ1" s="176" t="s">
        <v>196</v>
      </c>
      <c r="SIK1" s="176" t="s">
        <v>196</v>
      </c>
      <c r="SIL1" s="176" t="s">
        <v>196</v>
      </c>
      <c r="SIM1" s="176" t="s">
        <v>196</v>
      </c>
      <c r="SIN1" s="176" t="s">
        <v>196</v>
      </c>
      <c r="SIO1" s="176" t="s">
        <v>196</v>
      </c>
      <c r="SIP1" s="176" t="s">
        <v>196</v>
      </c>
      <c r="SIQ1" s="176" t="s">
        <v>196</v>
      </c>
      <c r="SIR1" s="176" t="s">
        <v>196</v>
      </c>
      <c r="SIS1" s="176" t="s">
        <v>196</v>
      </c>
      <c r="SIT1" s="176" t="s">
        <v>196</v>
      </c>
      <c r="SIU1" s="176" t="s">
        <v>196</v>
      </c>
      <c r="SIV1" s="176" t="s">
        <v>196</v>
      </c>
      <c r="SIW1" s="176" t="s">
        <v>196</v>
      </c>
      <c r="SIX1" s="176" t="s">
        <v>196</v>
      </c>
      <c r="SIY1" s="176" t="s">
        <v>196</v>
      </c>
      <c r="SIZ1" s="176" t="s">
        <v>196</v>
      </c>
      <c r="SJA1" s="176" t="s">
        <v>196</v>
      </c>
      <c r="SJB1" s="176" t="s">
        <v>196</v>
      </c>
      <c r="SJC1" s="176" t="s">
        <v>196</v>
      </c>
      <c r="SJD1" s="176" t="s">
        <v>196</v>
      </c>
      <c r="SJE1" s="176" t="s">
        <v>196</v>
      </c>
      <c r="SJF1" s="176" t="s">
        <v>196</v>
      </c>
      <c r="SJG1" s="176" t="s">
        <v>196</v>
      </c>
      <c r="SJH1" s="176" t="s">
        <v>196</v>
      </c>
      <c r="SJI1" s="176" t="s">
        <v>196</v>
      </c>
      <c r="SJJ1" s="176" t="s">
        <v>196</v>
      </c>
      <c r="SJK1" s="176" t="s">
        <v>196</v>
      </c>
      <c r="SJL1" s="176" t="s">
        <v>196</v>
      </c>
      <c r="SJM1" s="176" t="s">
        <v>196</v>
      </c>
      <c r="SJN1" s="176" t="s">
        <v>196</v>
      </c>
      <c r="SJO1" s="176" t="s">
        <v>196</v>
      </c>
      <c r="SJP1" s="176" t="s">
        <v>196</v>
      </c>
      <c r="SJQ1" s="176" t="s">
        <v>196</v>
      </c>
      <c r="SJR1" s="176" t="s">
        <v>196</v>
      </c>
      <c r="SJS1" s="176" t="s">
        <v>196</v>
      </c>
      <c r="SJT1" s="176" t="s">
        <v>196</v>
      </c>
      <c r="SJU1" s="176" t="s">
        <v>196</v>
      </c>
      <c r="SJV1" s="176" t="s">
        <v>196</v>
      </c>
      <c r="SJW1" s="176" t="s">
        <v>196</v>
      </c>
      <c r="SJX1" s="176" t="s">
        <v>196</v>
      </c>
      <c r="SJY1" s="176" t="s">
        <v>196</v>
      </c>
      <c r="SJZ1" s="176" t="s">
        <v>196</v>
      </c>
      <c r="SKA1" s="176" t="s">
        <v>196</v>
      </c>
      <c r="SKB1" s="176" t="s">
        <v>196</v>
      </c>
      <c r="SKC1" s="176" t="s">
        <v>196</v>
      </c>
      <c r="SKD1" s="176" t="s">
        <v>196</v>
      </c>
      <c r="SKE1" s="176" t="s">
        <v>196</v>
      </c>
      <c r="SKF1" s="176" t="s">
        <v>196</v>
      </c>
      <c r="SKG1" s="176" t="s">
        <v>196</v>
      </c>
      <c r="SKH1" s="176" t="s">
        <v>196</v>
      </c>
      <c r="SKI1" s="176" t="s">
        <v>196</v>
      </c>
      <c r="SKJ1" s="176" t="s">
        <v>196</v>
      </c>
      <c r="SKK1" s="176" t="s">
        <v>196</v>
      </c>
      <c r="SKL1" s="176" t="s">
        <v>196</v>
      </c>
      <c r="SKM1" s="176" t="s">
        <v>196</v>
      </c>
      <c r="SKN1" s="176" t="s">
        <v>196</v>
      </c>
      <c r="SKO1" s="176" t="s">
        <v>196</v>
      </c>
      <c r="SKP1" s="176" t="s">
        <v>196</v>
      </c>
      <c r="SKQ1" s="176" t="s">
        <v>196</v>
      </c>
      <c r="SKR1" s="176" t="s">
        <v>196</v>
      </c>
      <c r="SKS1" s="176" t="s">
        <v>196</v>
      </c>
      <c r="SKT1" s="176" t="s">
        <v>196</v>
      </c>
      <c r="SKU1" s="176" t="s">
        <v>196</v>
      </c>
      <c r="SKV1" s="176" t="s">
        <v>196</v>
      </c>
      <c r="SKW1" s="176" t="s">
        <v>196</v>
      </c>
      <c r="SKX1" s="176" t="s">
        <v>196</v>
      </c>
      <c r="SKY1" s="176" t="s">
        <v>196</v>
      </c>
      <c r="SKZ1" s="176" t="s">
        <v>196</v>
      </c>
      <c r="SLA1" s="176" t="s">
        <v>196</v>
      </c>
      <c r="SLB1" s="176" t="s">
        <v>196</v>
      </c>
      <c r="SLC1" s="176" t="s">
        <v>196</v>
      </c>
      <c r="SLD1" s="176" t="s">
        <v>196</v>
      </c>
      <c r="SLE1" s="176" t="s">
        <v>196</v>
      </c>
      <c r="SLF1" s="176" t="s">
        <v>196</v>
      </c>
      <c r="SLG1" s="176" t="s">
        <v>196</v>
      </c>
      <c r="SLH1" s="176" t="s">
        <v>196</v>
      </c>
      <c r="SLI1" s="176" t="s">
        <v>196</v>
      </c>
      <c r="SLJ1" s="176" t="s">
        <v>196</v>
      </c>
      <c r="SLK1" s="176" t="s">
        <v>196</v>
      </c>
      <c r="SLL1" s="176" t="s">
        <v>196</v>
      </c>
      <c r="SLM1" s="176" t="s">
        <v>196</v>
      </c>
      <c r="SLN1" s="176" t="s">
        <v>196</v>
      </c>
      <c r="SLO1" s="176" t="s">
        <v>196</v>
      </c>
      <c r="SLP1" s="176" t="s">
        <v>196</v>
      </c>
      <c r="SLQ1" s="176" t="s">
        <v>196</v>
      </c>
      <c r="SLR1" s="176" t="s">
        <v>196</v>
      </c>
      <c r="SLS1" s="176" t="s">
        <v>196</v>
      </c>
      <c r="SLT1" s="176" t="s">
        <v>196</v>
      </c>
      <c r="SLU1" s="176" t="s">
        <v>196</v>
      </c>
      <c r="SLV1" s="176" t="s">
        <v>196</v>
      </c>
      <c r="SLW1" s="176" t="s">
        <v>196</v>
      </c>
      <c r="SLX1" s="176" t="s">
        <v>196</v>
      </c>
      <c r="SLY1" s="176" t="s">
        <v>196</v>
      </c>
      <c r="SLZ1" s="176" t="s">
        <v>196</v>
      </c>
      <c r="SMA1" s="176" t="s">
        <v>196</v>
      </c>
      <c r="SMB1" s="176" t="s">
        <v>196</v>
      </c>
      <c r="SMC1" s="176" t="s">
        <v>196</v>
      </c>
      <c r="SMD1" s="176" t="s">
        <v>196</v>
      </c>
      <c r="SME1" s="176" t="s">
        <v>196</v>
      </c>
      <c r="SMF1" s="176" t="s">
        <v>196</v>
      </c>
      <c r="SMG1" s="176" t="s">
        <v>196</v>
      </c>
      <c r="SMH1" s="176" t="s">
        <v>196</v>
      </c>
      <c r="SMI1" s="176" t="s">
        <v>196</v>
      </c>
      <c r="SMJ1" s="176" t="s">
        <v>196</v>
      </c>
      <c r="SMK1" s="176" t="s">
        <v>196</v>
      </c>
      <c r="SML1" s="176" t="s">
        <v>196</v>
      </c>
      <c r="SMM1" s="176" t="s">
        <v>196</v>
      </c>
      <c r="SMN1" s="176" t="s">
        <v>196</v>
      </c>
      <c r="SMO1" s="176" t="s">
        <v>196</v>
      </c>
      <c r="SMP1" s="176" t="s">
        <v>196</v>
      </c>
      <c r="SMQ1" s="176" t="s">
        <v>196</v>
      </c>
      <c r="SMR1" s="176" t="s">
        <v>196</v>
      </c>
      <c r="SMS1" s="176" t="s">
        <v>196</v>
      </c>
      <c r="SMT1" s="176" t="s">
        <v>196</v>
      </c>
      <c r="SMU1" s="176" t="s">
        <v>196</v>
      </c>
      <c r="SMV1" s="176" t="s">
        <v>196</v>
      </c>
      <c r="SMW1" s="176" t="s">
        <v>196</v>
      </c>
      <c r="SMX1" s="176" t="s">
        <v>196</v>
      </c>
      <c r="SMY1" s="176" t="s">
        <v>196</v>
      </c>
      <c r="SMZ1" s="176" t="s">
        <v>196</v>
      </c>
      <c r="SNA1" s="176" t="s">
        <v>196</v>
      </c>
      <c r="SNB1" s="176" t="s">
        <v>196</v>
      </c>
      <c r="SNC1" s="176" t="s">
        <v>196</v>
      </c>
      <c r="SND1" s="176" t="s">
        <v>196</v>
      </c>
      <c r="SNE1" s="176" t="s">
        <v>196</v>
      </c>
      <c r="SNF1" s="176" t="s">
        <v>196</v>
      </c>
      <c r="SNG1" s="176" t="s">
        <v>196</v>
      </c>
      <c r="SNH1" s="176" t="s">
        <v>196</v>
      </c>
      <c r="SNI1" s="176" t="s">
        <v>196</v>
      </c>
      <c r="SNJ1" s="176" t="s">
        <v>196</v>
      </c>
      <c r="SNK1" s="176" t="s">
        <v>196</v>
      </c>
      <c r="SNL1" s="176" t="s">
        <v>196</v>
      </c>
      <c r="SNM1" s="176" t="s">
        <v>196</v>
      </c>
      <c r="SNN1" s="176" t="s">
        <v>196</v>
      </c>
      <c r="SNO1" s="176" t="s">
        <v>196</v>
      </c>
      <c r="SNP1" s="176" t="s">
        <v>196</v>
      </c>
      <c r="SNQ1" s="176" t="s">
        <v>196</v>
      </c>
      <c r="SNR1" s="176" t="s">
        <v>196</v>
      </c>
      <c r="SNS1" s="176" t="s">
        <v>196</v>
      </c>
      <c r="SNT1" s="176" t="s">
        <v>196</v>
      </c>
      <c r="SNU1" s="176" t="s">
        <v>196</v>
      </c>
      <c r="SNV1" s="176" t="s">
        <v>196</v>
      </c>
      <c r="SNW1" s="176" t="s">
        <v>196</v>
      </c>
      <c r="SNX1" s="176" t="s">
        <v>196</v>
      </c>
      <c r="SNY1" s="176" t="s">
        <v>196</v>
      </c>
      <c r="SNZ1" s="176" t="s">
        <v>196</v>
      </c>
      <c r="SOA1" s="176" t="s">
        <v>196</v>
      </c>
      <c r="SOB1" s="176" t="s">
        <v>196</v>
      </c>
      <c r="SOC1" s="176" t="s">
        <v>196</v>
      </c>
      <c r="SOD1" s="176" t="s">
        <v>196</v>
      </c>
      <c r="SOE1" s="176" t="s">
        <v>196</v>
      </c>
      <c r="SOF1" s="176" t="s">
        <v>196</v>
      </c>
      <c r="SOG1" s="176" t="s">
        <v>196</v>
      </c>
      <c r="SOH1" s="176" t="s">
        <v>196</v>
      </c>
      <c r="SOI1" s="176" t="s">
        <v>196</v>
      </c>
      <c r="SOJ1" s="176" t="s">
        <v>196</v>
      </c>
      <c r="SOK1" s="176" t="s">
        <v>196</v>
      </c>
      <c r="SOL1" s="176" t="s">
        <v>196</v>
      </c>
      <c r="SOM1" s="176" t="s">
        <v>196</v>
      </c>
      <c r="SON1" s="176" t="s">
        <v>196</v>
      </c>
      <c r="SOO1" s="176" t="s">
        <v>196</v>
      </c>
      <c r="SOP1" s="176" t="s">
        <v>196</v>
      </c>
      <c r="SOQ1" s="176" t="s">
        <v>196</v>
      </c>
      <c r="SOR1" s="176" t="s">
        <v>196</v>
      </c>
      <c r="SOS1" s="176" t="s">
        <v>196</v>
      </c>
      <c r="SOT1" s="176" t="s">
        <v>196</v>
      </c>
      <c r="SOU1" s="176" t="s">
        <v>196</v>
      </c>
      <c r="SOV1" s="176" t="s">
        <v>196</v>
      </c>
      <c r="SOW1" s="176" t="s">
        <v>196</v>
      </c>
      <c r="SOX1" s="176" t="s">
        <v>196</v>
      </c>
      <c r="SOY1" s="176" t="s">
        <v>196</v>
      </c>
      <c r="SOZ1" s="176" t="s">
        <v>196</v>
      </c>
      <c r="SPA1" s="176" t="s">
        <v>196</v>
      </c>
      <c r="SPB1" s="176" t="s">
        <v>196</v>
      </c>
      <c r="SPC1" s="176" t="s">
        <v>196</v>
      </c>
      <c r="SPD1" s="176" t="s">
        <v>196</v>
      </c>
      <c r="SPE1" s="176" t="s">
        <v>196</v>
      </c>
      <c r="SPF1" s="176" t="s">
        <v>196</v>
      </c>
      <c r="SPG1" s="176" t="s">
        <v>196</v>
      </c>
      <c r="SPH1" s="176" t="s">
        <v>196</v>
      </c>
      <c r="SPI1" s="176" t="s">
        <v>196</v>
      </c>
      <c r="SPJ1" s="176" t="s">
        <v>196</v>
      </c>
      <c r="SPK1" s="176" t="s">
        <v>196</v>
      </c>
      <c r="SPL1" s="176" t="s">
        <v>196</v>
      </c>
      <c r="SPM1" s="176" t="s">
        <v>196</v>
      </c>
      <c r="SPN1" s="176" t="s">
        <v>196</v>
      </c>
      <c r="SPO1" s="176" t="s">
        <v>196</v>
      </c>
      <c r="SPP1" s="176" t="s">
        <v>196</v>
      </c>
      <c r="SPQ1" s="176" t="s">
        <v>196</v>
      </c>
      <c r="SPR1" s="176" t="s">
        <v>196</v>
      </c>
      <c r="SPS1" s="176" t="s">
        <v>196</v>
      </c>
      <c r="SPT1" s="176" t="s">
        <v>196</v>
      </c>
      <c r="SPU1" s="176" t="s">
        <v>196</v>
      </c>
      <c r="SPV1" s="176" t="s">
        <v>196</v>
      </c>
      <c r="SPW1" s="176" t="s">
        <v>196</v>
      </c>
      <c r="SPX1" s="176" t="s">
        <v>196</v>
      </c>
      <c r="SPY1" s="176" t="s">
        <v>196</v>
      </c>
      <c r="SPZ1" s="176" t="s">
        <v>196</v>
      </c>
      <c r="SQA1" s="176" t="s">
        <v>196</v>
      </c>
      <c r="SQB1" s="176" t="s">
        <v>196</v>
      </c>
      <c r="SQC1" s="176" t="s">
        <v>196</v>
      </c>
      <c r="SQD1" s="176" t="s">
        <v>196</v>
      </c>
      <c r="SQE1" s="176" t="s">
        <v>196</v>
      </c>
      <c r="SQF1" s="176" t="s">
        <v>196</v>
      </c>
      <c r="SQG1" s="176" t="s">
        <v>196</v>
      </c>
      <c r="SQH1" s="176" t="s">
        <v>196</v>
      </c>
      <c r="SQI1" s="176" t="s">
        <v>196</v>
      </c>
      <c r="SQJ1" s="176" t="s">
        <v>196</v>
      </c>
      <c r="SQK1" s="176" t="s">
        <v>196</v>
      </c>
      <c r="SQL1" s="176" t="s">
        <v>196</v>
      </c>
      <c r="SQM1" s="176" t="s">
        <v>196</v>
      </c>
      <c r="SQN1" s="176" t="s">
        <v>196</v>
      </c>
      <c r="SQO1" s="176" t="s">
        <v>196</v>
      </c>
      <c r="SQP1" s="176" t="s">
        <v>196</v>
      </c>
      <c r="SQQ1" s="176" t="s">
        <v>196</v>
      </c>
      <c r="SQR1" s="176" t="s">
        <v>196</v>
      </c>
      <c r="SQS1" s="176" t="s">
        <v>196</v>
      </c>
      <c r="SQT1" s="176" t="s">
        <v>196</v>
      </c>
      <c r="SQU1" s="176" t="s">
        <v>196</v>
      </c>
      <c r="SQV1" s="176" t="s">
        <v>196</v>
      </c>
      <c r="SQW1" s="176" t="s">
        <v>196</v>
      </c>
      <c r="SQX1" s="176" t="s">
        <v>196</v>
      </c>
      <c r="SQY1" s="176" t="s">
        <v>196</v>
      </c>
      <c r="SQZ1" s="176" t="s">
        <v>196</v>
      </c>
      <c r="SRA1" s="176" t="s">
        <v>196</v>
      </c>
      <c r="SRB1" s="176" t="s">
        <v>196</v>
      </c>
      <c r="SRC1" s="176" t="s">
        <v>196</v>
      </c>
      <c r="SRD1" s="176" t="s">
        <v>196</v>
      </c>
      <c r="SRE1" s="176" t="s">
        <v>196</v>
      </c>
      <c r="SRF1" s="176" t="s">
        <v>196</v>
      </c>
      <c r="SRG1" s="176" t="s">
        <v>196</v>
      </c>
      <c r="SRH1" s="176" t="s">
        <v>196</v>
      </c>
      <c r="SRI1" s="176" t="s">
        <v>196</v>
      </c>
      <c r="SRJ1" s="176" t="s">
        <v>196</v>
      </c>
      <c r="SRK1" s="176" t="s">
        <v>196</v>
      </c>
      <c r="SRL1" s="176" t="s">
        <v>196</v>
      </c>
      <c r="SRM1" s="176" t="s">
        <v>196</v>
      </c>
      <c r="SRN1" s="176" t="s">
        <v>196</v>
      </c>
      <c r="SRO1" s="176" t="s">
        <v>196</v>
      </c>
      <c r="SRP1" s="176" t="s">
        <v>196</v>
      </c>
      <c r="SRQ1" s="176" t="s">
        <v>196</v>
      </c>
      <c r="SRR1" s="176" t="s">
        <v>196</v>
      </c>
      <c r="SRS1" s="176" t="s">
        <v>196</v>
      </c>
      <c r="SRT1" s="176" t="s">
        <v>196</v>
      </c>
      <c r="SRU1" s="176" t="s">
        <v>196</v>
      </c>
      <c r="SRV1" s="176" t="s">
        <v>196</v>
      </c>
      <c r="SRW1" s="176" t="s">
        <v>196</v>
      </c>
      <c r="SRX1" s="176" t="s">
        <v>196</v>
      </c>
      <c r="SRY1" s="176" t="s">
        <v>196</v>
      </c>
      <c r="SRZ1" s="176" t="s">
        <v>196</v>
      </c>
      <c r="SSA1" s="176" t="s">
        <v>196</v>
      </c>
      <c r="SSB1" s="176" t="s">
        <v>196</v>
      </c>
      <c r="SSC1" s="176" t="s">
        <v>196</v>
      </c>
      <c r="SSD1" s="176" t="s">
        <v>196</v>
      </c>
      <c r="SSE1" s="176" t="s">
        <v>196</v>
      </c>
      <c r="SSF1" s="176" t="s">
        <v>196</v>
      </c>
      <c r="SSG1" s="176" t="s">
        <v>196</v>
      </c>
      <c r="SSH1" s="176" t="s">
        <v>196</v>
      </c>
      <c r="SSI1" s="176" t="s">
        <v>196</v>
      </c>
      <c r="SSJ1" s="176" t="s">
        <v>196</v>
      </c>
      <c r="SSK1" s="176" t="s">
        <v>196</v>
      </c>
      <c r="SSL1" s="176" t="s">
        <v>196</v>
      </c>
      <c r="SSM1" s="176" t="s">
        <v>196</v>
      </c>
      <c r="SSN1" s="176" t="s">
        <v>196</v>
      </c>
      <c r="SSO1" s="176" t="s">
        <v>196</v>
      </c>
      <c r="SSP1" s="176" t="s">
        <v>196</v>
      </c>
      <c r="SSQ1" s="176" t="s">
        <v>196</v>
      </c>
      <c r="SSR1" s="176" t="s">
        <v>196</v>
      </c>
      <c r="SSS1" s="176" t="s">
        <v>196</v>
      </c>
      <c r="SST1" s="176" t="s">
        <v>196</v>
      </c>
      <c r="SSU1" s="176" t="s">
        <v>196</v>
      </c>
      <c r="SSV1" s="176" t="s">
        <v>196</v>
      </c>
      <c r="SSW1" s="176" t="s">
        <v>196</v>
      </c>
      <c r="SSX1" s="176" t="s">
        <v>196</v>
      </c>
      <c r="SSY1" s="176" t="s">
        <v>196</v>
      </c>
      <c r="SSZ1" s="176" t="s">
        <v>196</v>
      </c>
      <c r="STA1" s="176" t="s">
        <v>196</v>
      </c>
      <c r="STB1" s="176" t="s">
        <v>196</v>
      </c>
      <c r="STC1" s="176" t="s">
        <v>196</v>
      </c>
      <c r="STD1" s="176" t="s">
        <v>196</v>
      </c>
      <c r="STE1" s="176" t="s">
        <v>196</v>
      </c>
      <c r="STF1" s="176" t="s">
        <v>196</v>
      </c>
      <c r="STG1" s="176" t="s">
        <v>196</v>
      </c>
      <c r="STH1" s="176" t="s">
        <v>196</v>
      </c>
      <c r="STI1" s="176" t="s">
        <v>196</v>
      </c>
      <c r="STJ1" s="176" t="s">
        <v>196</v>
      </c>
      <c r="STK1" s="176" t="s">
        <v>196</v>
      </c>
      <c r="STL1" s="176" t="s">
        <v>196</v>
      </c>
      <c r="STM1" s="176" t="s">
        <v>196</v>
      </c>
      <c r="STN1" s="176" t="s">
        <v>196</v>
      </c>
      <c r="STO1" s="176" t="s">
        <v>196</v>
      </c>
      <c r="STP1" s="176" t="s">
        <v>196</v>
      </c>
      <c r="STQ1" s="176" t="s">
        <v>196</v>
      </c>
      <c r="STR1" s="176" t="s">
        <v>196</v>
      </c>
      <c r="STS1" s="176" t="s">
        <v>196</v>
      </c>
      <c r="STT1" s="176" t="s">
        <v>196</v>
      </c>
      <c r="STU1" s="176" t="s">
        <v>196</v>
      </c>
      <c r="STV1" s="176" t="s">
        <v>196</v>
      </c>
      <c r="STW1" s="176" t="s">
        <v>196</v>
      </c>
      <c r="STX1" s="176" t="s">
        <v>196</v>
      </c>
      <c r="STY1" s="176" t="s">
        <v>196</v>
      </c>
      <c r="STZ1" s="176" t="s">
        <v>196</v>
      </c>
      <c r="SUA1" s="176" t="s">
        <v>196</v>
      </c>
      <c r="SUB1" s="176" t="s">
        <v>196</v>
      </c>
      <c r="SUC1" s="176" t="s">
        <v>196</v>
      </c>
      <c r="SUD1" s="176" t="s">
        <v>196</v>
      </c>
      <c r="SUE1" s="176" t="s">
        <v>196</v>
      </c>
      <c r="SUF1" s="176" t="s">
        <v>196</v>
      </c>
      <c r="SUG1" s="176" t="s">
        <v>196</v>
      </c>
      <c r="SUH1" s="176" t="s">
        <v>196</v>
      </c>
      <c r="SUI1" s="176" t="s">
        <v>196</v>
      </c>
      <c r="SUJ1" s="176" t="s">
        <v>196</v>
      </c>
      <c r="SUK1" s="176" t="s">
        <v>196</v>
      </c>
      <c r="SUL1" s="176" t="s">
        <v>196</v>
      </c>
      <c r="SUM1" s="176" t="s">
        <v>196</v>
      </c>
      <c r="SUN1" s="176" t="s">
        <v>196</v>
      </c>
      <c r="SUO1" s="176" t="s">
        <v>196</v>
      </c>
      <c r="SUP1" s="176" t="s">
        <v>196</v>
      </c>
      <c r="SUQ1" s="176" t="s">
        <v>196</v>
      </c>
      <c r="SUR1" s="176" t="s">
        <v>196</v>
      </c>
      <c r="SUS1" s="176" t="s">
        <v>196</v>
      </c>
      <c r="SUT1" s="176" t="s">
        <v>196</v>
      </c>
      <c r="SUU1" s="176" t="s">
        <v>196</v>
      </c>
      <c r="SUV1" s="176" t="s">
        <v>196</v>
      </c>
      <c r="SUW1" s="176" t="s">
        <v>196</v>
      </c>
      <c r="SUX1" s="176" t="s">
        <v>196</v>
      </c>
      <c r="SUY1" s="176" t="s">
        <v>196</v>
      </c>
      <c r="SUZ1" s="176" t="s">
        <v>196</v>
      </c>
      <c r="SVA1" s="176" t="s">
        <v>196</v>
      </c>
      <c r="SVB1" s="176" t="s">
        <v>196</v>
      </c>
      <c r="SVC1" s="176" t="s">
        <v>196</v>
      </c>
      <c r="SVD1" s="176" t="s">
        <v>196</v>
      </c>
      <c r="SVE1" s="176" t="s">
        <v>196</v>
      </c>
      <c r="SVF1" s="176" t="s">
        <v>196</v>
      </c>
      <c r="SVG1" s="176" t="s">
        <v>196</v>
      </c>
      <c r="SVH1" s="176" t="s">
        <v>196</v>
      </c>
      <c r="SVI1" s="176" t="s">
        <v>196</v>
      </c>
      <c r="SVJ1" s="176" t="s">
        <v>196</v>
      </c>
      <c r="SVK1" s="176" t="s">
        <v>196</v>
      </c>
      <c r="SVL1" s="176" t="s">
        <v>196</v>
      </c>
      <c r="SVM1" s="176" t="s">
        <v>196</v>
      </c>
      <c r="SVN1" s="176" t="s">
        <v>196</v>
      </c>
      <c r="SVO1" s="176" t="s">
        <v>196</v>
      </c>
      <c r="SVP1" s="176" t="s">
        <v>196</v>
      </c>
      <c r="SVQ1" s="176" t="s">
        <v>196</v>
      </c>
      <c r="SVR1" s="176" t="s">
        <v>196</v>
      </c>
      <c r="SVS1" s="176" t="s">
        <v>196</v>
      </c>
      <c r="SVT1" s="176" t="s">
        <v>196</v>
      </c>
      <c r="SVU1" s="176" t="s">
        <v>196</v>
      </c>
      <c r="SVV1" s="176" t="s">
        <v>196</v>
      </c>
      <c r="SVW1" s="176" t="s">
        <v>196</v>
      </c>
      <c r="SVX1" s="176" t="s">
        <v>196</v>
      </c>
      <c r="SVY1" s="176" t="s">
        <v>196</v>
      </c>
      <c r="SVZ1" s="176" t="s">
        <v>196</v>
      </c>
      <c r="SWA1" s="176" t="s">
        <v>196</v>
      </c>
      <c r="SWB1" s="176" t="s">
        <v>196</v>
      </c>
      <c r="SWC1" s="176" t="s">
        <v>196</v>
      </c>
      <c r="SWD1" s="176" t="s">
        <v>196</v>
      </c>
      <c r="SWE1" s="176" t="s">
        <v>196</v>
      </c>
      <c r="SWF1" s="176" t="s">
        <v>196</v>
      </c>
      <c r="SWG1" s="176" t="s">
        <v>196</v>
      </c>
      <c r="SWH1" s="176" t="s">
        <v>196</v>
      </c>
      <c r="SWI1" s="176" t="s">
        <v>196</v>
      </c>
      <c r="SWJ1" s="176" t="s">
        <v>196</v>
      </c>
      <c r="SWK1" s="176" t="s">
        <v>196</v>
      </c>
      <c r="SWL1" s="176" t="s">
        <v>196</v>
      </c>
      <c r="SWM1" s="176" t="s">
        <v>196</v>
      </c>
      <c r="SWN1" s="176" t="s">
        <v>196</v>
      </c>
      <c r="SWO1" s="176" t="s">
        <v>196</v>
      </c>
      <c r="SWP1" s="176" t="s">
        <v>196</v>
      </c>
      <c r="SWQ1" s="176" t="s">
        <v>196</v>
      </c>
      <c r="SWR1" s="176" t="s">
        <v>196</v>
      </c>
      <c r="SWS1" s="176" t="s">
        <v>196</v>
      </c>
      <c r="SWT1" s="176" t="s">
        <v>196</v>
      </c>
      <c r="SWU1" s="176" t="s">
        <v>196</v>
      </c>
      <c r="SWV1" s="176" t="s">
        <v>196</v>
      </c>
      <c r="SWW1" s="176" t="s">
        <v>196</v>
      </c>
      <c r="SWX1" s="176" t="s">
        <v>196</v>
      </c>
      <c r="SWY1" s="176" t="s">
        <v>196</v>
      </c>
      <c r="SWZ1" s="176" t="s">
        <v>196</v>
      </c>
      <c r="SXA1" s="176" t="s">
        <v>196</v>
      </c>
      <c r="SXB1" s="176" t="s">
        <v>196</v>
      </c>
      <c r="SXC1" s="176" t="s">
        <v>196</v>
      </c>
      <c r="SXD1" s="176" t="s">
        <v>196</v>
      </c>
      <c r="SXE1" s="176" t="s">
        <v>196</v>
      </c>
      <c r="SXF1" s="176" t="s">
        <v>196</v>
      </c>
      <c r="SXG1" s="176" t="s">
        <v>196</v>
      </c>
      <c r="SXH1" s="176" t="s">
        <v>196</v>
      </c>
      <c r="SXI1" s="176" t="s">
        <v>196</v>
      </c>
      <c r="SXJ1" s="176" t="s">
        <v>196</v>
      </c>
      <c r="SXK1" s="176" t="s">
        <v>196</v>
      </c>
      <c r="SXL1" s="176" t="s">
        <v>196</v>
      </c>
      <c r="SXM1" s="176" t="s">
        <v>196</v>
      </c>
      <c r="SXN1" s="176" t="s">
        <v>196</v>
      </c>
      <c r="SXO1" s="176" t="s">
        <v>196</v>
      </c>
      <c r="SXP1" s="176" t="s">
        <v>196</v>
      </c>
      <c r="SXQ1" s="176" t="s">
        <v>196</v>
      </c>
      <c r="SXR1" s="176" t="s">
        <v>196</v>
      </c>
      <c r="SXS1" s="176" t="s">
        <v>196</v>
      </c>
      <c r="SXT1" s="176" t="s">
        <v>196</v>
      </c>
      <c r="SXU1" s="176" t="s">
        <v>196</v>
      </c>
      <c r="SXV1" s="176" t="s">
        <v>196</v>
      </c>
      <c r="SXW1" s="176" t="s">
        <v>196</v>
      </c>
      <c r="SXX1" s="176" t="s">
        <v>196</v>
      </c>
      <c r="SXY1" s="176" t="s">
        <v>196</v>
      </c>
      <c r="SXZ1" s="176" t="s">
        <v>196</v>
      </c>
      <c r="SYA1" s="176" t="s">
        <v>196</v>
      </c>
      <c r="SYB1" s="176" t="s">
        <v>196</v>
      </c>
      <c r="SYC1" s="176" t="s">
        <v>196</v>
      </c>
      <c r="SYD1" s="176" t="s">
        <v>196</v>
      </c>
      <c r="SYE1" s="176" t="s">
        <v>196</v>
      </c>
      <c r="SYF1" s="176" t="s">
        <v>196</v>
      </c>
      <c r="SYG1" s="176" t="s">
        <v>196</v>
      </c>
      <c r="SYH1" s="176" t="s">
        <v>196</v>
      </c>
      <c r="SYI1" s="176" t="s">
        <v>196</v>
      </c>
      <c r="SYJ1" s="176" t="s">
        <v>196</v>
      </c>
      <c r="SYK1" s="176" t="s">
        <v>196</v>
      </c>
      <c r="SYL1" s="176" t="s">
        <v>196</v>
      </c>
      <c r="SYM1" s="176" t="s">
        <v>196</v>
      </c>
      <c r="SYN1" s="176" t="s">
        <v>196</v>
      </c>
      <c r="SYO1" s="176" t="s">
        <v>196</v>
      </c>
      <c r="SYP1" s="176" t="s">
        <v>196</v>
      </c>
      <c r="SYQ1" s="176" t="s">
        <v>196</v>
      </c>
      <c r="SYR1" s="176" t="s">
        <v>196</v>
      </c>
      <c r="SYS1" s="176" t="s">
        <v>196</v>
      </c>
      <c r="SYT1" s="176" t="s">
        <v>196</v>
      </c>
      <c r="SYU1" s="176" t="s">
        <v>196</v>
      </c>
      <c r="SYV1" s="176" t="s">
        <v>196</v>
      </c>
      <c r="SYW1" s="176" t="s">
        <v>196</v>
      </c>
      <c r="SYX1" s="176" t="s">
        <v>196</v>
      </c>
      <c r="SYY1" s="176" t="s">
        <v>196</v>
      </c>
      <c r="SYZ1" s="176" t="s">
        <v>196</v>
      </c>
      <c r="SZA1" s="176" t="s">
        <v>196</v>
      </c>
      <c r="SZB1" s="176" t="s">
        <v>196</v>
      </c>
      <c r="SZC1" s="176" t="s">
        <v>196</v>
      </c>
      <c r="SZD1" s="176" t="s">
        <v>196</v>
      </c>
      <c r="SZE1" s="176" t="s">
        <v>196</v>
      </c>
      <c r="SZF1" s="176" t="s">
        <v>196</v>
      </c>
      <c r="SZG1" s="176" t="s">
        <v>196</v>
      </c>
      <c r="SZH1" s="176" t="s">
        <v>196</v>
      </c>
      <c r="SZI1" s="176" t="s">
        <v>196</v>
      </c>
      <c r="SZJ1" s="176" t="s">
        <v>196</v>
      </c>
      <c r="SZK1" s="176" t="s">
        <v>196</v>
      </c>
      <c r="SZL1" s="176" t="s">
        <v>196</v>
      </c>
      <c r="SZM1" s="176" t="s">
        <v>196</v>
      </c>
      <c r="SZN1" s="176" t="s">
        <v>196</v>
      </c>
      <c r="SZO1" s="176" t="s">
        <v>196</v>
      </c>
      <c r="SZP1" s="176" t="s">
        <v>196</v>
      </c>
      <c r="SZQ1" s="176" t="s">
        <v>196</v>
      </c>
      <c r="SZR1" s="176" t="s">
        <v>196</v>
      </c>
      <c r="SZS1" s="176" t="s">
        <v>196</v>
      </c>
      <c r="SZT1" s="176" t="s">
        <v>196</v>
      </c>
      <c r="SZU1" s="176" t="s">
        <v>196</v>
      </c>
      <c r="SZV1" s="176" t="s">
        <v>196</v>
      </c>
      <c r="SZW1" s="176" t="s">
        <v>196</v>
      </c>
      <c r="SZX1" s="176" t="s">
        <v>196</v>
      </c>
      <c r="SZY1" s="176" t="s">
        <v>196</v>
      </c>
      <c r="SZZ1" s="176" t="s">
        <v>196</v>
      </c>
      <c r="TAA1" s="176" t="s">
        <v>196</v>
      </c>
      <c r="TAB1" s="176" t="s">
        <v>196</v>
      </c>
      <c r="TAC1" s="176" t="s">
        <v>196</v>
      </c>
      <c r="TAD1" s="176" t="s">
        <v>196</v>
      </c>
      <c r="TAE1" s="176" t="s">
        <v>196</v>
      </c>
      <c r="TAF1" s="176" t="s">
        <v>196</v>
      </c>
      <c r="TAG1" s="176" t="s">
        <v>196</v>
      </c>
      <c r="TAH1" s="176" t="s">
        <v>196</v>
      </c>
      <c r="TAI1" s="176" t="s">
        <v>196</v>
      </c>
      <c r="TAJ1" s="176" t="s">
        <v>196</v>
      </c>
      <c r="TAK1" s="176" t="s">
        <v>196</v>
      </c>
      <c r="TAL1" s="176" t="s">
        <v>196</v>
      </c>
      <c r="TAM1" s="176" t="s">
        <v>196</v>
      </c>
      <c r="TAN1" s="176" t="s">
        <v>196</v>
      </c>
      <c r="TAO1" s="176" t="s">
        <v>196</v>
      </c>
      <c r="TAP1" s="176" t="s">
        <v>196</v>
      </c>
      <c r="TAQ1" s="176" t="s">
        <v>196</v>
      </c>
      <c r="TAR1" s="176" t="s">
        <v>196</v>
      </c>
      <c r="TAS1" s="176" t="s">
        <v>196</v>
      </c>
      <c r="TAT1" s="176" t="s">
        <v>196</v>
      </c>
      <c r="TAU1" s="176" t="s">
        <v>196</v>
      </c>
      <c r="TAV1" s="176" t="s">
        <v>196</v>
      </c>
      <c r="TAW1" s="176" t="s">
        <v>196</v>
      </c>
      <c r="TAX1" s="176" t="s">
        <v>196</v>
      </c>
      <c r="TAY1" s="176" t="s">
        <v>196</v>
      </c>
      <c r="TAZ1" s="176" t="s">
        <v>196</v>
      </c>
      <c r="TBA1" s="176" t="s">
        <v>196</v>
      </c>
      <c r="TBB1" s="176" t="s">
        <v>196</v>
      </c>
      <c r="TBC1" s="176" t="s">
        <v>196</v>
      </c>
      <c r="TBD1" s="176" t="s">
        <v>196</v>
      </c>
      <c r="TBE1" s="176" t="s">
        <v>196</v>
      </c>
      <c r="TBF1" s="176" t="s">
        <v>196</v>
      </c>
      <c r="TBG1" s="176" t="s">
        <v>196</v>
      </c>
      <c r="TBH1" s="176" t="s">
        <v>196</v>
      </c>
      <c r="TBI1" s="176" t="s">
        <v>196</v>
      </c>
      <c r="TBJ1" s="176" t="s">
        <v>196</v>
      </c>
      <c r="TBK1" s="176" t="s">
        <v>196</v>
      </c>
      <c r="TBL1" s="176" t="s">
        <v>196</v>
      </c>
      <c r="TBM1" s="176" t="s">
        <v>196</v>
      </c>
      <c r="TBN1" s="176" t="s">
        <v>196</v>
      </c>
      <c r="TBO1" s="176" t="s">
        <v>196</v>
      </c>
      <c r="TBP1" s="176" t="s">
        <v>196</v>
      </c>
      <c r="TBQ1" s="176" t="s">
        <v>196</v>
      </c>
      <c r="TBR1" s="176" t="s">
        <v>196</v>
      </c>
      <c r="TBS1" s="176" t="s">
        <v>196</v>
      </c>
      <c r="TBT1" s="176" t="s">
        <v>196</v>
      </c>
      <c r="TBU1" s="176" t="s">
        <v>196</v>
      </c>
      <c r="TBV1" s="176" t="s">
        <v>196</v>
      </c>
      <c r="TBW1" s="176" t="s">
        <v>196</v>
      </c>
      <c r="TBX1" s="176" t="s">
        <v>196</v>
      </c>
      <c r="TBY1" s="176" t="s">
        <v>196</v>
      </c>
      <c r="TBZ1" s="176" t="s">
        <v>196</v>
      </c>
      <c r="TCA1" s="176" t="s">
        <v>196</v>
      </c>
      <c r="TCB1" s="176" t="s">
        <v>196</v>
      </c>
      <c r="TCC1" s="176" t="s">
        <v>196</v>
      </c>
      <c r="TCD1" s="176" t="s">
        <v>196</v>
      </c>
      <c r="TCE1" s="176" t="s">
        <v>196</v>
      </c>
      <c r="TCF1" s="176" t="s">
        <v>196</v>
      </c>
      <c r="TCG1" s="176" t="s">
        <v>196</v>
      </c>
      <c r="TCH1" s="176" t="s">
        <v>196</v>
      </c>
      <c r="TCI1" s="176" t="s">
        <v>196</v>
      </c>
      <c r="TCJ1" s="176" t="s">
        <v>196</v>
      </c>
      <c r="TCK1" s="176" t="s">
        <v>196</v>
      </c>
      <c r="TCL1" s="176" t="s">
        <v>196</v>
      </c>
      <c r="TCM1" s="176" t="s">
        <v>196</v>
      </c>
      <c r="TCN1" s="176" t="s">
        <v>196</v>
      </c>
      <c r="TCO1" s="176" t="s">
        <v>196</v>
      </c>
      <c r="TCP1" s="176" t="s">
        <v>196</v>
      </c>
      <c r="TCQ1" s="176" t="s">
        <v>196</v>
      </c>
      <c r="TCR1" s="176" t="s">
        <v>196</v>
      </c>
      <c r="TCS1" s="176" t="s">
        <v>196</v>
      </c>
      <c r="TCT1" s="176" t="s">
        <v>196</v>
      </c>
      <c r="TCU1" s="176" t="s">
        <v>196</v>
      </c>
      <c r="TCV1" s="176" t="s">
        <v>196</v>
      </c>
      <c r="TCW1" s="176" t="s">
        <v>196</v>
      </c>
      <c r="TCX1" s="176" t="s">
        <v>196</v>
      </c>
      <c r="TCY1" s="176" t="s">
        <v>196</v>
      </c>
      <c r="TCZ1" s="176" t="s">
        <v>196</v>
      </c>
      <c r="TDA1" s="176" t="s">
        <v>196</v>
      </c>
      <c r="TDB1" s="176" t="s">
        <v>196</v>
      </c>
      <c r="TDC1" s="176" t="s">
        <v>196</v>
      </c>
      <c r="TDD1" s="176" t="s">
        <v>196</v>
      </c>
      <c r="TDE1" s="176" t="s">
        <v>196</v>
      </c>
      <c r="TDF1" s="176" t="s">
        <v>196</v>
      </c>
      <c r="TDG1" s="176" t="s">
        <v>196</v>
      </c>
      <c r="TDH1" s="176" t="s">
        <v>196</v>
      </c>
      <c r="TDI1" s="176" t="s">
        <v>196</v>
      </c>
      <c r="TDJ1" s="176" t="s">
        <v>196</v>
      </c>
      <c r="TDK1" s="176" t="s">
        <v>196</v>
      </c>
      <c r="TDL1" s="176" t="s">
        <v>196</v>
      </c>
      <c r="TDM1" s="176" t="s">
        <v>196</v>
      </c>
      <c r="TDN1" s="176" t="s">
        <v>196</v>
      </c>
      <c r="TDO1" s="176" t="s">
        <v>196</v>
      </c>
      <c r="TDP1" s="176" t="s">
        <v>196</v>
      </c>
      <c r="TDQ1" s="176" t="s">
        <v>196</v>
      </c>
      <c r="TDR1" s="176" t="s">
        <v>196</v>
      </c>
      <c r="TDS1" s="176" t="s">
        <v>196</v>
      </c>
      <c r="TDT1" s="176" t="s">
        <v>196</v>
      </c>
      <c r="TDU1" s="176" t="s">
        <v>196</v>
      </c>
      <c r="TDV1" s="176" t="s">
        <v>196</v>
      </c>
      <c r="TDW1" s="176" t="s">
        <v>196</v>
      </c>
      <c r="TDX1" s="176" t="s">
        <v>196</v>
      </c>
      <c r="TDY1" s="176" t="s">
        <v>196</v>
      </c>
      <c r="TDZ1" s="176" t="s">
        <v>196</v>
      </c>
      <c r="TEA1" s="176" t="s">
        <v>196</v>
      </c>
      <c r="TEB1" s="176" t="s">
        <v>196</v>
      </c>
      <c r="TEC1" s="176" t="s">
        <v>196</v>
      </c>
      <c r="TED1" s="176" t="s">
        <v>196</v>
      </c>
      <c r="TEE1" s="176" t="s">
        <v>196</v>
      </c>
      <c r="TEF1" s="176" t="s">
        <v>196</v>
      </c>
      <c r="TEG1" s="176" t="s">
        <v>196</v>
      </c>
      <c r="TEH1" s="176" t="s">
        <v>196</v>
      </c>
      <c r="TEI1" s="176" t="s">
        <v>196</v>
      </c>
      <c r="TEJ1" s="176" t="s">
        <v>196</v>
      </c>
      <c r="TEK1" s="176" t="s">
        <v>196</v>
      </c>
      <c r="TEL1" s="176" t="s">
        <v>196</v>
      </c>
      <c r="TEM1" s="176" t="s">
        <v>196</v>
      </c>
      <c r="TEN1" s="176" t="s">
        <v>196</v>
      </c>
      <c r="TEO1" s="176" t="s">
        <v>196</v>
      </c>
      <c r="TEP1" s="176" t="s">
        <v>196</v>
      </c>
      <c r="TEQ1" s="176" t="s">
        <v>196</v>
      </c>
      <c r="TER1" s="176" t="s">
        <v>196</v>
      </c>
      <c r="TES1" s="176" t="s">
        <v>196</v>
      </c>
      <c r="TET1" s="176" t="s">
        <v>196</v>
      </c>
      <c r="TEU1" s="176" t="s">
        <v>196</v>
      </c>
      <c r="TEV1" s="176" t="s">
        <v>196</v>
      </c>
      <c r="TEW1" s="176" t="s">
        <v>196</v>
      </c>
      <c r="TEX1" s="176" t="s">
        <v>196</v>
      </c>
      <c r="TEY1" s="176" t="s">
        <v>196</v>
      </c>
      <c r="TEZ1" s="176" t="s">
        <v>196</v>
      </c>
      <c r="TFA1" s="176" t="s">
        <v>196</v>
      </c>
      <c r="TFB1" s="176" t="s">
        <v>196</v>
      </c>
      <c r="TFC1" s="176" t="s">
        <v>196</v>
      </c>
      <c r="TFD1" s="176" t="s">
        <v>196</v>
      </c>
      <c r="TFE1" s="176" t="s">
        <v>196</v>
      </c>
      <c r="TFF1" s="176" t="s">
        <v>196</v>
      </c>
      <c r="TFG1" s="176" t="s">
        <v>196</v>
      </c>
      <c r="TFH1" s="176" t="s">
        <v>196</v>
      </c>
      <c r="TFI1" s="176" t="s">
        <v>196</v>
      </c>
      <c r="TFJ1" s="176" t="s">
        <v>196</v>
      </c>
      <c r="TFK1" s="176" t="s">
        <v>196</v>
      </c>
      <c r="TFL1" s="176" t="s">
        <v>196</v>
      </c>
      <c r="TFM1" s="176" t="s">
        <v>196</v>
      </c>
      <c r="TFN1" s="176" t="s">
        <v>196</v>
      </c>
      <c r="TFO1" s="176" t="s">
        <v>196</v>
      </c>
      <c r="TFP1" s="176" t="s">
        <v>196</v>
      </c>
      <c r="TFQ1" s="176" t="s">
        <v>196</v>
      </c>
      <c r="TFR1" s="176" t="s">
        <v>196</v>
      </c>
      <c r="TFS1" s="176" t="s">
        <v>196</v>
      </c>
      <c r="TFT1" s="176" t="s">
        <v>196</v>
      </c>
      <c r="TFU1" s="176" t="s">
        <v>196</v>
      </c>
      <c r="TFV1" s="176" t="s">
        <v>196</v>
      </c>
      <c r="TFW1" s="176" t="s">
        <v>196</v>
      </c>
      <c r="TFX1" s="176" t="s">
        <v>196</v>
      </c>
      <c r="TFY1" s="176" t="s">
        <v>196</v>
      </c>
      <c r="TFZ1" s="176" t="s">
        <v>196</v>
      </c>
      <c r="TGA1" s="176" t="s">
        <v>196</v>
      </c>
      <c r="TGB1" s="176" t="s">
        <v>196</v>
      </c>
      <c r="TGC1" s="176" t="s">
        <v>196</v>
      </c>
      <c r="TGD1" s="176" t="s">
        <v>196</v>
      </c>
      <c r="TGE1" s="176" t="s">
        <v>196</v>
      </c>
      <c r="TGF1" s="176" t="s">
        <v>196</v>
      </c>
      <c r="TGG1" s="176" t="s">
        <v>196</v>
      </c>
      <c r="TGH1" s="176" t="s">
        <v>196</v>
      </c>
      <c r="TGI1" s="176" t="s">
        <v>196</v>
      </c>
      <c r="TGJ1" s="176" t="s">
        <v>196</v>
      </c>
      <c r="TGK1" s="176" t="s">
        <v>196</v>
      </c>
      <c r="TGL1" s="176" t="s">
        <v>196</v>
      </c>
      <c r="TGM1" s="176" t="s">
        <v>196</v>
      </c>
      <c r="TGN1" s="176" t="s">
        <v>196</v>
      </c>
      <c r="TGO1" s="176" t="s">
        <v>196</v>
      </c>
      <c r="TGP1" s="176" t="s">
        <v>196</v>
      </c>
      <c r="TGQ1" s="176" t="s">
        <v>196</v>
      </c>
      <c r="TGR1" s="176" t="s">
        <v>196</v>
      </c>
      <c r="TGS1" s="176" t="s">
        <v>196</v>
      </c>
      <c r="TGT1" s="176" t="s">
        <v>196</v>
      </c>
      <c r="TGU1" s="176" t="s">
        <v>196</v>
      </c>
      <c r="TGV1" s="176" t="s">
        <v>196</v>
      </c>
      <c r="TGW1" s="176" t="s">
        <v>196</v>
      </c>
      <c r="TGX1" s="176" t="s">
        <v>196</v>
      </c>
      <c r="TGY1" s="176" t="s">
        <v>196</v>
      </c>
      <c r="TGZ1" s="176" t="s">
        <v>196</v>
      </c>
      <c r="THA1" s="176" t="s">
        <v>196</v>
      </c>
      <c r="THB1" s="176" t="s">
        <v>196</v>
      </c>
      <c r="THC1" s="176" t="s">
        <v>196</v>
      </c>
      <c r="THD1" s="176" t="s">
        <v>196</v>
      </c>
      <c r="THE1" s="176" t="s">
        <v>196</v>
      </c>
      <c r="THF1" s="176" t="s">
        <v>196</v>
      </c>
      <c r="THG1" s="176" t="s">
        <v>196</v>
      </c>
      <c r="THH1" s="176" t="s">
        <v>196</v>
      </c>
      <c r="THI1" s="176" t="s">
        <v>196</v>
      </c>
      <c r="THJ1" s="176" t="s">
        <v>196</v>
      </c>
      <c r="THK1" s="176" t="s">
        <v>196</v>
      </c>
      <c r="THL1" s="176" t="s">
        <v>196</v>
      </c>
      <c r="THM1" s="176" t="s">
        <v>196</v>
      </c>
      <c r="THN1" s="176" t="s">
        <v>196</v>
      </c>
      <c r="THO1" s="176" t="s">
        <v>196</v>
      </c>
      <c r="THP1" s="176" t="s">
        <v>196</v>
      </c>
      <c r="THQ1" s="176" t="s">
        <v>196</v>
      </c>
      <c r="THR1" s="176" t="s">
        <v>196</v>
      </c>
      <c r="THS1" s="176" t="s">
        <v>196</v>
      </c>
      <c r="THT1" s="176" t="s">
        <v>196</v>
      </c>
      <c r="THU1" s="176" t="s">
        <v>196</v>
      </c>
      <c r="THV1" s="176" t="s">
        <v>196</v>
      </c>
      <c r="THW1" s="176" t="s">
        <v>196</v>
      </c>
      <c r="THX1" s="176" t="s">
        <v>196</v>
      </c>
      <c r="THY1" s="176" t="s">
        <v>196</v>
      </c>
      <c r="THZ1" s="176" t="s">
        <v>196</v>
      </c>
      <c r="TIA1" s="176" t="s">
        <v>196</v>
      </c>
      <c r="TIB1" s="176" t="s">
        <v>196</v>
      </c>
      <c r="TIC1" s="176" t="s">
        <v>196</v>
      </c>
      <c r="TID1" s="176" t="s">
        <v>196</v>
      </c>
      <c r="TIE1" s="176" t="s">
        <v>196</v>
      </c>
      <c r="TIF1" s="176" t="s">
        <v>196</v>
      </c>
      <c r="TIG1" s="176" t="s">
        <v>196</v>
      </c>
      <c r="TIH1" s="176" t="s">
        <v>196</v>
      </c>
      <c r="TII1" s="176" t="s">
        <v>196</v>
      </c>
      <c r="TIJ1" s="176" t="s">
        <v>196</v>
      </c>
      <c r="TIK1" s="176" t="s">
        <v>196</v>
      </c>
      <c r="TIL1" s="176" t="s">
        <v>196</v>
      </c>
      <c r="TIM1" s="176" t="s">
        <v>196</v>
      </c>
      <c r="TIN1" s="176" t="s">
        <v>196</v>
      </c>
      <c r="TIO1" s="176" t="s">
        <v>196</v>
      </c>
      <c r="TIP1" s="176" t="s">
        <v>196</v>
      </c>
      <c r="TIQ1" s="176" t="s">
        <v>196</v>
      </c>
      <c r="TIR1" s="176" t="s">
        <v>196</v>
      </c>
      <c r="TIS1" s="176" t="s">
        <v>196</v>
      </c>
      <c r="TIT1" s="176" t="s">
        <v>196</v>
      </c>
      <c r="TIU1" s="176" t="s">
        <v>196</v>
      </c>
      <c r="TIV1" s="176" t="s">
        <v>196</v>
      </c>
      <c r="TIW1" s="176" t="s">
        <v>196</v>
      </c>
      <c r="TIX1" s="176" t="s">
        <v>196</v>
      </c>
      <c r="TIY1" s="176" t="s">
        <v>196</v>
      </c>
      <c r="TIZ1" s="176" t="s">
        <v>196</v>
      </c>
      <c r="TJA1" s="176" t="s">
        <v>196</v>
      </c>
      <c r="TJB1" s="176" t="s">
        <v>196</v>
      </c>
      <c r="TJC1" s="176" t="s">
        <v>196</v>
      </c>
      <c r="TJD1" s="176" t="s">
        <v>196</v>
      </c>
      <c r="TJE1" s="176" t="s">
        <v>196</v>
      </c>
      <c r="TJF1" s="176" t="s">
        <v>196</v>
      </c>
      <c r="TJG1" s="176" t="s">
        <v>196</v>
      </c>
      <c r="TJH1" s="176" t="s">
        <v>196</v>
      </c>
      <c r="TJI1" s="176" t="s">
        <v>196</v>
      </c>
      <c r="TJJ1" s="176" t="s">
        <v>196</v>
      </c>
      <c r="TJK1" s="176" t="s">
        <v>196</v>
      </c>
      <c r="TJL1" s="176" t="s">
        <v>196</v>
      </c>
      <c r="TJM1" s="176" t="s">
        <v>196</v>
      </c>
      <c r="TJN1" s="176" t="s">
        <v>196</v>
      </c>
      <c r="TJO1" s="176" t="s">
        <v>196</v>
      </c>
      <c r="TJP1" s="176" t="s">
        <v>196</v>
      </c>
      <c r="TJQ1" s="176" t="s">
        <v>196</v>
      </c>
      <c r="TJR1" s="176" t="s">
        <v>196</v>
      </c>
      <c r="TJS1" s="176" t="s">
        <v>196</v>
      </c>
      <c r="TJT1" s="176" t="s">
        <v>196</v>
      </c>
      <c r="TJU1" s="176" t="s">
        <v>196</v>
      </c>
      <c r="TJV1" s="176" t="s">
        <v>196</v>
      </c>
      <c r="TJW1" s="176" t="s">
        <v>196</v>
      </c>
      <c r="TJX1" s="176" t="s">
        <v>196</v>
      </c>
      <c r="TJY1" s="176" t="s">
        <v>196</v>
      </c>
      <c r="TJZ1" s="176" t="s">
        <v>196</v>
      </c>
      <c r="TKA1" s="176" t="s">
        <v>196</v>
      </c>
      <c r="TKB1" s="176" t="s">
        <v>196</v>
      </c>
      <c r="TKC1" s="176" t="s">
        <v>196</v>
      </c>
      <c r="TKD1" s="176" t="s">
        <v>196</v>
      </c>
      <c r="TKE1" s="176" t="s">
        <v>196</v>
      </c>
      <c r="TKF1" s="176" t="s">
        <v>196</v>
      </c>
      <c r="TKG1" s="176" t="s">
        <v>196</v>
      </c>
      <c r="TKH1" s="176" t="s">
        <v>196</v>
      </c>
      <c r="TKI1" s="176" t="s">
        <v>196</v>
      </c>
      <c r="TKJ1" s="176" t="s">
        <v>196</v>
      </c>
      <c r="TKK1" s="176" t="s">
        <v>196</v>
      </c>
      <c r="TKL1" s="176" t="s">
        <v>196</v>
      </c>
      <c r="TKM1" s="176" t="s">
        <v>196</v>
      </c>
      <c r="TKN1" s="176" t="s">
        <v>196</v>
      </c>
      <c r="TKO1" s="176" t="s">
        <v>196</v>
      </c>
      <c r="TKP1" s="176" t="s">
        <v>196</v>
      </c>
      <c r="TKQ1" s="176" t="s">
        <v>196</v>
      </c>
      <c r="TKR1" s="176" t="s">
        <v>196</v>
      </c>
      <c r="TKS1" s="176" t="s">
        <v>196</v>
      </c>
      <c r="TKT1" s="176" t="s">
        <v>196</v>
      </c>
      <c r="TKU1" s="176" t="s">
        <v>196</v>
      </c>
      <c r="TKV1" s="176" t="s">
        <v>196</v>
      </c>
      <c r="TKW1" s="176" t="s">
        <v>196</v>
      </c>
      <c r="TKX1" s="176" t="s">
        <v>196</v>
      </c>
      <c r="TKY1" s="176" t="s">
        <v>196</v>
      </c>
      <c r="TKZ1" s="176" t="s">
        <v>196</v>
      </c>
      <c r="TLA1" s="176" t="s">
        <v>196</v>
      </c>
      <c r="TLB1" s="176" t="s">
        <v>196</v>
      </c>
      <c r="TLC1" s="176" t="s">
        <v>196</v>
      </c>
      <c r="TLD1" s="176" t="s">
        <v>196</v>
      </c>
      <c r="TLE1" s="176" t="s">
        <v>196</v>
      </c>
      <c r="TLF1" s="176" t="s">
        <v>196</v>
      </c>
      <c r="TLG1" s="176" t="s">
        <v>196</v>
      </c>
      <c r="TLH1" s="176" t="s">
        <v>196</v>
      </c>
      <c r="TLI1" s="176" t="s">
        <v>196</v>
      </c>
      <c r="TLJ1" s="176" t="s">
        <v>196</v>
      </c>
      <c r="TLK1" s="176" t="s">
        <v>196</v>
      </c>
      <c r="TLL1" s="176" t="s">
        <v>196</v>
      </c>
      <c r="TLM1" s="176" t="s">
        <v>196</v>
      </c>
      <c r="TLN1" s="176" t="s">
        <v>196</v>
      </c>
      <c r="TLO1" s="176" t="s">
        <v>196</v>
      </c>
      <c r="TLP1" s="176" t="s">
        <v>196</v>
      </c>
      <c r="TLQ1" s="176" t="s">
        <v>196</v>
      </c>
      <c r="TLR1" s="176" t="s">
        <v>196</v>
      </c>
      <c r="TLS1" s="176" t="s">
        <v>196</v>
      </c>
      <c r="TLT1" s="176" t="s">
        <v>196</v>
      </c>
      <c r="TLU1" s="176" t="s">
        <v>196</v>
      </c>
      <c r="TLV1" s="176" t="s">
        <v>196</v>
      </c>
      <c r="TLW1" s="176" t="s">
        <v>196</v>
      </c>
      <c r="TLX1" s="176" t="s">
        <v>196</v>
      </c>
      <c r="TLY1" s="176" t="s">
        <v>196</v>
      </c>
      <c r="TLZ1" s="176" t="s">
        <v>196</v>
      </c>
      <c r="TMA1" s="176" t="s">
        <v>196</v>
      </c>
      <c r="TMB1" s="176" t="s">
        <v>196</v>
      </c>
      <c r="TMC1" s="176" t="s">
        <v>196</v>
      </c>
      <c r="TMD1" s="176" t="s">
        <v>196</v>
      </c>
      <c r="TME1" s="176" t="s">
        <v>196</v>
      </c>
      <c r="TMF1" s="176" t="s">
        <v>196</v>
      </c>
      <c r="TMG1" s="176" t="s">
        <v>196</v>
      </c>
      <c r="TMH1" s="176" t="s">
        <v>196</v>
      </c>
      <c r="TMI1" s="176" t="s">
        <v>196</v>
      </c>
      <c r="TMJ1" s="176" t="s">
        <v>196</v>
      </c>
      <c r="TMK1" s="176" t="s">
        <v>196</v>
      </c>
      <c r="TML1" s="176" t="s">
        <v>196</v>
      </c>
      <c r="TMM1" s="176" t="s">
        <v>196</v>
      </c>
      <c r="TMN1" s="176" t="s">
        <v>196</v>
      </c>
      <c r="TMO1" s="176" t="s">
        <v>196</v>
      </c>
      <c r="TMP1" s="176" t="s">
        <v>196</v>
      </c>
      <c r="TMQ1" s="176" t="s">
        <v>196</v>
      </c>
      <c r="TMR1" s="176" t="s">
        <v>196</v>
      </c>
      <c r="TMS1" s="176" t="s">
        <v>196</v>
      </c>
      <c r="TMT1" s="176" t="s">
        <v>196</v>
      </c>
      <c r="TMU1" s="176" t="s">
        <v>196</v>
      </c>
      <c r="TMV1" s="176" t="s">
        <v>196</v>
      </c>
      <c r="TMW1" s="176" t="s">
        <v>196</v>
      </c>
      <c r="TMX1" s="176" t="s">
        <v>196</v>
      </c>
      <c r="TMY1" s="176" t="s">
        <v>196</v>
      </c>
      <c r="TMZ1" s="176" t="s">
        <v>196</v>
      </c>
      <c r="TNA1" s="176" t="s">
        <v>196</v>
      </c>
      <c r="TNB1" s="176" t="s">
        <v>196</v>
      </c>
      <c r="TNC1" s="176" t="s">
        <v>196</v>
      </c>
      <c r="TND1" s="176" t="s">
        <v>196</v>
      </c>
      <c r="TNE1" s="176" t="s">
        <v>196</v>
      </c>
      <c r="TNF1" s="176" t="s">
        <v>196</v>
      </c>
      <c r="TNG1" s="176" t="s">
        <v>196</v>
      </c>
      <c r="TNH1" s="176" t="s">
        <v>196</v>
      </c>
      <c r="TNI1" s="176" t="s">
        <v>196</v>
      </c>
      <c r="TNJ1" s="176" t="s">
        <v>196</v>
      </c>
      <c r="TNK1" s="176" t="s">
        <v>196</v>
      </c>
      <c r="TNL1" s="176" t="s">
        <v>196</v>
      </c>
      <c r="TNM1" s="176" t="s">
        <v>196</v>
      </c>
      <c r="TNN1" s="176" t="s">
        <v>196</v>
      </c>
      <c r="TNO1" s="176" t="s">
        <v>196</v>
      </c>
      <c r="TNP1" s="176" t="s">
        <v>196</v>
      </c>
      <c r="TNQ1" s="176" t="s">
        <v>196</v>
      </c>
      <c r="TNR1" s="176" t="s">
        <v>196</v>
      </c>
      <c r="TNS1" s="176" t="s">
        <v>196</v>
      </c>
      <c r="TNT1" s="176" t="s">
        <v>196</v>
      </c>
      <c r="TNU1" s="176" t="s">
        <v>196</v>
      </c>
      <c r="TNV1" s="176" t="s">
        <v>196</v>
      </c>
      <c r="TNW1" s="176" t="s">
        <v>196</v>
      </c>
      <c r="TNX1" s="176" t="s">
        <v>196</v>
      </c>
      <c r="TNY1" s="176" t="s">
        <v>196</v>
      </c>
      <c r="TNZ1" s="176" t="s">
        <v>196</v>
      </c>
      <c r="TOA1" s="176" t="s">
        <v>196</v>
      </c>
      <c r="TOB1" s="176" t="s">
        <v>196</v>
      </c>
      <c r="TOC1" s="176" t="s">
        <v>196</v>
      </c>
      <c r="TOD1" s="176" t="s">
        <v>196</v>
      </c>
      <c r="TOE1" s="176" t="s">
        <v>196</v>
      </c>
      <c r="TOF1" s="176" t="s">
        <v>196</v>
      </c>
      <c r="TOG1" s="176" t="s">
        <v>196</v>
      </c>
      <c r="TOH1" s="176" t="s">
        <v>196</v>
      </c>
      <c r="TOI1" s="176" t="s">
        <v>196</v>
      </c>
      <c r="TOJ1" s="176" t="s">
        <v>196</v>
      </c>
      <c r="TOK1" s="176" t="s">
        <v>196</v>
      </c>
      <c r="TOL1" s="176" t="s">
        <v>196</v>
      </c>
      <c r="TOM1" s="176" t="s">
        <v>196</v>
      </c>
      <c r="TON1" s="176" t="s">
        <v>196</v>
      </c>
      <c r="TOO1" s="176" t="s">
        <v>196</v>
      </c>
      <c r="TOP1" s="176" t="s">
        <v>196</v>
      </c>
      <c r="TOQ1" s="176" t="s">
        <v>196</v>
      </c>
      <c r="TOR1" s="176" t="s">
        <v>196</v>
      </c>
      <c r="TOS1" s="176" t="s">
        <v>196</v>
      </c>
      <c r="TOT1" s="176" t="s">
        <v>196</v>
      </c>
      <c r="TOU1" s="176" t="s">
        <v>196</v>
      </c>
      <c r="TOV1" s="176" t="s">
        <v>196</v>
      </c>
      <c r="TOW1" s="176" t="s">
        <v>196</v>
      </c>
      <c r="TOX1" s="176" t="s">
        <v>196</v>
      </c>
      <c r="TOY1" s="176" t="s">
        <v>196</v>
      </c>
      <c r="TOZ1" s="176" t="s">
        <v>196</v>
      </c>
      <c r="TPA1" s="176" t="s">
        <v>196</v>
      </c>
      <c r="TPB1" s="176" t="s">
        <v>196</v>
      </c>
      <c r="TPC1" s="176" t="s">
        <v>196</v>
      </c>
      <c r="TPD1" s="176" t="s">
        <v>196</v>
      </c>
      <c r="TPE1" s="176" t="s">
        <v>196</v>
      </c>
      <c r="TPF1" s="176" t="s">
        <v>196</v>
      </c>
      <c r="TPG1" s="176" t="s">
        <v>196</v>
      </c>
      <c r="TPH1" s="176" t="s">
        <v>196</v>
      </c>
      <c r="TPI1" s="176" t="s">
        <v>196</v>
      </c>
      <c r="TPJ1" s="176" t="s">
        <v>196</v>
      </c>
      <c r="TPK1" s="176" t="s">
        <v>196</v>
      </c>
      <c r="TPL1" s="176" t="s">
        <v>196</v>
      </c>
      <c r="TPM1" s="176" t="s">
        <v>196</v>
      </c>
      <c r="TPN1" s="176" t="s">
        <v>196</v>
      </c>
      <c r="TPO1" s="176" t="s">
        <v>196</v>
      </c>
      <c r="TPP1" s="176" t="s">
        <v>196</v>
      </c>
      <c r="TPQ1" s="176" t="s">
        <v>196</v>
      </c>
      <c r="TPR1" s="176" t="s">
        <v>196</v>
      </c>
      <c r="TPS1" s="176" t="s">
        <v>196</v>
      </c>
      <c r="TPT1" s="176" t="s">
        <v>196</v>
      </c>
      <c r="TPU1" s="176" t="s">
        <v>196</v>
      </c>
      <c r="TPV1" s="176" t="s">
        <v>196</v>
      </c>
      <c r="TPW1" s="176" t="s">
        <v>196</v>
      </c>
      <c r="TPX1" s="176" t="s">
        <v>196</v>
      </c>
      <c r="TPY1" s="176" t="s">
        <v>196</v>
      </c>
      <c r="TPZ1" s="176" t="s">
        <v>196</v>
      </c>
      <c r="TQA1" s="176" t="s">
        <v>196</v>
      </c>
      <c r="TQB1" s="176" t="s">
        <v>196</v>
      </c>
      <c r="TQC1" s="176" t="s">
        <v>196</v>
      </c>
      <c r="TQD1" s="176" t="s">
        <v>196</v>
      </c>
      <c r="TQE1" s="176" t="s">
        <v>196</v>
      </c>
      <c r="TQF1" s="176" t="s">
        <v>196</v>
      </c>
      <c r="TQG1" s="176" t="s">
        <v>196</v>
      </c>
      <c r="TQH1" s="176" t="s">
        <v>196</v>
      </c>
      <c r="TQI1" s="176" t="s">
        <v>196</v>
      </c>
      <c r="TQJ1" s="176" t="s">
        <v>196</v>
      </c>
      <c r="TQK1" s="176" t="s">
        <v>196</v>
      </c>
      <c r="TQL1" s="176" t="s">
        <v>196</v>
      </c>
      <c r="TQM1" s="176" t="s">
        <v>196</v>
      </c>
      <c r="TQN1" s="176" t="s">
        <v>196</v>
      </c>
      <c r="TQO1" s="176" t="s">
        <v>196</v>
      </c>
      <c r="TQP1" s="176" t="s">
        <v>196</v>
      </c>
      <c r="TQQ1" s="176" t="s">
        <v>196</v>
      </c>
      <c r="TQR1" s="176" t="s">
        <v>196</v>
      </c>
      <c r="TQS1" s="176" t="s">
        <v>196</v>
      </c>
      <c r="TQT1" s="176" t="s">
        <v>196</v>
      </c>
      <c r="TQU1" s="176" t="s">
        <v>196</v>
      </c>
      <c r="TQV1" s="176" t="s">
        <v>196</v>
      </c>
      <c r="TQW1" s="176" t="s">
        <v>196</v>
      </c>
      <c r="TQX1" s="176" t="s">
        <v>196</v>
      </c>
      <c r="TQY1" s="176" t="s">
        <v>196</v>
      </c>
      <c r="TQZ1" s="176" t="s">
        <v>196</v>
      </c>
      <c r="TRA1" s="176" t="s">
        <v>196</v>
      </c>
      <c r="TRB1" s="176" t="s">
        <v>196</v>
      </c>
      <c r="TRC1" s="176" t="s">
        <v>196</v>
      </c>
      <c r="TRD1" s="176" t="s">
        <v>196</v>
      </c>
      <c r="TRE1" s="176" t="s">
        <v>196</v>
      </c>
      <c r="TRF1" s="176" t="s">
        <v>196</v>
      </c>
      <c r="TRG1" s="176" t="s">
        <v>196</v>
      </c>
      <c r="TRH1" s="176" t="s">
        <v>196</v>
      </c>
      <c r="TRI1" s="176" t="s">
        <v>196</v>
      </c>
      <c r="TRJ1" s="176" t="s">
        <v>196</v>
      </c>
      <c r="TRK1" s="176" t="s">
        <v>196</v>
      </c>
      <c r="TRL1" s="176" t="s">
        <v>196</v>
      </c>
      <c r="TRM1" s="176" t="s">
        <v>196</v>
      </c>
      <c r="TRN1" s="176" t="s">
        <v>196</v>
      </c>
      <c r="TRO1" s="176" t="s">
        <v>196</v>
      </c>
      <c r="TRP1" s="176" t="s">
        <v>196</v>
      </c>
      <c r="TRQ1" s="176" t="s">
        <v>196</v>
      </c>
      <c r="TRR1" s="176" t="s">
        <v>196</v>
      </c>
      <c r="TRS1" s="176" t="s">
        <v>196</v>
      </c>
      <c r="TRT1" s="176" t="s">
        <v>196</v>
      </c>
      <c r="TRU1" s="176" t="s">
        <v>196</v>
      </c>
      <c r="TRV1" s="176" t="s">
        <v>196</v>
      </c>
      <c r="TRW1" s="176" t="s">
        <v>196</v>
      </c>
      <c r="TRX1" s="176" t="s">
        <v>196</v>
      </c>
      <c r="TRY1" s="176" t="s">
        <v>196</v>
      </c>
      <c r="TRZ1" s="176" t="s">
        <v>196</v>
      </c>
      <c r="TSA1" s="176" t="s">
        <v>196</v>
      </c>
      <c r="TSB1" s="176" t="s">
        <v>196</v>
      </c>
      <c r="TSC1" s="176" t="s">
        <v>196</v>
      </c>
      <c r="TSD1" s="176" t="s">
        <v>196</v>
      </c>
      <c r="TSE1" s="176" t="s">
        <v>196</v>
      </c>
      <c r="TSF1" s="176" t="s">
        <v>196</v>
      </c>
      <c r="TSG1" s="176" t="s">
        <v>196</v>
      </c>
      <c r="TSH1" s="176" t="s">
        <v>196</v>
      </c>
      <c r="TSI1" s="176" t="s">
        <v>196</v>
      </c>
      <c r="TSJ1" s="176" t="s">
        <v>196</v>
      </c>
      <c r="TSK1" s="176" t="s">
        <v>196</v>
      </c>
      <c r="TSL1" s="176" t="s">
        <v>196</v>
      </c>
      <c r="TSM1" s="176" t="s">
        <v>196</v>
      </c>
      <c r="TSN1" s="176" t="s">
        <v>196</v>
      </c>
      <c r="TSO1" s="176" t="s">
        <v>196</v>
      </c>
      <c r="TSP1" s="176" t="s">
        <v>196</v>
      </c>
      <c r="TSQ1" s="176" t="s">
        <v>196</v>
      </c>
      <c r="TSR1" s="176" t="s">
        <v>196</v>
      </c>
      <c r="TSS1" s="176" t="s">
        <v>196</v>
      </c>
      <c r="TST1" s="176" t="s">
        <v>196</v>
      </c>
      <c r="TSU1" s="176" t="s">
        <v>196</v>
      </c>
      <c r="TSV1" s="176" t="s">
        <v>196</v>
      </c>
      <c r="TSW1" s="176" t="s">
        <v>196</v>
      </c>
      <c r="TSX1" s="176" t="s">
        <v>196</v>
      </c>
      <c r="TSY1" s="176" t="s">
        <v>196</v>
      </c>
      <c r="TSZ1" s="176" t="s">
        <v>196</v>
      </c>
      <c r="TTA1" s="176" t="s">
        <v>196</v>
      </c>
      <c r="TTB1" s="176" t="s">
        <v>196</v>
      </c>
      <c r="TTC1" s="176" t="s">
        <v>196</v>
      </c>
      <c r="TTD1" s="176" t="s">
        <v>196</v>
      </c>
      <c r="TTE1" s="176" t="s">
        <v>196</v>
      </c>
      <c r="TTF1" s="176" t="s">
        <v>196</v>
      </c>
      <c r="TTG1" s="176" t="s">
        <v>196</v>
      </c>
      <c r="TTH1" s="176" t="s">
        <v>196</v>
      </c>
      <c r="TTI1" s="176" t="s">
        <v>196</v>
      </c>
      <c r="TTJ1" s="176" t="s">
        <v>196</v>
      </c>
      <c r="TTK1" s="176" t="s">
        <v>196</v>
      </c>
      <c r="TTL1" s="176" t="s">
        <v>196</v>
      </c>
      <c r="TTM1" s="176" t="s">
        <v>196</v>
      </c>
      <c r="TTN1" s="176" t="s">
        <v>196</v>
      </c>
      <c r="TTO1" s="176" t="s">
        <v>196</v>
      </c>
      <c r="TTP1" s="176" t="s">
        <v>196</v>
      </c>
      <c r="TTQ1" s="176" t="s">
        <v>196</v>
      </c>
      <c r="TTR1" s="176" t="s">
        <v>196</v>
      </c>
      <c r="TTS1" s="176" t="s">
        <v>196</v>
      </c>
      <c r="TTT1" s="176" t="s">
        <v>196</v>
      </c>
      <c r="TTU1" s="176" t="s">
        <v>196</v>
      </c>
      <c r="TTV1" s="176" t="s">
        <v>196</v>
      </c>
      <c r="TTW1" s="176" t="s">
        <v>196</v>
      </c>
      <c r="TTX1" s="176" t="s">
        <v>196</v>
      </c>
      <c r="TTY1" s="176" t="s">
        <v>196</v>
      </c>
      <c r="TTZ1" s="176" t="s">
        <v>196</v>
      </c>
      <c r="TUA1" s="176" t="s">
        <v>196</v>
      </c>
      <c r="TUB1" s="176" t="s">
        <v>196</v>
      </c>
      <c r="TUC1" s="176" t="s">
        <v>196</v>
      </c>
      <c r="TUD1" s="176" t="s">
        <v>196</v>
      </c>
      <c r="TUE1" s="176" t="s">
        <v>196</v>
      </c>
      <c r="TUF1" s="176" t="s">
        <v>196</v>
      </c>
      <c r="TUG1" s="176" t="s">
        <v>196</v>
      </c>
      <c r="TUH1" s="176" t="s">
        <v>196</v>
      </c>
      <c r="TUI1" s="176" t="s">
        <v>196</v>
      </c>
      <c r="TUJ1" s="176" t="s">
        <v>196</v>
      </c>
      <c r="TUK1" s="176" t="s">
        <v>196</v>
      </c>
      <c r="TUL1" s="176" t="s">
        <v>196</v>
      </c>
      <c r="TUM1" s="176" t="s">
        <v>196</v>
      </c>
      <c r="TUN1" s="176" t="s">
        <v>196</v>
      </c>
      <c r="TUO1" s="176" t="s">
        <v>196</v>
      </c>
      <c r="TUP1" s="176" t="s">
        <v>196</v>
      </c>
      <c r="TUQ1" s="176" t="s">
        <v>196</v>
      </c>
      <c r="TUR1" s="176" t="s">
        <v>196</v>
      </c>
      <c r="TUS1" s="176" t="s">
        <v>196</v>
      </c>
      <c r="TUT1" s="176" t="s">
        <v>196</v>
      </c>
      <c r="TUU1" s="176" t="s">
        <v>196</v>
      </c>
      <c r="TUV1" s="176" t="s">
        <v>196</v>
      </c>
      <c r="TUW1" s="176" t="s">
        <v>196</v>
      </c>
      <c r="TUX1" s="176" t="s">
        <v>196</v>
      </c>
      <c r="TUY1" s="176" t="s">
        <v>196</v>
      </c>
      <c r="TUZ1" s="176" t="s">
        <v>196</v>
      </c>
      <c r="TVA1" s="176" t="s">
        <v>196</v>
      </c>
      <c r="TVB1" s="176" t="s">
        <v>196</v>
      </c>
      <c r="TVC1" s="176" t="s">
        <v>196</v>
      </c>
      <c r="TVD1" s="176" t="s">
        <v>196</v>
      </c>
      <c r="TVE1" s="176" t="s">
        <v>196</v>
      </c>
      <c r="TVF1" s="176" t="s">
        <v>196</v>
      </c>
      <c r="TVG1" s="176" t="s">
        <v>196</v>
      </c>
      <c r="TVH1" s="176" t="s">
        <v>196</v>
      </c>
      <c r="TVI1" s="176" t="s">
        <v>196</v>
      </c>
      <c r="TVJ1" s="176" t="s">
        <v>196</v>
      </c>
      <c r="TVK1" s="176" t="s">
        <v>196</v>
      </c>
      <c r="TVL1" s="176" t="s">
        <v>196</v>
      </c>
      <c r="TVM1" s="176" t="s">
        <v>196</v>
      </c>
      <c r="TVN1" s="176" t="s">
        <v>196</v>
      </c>
      <c r="TVO1" s="176" t="s">
        <v>196</v>
      </c>
      <c r="TVP1" s="176" t="s">
        <v>196</v>
      </c>
      <c r="TVQ1" s="176" t="s">
        <v>196</v>
      </c>
      <c r="TVR1" s="176" t="s">
        <v>196</v>
      </c>
      <c r="TVS1" s="176" t="s">
        <v>196</v>
      </c>
      <c r="TVT1" s="176" t="s">
        <v>196</v>
      </c>
      <c r="TVU1" s="176" t="s">
        <v>196</v>
      </c>
      <c r="TVV1" s="176" t="s">
        <v>196</v>
      </c>
      <c r="TVW1" s="176" t="s">
        <v>196</v>
      </c>
      <c r="TVX1" s="176" t="s">
        <v>196</v>
      </c>
      <c r="TVY1" s="176" t="s">
        <v>196</v>
      </c>
      <c r="TVZ1" s="176" t="s">
        <v>196</v>
      </c>
      <c r="TWA1" s="176" t="s">
        <v>196</v>
      </c>
      <c r="TWB1" s="176" t="s">
        <v>196</v>
      </c>
      <c r="TWC1" s="176" t="s">
        <v>196</v>
      </c>
      <c r="TWD1" s="176" t="s">
        <v>196</v>
      </c>
      <c r="TWE1" s="176" t="s">
        <v>196</v>
      </c>
      <c r="TWF1" s="176" t="s">
        <v>196</v>
      </c>
      <c r="TWG1" s="176" t="s">
        <v>196</v>
      </c>
      <c r="TWH1" s="176" t="s">
        <v>196</v>
      </c>
      <c r="TWI1" s="176" t="s">
        <v>196</v>
      </c>
      <c r="TWJ1" s="176" t="s">
        <v>196</v>
      </c>
      <c r="TWK1" s="176" t="s">
        <v>196</v>
      </c>
      <c r="TWL1" s="176" t="s">
        <v>196</v>
      </c>
      <c r="TWM1" s="176" t="s">
        <v>196</v>
      </c>
      <c r="TWN1" s="176" t="s">
        <v>196</v>
      </c>
      <c r="TWO1" s="176" t="s">
        <v>196</v>
      </c>
      <c r="TWP1" s="176" t="s">
        <v>196</v>
      </c>
      <c r="TWQ1" s="176" t="s">
        <v>196</v>
      </c>
      <c r="TWR1" s="176" t="s">
        <v>196</v>
      </c>
      <c r="TWS1" s="176" t="s">
        <v>196</v>
      </c>
      <c r="TWT1" s="176" t="s">
        <v>196</v>
      </c>
      <c r="TWU1" s="176" t="s">
        <v>196</v>
      </c>
      <c r="TWV1" s="176" t="s">
        <v>196</v>
      </c>
      <c r="TWW1" s="176" t="s">
        <v>196</v>
      </c>
      <c r="TWX1" s="176" t="s">
        <v>196</v>
      </c>
      <c r="TWY1" s="176" t="s">
        <v>196</v>
      </c>
      <c r="TWZ1" s="176" t="s">
        <v>196</v>
      </c>
      <c r="TXA1" s="176" t="s">
        <v>196</v>
      </c>
      <c r="TXB1" s="176" t="s">
        <v>196</v>
      </c>
      <c r="TXC1" s="176" t="s">
        <v>196</v>
      </c>
      <c r="TXD1" s="176" t="s">
        <v>196</v>
      </c>
      <c r="TXE1" s="176" t="s">
        <v>196</v>
      </c>
      <c r="TXF1" s="176" t="s">
        <v>196</v>
      </c>
      <c r="TXG1" s="176" t="s">
        <v>196</v>
      </c>
      <c r="TXH1" s="176" t="s">
        <v>196</v>
      </c>
      <c r="TXI1" s="176" t="s">
        <v>196</v>
      </c>
      <c r="TXJ1" s="176" t="s">
        <v>196</v>
      </c>
      <c r="TXK1" s="176" t="s">
        <v>196</v>
      </c>
      <c r="TXL1" s="176" t="s">
        <v>196</v>
      </c>
      <c r="TXM1" s="176" t="s">
        <v>196</v>
      </c>
      <c r="TXN1" s="176" t="s">
        <v>196</v>
      </c>
      <c r="TXO1" s="176" t="s">
        <v>196</v>
      </c>
      <c r="TXP1" s="176" t="s">
        <v>196</v>
      </c>
      <c r="TXQ1" s="176" t="s">
        <v>196</v>
      </c>
      <c r="TXR1" s="176" t="s">
        <v>196</v>
      </c>
      <c r="TXS1" s="176" t="s">
        <v>196</v>
      </c>
      <c r="TXT1" s="176" t="s">
        <v>196</v>
      </c>
      <c r="TXU1" s="176" t="s">
        <v>196</v>
      </c>
      <c r="TXV1" s="176" t="s">
        <v>196</v>
      </c>
      <c r="TXW1" s="176" t="s">
        <v>196</v>
      </c>
      <c r="TXX1" s="176" t="s">
        <v>196</v>
      </c>
      <c r="TXY1" s="176" t="s">
        <v>196</v>
      </c>
      <c r="TXZ1" s="176" t="s">
        <v>196</v>
      </c>
      <c r="TYA1" s="176" t="s">
        <v>196</v>
      </c>
      <c r="TYB1" s="176" t="s">
        <v>196</v>
      </c>
      <c r="TYC1" s="176" t="s">
        <v>196</v>
      </c>
      <c r="TYD1" s="176" t="s">
        <v>196</v>
      </c>
      <c r="TYE1" s="176" t="s">
        <v>196</v>
      </c>
      <c r="TYF1" s="176" t="s">
        <v>196</v>
      </c>
      <c r="TYG1" s="176" t="s">
        <v>196</v>
      </c>
      <c r="TYH1" s="176" t="s">
        <v>196</v>
      </c>
      <c r="TYI1" s="176" t="s">
        <v>196</v>
      </c>
      <c r="TYJ1" s="176" t="s">
        <v>196</v>
      </c>
      <c r="TYK1" s="176" t="s">
        <v>196</v>
      </c>
      <c r="TYL1" s="176" t="s">
        <v>196</v>
      </c>
      <c r="TYM1" s="176" t="s">
        <v>196</v>
      </c>
      <c r="TYN1" s="176" t="s">
        <v>196</v>
      </c>
      <c r="TYO1" s="176" t="s">
        <v>196</v>
      </c>
      <c r="TYP1" s="176" t="s">
        <v>196</v>
      </c>
      <c r="TYQ1" s="176" t="s">
        <v>196</v>
      </c>
      <c r="TYR1" s="176" t="s">
        <v>196</v>
      </c>
      <c r="TYS1" s="176" t="s">
        <v>196</v>
      </c>
      <c r="TYT1" s="176" t="s">
        <v>196</v>
      </c>
      <c r="TYU1" s="176" t="s">
        <v>196</v>
      </c>
      <c r="TYV1" s="176" t="s">
        <v>196</v>
      </c>
      <c r="TYW1" s="176" t="s">
        <v>196</v>
      </c>
      <c r="TYX1" s="176" t="s">
        <v>196</v>
      </c>
      <c r="TYY1" s="176" t="s">
        <v>196</v>
      </c>
      <c r="TYZ1" s="176" t="s">
        <v>196</v>
      </c>
      <c r="TZA1" s="176" t="s">
        <v>196</v>
      </c>
      <c r="TZB1" s="176" t="s">
        <v>196</v>
      </c>
      <c r="TZC1" s="176" t="s">
        <v>196</v>
      </c>
      <c r="TZD1" s="176" t="s">
        <v>196</v>
      </c>
      <c r="TZE1" s="176" t="s">
        <v>196</v>
      </c>
      <c r="TZF1" s="176" t="s">
        <v>196</v>
      </c>
      <c r="TZG1" s="176" t="s">
        <v>196</v>
      </c>
      <c r="TZH1" s="176" t="s">
        <v>196</v>
      </c>
      <c r="TZI1" s="176" t="s">
        <v>196</v>
      </c>
      <c r="TZJ1" s="176" t="s">
        <v>196</v>
      </c>
      <c r="TZK1" s="176" t="s">
        <v>196</v>
      </c>
      <c r="TZL1" s="176" t="s">
        <v>196</v>
      </c>
      <c r="TZM1" s="176" t="s">
        <v>196</v>
      </c>
      <c r="TZN1" s="176" t="s">
        <v>196</v>
      </c>
      <c r="TZO1" s="176" t="s">
        <v>196</v>
      </c>
      <c r="TZP1" s="176" t="s">
        <v>196</v>
      </c>
      <c r="TZQ1" s="176" t="s">
        <v>196</v>
      </c>
      <c r="TZR1" s="176" t="s">
        <v>196</v>
      </c>
      <c r="TZS1" s="176" t="s">
        <v>196</v>
      </c>
      <c r="TZT1" s="176" t="s">
        <v>196</v>
      </c>
      <c r="TZU1" s="176" t="s">
        <v>196</v>
      </c>
      <c r="TZV1" s="176" t="s">
        <v>196</v>
      </c>
      <c r="TZW1" s="176" t="s">
        <v>196</v>
      </c>
      <c r="TZX1" s="176" t="s">
        <v>196</v>
      </c>
      <c r="TZY1" s="176" t="s">
        <v>196</v>
      </c>
      <c r="TZZ1" s="176" t="s">
        <v>196</v>
      </c>
      <c r="UAA1" s="176" t="s">
        <v>196</v>
      </c>
      <c r="UAB1" s="176" t="s">
        <v>196</v>
      </c>
      <c r="UAC1" s="176" t="s">
        <v>196</v>
      </c>
      <c r="UAD1" s="176" t="s">
        <v>196</v>
      </c>
      <c r="UAE1" s="176" t="s">
        <v>196</v>
      </c>
      <c r="UAF1" s="176" t="s">
        <v>196</v>
      </c>
      <c r="UAG1" s="176" t="s">
        <v>196</v>
      </c>
      <c r="UAH1" s="176" t="s">
        <v>196</v>
      </c>
      <c r="UAI1" s="176" t="s">
        <v>196</v>
      </c>
      <c r="UAJ1" s="176" t="s">
        <v>196</v>
      </c>
      <c r="UAK1" s="176" t="s">
        <v>196</v>
      </c>
      <c r="UAL1" s="176" t="s">
        <v>196</v>
      </c>
      <c r="UAM1" s="176" t="s">
        <v>196</v>
      </c>
      <c r="UAN1" s="176" t="s">
        <v>196</v>
      </c>
      <c r="UAO1" s="176" t="s">
        <v>196</v>
      </c>
      <c r="UAP1" s="176" t="s">
        <v>196</v>
      </c>
      <c r="UAQ1" s="176" t="s">
        <v>196</v>
      </c>
      <c r="UAR1" s="176" t="s">
        <v>196</v>
      </c>
      <c r="UAS1" s="176" t="s">
        <v>196</v>
      </c>
      <c r="UAT1" s="176" t="s">
        <v>196</v>
      </c>
      <c r="UAU1" s="176" t="s">
        <v>196</v>
      </c>
      <c r="UAV1" s="176" t="s">
        <v>196</v>
      </c>
      <c r="UAW1" s="176" t="s">
        <v>196</v>
      </c>
      <c r="UAX1" s="176" t="s">
        <v>196</v>
      </c>
      <c r="UAY1" s="176" t="s">
        <v>196</v>
      </c>
      <c r="UAZ1" s="176" t="s">
        <v>196</v>
      </c>
      <c r="UBA1" s="176" t="s">
        <v>196</v>
      </c>
      <c r="UBB1" s="176" t="s">
        <v>196</v>
      </c>
      <c r="UBC1" s="176" t="s">
        <v>196</v>
      </c>
      <c r="UBD1" s="176" t="s">
        <v>196</v>
      </c>
      <c r="UBE1" s="176" t="s">
        <v>196</v>
      </c>
      <c r="UBF1" s="176" t="s">
        <v>196</v>
      </c>
      <c r="UBG1" s="176" t="s">
        <v>196</v>
      </c>
      <c r="UBH1" s="176" t="s">
        <v>196</v>
      </c>
      <c r="UBI1" s="176" t="s">
        <v>196</v>
      </c>
      <c r="UBJ1" s="176" t="s">
        <v>196</v>
      </c>
      <c r="UBK1" s="176" t="s">
        <v>196</v>
      </c>
      <c r="UBL1" s="176" t="s">
        <v>196</v>
      </c>
      <c r="UBM1" s="176" t="s">
        <v>196</v>
      </c>
      <c r="UBN1" s="176" t="s">
        <v>196</v>
      </c>
      <c r="UBO1" s="176" t="s">
        <v>196</v>
      </c>
      <c r="UBP1" s="176" t="s">
        <v>196</v>
      </c>
      <c r="UBQ1" s="176" t="s">
        <v>196</v>
      </c>
      <c r="UBR1" s="176" t="s">
        <v>196</v>
      </c>
      <c r="UBS1" s="176" t="s">
        <v>196</v>
      </c>
      <c r="UBT1" s="176" t="s">
        <v>196</v>
      </c>
      <c r="UBU1" s="176" t="s">
        <v>196</v>
      </c>
      <c r="UBV1" s="176" t="s">
        <v>196</v>
      </c>
      <c r="UBW1" s="176" t="s">
        <v>196</v>
      </c>
      <c r="UBX1" s="176" t="s">
        <v>196</v>
      </c>
      <c r="UBY1" s="176" t="s">
        <v>196</v>
      </c>
      <c r="UBZ1" s="176" t="s">
        <v>196</v>
      </c>
      <c r="UCA1" s="176" t="s">
        <v>196</v>
      </c>
      <c r="UCB1" s="176" t="s">
        <v>196</v>
      </c>
      <c r="UCC1" s="176" t="s">
        <v>196</v>
      </c>
      <c r="UCD1" s="176" t="s">
        <v>196</v>
      </c>
      <c r="UCE1" s="176" t="s">
        <v>196</v>
      </c>
      <c r="UCF1" s="176" t="s">
        <v>196</v>
      </c>
      <c r="UCG1" s="176" t="s">
        <v>196</v>
      </c>
      <c r="UCH1" s="176" t="s">
        <v>196</v>
      </c>
      <c r="UCI1" s="176" t="s">
        <v>196</v>
      </c>
      <c r="UCJ1" s="176" t="s">
        <v>196</v>
      </c>
      <c r="UCK1" s="176" t="s">
        <v>196</v>
      </c>
      <c r="UCL1" s="176" t="s">
        <v>196</v>
      </c>
      <c r="UCM1" s="176" t="s">
        <v>196</v>
      </c>
      <c r="UCN1" s="176" t="s">
        <v>196</v>
      </c>
      <c r="UCO1" s="176" t="s">
        <v>196</v>
      </c>
      <c r="UCP1" s="176" t="s">
        <v>196</v>
      </c>
      <c r="UCQ1" s="176" t="s">
        <v>196</v>
      </c>
      <c r="UCR1" s="176" t="s">
        <v>196</v>
      </c>
      <c r="UCS1" s="176" t="s">
        <v>196</v>
      </c>
      <c r="UCT1" s="176" t="s">
        <v>196</v>
      </c>
      <c r="UCU1" s="176" t="s">
        <v>196</v>
      </c>
      <c r="UCV1" s="176" t="s">
        <v>196</v>
      </c>
      <c r="UCW1" s="176" t="s">
        <v>196</v>
      </c>
      <c r="UCX1" s="176" t="s">
        <v>196</v>
      </c>
      <c r="UCY1" s="176" t="s">
        <v>196</v>
      </c>
      <c r="UCZ1" s="176" t="s">
        <v>196</v>
      </c>
      <c r="UDA1" s="176" t="s">
        <v>196</v>
      </c>
      <c r="UDB1" s="176" t="s">
        <v>196</v>
      </c>
      <c r="UDC1" s="176" t="s">
        <v>196</v>
      </c>
      <c r="UDD1" s="176" t="s">
        <v>196</v>
      </c>
      <c r="UDE1" s="176" t="s">
        <v>196</v>
      </c>
      <c r="UDF1" s="176" t="s">
        <v>196</v>
      </c>
      <c r="UDG1" s="176" t="s">
        <v>196</v>
      </c>
      <c r="UDH1" s="176" t="s">
        <v>196</v>
      </c>
      <c r="UDI1" s="176" t="s">
        <v>196</v>
      </c>
      <c r="UDJ1" s="176" t="s">
        <v>196</v>
      </c>
      <c r="UDK1" s="176" t="s">
        <v>196</v>
      </c>
      <c r="UDL1" s="176" t="s">
        <v>196</v>
      </c>
      <c r="UDM1" s="176" t="s">
        <v>196</v>
      </c>
      <c r="UDN1" s="176" t="s">
        <v>196</v>
      </c>
      <c r="UDO1" s="176" t="s">
        <v>196</v>
      </c>
      <c r="UDP1" s="176" t="s">
        <v>196</v>
      </c>
      <c r="UDQ1" s="176" t="s">
        <v>196</v>
      </c>
      <c r="UDR1" s="176" t="s">
        <v>196</v>
      </c>
      <c r="UDS1" s="176" t="s">
        <v>196</v>
      </c>
      <c r="UDT1" s="176" t="s">
        <v>196</v>
      </c>
      <c r="UDU1" s="176" t="s">
        <v>196</v>
      </c>
      <c r="UDV1" s="176" t="s">
        <v>196</v>
      </c>
      <c r="UDW1" s="176" t="s">
        <v>196</v>
      </c>
      <c r="UDX1" s="176" t="s">
        <v>196</v>
      </c>
      <c r="UDY1" s="176" t="s">
        <v>196</v>
      </c>
      <c r="UDZ1" s="176" t="s">
        <v>196</v>
      </c>
      <c r="UEA1" s="176" t="s">
        <v>196</v>
      </c>
      <c r="UEB1" s="176" t="s">
        <v>196</v>
      </c>
      <c r="UEC1" s="176" t="s">
        <v>196</v>
      </c>
      <c r="UED1" s="176" t="s">
        <v>196</v>
      </c>
      <c r="UEE1" s="176" t="s">
        <v>196</v>
      </c>
      <c r="UEF1" s="176" t="s">
        <v>196</v>
      </c>
      <c r="UEG1" s="176" t="s">
        <v>196</v>
      </c>
      <c r="UEH1" s="176" t="s">
        <v>196</v>
      </c>
      <c r="UEI1" s="176" t="s">
        <v>196</v>
      </c>
      <c r="UEJ1" s="176" t="s">
        <v>196</v>
      </c>
      <c r="UEK1" s="176" t="s">
        <v>196</v>
      </c>
      <c r="UEL1" s="176" t="s">
        <v>196</v>
      </c>
      <c r="UEM1" s="176" t="s">
        <v>196</v>
      </c>
      <c r="UEN1" s="176" t="s">
        <v>196</v>
      </c>
      <c r="UEO1" s="176" t="s">
        <v>196</v>
      </c>
      <c r="UEP1" s="176" t="s">
        <v>196</v>
      </c>
      <c r="UEQ1" s="176" t="s">
        <v>196</v>
      </c>
      <c r="UER1" s="176" t="s">
        <v>196</v>
      </c>
      <c r="UES1" s="176" t="s">
        <v>196</v>
      </c>
      <c r="UET1" s="176" t="s">
        <v>196</v>
      </c>
      <c r="UEU1" s="176" t="s">
        <v>196</v>
      </c>
      <c r="UEV1" s="176" t="s">
        <v>196</v>
      </c>
      <c r="UEW1" s="176" t="s">
        <v>196</v>
      </c>
      <c r="UEX1" s="176" t="s">
        <v>196</v>
      </c>
      <c r="UEY1" s="176" t="s">
        <v>196</v>
      </c>
      <c r="UEZ1" s="176" t="s">
        <v>196</v>
      </c>
      <c r="UFA1" s="176" t="s">
        <v>196</v>
      </c>
      <c r="UFB1" s="176" t="s">
        <v>196</v>
      </c>
      <c r="UFC1" s="176" t="s">
        <v>196</v>
      </c>
      <c r="UFD1" s="176" t="s">
        <v>196</v>
      </c>
      <c r="UFE1" s="176" t="s">
        <v>196</v>
      </c>
      <c r="UFF1" s="176" t="s">
        <v>196</v>
      </c>
      <c r="UFG1" s="176" t="s">
        <v>196</v>
      </c>
      <c r="UFH1" s="176" t="s">
        <v>196</v>
      </c>
      <c r="UFI1" s="176" t="s">
        <v>196</v>
      </c>
      <c r="UFJ1" s="176" t="s">
        <v>196</v>
      </c>
      <c r="UFK1" s="176" t="s">
        <v>196</v>
      </c>
      <c r="UFL1" s="176" t="s">
        <v>196</v>
      </c>
      <c r="UFM1" s="176" t="s">
        <v>196</v>
      </c>
      <c r="UFN1" s="176" t="s">
        <v>196</v>
      </c>
      <c r="UFO1" s="176" t="s">
        <v>196</v>
      </c>
      <c r="UFP1" s="176" t="s">
        <v>196</v>
      </c>
      <c r="UFQ1" s="176" t="s">
        <v>196</v>
      </c>
      <c r="UFR1" s="176" t="s">
        <v>196</v>
      </c>
      <c r="UFS1" s="176" t="s">
        <v>196</v>
      </c>
      <c r="UFT1" s="176" t="s">
        <v>196</v>
      </c>
      <c r="UFU1" s="176" t="s">
        <v>196</v>
      </c>
      <c r="UFV1" s="176" t="s">
        <v>196</v>
      </c>
      <c r="UFW1" s="176" t="s">
        <v>196</v>
      </c>
      <c r="UFX1" s="176" t="s">
        <v>196</v>
      </c>
      <c r="UFY1" s="176" t="s">
        <v>196</v>
      </c>
      <c r="UFZ1" s="176" t="s">
        <v>196</v>
      </c>
      <c r="UGA1" s="176" t="s">
        <v>196</v>
      </c>
      <c r="UGB1" s="176" t="s">
        <v>196</v>
      </c>
      <c r="UGC1" s="176" t="s">
        <v>196</v>
      </c>
      <c r="UGD1" s="176" t="s">
        <v>196</v>
      </c>
      <c r="UGE1" s="176" t="s">
        <v>196</v>
      </c>
      <c r="UGF1" s="176" t="s">
        <v>196</v>
      </c>
      <c r="UGG1" s="176" t="s">
        <v>196</v>
      </c>
      <c r="UGH1" s="176" t="s">
        <v>196</v>
      </c>
      <c r="UGI1" s="176" t="s">
        <v>196</v>
      </c>
      <c r="UGJ1" s="176" t="s">
        <v>196</v>
      </c>
      <c r="UGK1" s="176" t="s">
        <v>196</v>
      </c>
      <c r="UGL1" s="176" t="s">
        <v>196</v>
      </c>
      <c r="UGM1" s="176" t="s">
        <v>196</v>
      </c>
      <c r="UGN1" s="176" t="s">
        <v>196</v>
      </c>
      <c r="UGO1" s="176" t="s">
        <v>196</v>
      </c>
      <c r="UGP1" s="176" t="s">
        <v>196</v>
      </c>
      <c r="UGQ1" s="176" t="s">
        <v>196</v>
      </c>
      <c r="UGR1" s="176" t="s">
        <v>196</v>
      </c>
      <c r="UGS1" s="176" t="s">
        <v>196</v>
      </c>
      <c r="UGT1" s="176" t="s">
        <v>196</v>
      </c>
      <c r="UGU1" s="176" t="s">
        <v>196</v>
      </c>
      <c r="UGV1" s="176" t="s">
        <v>196</v>
      </c>
      <c r="UGW1" s="176" t="s">
        <v>196</v>
      </c>
      <c r="UGX1" s="176" t="s">
        <v>196</v>
      </c>
      <c r="UGY1" s="176" t="s">
        <v>196</v>
      </c>
      <c r="UGZ1" s="176" t="s">
        <v>196</v>
      </c>
      <c r="UHA1" s="176" t="s">
        <v>196</v>
      </c>
      <c r="UHB1" s="176" t="s">
        <v>196</v>
      </c>
      <c r="UHC1" s="176" t="s">
        <v>196</v>
      </c>
      <c r="UHD1" s="176" t="s">
        <v>196</v>
      </c>
      <c r="UHE1" s="176" t="s">
        <v>196</v>
      </c>
      <c r="UHF1" s="176" t="s">
        <v>196</v>
      </c>
      <c r="UHG1" s="176" t="s">
        <v>196</v>
      </c>
      <c r="UHH1" s="176" t="s">
        <v>196</v>
      </c>
      <c r="UHI1" s="176" t="s">
        <v>196</v>
      </c>
      <c r="UHJ1" s="176" t="s">
        <v>196</v>
      </c>
      <c r="UHK1" s="176" t="s">
        <v>196</v>
      </c>
      <c r="UHL1" s="176" t="s">
        <v>196</v>
      </c>
      <c r="UHM1" s="176" t="s">
        <v>196</v>
      </c>
      <c r="UHN1" s="176" t="s">
        <v>196</v>
      </c>
      <c r="UHO1" s="176" t="s">
        <v>196</v>
      </c>
      <c r="UHP1" s="176" t="s">
        <v>196</v>
      </c>
      <c r="UHQ1" s="176" t="s">
        <v>196</v>
      </c>
      <c r="UHR1" s="176" t="s">
        <v>196</v>
      </c>
      <c r="UHS1" s="176" t="s">
        <v>196</v>
      </c>
      <c r="UHT1" s="176" t="s">
        <v>196</v>
      </c>
      <c r="UHU1" s="176" t="s">
        <v>196</v>
      </c>
      <c r="UHV1" s="176" t="s">
        <v>196</v>
      </c>
      <c r="UHW1" s="176" t="s">
        <v>196</v>
      </c>
      <c r="UHX1" s="176" t="s">
        <v>196</v>
      </c>
      <c r="UHY1" s="176" t="s">
        <v>196</v>
      </c>
      <c r="UHZ1" s="176" t="s">
        <v>196</v>
      </c>
      <c r="UIA1" s="176" t="s">
        <v>196</v>
      </c>
      <c r="UIB1" s="176" t="s">
        <v>196</v>
      </c>
      <c r="UIC1" s="176" t="s">
        <v>196</v>
      </c>
      <c r="UID1" s="176" t="s">
        <v>196</v>
      </c>
      <c r="UIE1" s="176" t="s">
        <v>196</v>
      </c>
      <c r="UIF1" s="176" t="s">
        <v>196</v>
      </c>
      <c r="UIG1" s="176" t="s">
        <v>196</v>
      </c>
      <c r="UIH1" s="176" t="s">
        <v>196</v>
      </c>
      <c r="UII1" s="176" t="s">
        <v>196</v>
      </c>
      <c r="UIJ1" s="176" t="s">
        <v>196</v>
      </c>
      <c r="UIK1" s="176" t="s">
        <v>196</v>
      </c>
      <c r="UIL1" s="176" t="s">
        <v>196</v>
      </c>
      <c r="UIM1" s="176" t="s">
        <v>196</v>
      </c>
      <c r="UIN1" s="176" t="s">
        <v>196</v>
      </c>
      <c r="UIO1" s="176" t="s">
        <v>196</v>
      </c>
      <c r="UIP1" s="176" t="s">
        <v>196</v>
      </c>
      <c r="UIQ1" s="176" t="s">
        <v>196</v>
      </c>
      <c r="UIR1" s="176" t="s">
        <v>196</v>
      </c>
      <c r="UIS1" s="176" t="s">
        <v>196</v>
      </c>
      <c r="UIT1" s="176" t="s">
        <v>196</v>
      </c>
      <c r="UIU1" s="176" t="s">
        <v>196</v>
      </c>
      <c r="UIV1" s="176" t="s">
        <v>196</v>
      </c>
      <c r="UIW1" s="176" t="s">
        <v>196</v>
      </c>
      <c r="UIX1" s="176" t="s">
        <v>196</v>
      </c>
      <c r="UIY1" s="176" t="s">
        <v>196</v>
      </c>
      <c r="UIZ1" s="176" t="s">
        <v>196</v>
      </c>
      <c r="UJA1" s="176" t="s">
        <v>196</v>
      </c>
      <c r="UJB1" s="176" t="s">
        <v>196</v>
      </c>
      <c r="UJC1" s="176" t="s">
        <v>196</v>
      </c>
      <c r="UJD1" s="176" t="s">
        <v>196</v>
      </c>
      <c r="UJE1" s="176" t="s">
        <v>196</v>
      </c>
      <c r="UJF1" s="176" t="s">
        <v>196</v>
      </c>
      <c r="UJG1" s="176" t="s">
        <v>196</v>
      </c>
      <c r="UJH1" s="176" t="s">
        <v>196</v>
      </c>
      <c r="UJI1" s="176" t="s">
        <v>196</v>
      </c>
      <c r="UJJ1" s="176" t="s">
        <v>196</v>
      </c>
      <c r="UJK1" s="176" t="s">
        <v>196</v>
      </c>
      <c r="UJL1" s="176" t="s">
        <v>196</v>
      </c>
      <c r="UJM1" s="176" t="s">
        <v>196</v>
      </c>
      <c r="UJN1" s="176" t="s">
        <v>196</v>
      </c>
      <c r="UJO1" s="176" t="s">
        <v>196</v>
      </c>
      <c r="UJP1" s="176" t="s">
        <v>196</v>
      </c>
      <c r="UJQ1" s="176" t="s">
        <v>196</v>
      </c>
      <c r="UJR1" s="176" t="s">
        <v>196</v>
      </c>
      <c r="UJS1" s="176" t="s">
        <v>196</v>
      </c>
      <c r="UJT1" s="176" t="s">
        <v>196</v>
      </c>
      <c r="UJU1" s="176" t="s">
        <v>196</v>
      </c>
      <c r="UJV1" s="176" t="s">
        <v>196</v>
      </c>
      <c r="UJW1" s="176" t="s">
        <v>196</v>
      </c>
      <c r="UJX1" s="176" t="s">
        <v>196</v>
      </c>
      <c r="UJY1" s="176" t="s">
        <v>196</v>
      </c>
      <c r="UJZ1" s="176" t="s">
        <v>196</v>
      </c>
      <c r="UKA1" s="176" t="s">
        <v>196</v>
      </c>
      <c r="UKB1" s="176" t="s">
        <v>196</v>
      </c>
      <c r="UKC1" s="176" t="s">
        <v>196</v>
      </c>
      <c r="UKD1" s="176" t="s">
        <v>196</v>
      </c>
      <c r="UKE1" s="176" t="s">
        <v>196</v>
      </c>
      <c r="UKF1" s="176" t="s">
        <v>196</v>
      </c>
      <c r="UKG1" s="176" t="s">
        <v>196</v>
      </c>
      <c r="UKH1" s="176" t="s">
        <v>196</v>
      </c>
      <c r="UKI1" s="176" t="s">
        <v>196</v>
      </c>
      <c r="UKJ1" s="176" t="s">
        <v>196</v>
      </c>
      <c r="UKK1" s="176" t="s">
        <v>196</v>
      </c>
      <c r="UKL1" s="176" t="s">
        <v>196</v>
      </c>
      <c r="UKM1" s="176" t="s">
        <v>196</v>
      </c>
      <c r="UKN1" s="176" t="s">
        <v>196</v>
      </c>
      <c r="UKO1" s="176" t="s">
        <v>196</v>
      </c>
      <c r="UKP1" s="176" t="s">
        <v>196</v>
      </c>
      <c r="UKQ1" s="176" t="s">
        <v>196</v>
      </c>
      <c r="UKR1" s="176" t="s">
        <v>196</v>
      </c>
      <c r="UKS1" s="176" t="s">
        <v>196</v>
      </c>
      <c r="UKT1" s="176" t="s">
        <v>196</v>
      </c>
      <c r="UKU1" s="176" t="s">
        <v>196</v>
      </c>
      <c r="UKV1" s="176" t="s">
        <v>196</v>
      </c>
      <c r="UKW1" s="176" t="s">
        <v>196</v>
      </c>
      <c r="UKX1" s="176" t="s">
        <v>196</v>
      </c>
      <c r="UKY1" s="176" t="s">
        <v>196</v>
      </c>
      <c r="UKZ1" s="176" t="s">
        <v>196</v>
      </c>
      <c r="ULA1" s="176" t="s">
        <v>196</v>
      </c>
      <c r="ULB1" s="176" t="s">
        <v>196</v>
      </c>
      <c r="ULC1" s="176" t="s">
        <v>196</v>
      </c>
      <c r="ULD1" s="176" t="s">
        <v>196</v>
      </c>
      <c r="ULE1" s="176" t="s">
        <v>196</v>
      </c>
      <c r="ULF1" s="176" t="s">
        <v>196</v>
      </c>
      <c r="ULG1" s="176" t="s">
        <v>196</v>
      </c>
      <c r="ULH1" s="176" t="s">
        <v>196</v>
      </c>
      <c r="ULI1" s="176" t="s">
        <v>196</v>
      </c>
      <c r="ULJ1" s="176" t="s">
        <v>196</v>
      </c>
      <c r="ULK1" s="176" t="s">
        <v>196</v>
      </c>
      <c r="ULL1" s="176" t="s">
        <v>196</v>
      </c>
      <c r="ULM1" s="176" t="s">
        <v>196</v>
      </c>
      <c r="ULN1" s="176" t="s">
        <v>196</v>
      </c>
      <c r="ULO1" s="176" t="s">
        <v>196</v>
      </c>
      <c r="ULP1" s="176" t="s">
        <v>196</v>
      </c>
      <c r="ULQ1" s="176" t="s">
        <v>196</v>
      </c>
      <c r="ULR1" s="176" t="s">
        <v>196</v>
      </c>
      <c r="ULS1" s="176" t="s">
        <v>196</v>
      </c>
      <c r="ULT1" s="176" t="s">
        <v>196</v>
      </c>
      <c r="ULU1" s="176" t="s">
        <v>196</v>
      </c>
      <c r="ULV1" s="176" t="s">
        <v>196</v>
      </c>
      <c r="ULW1" s="176" t="s">
        <v>196</v>
      </c>
      <c r="ULX1" s="176" t="s">
        <v>196</v>
      </c>
      <c r="ULY1" s="176" t="s">
        <v>196</v>
      </c>
      <c r="ULZ1" s="176" t="s">
        <v>196</v>
      </c>
      <c r="UMA1" s="176" t="s">
        <v>196</v>
      </c>
      <c r="UMB1" s="176" t="s">
        <v>196</v>
      </c>
      <c r="UMC1" s="176" t="s">
        <v>196</v>
      </c>
      <c r="UMD1" s="176" t="s">
        <v>196</v>
      </c>
      <c r="UME1" s="176" t="s">
        <v>196</v>
      </c>
      <c r="UMF1" s="176" t="s">
        <v>196</v>
      </c>
      <c r="UMG1" s="176" t="s">
        <v>196</v>
      </c>
      <c r="UMH1" s="176" t="s">
        <v>196</v>
      </c>
      <c r="UMI1" s="176" t="s">
        <v>196</v>
      </c>
      <c r="UMJ1" s="176" t="s">
        <v>196</v>
      </c>
      <c r="UMK1" s="176" t="s">
        <v>196</v>
      </c>
      <c r="UML1" s="176" t="s">
        <v>196</v>
      </c>
      <c r="UMM1" s="176" t="s">
        <v>196</v>
      </c>
      <c r="UMN1" s="176" t="s">
        <v>196</v>
      </c>
      <c r="UMO1" s="176" t="s">
        <v>196</v>
      </c>
      <c r="UMP1" s="176" t="s">
        <v>196</v>
      </c>
      <c r="UMQ1" s="176" t="s">
        <v>196</v>
      </c>
      <c r="UMR1" s="176" t="s">
        <v>196</v>
      </c>
      <c r="UMS1" s="176" t="s">
        <v>196</v>
      </c>
      <c r="UMT1" s="176" t="s">
        <v>196</v>
      </c>
      <c r="UMU1" s="176" t="s">
        <v>196</v>
      </c>
      <c r="UMV1" s="176" t="s">
        <v>196</v>
      </c>
      <c r="UMW1" s="176" t="s">
        <v>196</v>
      </c>
      <c r="UMX1" s="176" t="s">
        <v>196</v>
      </c>
      <c r="UMY1" s="176" t="s">
        <v>196</v>
      </c>
      <c r="UMZ1" s="176" t="s">
        <v>196</v>
      </c>
      <c r="UNA1" s="176" t="s">
        <v>196</v>
      </c>
      <c r="UNB1" s="176" t="s">
        <v>196</v>
      </c>
      <c r="UNC1" s="176" t="s">
        <v>196</v>
      </c>
      <c r="UND1" s="176" t="s">
        <v>196</v>
      </c>
      <c r="UNE1" s="176" t="s">
        <v>196</v>
      </c>
      <c r="UNF1" s="176" t="s">
        <v>196</v>
      </c>
      <c r="UNG1" s="176" t="s">
        <v>196</v>
      </c>
      <c r="UNH1" s="176" t="s">
        <v>196</v>
      </c>
      <c r="UNI1" s="176" t="s">
        <v>196</v>
      </c>
      <c r="UNJ1" s="176" t="s">
        <v>196</v>
      </c>
      <c r="UNK1" s="176" t="s">
        <v>196</v>
      </c>
      <c r="UNL1" s="176" t="s">
        <v>196</v>
      </c>
      <c r="UNM1" s="176" t="s">
        <v>196</v>
      </c>
      <c r="UNN1" s="176" t="s">
        <v>196</v>
      </c>
      <c r="UNO1" s="176" t="s">
        <v>196</v>
      </c>
      <c r="UNP1" s="176" t="s">
        <v>196</v>
      </c>
      <c r="UNQ1" s="176" t="s">
        <v>196</v>
      </c>
      <c r="UNR1" s="176" t="s">
        <v>196</v>
      </c>
      <c r="UNS1" s="176" t="s">
        <v>196</v>
      </c>
      <c r="UNT1" s="176" t="s">
        <v>196</v>
      </c>
      <c r="UNU1" s="176" t="s">
        <v>196</v>
      </c>
      <c r="UNV1" s="176" t="s">
        <v>196</v>
      </c>
      <c r="UNW1" s="176" t="s">
        <v>196</v>
      </c>
      <c r="UNX1" s="176" t="s">
        <v>196</v>
      </c>
      <c r="UNY1" s="176" t="s">
        <v>196</v>
      </c>
      <c r="UNZ1" s="176" t="s">
        <v>196</v>
      </c>
      <c r="UOA1" s="176" t="s">
        <v>196</v>
      </c>
      <c r="UOB1" s="176" t="s">
        <v>196</v>
      </c>
      <c r="UOC1" s="176" t="s">
        <v>196</v>
      </c>
      <c r="UOD1" s="176" t="s">
        <v>196</v>
      </c>
      <c r="UOE1" s="176" t="s">
        <v>196</v>
      </c>
      <c r="UOF1" s="176" t="s">
        <v>196</v>
      </c>
      <c r="UOG1" s="176" t="s">
        <v>196</v>
      </c>
      <c r="UOH1" s="176" t="s">
        <v>196</v>
      </c>
      <c r="UOI1" s="176" t="s">
        <v>196</v>
      </c>
      <c r="UOJ1" s="176" t="s">
        <v>196</v>
      </c>
      <c r="UOK1" s="176" t="s">
        <v>196</v>
      </c>
      <c r="UOL1" s="176" t="s">
        <v>196</v>
      </c>
      <c r="UOM1" s="176" t="s">
        <v>196</v>
      </c>
      <c r="UON1" s="176" t="s">
        <v>196</v>
      </c>
      <c r="UOO1" s="176" t="s">
        <v>196</v>
      </c>
      <c r="UOP1" s="176" t="s">
        <v>196</v>
      </c>
      <c r="UOQ1" s="176" t="s">
        <v>196</v>
      </c>
      <c r="UOR1" s="176" t="s">
        <v>196</v>
      </c>
      <c r="UOS1" s="176" t="s">
        <v>196</v>
      </c>
      <c r="UOT1" s="176" t="s">
        <v>196</v>
      </c>
      <c r="UOU1" s="176" t="s">
        <v>196</v>
      </c>
      <c r="UOV1" s="176" t="s">
        <v>196</v>
      </c>
      <c r="UOW1" s="176" t="s">
        <v>196</v>
      </c>
      <c r="UOX1" s="176" t="s">
        <v>196</v>
      </c>
      <c r="UOY1" s="176" t="s">
        <v>196</v>
      </c>
      <c r="UOZ1" s="176" t="s">
        <v>196</v>
      </c>
      <c r="UPA1" s="176" t="s">
        <v>196</v>
      </c>
      <c r="UPB1" s="176" t="s">
        <v>196</v>
      </c>
      <c r="UPC1" s="176" t="s">
        <v>196</v>
      </c>
      <c r="UPD1" s="176" t="s">
        <v>196</v>
      </c>
      <c r="UPE1" s="176" t="s">
        <v>196</v>
      </c>
      <c r="UPF1" s="176" t="s">
        <v>196</v>
      </c>
      <c r="UPG1" s="176" t="s">
        <v>196</v>
      </c>
      <c r="UPH1" s="176" t="s">
        <v>196</v>
      </c>
      <c r="UPI1" s="176" t="s">
        <v>196</v>
      </c>
      <c r="UPJ1" s="176" t="s">
        <v>196</v>
      </c>
      <c r="UPK1" s="176" t="s">
        <v>196</v>
      </c>
      <c r="UPL1" s="176" t="s">
        <v>196</v>
      </c>
      <c r="UPM1" s="176" t="s">
        <v>196</v>
      </c>
      <c r="UPN1" s="176" t="s">
        <v>196</v>
      </c>
      <c r="UPO1" s="176" t="s">
        <v>196</v>
      </c>
      <c r="UPP1" s="176" t="s">
        <v>196</v>
      </c>
      <c r="UPQ1" s="176" t="s">
        <v>196</v>
      </c>
      <c r="UPR1" s="176" t="s">
        <v>196</v>
      </c>
      <c r="UPS1" s="176" t="s">
        <v>196</v>
      </c>
      <c r="UPT1" s="176" t="s">
        <v>196</v>
      </c>
      <c r="UPU1" s="176" t="s">
        <v>196</v>
      </c>
      <c r="UPV1" s="176" t="s">
        <v>196</v>
      </c>
      <c r="UPW1" s="176" t="s">
        <v>196</v>
      </c>
      <c r="UPX1" s="176" t="s">
        <v>196</v>
      </c>
      <c r="UPY1" s="176" t="s">
        <v>196</v>
      </c>
      <c r="UPZ1" s="176" t="s">
        <v>196</v>
      </c>
      <c r="UQA1" s="176" t="s">
        <v>196</v>
      </c>
      <c r="UQB1" s="176" t="s">
        <v>196</v>
      </c>
      <c r="UQC1" s="176" t="s">
        <v>196</v>
      </c>
      <c r="UQD1" s="176" t="s">
        <v>196</v>
      </c>
      <c r="UQE1" s="176" t="s">
        <v>196</v>
      </c>
      <c r="UQF1" s="176" t="s">
        <v>196</v>
      </c>
      <c r="UQG1" s="176" t="s">
        <v>196</v>
      </c>
      <c r="UQH1" s="176" t="s">
        <v>196</v>
      </c>
      <c r="UQI1" s="176" t="s">
        <v>196</v>
      </c>
      <c r="UQJ1" s="176" t="s">
        <v>196</v>
      </c>
      <c r="UQK1" s="176" t="s">
        <v>196</v>
      </c>
      <c r="UQL1" s="176" t="s">
        <v>196</v>
      </c>
      <c r="UQM1" s="176" t="s">
        <v>196</v>
      </c>
      <c r="UQN1" s="176" t="s">
        <v>196</v>
      </c>
      <c r="UQO1" s="176" t="s">
        <v>196</v>
      </c>
      <c r="UQP1" s="176" t="s">
        <v>196</v>
      </c>
      <c r="UQQ1" s="176" t="s">
        <v>196</v>
      </c>
      <c r="UQR1" s="176" t="s">
        <v>196</v>
      </c>
      <c r="UQS1" s="176" t="s">
        <v>196</v>
      </c>
      <c r="UQT1" s="176" t="s">
        <v>196</v>
      </c>
      <c r="UQU1" s="176" t="s">
        <v>196</v>
      </c>
      <c r="UQV1" s="176" t="s">
        <v>196</v>
      </c>
      <c r="UQW1" s="176" t="s">
        <v>196</v>
      </c>
      <c r="UQX1" s="176" t="s">
        <v>196</v>
      </c>
      <c r="UQY1" s="176" t="s">
        <v>196</v>
      </c>
      <c r="UQZ1" s="176" t="s">
        <v>196</v>
      </c>
      <c r="URA1" s="176" t="s">
        <v>196</v>
      </c>
      <c r="URB1" s="176" t="s">
        <v>196</v>
      </c>
      <c r="URC1" s="176" t="s">
        <v>196</v>
      </c>
      <c r="URD1" s="176" t="s">
        <v>196</v>
      </c>
      <c r="URE1" s="176" t="s">
        <v>196</v>
      </c>
      <c r="URF1" s="176" t="s">
        <v>196</v>
      </c>
      <c r="URG1" s="176" t="s">
        <v>196</v>
      </c>
      <c r="URH1" s="176" t="s">
        <v>196</v>
      </c>
      <c r="URI1" s="176" t="s">
        <v>196</v>
      </c>
      <c r="URJ1" s="176" t="s">
        <v>196</v>
      </c>
      <c r="URK1" s="176" t="s">
        <v>196</v>
      </c>
      <c r="URL1" s="176" t="s">
        <v>196</v>
      </c>
      <c r="URM1" s="176" t="s">
        <v>196</v>
      </c>
      <c r="URN1" s="176" t="s">
        <v>196</v>
      </c>
      <c r="URO1" s="176" t="s">
        <v>196</v>
      </c>
      <c r="URP1" s="176" t="s">
        <v>196</v>
      </c>
      <c r="URQ1" s="176" t="s">
        <v>196</v>
      </c>
      <c r="URR1" s="176" t="s">
        <v>196</v>
      </c>
      <c r="URS1" s="176" t="s">
        <v>196</v>
      </c>
      <c r="URT1" s="176" t="s">
        <v>196</v>
      </c>
      <c r="URU1" s="176" t="s">
        <v>196</v>
      </c>
      <c r="URV1" s="176" t="s">
        <v>196</v>
      </c>
      <c r="URW1" s="176" t="s">
        <v>196</v>
      </c>
      <c r="URX1" s="176" t="s">
        <v>196</v>
      </c>
      <c r="URY1" s="176" t="s">
        <v>196</v>
      </c>
      <c r="URZ1" s="176" t="s">
        <v>196</v>
      </c>
      <c r="USA1" s="176" t="s">
        <v>196</v>
      </c>
      <c r="USB1" s="176" t="s">
        <v>196</v>
      </c>
      <c r="USC1" s="176" t="s">
        <v>196</v>
      </c>
      <c r="USD1" s="176" t="s">
        <v>196</v>
      </c>
      <c r="USE1" s="176" t="s">
        <v>196</v>
      </c>
      <c r="USF1" s="176" t="s">
        <v>196</v>
      </c>
      <c r="USG1" s="176" t="s">
        <v>196</v>
      </c>
      <c r="USH1" s="176" t="s">
        <v>196</v>
      </c>
      <c r="USI1" s="176" t="s">
        <v>196</v>
      </c>
      <c r="USJ1" s="176" t="s">
        <v>196</v>
      </c>
      <c r="USK1" s="176" t="s">
        <v>196</v>
      </c>
      <c r="USL1" s="176" t="s">
        <v>196</v>
      </c>
      <c r="USM1" s="176" t="s">
        <v>196</v>
      </c>
      <c r="USN1" s="176" t="s">
        <v>196</v>
      </c>
      <c r="USO1" s="176" t="s">
        <v>196</v>
      </c>
      <c r="USP1" s="176" t="s">
        <v>196</v>
      </c>
      <c r="USQ1" s="176" t="s">
        <v>196</v>
      </c>
      <c r="USR1" s="176" t="s">
        <v>196</v>
      </c>
      <c r="USS1" s="176" t="s">
        <v>196</v>
      </c>
      <c r="UST1" s="176" t="s">
        <v>196</v>
      </c>
      <c r="USU1" s="176" t="s">
        <v>196</v>
      </c>
      <c r="USV1" s="176" t="s">
        <v>196</v>
      </c>
      <c r="USW1" s="176" t="s">
        <v>196</v>
      </c>
      <c r="USX1" s="176" t="s">
        <v>196</v>
      </c>
      <c r="USY1" s="176" t="s">
        <v>196</v>
      </c>
      <c r="USZ1" s="176" t="s">
        <v>196</v>
      </c>
      <c r="UTA1" s="176" t="s">
        <v>196</v>
      </c>
      <c r="UTB1" s="176" t="s">
        <v>196</v>
      </c>
      <c r="UTC1" s="176" t="s">
        <v>196</v>
      </c>
      <c r="UTD1" s="176" t="s">
        <v>196</v>
      </c>
      <c r="UTE1" s="176" t="s">
        <v>196</v>
      </c>
      <c r="UTF1" s="176" t="s">
        <v>196</v>
      </c>
      <c r="UTG1" s="176" t="s">
        <v>196</v>
      </c>
      <c r="UTH1" s="176" t="s">
        <v>196</v>
      </c>
      <c r="UTI1" s="176" t="s">
        <v>196</v>
      </c>
      <c r="UTJ1" s="176" t="s">
        <v>196</v>
      </c>
      <c r="UTK1" s="176" t="s">
        <v>196</v>
      </c>
      <c r="UTL1" s="176" t="s">
        <v>196</v>
      </c>
      <c r="UTM1" s="176" t="s">
        <v>196</v>
      </c>
      <c r="UTN1" s="176" t="s">
        <v>196</v>
      </c>
      <c r="UTO1" s="176" t="s">
        <v>196</v>
      </c>
      <c r="UTP1" s="176" t="s">
        <v>196</v>
      </c>
      <c r="UTQ1" s="176" t="s">
        <v>196</v>
      </c>
      <c r="UTR1" s="176" t="s">
        <v>196</v>
      </c>
      <c r="UTS1" s="176" t="s">
        <v>196</v>
      </c>
      <c r="UTT1" s="176" t="s">
        <v>196</v>
      </c>
      <c r="UTU1" s="176" t="s">
        <v>196</v>
      </c>
      <c r="UTV1" s="176" t="s">
        <v>196</v>
      </c>
      <c r="UTW1" s="176" t="s">
        <v>196</v>
      </c>
      <c r="UTX1" s="176" t="s">
        <v>196</v>
      </c>
      <c r="UTY1" s="176" t="s">
        <v>196</v>
      </c>
      <c r="UTZ1" s="176" t="s">
        <v>196</v>
      </c>
      <c r="UUA1" s="176" t="s">
        <v>196</v>
      </c>
      <c r="UUB1" s="176" t="s">
        <v>196</v>
      </c>
      <c r="UUC1" s="176" t="s">
        <v>196</v>
      </c>
      <c r="UUD1" s="176" t="s">
        <v>196</v>
      </c>
      <c r="UUE1" s="176" t="s">
        <v>196</v>
      </c>
      <c r="UUF1" s="176" t="s">
        <v>196</v>
      </c>
      <c r="UUG1" s="176" t="s">
        <v>196</v>
      </c>
      <c r="UUH1" s="176" t="s">
        <v>196</v>
      </c>
      <c r="UUI1" s="176" t="s">
        <v>196</v>
      </c>
      <c r="UUJ1" s="176" t="s">
        <v>196</v>
      </c>
      <c r="UUK1" s="176" t="s">
        <v>196</v>
      </c>
      <c r="UUL1" s="176" t="s">
        <v>196</v>
      </c>
      <c r="UUM1" s="176" t="s">
        <v>196</v>
      </c>
      <c r="UUN1" s="176" t="s">
        <v>196</v>
      </c>
      <c r="UUO1" s="176" t="s">
        <v>196</v>
      </c>
      <c r="UUP1" s="176" t="s">
        <v>196</v>
      </c>
      <c r="UUQ1" s="176" t="s">
        <v>196</v>
      </c>
      <c r="UUR1" s="176" t="s">
        <v>196</v>
      </c>
      <c r="UUS1" s="176" t="s">
        <v>196</v>
      </c>
      <c r="UUT1" s="176" t="s">
        <v>196</v>
      </c>
      <c r="UUU1" s="176" t="s">
        <v>196</v>
      </c>
      <c r="UUV1" s="176" t="s">
        <v>196</v>
      </c>
      <c r="UUW1" s="176" t="s">
        <v>196</v>
      </c>
      <c r="UUX1" s="176" t="s">
        <v>196</v>
      </c>
      <c r="UUY1" s="176" t="s">
        <v>196</v>
      </c>
      <c r="UUZ1" s="176" t="s">
        <v>196</v>
      </c>
      <c r="UVA1" s="176" t="s">
        <v>196</v>
      </c>
      <c r="UVB1" s="176" t="s">
        <v>196</v>
      </c>
      <c r="UVC1" s="176" t="s">
        <v>196</v>
      </c>
      <c r="UVD1" s="176" t="s">
        <v>196</v>
      </c>
      <c r="UVE1" s="176" t="s">
        <v>196</v>
      </c>
      <c r="UVF1" s="176" t="s">
        <v>196</v>
      </c>
      <c r="UVG1" s="176" t="s">
        <v>196</v>
      </c>
      <c r="UVH1" s="176" t="s">
        <v>196</v>
      </c>
      <c r="UVI1" s="176" t="s">
        <v>196</v>
      </c>
      <c r="UVJ1" s="176" t="s">
        <v>196</v>
      </c>
      <c r="UVK1" s="176" t="s">
        <v>196</v>
      </c>
      <c r="UVL1" s="176" t="s">
        <v>196</v>
      </c>
      <c r="UVM1" s="176" t="s">
        <v>196</v>
      </c>
      <c r="UVN1" s="176" t="s">
        <v>196</v>
      </c>
      <c r="UVO1" s="176" t="s">
        <v>196</v>
      </c>
      <c r="UVP1" s="176" t="s">
        <v>196</v>
      </c>
      <c r="UVQ1" s="176" t="s">
        <v>196</v>
      </c>
      <c r="UVR1" s="176" t="s">
        <v>196</v>
      </c>
      <c r="UVS1" s="176" t="s">
        <v>196</v>
      </c>
      <c r="UVT1" s="176" t="s">
        <v>196</v>
      </c>
      <c r="UVU1" s="176" t="s">
        <v>196</v>
      </c>
      <c r="UVV1" s="176" t="s">
        <v>196</v>
      </c>
      <c r="UVW1" s="176" t="s">
        <v>196</v>
      </c>
      <c r="UVX1" s="176" t="s">
        <v>196</v>
      </c>
      <c r="UVY1" s="176" t="s">
        <v>196</v>
      </c>
      <c r="UVZ1" s="176" t="s">
        <v>196</v>
      </c>
      <c r="UWA1" s="176" t="s">
        <v>196</v>
      </c>
      <c r="UWB1" s="176" t="s">
        <v>196</v>
      </c>
      <c r="UWC1" s="176" t="s">
        <v>196</v>
      </c>
      <c r="UWD1" s="176" t="s">
        <v>196</v>
      </c>
      <c r="UWE1" s="176" t="s">
        <v>196</v>
      </c>
      <c r="UWF1" s="176" t="s">
        <v>196</v>
      </c>
      <c r="UWG1" s="176" t="s">
        <v>196</v>
      </c>
      <c r="UWH1" s="176" t="s">
        <v>196</v>
      </c>
      <c r="UWI1" s="176" t="s">
        <v>196</v>
      </c>
      <c r="UWJ1" s="176" t="s">
        <v>196</v>
      </c>
      <c r="UWK1" s="176" t="s">
        <v>196</v>
      </c>
      <c r="UWL1" s="176" t="s">
        <v>196</v>
      </c>
      <c r="UWM1" s="176" t="s">
        <v>196</v>
      </c>
      <c r="UWN1" s="176" t="s">
        <v>196</v>
      </c>
      <c r="UWO1" s="176" t="s">
        <v>196</v>
      </c>
      <c r="UWP1" s="176" t="s">
        <v>196</v>
      </c>
      <c r="UWQ1" s="176" t="s">
        <v>196</v>
      </c>
      <c r="UWR1" s="176" t="s">
        <v>196</v>
      </c>
      <c r="UWS1" s="176" t="s">
        <v>196</v>
      </c>
      <c r="UWT1" s="176" t="s">
        <v>196</v>
      </c>
      <c r="UWU1" s="176" t="s">
        <v>196</v>
      </c>
      <c r="UWV1" s="176" t="s">
        <v>196</v>
      </c>
      <c r="UWW1" s="176" t="s">
        <v>196</v>
      </c>
      <c r="UWX1" s="176" t="s">
        <v>196</v>
      </c>
      <c r="UWY1" s="176" t="s">
        <v>196</v>
      </c>
      <c r="UWZ1" s="176" t="s">
        <v>196</v>
      </c>
      <c r="UXA1" s="176" t="s">
        <v>196</v>
      </c>
      <c r="UXB1" s="176" t="s">
        <v>196</v>
      </c>
      <c r="UXC1" s="176" t="s">
        <v>196</v>
      </c>
      <c r="UXD1" s="176" t="s">
        <v>196</v>
      </c>
      <c r="UXE1" s="176" t="s">
        <v>196</v>
      </c>
      <c r="UXF1" s="176" t="s">
        <v>196</v>
      </c>
      <c r="UXG1" s="176" t="s">
        <v>196</v>
      </c>
      <c r="UXH1" s="176" t="s">
        <v>196</v>
      </c>
      <c r="UXI1" s="176" t="s">
        <v>196</v>
      </c>
      <c r="UXJ1" s="176" t="s">
        <v>196</v>
      </c>
      <c r="UXK1" s="176" t="s">
        <v>196</v>
      </c>
      <c r="UXL1" s="176" t="s">
        <v>196</v>
      </c>
      <c r="UXM1" s="176" t="s">
        <v>196</v>
      </c>
      <c r="UXN1" s="176" t="s">
        <v>196</v>
      </c>
      <c r="UXO1" s="176" t="s">
        <v>196</v>
      </c>
      <c r="UXP1" s="176" t="s">
        <v>196</v>
      </c>
      <c r="UXQ1" s="176" t="s">
        <v>196</v>
      </c>
      <c r="UXR1" s="176" t="s">
        <v>196</v>
      </c>
      <c r="UXS1" s="176" t="s">
        <v>196</v>
      </c>
      <c r="UXT1" s="176" t="s">
        <v>196</v>
      </c>
      <c r="UXU1" s="176" t="s">
        <v>196</v>
      </c>
      <c r="UXV1" s="176" t="s">
        <v>196</v>
      </c>
      <c r="UXW1" s="176" t="s">
        <v>196</v>
      </c>
      <c r="UXX1" s="176" t="s">
        <v>196</v>
      </c>
      <c r="UXY1" s="176" t="s">
        <v>196</v>
      </c>
      <c r="UXZ1" s="176" t="s">
        <v>196</v>
      </c>
      <c r="UYA1" s="176" t="s">
        <v>196</v>
      </c>
      <c r="UYB1" s="176" t="s">
        <v>196</v>
      </c>
      <c r="UYC1" s="176" t="s">
        <v>196</v>
      </c>
      <c r="UYD1" s="176" t="s">
        <v>196</v>
      </c>
      <c r="UYE1" s="176" t="s">
        <v>196</v>
      </c>
      <c r="UYF1" s="176" t="s">
        <v>196</v>
      </c>
      <c r="UYG1" s="176" t="s">
        <v>196</v>
      </c>
      <c r="UYH1" s="176" t="s">
        <v>196</v>
      </c>
      <c r="UYI1" s="176" t="s">
        <v>196</v>
      </c>
      <c r="UYJ1" s="176" t="s">
        <v>196</v>
      </c>
      <c r="UYK1" s="176" t="s">
        <v>196</v>
      </c>
      <c r="UYL1" s="176" t="s">
        <v>196</v>
      </c>
      <c r="UYM1" s="176" t="s">
        <v>196</v>
      </c>
      <c r="UYN1" s="176" t="s">
        <v>196</v>
      </c>
      <c r="UYO1" s="176" t="s">
        <v>196</v>
      </c>
      <c r="UYP1" s="176" t="s">
        <v>196</v>
      </c>
      <c r="UYQ1" s="176" t="s">
        <v>196</v>
      </c>
      <c r="UYR1" s="176" t="s">
        <v>196</v>
      </c>
      <c r="UYS1" s="176" t="s">
        <v>196</v>
      </c>
      <c r="UYT1" s="176" t="s">
        <v>196</v>
      </c>
      <c r="UYU1" s="176" t="s">
        <v>196</v>
      </c>
      <c r="UYV1" s="176" t="s">
        <v>196</v>
      </c>
      <c r="UYW1" s="176" t="s">
        <v>196</v>
      </c>
      <c r="UYX1" s="176" t="s">
        <v>196</v>
      </c>
      <c r="UYY1" s="176" t="s">
        <v>196</v>
      </c>
      <c r="UYZ1" s="176" t="s">
        <v>196</v>
      </c>
      <c r="UZA1" s="176" t="s">
        <v>196</v>
      </c>
      <c r="UZB1" s="176" t="s">
        <v>196</v>
      </c>
      <c r="UZC1" s="176" t="s">
        <v>196</v>
      </c>
      <c r="UZD1" s="176" t="s">
        <v>196</v>
      </c>
      <c r="UZE1" s="176" t="s">
        <v>196</v>
      </c>
      <c r="UZF1" s="176" t="s">
        <v>196</v>
      </c>
      <c r="UZG1" s="176" t="s">
        <v>196</v>
      </c>
      <c r="UZH1" s="176" t="s">
        <v>196</v>
      </c>
      <c r="UZI1" s="176" t="s">
        <v>196</v>
      </c>
      <c r="UZJ1" s="176" t="s">
        <v>196</v>
      </c>
      <c r="UZK1" s="176" t="s">
        <v>196</v>
      </c>
      <c r="UZL1" s="176" t="s">
        <v>196</v>
      </c>
      <c r="UZM1" s="176" t="s">
        <v>196</v>
      </c>
      <c r="UZN1" s="176" t="s">
        <v>196</v>
      </c>
      <c r="UZO1" s="176" t="s">
        <v>196</v>
      </c>
      <c r="UZP1" s="176" t="s">
        <v>196</v>
      </c>
      <c r="UZQ1" s="176" t="s">
        <v>196</v>
      </c>
      <c r="UZR1" s="176" t="s">
        <v>196</v>
      </c>
      <c r="UZS1" s="176" t="s">
        <v>196</v>
      </c>
      <c r="UZT1" s="176" t="s">
        <v>196</v>
      </c>
      <c r="UZU1" s="176" t="s">
        <v>196</v>
      </c>
      <c r="UZV1" s="176" t="s">
        <v>196</v>
      </c>
      <c r="UZW1" s="176" t="s">
        <v>196</v>
      </c>
      <c r="UZX1" s="176" t="s">
        <v>196</v>
      </c>
      <c r="UZY1" s="176" t="s">
        <v>196</v>
      </c>
      <c r="UZZ1" s="176" t="s">
        <v>196</v>
      </c>
      <c r="VAA1" s="176" t="s">
        <v>196</v>
      </c>
      <c r="VAB1" s="176" t="s">
        <v>196</v>
      </c>
      <c r="VAC1" s="176" t="s">
        <v>196</v>
      </c>
      <c r="VAD1" s="176" t="s">
        <v>196</v>
      </c>
      <c r="VAE1" s="176" t="s">
        <v>196</v>
      </c>
      <c r="VAF1" s="176" t="s">
        <v>196</v>
      </c>
      <c r="VAG1" s="176" t="s">
        <v>196</v>
      </c>
      <c r="VAH1" s="176" t="s">
        <v>196</v>
      </c>
      <c r="VAI1" s="176" t="s">
        <v>196</v>
      </c>
      <c r="VAJ1" s="176" t="s">
        <v>196</v>
      </c>
      <c r="VAK1" s="176" t="s">
        <v>196</v>
      </c>
      <c r="VAL1" s="176" t="s">
        <v>196</v>
      </c>
      <c r="VAM1" s="176" t="s">
        <v>196</v>
      </c>
      <c r="VAN1" s="176" t="s">
        <v>196</v>
      </c>
      <c r="VAO1" s="176" t="s">
        <v>196</v>
      </c>
      <c r="VAP1" s="176" t="s">
        <v>196</v>
      </c>
      <c r="VAQ1" s="176" t="s">
        <v>196</v>
      </c>
      <c r="VAR1" s="176" t="s">
        <v>196</v>
      </c>
      <c r="VAS1" s="176" t="s">
        <v>196</v>
      </c>
      <c r="VAT1" s="176" t="s">
        <v>196</v>
      </c>
      <c r="VAU1" s="176" t="s">
        <v>196</v>
      </c>
      <c r="VAV1" s="176" t="s">
        <v>196</v>
      </c>
      <c r="VAW1" s="176" t="s">
        <v>196</v>
      </c>
      <c r="VAX1" s="176" t="s">
        <v>196</v>
      </c>
      <c r="VAY1" s="176" t="s">
        <v>196</v>
      </c>
      <c r="VAZ1" s="176" t="s">
        <v>196</v>
      </c>
      <c r="VBA1" s="176" t="s">
        <v>196</v>
      </c>
      <c r="VBB1" s="176" t="s">
        <v>196</v>
      </c>
      <c r="VBC1" s="176" t="s">
        <v>196</v>
      </c>
      <c r="VBD1" s="176" t="s">
        <v>196</v>
      </c>
      <c r="VBE1" s="176" t="s">
        <v>196</v>
      </c>
      <c r="VBF1" s="176" t="s">
        <v>196</v>
      </c>
      <c r="VBG1" s="176" t="s">
        <v>196</v>
      </c>
      <c r="VBH1" s="176" t="s">
        <v>196</v>
      </c>
      <c r="VBI1" s="176" t="s">
        <v>196</v>
      </c>
      <c r="VBJ1" s="176" t="s">
        <v>196</v>
      </c>
      <c r="VBK1" s="176" t="s">
        <v>196</v>
      </c>
      <c r="VBL1" s="176" t="s">
        <v>196</v>
      </c>
      <c r="VBM1" s="176" t="s">
        <v>196</v>
      </c>
      <c r="VBN1" s="176" t="s">
        <v>196</v>
      </c>
      <c r="VBO1" s="176" t="s">
        <v>196</v>
      </c>
      <c r="VBP1" s="176" t="s">
        <v>196</v>
      </c>
      <c r="VBQ1" s="176" t="s">
        <v>196</v>
      </c>
      <c r="VBR1" s="176" t="s">
        <v>196</v>
      </c>
      <c r="VBS1" s="176" t="s">
        <v>196</v>
      </c>
      <c r="VBT1" s="176" t="s">
        <v>196</v>
      </c>
      <c r="VBU1" s="176" t="s">
        <v>196</v>
      </c>
      <c r="VBV1" s="176" t="s">
        <v>196</v>
      </c>
      <c r="VBW1" s="176" t="s">
        <v>196</v>
      </c>
      <c r="VBX1" s="176" t="s">
        <v>196</v>
      </c>
      <c r="VBY1" s="176" t="s">
        <v>196</v>
      </c>
      <c r="VBZ1" s="176" t="s">
        <v>196</v>
      </c>
      <c r="VCA1" s="176" t="s">
        <v>196</v>
      </c>
      <c r="VCB1" s="176" t="s">
        <v>196</v>
      </c>
      <c r="VCC1" s="176" t="s">
        <v>196</v>
      </c>
      <c r="VCD1" s="176" t="s">
        <v>196</v>
      </c>
      <c r="VCE1" s="176" t="s">
        <v>196</v>
      </c>
      <c r="VCF1" s="176" t="s">
        <v>196</v>
      </c>
      <c r="VCG1" s="176" t="s">
        <v>196</v>
      </c>
      <c r="VCH1" s="176" t="s">
        <v>196</v>
      </c>
      <c r="VCI1" s="176" t="s">
        <v>196</v>
      </c>
      <c r="VCJ1" s="176" t="s">
        <v>196</v>
      </c>
      <c r="VCK1" s="176" t="s">
        <v>196</v>
      </c>
      <c r="VCL1" s="176" t="s">
        <v>196</v>
      </c>
      <c r="VCM1" s="176" t="s">
        <v>196</v>
      </c>
      <c r="VCN1" s="176" t="s">
        <v>196</v>
      </c>
      <c r="VCO1" s="176" t="s">
        <v>196</v>
      </c>
      <c r="VCP1" s="176" t="s">
        <v>196</v>
      </c>
      <c r="VCQ1" s="176" t="s">
        <v>196</v>
      </c>
      <c r="VCR1" s="176" t="s">
        <v>196</v>
      </c>
      <c r="VCS1" s="176" t="s">
        <v>196</v>
      </c>
      <c r="VCT1" s="176" t="s">
        <v>196</v>
      </c>
      <c r="VCU1" s="176" t="s">
        <v>196</v>
      </c>
      <c r="VCV1" s="176" t="s">
        <v>196</v>
      </c>
      <c r="VCW1" s="176" t="s">
        <v>196</v>
      </c>
      <c r="VCX1" s="176" t="s">
        <v>196</v>
      </c>
      <c r="VCY1" s="176" t="s">
        <v>196</v>
      </c>
      <c r="VCZ1" s="176" t="s">
        <v>196</v>
      </c>
      <c r="VDA1" s="176" t="s">
        <v>196</v>
      </c>
      <c r="VDB1" s="176" t="s">
        <v>196</v>
      </c>
      <c r="VDC1" s="176" t="s">
        <v>196</v>
      </c>
      <c r="VDD1" s="176" t="s">
        <v>196</v>
      </c>
      <c r="VDE1" s="176" t="s">
        <v>196</v>
      </c>
      <c r="VDF1" s="176" t="s">
        <v>196</v>
      </c>
      <c r="VDG1" s="176" t="s">
        <v>196</v>
      </c>
      <c r="VDH1" s="176" t="s">
        <v>196</v>
      </c>
      <c r="VDI1" s="176" t="s">
        <v>196</v>
      </c>
      <c r="VDJ1" s="176" t="s">
        <v>196</v>
      </c>
      <c r="VDK1" s="176" t="s">
        <v>196</v>
      </c>
      <c r="VDL1" s="176" t="s">
        <v>196</v>
      </c>
      <c r="VDM1" s="176" t="s">
        <v>196</v>
      </c>
      <c r="VDN1" s="176" t="s">
        <v>196</v>
      </c>
      <c r="VDO1" s="176" t="s">
        <v>196</v>
      </c>
      <c r="VDP1" s="176" t="s">
        <v>196</v>
      </c>
      <c r="VDQ1" s="176" t="s">
        <v>196</v>
      </c>
      <c r="VDR1" s="176" t="s">
        <v>196</v>
      </c>
      <c r="VDS1" s="176" t="s">
        <v>196</v>
      </c>
      <c r="VDT1" s="176" t="s">
        <v>196</v>
      </c>
      <c r="VDU1" s="176" t="s">
        <v>196</v>
      </c>
      <c r="VDV1" s="176" t="s">
        <v>196</v>
      </c>
      <c r="VDW1" s="176" t="s">
        <v>196</v>
      </c>
      <c r="VDX1" s="176" t="s">
        <v>196</v>
      </c>
      <c r="VDY1" s="176" t="s">
        <v>196</v>
      </c>
      <c r="VDZ1" s="176" t="s">
        <v>196</v>
      </c>
      <c r="VEA1" s="176" t="s">
        <v>196</v>
      </c>
      <c r="VEB1" s="176" t="s">
        <v>196</v>
      </c>
      <c r="VEC1" s="176" t="s">
        <v>196</v>
      </c>
      <c r="VED1" s="176" t="s">
        <v>196</v>
      </c>
      <c r="VEE1" s="176" t="s">
        <v>196</v>
      </c>
      <c r="VEF1" s="176" t="s">
        <v>196</v>
      </c>
      <c r="VEG1" s="176" t="s">
        <v>196</v>
      </c>
      <c r="VEH1" s="176" t="s">
        <v>196</v>
      </c>
      <c r="VEI1" s="176" t="s">
        <v>196</v>
      </c>
      <c r="VEJ1" s="176" t="s">
        <v>196</v>
      </c>
      <c r="VEK1" s="176" t="s">
        <v>196</v>
      </c>
      <c r="VEL1" s="176" t="s">
        <v>196</v>
      </c>
      <c r="VEM1" s="176" t="s">
        <v>196</v>
      </c>
      <c r="VEN1" s="176" t="s">
        <v>196</v>
      </c>
      <c r="VEO1" s="176" t="s">
        <v>196</v>
      </c>
      <c r="VEP1" s="176" t="s">
        <v>196</v>
      </c>
      <c r="VEQ1" s="176" t="s">
        <v>196</v>
      </c>
      <c r="VER1" s="176" t="s">
        <v>196</v>
      </c>
      <c r="VES1" s="176" t="s">
        <v>196</v>
      </c>
      <c r="VET1" s="176" t="s">
        <v>196</v>
      </c>
      <c r="VEU1" s="176" t="s">
        <v>196</v>
      </c>
      <c r="VEV1" s="176" t="s">
        <v>196</v>
      </c>
      <c r="VEW1" s="176" t="s">
        <v>196</v>
      </c>
      <c r="VEX1" s="176" t="s">
        <v>196</v>
      </c>
      <c r="VEY1" s="176" t="s">
        <v>196</v>
      </c>
      <c r="VEZ1" s="176" t="s">
        <v>196</v>
      </c>
      <c r="VFA1" s="176" t="s">
        <v>196</v>
      </c>
      <c r="VFB1" s="176" t="s">
        <v>196</v>
      </c>
      <c r="VFC1" s="176" t="s">
        <v>196</v>
      </c>
      <c r="VFD1" s="176" t="s">
        <v>196</v>
      </c>
      <c r="VFE1" s="176" t="s">
        <v>196</v>
      </c>
      <c r="VFF1" s="176" t="s">
        <v>196</v>
      </c>
      <c r="VFG1" s="176" t="s">
        <v>196</v>
      </c>
      <c r="VFH1" s="176" t="s">
        <v>196</v>
      </c>
      <c r="VFI1" s="176" t="s">
        <v>196</v>
      </c>
      <c r="VFJ1" s="176" t="s">
        <v>196</v>
      </c>
      <c r="VFK1" s="176" t="s">
        <v>196</v>
      </c>
      <c r="VFL1" s="176" t="s">
        <v>196</v>
      </c>
      <c r="VFM1" s="176" t="s">
        <v>196</v>
      </c>
      <c r="VFN1" s="176" t="s">
        <v>196</v>
      </c>
      <c r="VFO1" s="176" t="s">
        <v>196</v>
      </c>
      <c r="VFP1" s="176" t="s">
        <v>196</v>
      </c>
      <c r="VFQ1" s="176" t="s">
        <v>196</v>
      </c>
      <c r="VFR1" s="176" t="s">
        <v>196</v>
      </c>
      <c r="VFS1" s="176" t="s">
        <v>196</v>
      </c>
      <c r="VFT1" s="176" t="s">
        <v>196</v>
      </c>
      <c r="VFU1" s="176" t="s">
        <v>196</v>
      </c>
      <c r="VFV1" s="176" t="s">
        <v>196</v>
      </c>
      <c r="VFW1" s="176" t="s">
        <v>196</v>
      </c>
      <c r="VFX1" s="176" t="s">
        <v>196</v>
      </c>
      <c r="VFY1" s="176" t="s">
        <v>196</v>
      </c>
      <c r="VFZ1" s="176" t="s">
        <v>196</v>
      </c>
      <c r="VGA1" s="176" t="s">
        <v>196</v>
      </c>
      <c r="VGB1" s="176" t="s">
        <v>196</v>
      </c>
      <c r="VGC1" s="176" t="s">
        <v>196</v>
      </c>
      <c r="VGD1" s="176" t="s">
        <v>196</v>
      </c>
      <c r="VGE1" s="176" t="s">
        <v>196</v>
      </c>
      <c r="VGF1" s="176" t="s">
        <v>196</v>
      </c>
      <c r="VGG1" s="176" t="s">
        <v>196</v>
      </c>
      <c r="VGH1" s="176" t="s">
        <v>196</v>
      </c>
      <c r="VGI1" s="176" t="s">
        <v>196</v>
      </c>
      <c r="VGJ1" s="176" t="s">
        <v>196</v>
      </c>
      <c r="VGK1" s="176" t="s">
        <v>196</v>
      </c>
      <c r="VGL1" s="176" t="s">
        <v>196</v>
      </c>
      <c r="VGM1" s="176" t="s">
        <v>196</v>
      </c>
      <c r="VGN1" s="176" t="s">
        <v>196</v>
      </c>
      <c r="VGO1" s="176" t="s">
        <v>196</v>
      </c>
      <c r="VGP1" s="176" t="s">
        <v>196</v>
      </c>
      <c r="VGQ1" s="176" t="s">
        <v>196</v>
      </c>
      <c r="VGR1" s="176" t="s">
        <v>196</v>
      </c>
      <c r="VGS1" s="176" t="s">
        <v>196</v>
      </c>
      <c r="VGT1" s="176" t="s">
        <v>196</v>
      </c>
      <c r="VGU1" s="176" t="s">
        <v>196</v>
      </c>
      <c r="VGV1" s="176" t="s">
        <v>196</v>
      </c>
      <c r="VGW1" s="176" t="s">
        <v>196</v>
      </c>
      <c r="VGX1" s="176" t="s">
        <v>196</v>
      </c>
      <c r="VGY1" s="176" t="s">
        <v>196</v>
      </c>
      <c r="VGZ1" s="176" t="s">
        <v>196</v>
      </c>
      <c r="VHA1" s="176" t="s">
        <v>196</v>
      </c>
      <c r="VHB1" s="176" t="s">
        <v>196</v>
      </c>
      <c r="VHC1" s="176" t="s">
        <v>196</v>
      </c>
      <c r="VHD1" s="176" t="s">
        <v>196</v>
      </c>
      <c r="VHE1" s="176" t="s">
        <v>196</v>
      </c>
      <c r="VHF1" s="176" t="s">
        <v>196</v>
      </c>
      <c r="VHG1" s="176" t="s">
        <v>196</v>
      </c>
      <c r="VHH1" s="176" t="s">
        <v>196</v>
      </c>
      <c r="VHI1" s="176" t="s">
        <v>196</v>
      </c>
      <c r="VHJ1" s="176" t="s">
        <v>196</v>
      </c>
      <c r="VHK1" s="176" t="s">
        <v>196</v>
      </c>
      <c r="VHL1" s="176" t="s">
        <v>196</v>
      </c>
      <c r="VHM1" s="176" t="s">
        <v>196</v>
      </c>
      <c r="VHN1" s="176" t="s">
        <v>196</v>
      </c>
      <c r="VHO1" s="176" t="s">
        <v>196</v>
      </c>
      <c r="VHP1" s="176" t="s">
        <v>196</v>
      </c>
      <c r="VHQ1" s="176" t="s">
        <v>196</v>
      </c>
      <c r="VHR1" s="176" t="s">
        <v>196</v>
      </c>
      <c r="VHS1" s="176" t="s">
        <v>196</v>
      </c>
      <c r="VHT1" s="176" t="s">
        <v>196</v>
      </c>
      <c r="VHU1" s="176" t="s">
        <v>196</v>
      </c>
      <c r="VHV1" s="176" t="s">
        <v>196</v>
      </c>
      <c r="VHW1" s="176" t="s">
        <v>196</v>
      </c>
      <c r="VHX1" s="176" t="s">
        <v>196</v>
      </c>
      <c r="VHY1" s="176" t="s">
        <v>196</v>
      </c>
      <c r="VHZ1" s="176" t="s">
        <v>196</v>
      </c>
      <c r="VIA1" s="176" t="s">
        <v>196</v>
      </c>
      <c r="VIB1" s="176" t="s">
        <v>196</v>
      </c>
      <c r="VIC1" s="176" t="s">
        <v>196</v>
      </c>
      <c r="VID1" s="176" t="s">
        <v>196</v>
      </c>
      <c r="VIE1" s="176" t="s">
        <v>196</v>
      </c>
      <c r="VIF1" s="176" t="s">
        <v>196</v>
      </c>
      <c r="VIG1" s="176" t="s">
        <v>196</v>
      </c>
      <c r="VIH1" s="176" t="s">
        <v>196</v>
      </c>
      <c r="VII1" s="176" t="s">
        <v>196</v>
      </c>
      <c r="VIJ1" s="176" t="s">
        <v>196</v>
      </c>
      <c r="VIK1" s="176" t="s">
        <v>196</v>
      </c>
      <c r="VIL1" s="176" t="s">
        <v>196</v>
      </c>
      <c r="VIM1" s="176" t="s">
        <v>196</v>
      </c>
      <c r="VIN1" s="176" t="s">
        <v>196</v>
      </c>
      <c r="VIO1" s="176" t="s">
        <v>196</v>
      </c>
      <c r="VIP1" s="176" t="s">
        <v>196</v>
      </c>
      <c r="VIQ1" s="176" t="s">
        <v>196</v>
      </c>
      <c r="VIR1" s="176" t="s">
        <v>196</v>
      </c>
      <c r="VIS1" s="176" t="s">
        <v>196</v>
      </c>
      <c r="VIT1" s="176" t="s">
        <v>196</v>
      </c>
      <c r="VIU1" s="176" t="s">
        <v>196</v>
      </c>
      <c r="VIV1" s="176" t="s">
        <v>196</v>
      </c>
      <c r="VIW1" s="176" t="s">
        <v>196</v>
      </c>
      <c r="VIX1" s="176" t="s">
        <v>196</v>
      </c>
      <c r="VIY1" s="176" t="s">
        <v>196</v>
      </c>
      <c r="VIZ1" s="176" t="s">
        <v>196</v>
      </c>
      <c r="VJA1" s="176" t="s">
        <v>196</v>
      </c>
      <c r="VJB1" s="176" t="s">
        <v>196</v>
      </c>
      <c r="VJC1" s="176" t="s">
        <v>196</v>
      </c>
      <c r="VJD1" s="176" t="s">
        <v>196</v>
      </c>
      <c r="VJE1" s="176" t="s">
        <v>196</v>
      </c>
      <c r="VJF1" s="176" t="s">
        <v>196</v>
      </c>
      <c r="VJG1" s="176" t="s">
        <v>196</v>
      </c>
      <c r="VJH1" s="176" t="s">
        <v>196</v>
      </c>
      <c r="VJI1" s="176" t="s">
        <v>196</v>
      </c>
      <c r="VJJ1" s="176" t="s">
        <v>196</v>
      </c>
      <c r="VJK1" s="176" t="s">
        <v>196</v>
      </c>
      <c r="VJL1" s="176" t="s">
        <v>196</v>
      </c>
      <c r="VJM1" s="176" t="s">
        <v>196</v>
      </c>
      <c r="VJN1" s="176" t="s">
        <v>196</v>
      </c>
      <c r="VJO1" s="176" t="s">
        <v>196</v>
      </c>
      <c r="VJP1" s="176" t="s">
        <v>196</v>
      </c>
      <c r="VJQ1" s="176" t="s">
        <v>196</v>
      </c>
      <c r="VJR1" s="176" t="s">
        <v>196</v>
      </c>
      <c r="VJS1" s="176" t="s">
        <v>196</v>
      </c>
      <c r="VJT1" s="176" t="s">
        <v>196</v>
      </c>
      <c r="VJU1" s="176" t="s">
        <v>196</v>
      </c>
      <c r="VJV1" s="176" t="s">
        <v>196</v>
      </c>
      <c r="VJW1" s="176" t="s">
        <v>196</v>
      </c>
      <c r="VJX1" s="176" t="s">
        <v>196</v>
      </c>
      <c r="VJY1" s="176" t="s">
        <v>196</v>
      </c>
      <c r="VJZ1" s="176" t="s">
        <v>196</v>
      </c>
      <c r="VKA1" s="176" t="s">
        <v>196</v>
      </c>
      <c r="VKB1" s="176" t="s">
        <v>196</v>
      </c>
      <c r="VKC1" s="176" t="s">
        <v>196</v>
      </c>
      <c r="VKD1" s="176" t="s">
        <v>196</v>
      </c>
      <c r="VKE1" s="176" t="s">
        <v>196</v>
      </c>
      <c r="VKF1" s="176" t="s">
        <v>196</v>
      </c>
      <c r="VKG1" s="176" t="s">
        <v>196</v>
      </c>
      <c r="VKH1" s="176" t="s">
        <v>196</v>
      </c>
      <c r="VKI1" s="176" t="s">
        <v>196</v>
      </c>
      <c r="VKJ1" s="176" t="s">
        <v>196</v>
      </c>
      <c r="VKK1" s="176" t="s">
        <v>196</v>
      </c>
      <c r="VKL1" s="176" t="s">
        <v>196</v>
      </c>
      <c r="VKM1" s="176" t="s">
        <v>196</v>
      </c>
      <c r="VKN1" s="176" t="s">
        <v>196</v>
      </c>
      <c r="VKO1" s="176" t="s">
        <v>196</v>
      </c>
      <c r="VKP1" s="176" t="s">
        <v>196</v>
      </c>
      <c r="VKQ1" s="176" t="s">
        <v>196</v>
      </c>
      <c r="VKR1" s="176" t="s">
        <v>196</v>
      </c>
      <c r="VKS1" s="176" t="s">
        <v>196</v>
      </c>
      <c r="VKT1" s="176" t="s">
        <v>196</v>
      </c>
      <c r="VKU1" s="176" t="s">
        <v>196</v>
      </c>
      <c r="VKV1" s="176" t="s">
        <v>196</v>
      </c>
      <c r="VKW1" s="176" t="s">
        <v>196</v>
      </c>
      <c r="VKX1" s="176" t="s">
        <v>196</v>
      </c>
      <c r="VKY1" s="176" t="s">
        <v>196</v>
      </c>
      <c r="VKZ1" s="176" t="s">
        <v>196</v>
      </c>
      <c r="VLA1" s="176" t="s">
        <v>196</v>
      </c>
      <c r="VLB1" s="176" t="s">
        <v>196</v>
      </c>
      <c r="VLC1" s="176" t="s">
        <v>196</v>
      </c>
      <c r="VLD1" s="176" t="s">
        <v>196</v>
      </c>
      <c r="VLE1" s="176" t="s">
        <v>196</v>
      </c>
      <c r="VLF1" s="176" t="s">
        <v>196</v>
      </c>
      <c r="VLG1" s="176" t="s">
        <v>196</v>
      </c>
      <c r="VLH1" s="176" t="s">
        <v>196</v>
      </c>
      <c r="VLI1" s="176" t="s">
        <v>196</v>
      </c>
      <c r="VLJ1" s="176" t="s">
        <v>196</v>
      </c>
      <c r="VLK1" s="176" t="s">
        <v>196</v>
      </c>
      <c r="VLL1" s="176" t="s">
        <v>196</v>
      </c>
      <c r="VLM1" s="176" t="s">
        <v>196</v>
      </c>
      <c r="VLN1" s="176" t="s">
        <v>196</v>
      </c>
      <c r="VLO1" s="176" t="s">
        <v>196</v>
      </c>
      <c r="VLP1" s="176" t="s">
        <v>196</v>
      </c>
      <c r="VLQ1" s="176" t="s">
        <v>196</v>
      </c>
      <c r="VLR1" s="176" t="s">
        <v>196</v>
      </c>
      <c r="VLS1" s="176" t="s">
        <v>196</v>
      </c>
      <c r="VLT1" s="176" t="s">
        <v>196</v>
      </c>
      <c r="VLU1" s="176" t="s">
        <v>196</v>
      </c>
      <c r="VLV1" s="176" t="s">
        <v>196</v>
      </c>
      <c r="VLW1" s="176" t="s">
        <v>196</v>
      </c>
      <c r="VLX1" s="176" t="s">
        <v>196</v>
      </c>
      <c r="VLY1" s="176" t="s">
        <v>196</v>
      </c>
      <c r="VLZ1" s="176" t="s">
        <v>196</v>
      </c>
      <c r="VMA1" s="176" t="s">
        <v>196</v>
      </c>
      <c r="VMB1" s="176" t="s">
        <v>196</v>
      </c>
      <c r="VMC1" s="176" t="s">
        <v>196</v>
      </c>
      <c r="VMD1" s="176" t="s">
        <v>196</v>
      </c>
      <c r="VME1" s="176" t="s">
        <v>196</v>
      </c>
      <c r="VMF1" s="176" t="s">
        <v>196</v>
      </c>
      <c r="VMG1" s="176" t="s">
        <v>196</v>
      </c>
      <c r="VMH1" s="176" t="s">
        <v>196</v>
      </c>
      <c r="VMI1" s="176" t="s">
        <v>196</v>
      </c>
      <c r="VMJ1" s="176" t="s">
        <v>196</v>
      </c>
      <c r="VMK1" s="176" t="s">
        <v>196</v>
      </c>
      <c r="VML1" s="176" t="s">
        <v>196</v>
      </c>
      <c r="VMM1" s="176" t="s">
        <v>196</v>
      </c>
      <c r="VMN1" s="176" t="s">
        <v>196</v>
      </c>
      <c r="VMO1" s="176" t="s">
        <v>196</v>
      </c>
      <c r="VMP1" s="176" t="s">
        <v>196</v>
      </c>
      <c r="VMQ1" s="176" t="s">
        <v>196</v>
      </c>
      <c r="VMR1" s="176" t="s">
        <v>196</v>
      </c>
      <c r="VMS1" s="176" t="s">
        <v>196</v>
      </c>
      <c r="VMT1" s="176" t="s">
        <v>196</v>
      </c>
      <c r="VMU1" s="176" t="s">
        <v>196</v>
      </c>
      <c r="VMV1" s="176" t="s">
        <v>196</v>
      </c>
      <c r="VMW1" s="176" t="s">
        <v>196</v>
      </c>
      <c r="VMX1" s="176" t="s">
        <v>196</v>
      </c>
      <c r="VMY1" s="176" t="s">
        <v>196</v>
      </c>
      <c r="VMZ1" s="176" t="s">
        <v>196</v>
      </c>
      <c r="VNA1" s="176" t="s">
        <v>196</v>
      </c>
      <c r="VNB1" s="176" t="s">
        <v>196</v>
      </c>
      <c r="VNC1" s="176" t="s">
        <v>196</v>
      </c>
      <c r="VND1" s="176" t="s">
        <v>196</v>
      </c>
      <c r="VNE1" s="176" t="s">
        <v>196</v>
      </c>
      <c r="VNF1" s="176" t="s">
        <v>196</v>
      </c>
      <c r="VNG1" s="176" t="s">
        <v>196</v>
      </c>
      <c r="VNH1" s="176" t="s">
        <v>196</v>
      </c>
      <c r="VNI1" s="176" t="s">
        <v>196</v>
      </c>
      <c r="VNJ1" s="176" t="s">
        <v>196</v>
      </c>
      <c r="VNK1" s="176" t="s">
        <v>196</v>
      </c>
      <c r="VNL1" s="176" t="s">
        <v>196</v>
      </c>
      <c r="VNM1" s="176" t="s">
        <v>196</v>
      </c>
      <c r="VNN1" s="176" t="s">
        <v>196</v>
      </c>
      <c r="VNO1" s="176" t="s">
        <v>196</v>
      </c>
      <c r="VNP1" s="176" t="s">
        <v>196</v>
      </c>
      <c r="VNQ1" s="176" t="s">
        <v>196</v>
      </c>
      <c r="VNR1" s="176" t="s">
        <v>196</v>
      </c>
      <c r="VNS1" s="176" t="s">
        <v>196</v>
      </c>
      <c r="VNT1" s="176" t="s">
        <v>196</v>
      </c>
      <c r="VNU1" s="176" t="s">
        <v>196</v>
      </c>
      <c r="VNV1" s="176" t="s">
        <v>196</v>
      </c>
      <c r="VNW1" s="176" t="s">
        <v>196</v>
      </c>
      <c r="VNX1" s="176" t="s">
        <v>196</v>
      </c>
      <c r="VNY1" s="176" t="s">
        <v>196</v>
      </c>
      <c r="VNZ1" s="176" t="s">
        <v>196</v>
      </c>
      <c r="VOA1" s="176" t="s">
        <v>196</v>
      </c>
      <c r="VOB1" s="176" t="s">
        <v>196</v>
      </c>
      <c r="VOC1" s="176" t="s">
        <v>196</v>
      </c>
      <c r="VOD1" s="176" t="s">
        <v>196</v>
      </c>
      <c r="VOE1" s="176" t="s">
        <v>196</v>
      </c>
      <c r="VOF1" s="176" t="s">
        <v>196</v>
      </c>
      <c r="VOG1" s="176" t="s">
        <v>196</v>
      </c>
      <c r="VOH1" s="176" t="s">
        <v>196</v>
      </c>
      <c r="VOI1" s="176" t="s">
        <v>196</v>
      </c>
      <c r="VOJ1" s="176" t="s">
        <v>196</v>
      </c>
      <c r="VOK1" s="176" t="s">
        <v>196</v>
      </c>
      <c r="VOL1" s="176" t="s">
        <v>196</v>
      </c>
      <c r="VOM1" s="176" t="s">
        <v>196</v>
      </c>
      <c r="VON1" s="176" t="s">
        <v>196</v>
      </c>
      <c r="VOO1" s="176" t="s">
        <v>196</v>
      </c>
      <c r="VOP1" s="176" t="s">
        <v>196</v>
      </c>
      <c r="VOQ1" s="176" t="s">
        <v>196</v>
      </c>
      <c r="VOR1" s="176" t="s">
        <v>196</v>
      </c>
      <c r="VOS1" s="176" t="s">
        <v>196</v>
      </c>
      <c r="VOT1" s="176" t="s">
        <v>196</v>
      </c>
      <c r="VOU1" s="176" t="s">
        <v>196</v>
      </c>
      <c r="VOV1" s="176" t="s">
        <v>196</v>
      </c>
      <c r="VOW1" s="176" t="s">
        <v>196</v>
      </c>
      <c r="VOX1" s="176" t="s">
        <v>196</v>
      </c>
      <c r="VOY1" s="176" t="s">
        <v>196</v>
      </c>
      <c r="VOZ1" s="176" t="s">
        <v>196</v>
      </c>
      <c r="VPA1" s="176" t="s">
        <v>196</v>
      </c>
      <c r="VPB1" s="176" t="s">
        <v>196</v>
      </c>
      <c r="VPC1" s="176" t="s">
        <v>196</v>
      </c>
      <c r="VPD1" s="176" t="s">
        <v>196</v>
      </c>
      <c r="VPE1" s="176" t="s">
        <v>196</v>
      </c>
      <c r="VPF1" s="176" t="s">
        <v>196</v>
      </c>
      <c r="VPG1" s="176" t="s">
        <v>196</v>
      </c>
      <c r="VPH1" s="176" t="s">
        <v>196</v>
      </c>
      <c r="VPI1" s="176" t="s">
        <v>196</v>
      </c>
      <c r="VPJ1" s="176" t="s">
        <v>196</v>
      </c>
      <c r="VPK1" s="176" t="s">
        <v>196</v>
      </c>
      <c r="VPL1" s="176" t="s">
        <v>196</v>
      </c>
      <c r="VPM1" s="176" t="s">
        <v>196</v>
      </c>
      <c r="VPN1" s="176" t="s">
        <v>196</v>
      </c>
      <c r="VPO1" s="176" t="s">
        <v>196</v>
      </c>
      <c r="VPP1" s="176" t="s">
        <v>196</v>
      </c>
      <c r="VPQ1" s="176" t="s">
        <v>196</v>
      </c>
      <c r="VPR1" s="176" t="s">
        <v>196</v>
      </c>
      <c r="VPS1" s="176" t="s">
        <v>196</v>
      </c>
      <c r="VPT1" s="176" t="s">
        <v>196</v>
      </c>
      <c r="VPU1" s="176" t="s">
        <v>196</v>
      </c>
      <c r="VPV1" s="176" t="s">
        <v>196</v>
      </c>
      <c r="VPW1" s="176" t="s">
        <v>196</v>
      </c>
      <c r="VPX1" s="176" t="s">
        <v>196</v>
      </c>
      <c r="VPY1" s="176" t="s">
        <v>196</v>
      </c>
      <c r="VPZ1" s="176" t="s">
        <v>196</v>
      </c>
      <c r="VQA1" s="176" t="s">
        <v>196</v>
      </c>
      <c r="VQB1" s="176" t="s">
        <v>196</v>
      </c>
      <c r="VQC1" s="176" t="s">
        <v>196</v>
      </c>
      <c r="VQD1" s="176" t="s">
        <v>196</v>
      </c>
      <c r="VQE1" s="176" t="s">
        <v>196</v>
      </c>
      <c r="VQF1" s="176" t="s">
        <v>196</v>
      </c>
      <c r="VQG1" s="176" t="s">
        <v>196</v>
      </c>
      <c r="VQH1" s="176" t="s">
        <v>196</v>
      </c>
      <c r="VQI1" s="176" t="s">
        <v>196</v>
      </c>
      <c r="VQJ1" s="176" t="s">
        <v>196</v>
      </c>
      <c r="VQK1" s="176" t="s">
        <v>196</v>
      </c>
      <c r="VQL1" s="176" t="s">
        <v>196</v>
      </c>
      <c r="VQM1" s="176" t="s">
        <v>196</v>
      </c>
      <c r="VQN1" s="176" t="s">
        <v>196</v>
      </c>
      <c r="VQO1" s="176" t="s">
        <v>196</v>
      </c>
      <c r="VQP1" s="176" t="s">
        <v>196</v>
      </c>
      <c r="VQQ1" s="176" t="s">
        <v>196</v>
      </c>
      <c r="VQR1" s="176" t="s">
        <v>196</v>
      </c>
      <c r="VQS1" s="176" t="s">
        <v>196</v>
      </c>
      <c r="VQT1" s="176" t="s">
        <v>196</v>
      </c>
      <c r="VQU1" s="176" t="s">
        <v>196</v>
      </c>
      <c r="VQV1" s="176" t="s">
        <v>196</v>
      </c>
      <c r="VQW1" s="176" t="s">
        <v>196</v>
      </c>
      <c r="VQX1" s="176" t="s">
        <v>196</v>
      </c>
      <c r="VQY1" s="176" t="s">
        <v>196</v>
      </c>
      <c r="VQZ1" s="176" t="s">
        <v>196</v>
      </c>
      <c r="VRA1" s="176" t="s">
        <v>196</v>
      </c>
      <c r="VRB1" s="176" t="s">
        <v>196</v>
      </c>
      <c r="VRC1" s="176" t="s">
        <v>196</v>
      </c>
      <c r="VRD1" s="176" t="s">
        <v>196</v>
      </c>
      <c r="VRE1" s="176" t="s">
        <v>196</v>
      </c>
      <c r="VRF1" s="176" t="s">
        <v>196</v>
      </c>
      <c r="VRG1" s="176" t="s">
        <v>196</v>
      </c>
      <c r="VRH1" s="176" t="s">
        <v>196</v>
      </c>
      <c r="VRI1" s="176" t="s">
        <v>196</v>
      </c>
      <c r="VRJ1" s="176" t="s">
        <v>196</v>
      </c>
      <c r="VRK1" s="176" t="s">
        <v>196</v>
      </c>
      <c r="VRL1" s="176" t="s">
        <v>196</v>
      </c>
      <c r="VRM1" s="176" t="s">
        <v>196</v>
      </c>
      <c r="VRN1" s="176" t="s">
        <v>196</v>
      </c>
      <c r="VRO1" s="176" t="s">
        <v>196</v>
      </c>
      <c r="VRP1" s="176" t="s">
        <v>196</v>
      </c>
      <c r="VRQ1" s="176" t="s">
        <v>196</v>
      </c>
      <c r="VRR1" s="176" t="s">
        <v>196</v>
      </c>
      <c r="VRS1" s="176" t="s">
        <v>196</v>
      </c>
      <c r="VRT1" s="176" t="s">
        <v>196</v>
      </c>
      <c r="VRU1" s="176" t="s">
        <v>196</v>
      </c>
      <c r="VRV1" s="176" t="s">
        <v>196</v>
      </c>
      <c r="VRW1" s="176" t="s">
        <v>196</v>
      </c>
      <c r="VRX1" s="176" t="s">
        <v>196</v>
      </c>
      <c r="VRY1" s="176" t="s">
        <v>196</v>
      </c>
      <c r="VRZ1" s="176" t="s">
        <v>196</v>
      </c>
      <c r="VSA1" s="176" t="s">
        <v>196</v>
      </c>
      <c r="VSB1" s="176" t="s">
        <v>196</v>
      </c>
      <c r="VSC1" s="176" t="s">
        <v>196</v>
      </c>
      <c r="VSD1" s="176" t="s">
        <v>196</v>
      </c>
      <c r="VSE1" s="176" t="s">
        <v>196</v>
      </c>
      <c r="VSF1" s="176" t="s">
        <v>196</v>
      </c>
      <c r="VSG1" s="176" t="s">
        <v>196</v>
      </c>
      <c r="VSH1" s="176" t="s">
        <v>196</v>
      </c>
      <c r="VSI1" s="176" t="s">
        <v>196</v>
      </c>
      <c r="VSJ1" s="176" t="s">
        <v>196</v>
      </c>
      <c r="VSK1" s="176" t="s">
        <v>196</v>
      </c>
      <c r="VSL1" s="176" t="s">
        <v>196</v>
      </c>
      <c r="VSM1" s="176" t="s">
        <v>196</v>
      </c>
      <c r="VSN1" s="176" t="s">
        <v>196</v>
      </c>
      <c r="VSO1" s="176" t="s">
        <v>196</v>
      </c>
      <c r="VSP1" s="176" t="s">
        <v>196</v>
      </c>
      <c r="VSQ1" s="176" t="s">
        <v>196</v>
      </c>
      <c r="VSR1" s="176" t="s">
        <v>196</v>
      </c>
      <c r="VSS1" s="176" t="s">
        <v>196</v>
      </c>
      <c r="VST1" s="176" t="s">
        <v>196</v>
      </c>
      <c r="VSU1" s="176" t="s">
        <v>196</v>
      </c>
      <c r="VSV1" s="176" t="s">
        <v>196</v>
      </c>
      <c r="VSW1" s="176" t="s">
        <v>196</v>
      </c>
      <c r="VSX1" s="176" t="s">
        <v>196</v>
      </c>
      <c r="VSY1" s="176" t="s">
        <v>196</v>
      </c>
      <c r="VSZ1" s="176" t="s">
        <v>196</v>
      </c>
      <c r="VTA1" s="176" t="s">
        <v>196</v>
      </c>
      <c r="VTB1" s="176" t="s">
        <v>196</v>
      </c>
      <c r="VTC1" s="176" t="s">
        <v>196</v>
      </c>
      <c r="VTD1" s="176" t="s">
        <v>196</v>
      </c>
      <c r="VTE1" s="176" t="s">
        <v>196</v>
      </c>
      <c r="VTF1" s="176" t="s">
        <v>196</v>
      </c>
      <c r="VTG1" s="176" t="s">
        <v>196</v>
      </c>
      <c r="VTH1" s="176" t="s">
        <v>196</v>
      </c>
      <c r="VTI1" s="176" t="s">
        <v>196</v>
      </c>
      <c r="VTJ1" s="176" t="s">
        <v>196</v>
      </c>
      <c r="VTK1" s="176" t="s">
        <v>196</v>
      </c>
      <c r="VTL1" s="176" t="s">
        <v>196</v>
      </c>
      <c r="VTM1" s="176" t="s">
        <v>196</v>
      </c>
      <c r="VTN1" s="176" t="s">
        <v>196</v>
      </c>
      <c r="VTO1" s="176" t="s">
        <v>196</v>
      </c>
      <c r="VTP1" s="176" t="s">
        <v>196</v>
      </c>
      <c r="VTQ1" s="176" t="s">
        <v>196</v>
      </c>
      <c r="VTR1" s="176" t="s">
        <v>196</v>
      </c>
      <c r="VTS1" s="176" t="s">
        <v>196</v>
      </c>
      <c r="VTT1" s="176" t="s">
        <v>196</v>
      </c>
      <c r="VTU1" s="176" t="s">
        <v>196</v>
      </c>
      <c r="VTV1" s="176" t="s">
        <v>196</v>
      </c>
      <c r="VTW1" s="176" t="s">
        <v>196</v>
      </c>
      <c r="VTX1" s="176" t="s">
        <v>196</v>
      </c>
      <c r="VTY1" s="176" t="s">
        <v>196</v>
      </c>
      <c r="VTZ1" s="176" t="s">
        <v>196</v>
      </c>
      <c r="VUA1" s="176" t="s">
        <v>196</v>
      </c>
      <c r="VUB1" s="176" t="s">
        <v>196</v>
      </c>
      <c r="VUC1" s="176" t="s">
        <v>196</v>
      </c>
      <c r="VUD1" s="176" t="s">
        <v>196</v>
      </c>
      <c r="VUE1" s="176" t="s">
        <v>196</v>
      </c>
      <c r="VUF1" s="176" t="s">
        <v>196</v>
      </c>
      <c r="VUG1" s="176" t="s">
        <v>196</v>
      </c>
      <c r="VUH1" s="176" t="s">
        <v>196</v>
      </c>
      <c r="VUI1" s="176" t="s">
        <v>196</v>
      </c>
      <c r="VUJ1" s="176" t="s">
        <v>196</v>
      </c>
      <c r="VUK1" s="176" t="s">
        <v>196</v>
      </c>
      <c r="VUL1" s="176" t="s">
        <v>196</v>
      </c>
      <c r="VUM1" s="176" t="s">
        <v>196</v>
      </c>
      <c r="VUN1" s="176" t="s">
        <v>196</v>
      </c>
      <c r="VUO1" s="176" t="s">
        <v>196</v>
      </c>
      <c r="VUP1" s="176" t="s">
        <v>196</v>
      </c>
      <c r="VUQ1" s="176" t="s">
        <v>196</v>
      </c>
      <c r="VUR1" s="176" t="s">
        <v>196</v>
      </c>
      <c r="VUS1" s="176" t="s">
        <v>196</v>
      </c>
      <c r="VUT1" s="176" t="s">
        <v>196</v>
      </c>
      <c r="VUU1" s="176" t="s">
        <v>196</v>
      </c>
      <c r="VUV1" s="176" t="s">
        <v>196</v>
      </c>
      <c r="VUW1" s="176" t="s">
        <v>196</v>
      </c>
      <c r="VUX1" s="176" t="s">
        <v>196</v>
      </c>
      <c r="VUY1" s="176" t="s">
        <v>196</v>
      </c>
      <c r="VUZ1" s="176" t="s">
        <v>196</v>
      </c>
      <c r="VVA1" s="176" t="s">
        <v>196</v>
      </c>
      <c r="VVB1" s="176" t="s">
        <v>196</v>
      </c>
      <c r="VVC1" s="176" t="s">
        <v>196</v>
      </c>
      <c r="VVD1" s="176" t="s">
        <v>196</v>
      </c>
      <c r="VVE1" s="176" t="s">
        <v>196</v>
      </c>
      <c r="VVF1" s="176" t="s">
        <v>196</v>
      </c>
      <c r="VVG1" s="176" t="s">
        <v>196</v>
      </c>
      <c r="VVH1" s="176" t="s">
        <v>196</v>
      </c>
      <c r="VVI1" s="176" t="s">
        <v>196</v>
      </c>
      <c r="VVJ1" s="176" t="s">
        <v>196</v>
      </c>
      <c r="VVK1" s="176" t="s">
        <v>196</v>
      </c>
      <c r="VVL1" s="176" t="s">
        <v>196</v>
      </c>
      <c r="VVM1" s="176" t="s">
        <v>196</v>
      </c>
      <c r="VVN1" s="176" t="s">
        <v>196</v>
      </c>
      <c r="VVO1" s="176" t="s">
        <v>196</v>
      </c>
      <c r="VVP1" s="176" t="s">
        <v>196</v>
      </c>
      <c r="VVQ1" s="176" t="s">
        <v>196</v>
      </c>
      <c r="VVR1" s="176" t="s">
        <v>196</v>
      </c>
      <c r="VVS1" s="176" t="s">
        <v>196</v>
      </c>
      <c r="VVT1" s="176" t="s">
        <v>196</v>
      </c>
      <c r="VVU1" s="176" t="s">
        <v>196</v>
      </c>
      <c r="VVV1" s="176" t="s">
        <v>196</v>
      </c>
      <c r="VVW1" s="176" t="s">
        <v>196</v>
      </c>
      <c r="VVX1" s="176" t="s">
        <v>196</v>
      </c>
      <c r="VVY1" s="176" t="s">
        <v>196</v>
      </c>
      <c r="VVZ1" s="176" t="s">
        <v>196</v>
      </c>
      <c r="VWA1" s="176" t="s">
        <v>196</v>
      </c>
      <c r="VWB1" s="176" t="s">
        <v>196</v>
      </c>
      <c r="VWC1" s="176" t="s">
        <v>196</v>
      </c>
      <c r="VWD1" s="176" t="s">
        <v>196</v>
      </c>
      <c r="VWE1" s="176" t="s">
        <v>196</v>
      </c>
      <c r="VWF1" s="176" t="s">
        <v>196</v>
      </c>
      <c r="VWG1" s="176" t="s">
        <v>196</v>
      </c>
      <c r="VWH1" s="176" t="s">
        <v>196</v>
      </c>
      <c r="VWI1" s="176" t="s">
        <v>196</v>
      </c>
      <c r="VWJ1" s="176" t="s">
        <v>196</v>
      </c>
      <c r="VWK1" s="176" t="s">
        <v>196</v>
      </c>
      <c r="VWL1" s="176" t="s">
        <v>196</v>
      </c>
      <c r="VWM1" s="176" t="s">
        <v>196</v>
      </c>
      <c r="VWN1" s="176" t="s">
        <v>196</v>
      </c>
      <c r="VWO1" s="176" t="s">
        <v>196</v>
      </c>
      <c r="VWP1" s="176" t="s">
        <v>196</v>
      </c>
      <c r="VWQ1" s="176" t="s">
        <v>196</v>
      </c>
      <c r="VWR1" s="176" t="s">
        <v>196</v>
      </c>
      <c r="VWS1" s="176" t="s">
        <v>196</v>
      </c>
      <c r="VWT1" s="176" t="s">
        <v>196</v>
      </c>
      <c r="VWU1" s="176" t="s">
        <v>196</v>
      </c>
      <c r="VWV1" s="176" t="s">
        <v>196</v>
      </c>
      <c r="VWW1" s="176" t="s">
        <v>196</v>
      </c>
      <c r="VWX1" s="176" t="s">
        <v>196</v>
      </c>
      <c r="VWY1" s="176" t="s">
        <v>196</v>
      </c>
      <c r="VWZ1" s="176" t="s">
        <v>196</v>
      </c>
      <c r="VXA1" s="176" t="s">
        <v>196</v>
      </c>
      <c r="VXB1" s="176" t="s">
        <v>196</v>
      </c>
      <c r="VXC1" s="176" t="s">
        <v>196</v>
      </c>
      <c r="VXD1" s="176" t="s">
        <v>196</v>
      </c>
      <c r="VXE1" s="176" t="s">
        <v>196</v>
      </c>
      <c r="VXF1" s="176" t="s">
        <v>196</v>
      </c>
      <c r="VXG1" s="176" t="s">
        <v>196</v>
      </c>
      <c r="VXH1" s="176" t="s">
        <v>196</v>
      </c>
      <c r="VXI1" s="176" t="s">
        <v>196</v>
      </c>
      <c r="VXJ1" s="176" t="s">
        <v>196</v>
      </c>
      <c r="VXK1" s="176" t="s">
        <v>196</v>
      </c>
      <c r="VXL1" s="176" t="s">
        <v>196</v>
      </c>
      <c r="VXM1" s="176" t="s">
        <v>196</v>
      </c>
      <c r="VXN1" s="176" t="s">
        <v>196</v>
      </c>
      <c r="VXO1" s="176" t="s">
        <v>196</v>
      </c>
      <c r="VXP1" s="176" t="s">
        <v>196</v>
      </c>
      <c r="VXQ1" s="176" t="s">
        <v>196</v>
      </c>
      <c r="VXR1" s="176" t="s">
        <v>196</v>
      </c>
      <c r="VXS1" s="176" t="s">
        <v>196</v>
      </c>
      <c r="VXT1" s="176" t="s">
        <v>196</v>
      </c>
      <c r="VXU1" s="176" t="s">
        <v>196</v>
      </c>
      <c r="VXV1" s="176" t="s">
        <v>196</v>
      </c>
      <c r="VXW1" s="176" t="s">
        <v>196</v>
      </c>
      <c r="VXX1" s="176" t="s">
        <v>196</v>
      </c>
      <c r="VXY1" s="176" t="s">
        <v>196</v>
      </c>
      <c r="VXZ1" s="176" t="s">
        <v>196</v>
      </c>
      <c r="VYA1" s="176" t="s">
        <v>196</v>
      </c>
      <c r="VYB1" s="176" t="s">
        <v>196</v>
      </c>
      <c r="VYC1" s="176" t="s">
        <v>196</v>
      </c>
      <c r="VYD1" s="176" t="s">
        <v>196</v>
      </c>
      <c r="VYE1" s="176" t="s">
        <v>196</v>
      </c>
      <c r="VYF1" s="176" t="s">
        <v>196</v>
      </c>
      <c r="VYG1" s="176" t="s">
        <v>196</v>
      </c>
      <c r="VYH1" s="176" t="s">
        <v>196</v>
      </c>
      <c r="VYI1" s="176" t="s">
        <v>196</v>
      </c>
      <c r="VYJ1" s="176" t="s">
        <v>196</v>
      </c>
      <c r="VYK1" s="176" t="s">
        <v>196</v>
      </c>
      <c r="VYL1" s="176" t="s">
        <v>196</v>
      </c>
      <c r="VYM1" s="176" t="s">
        <v>196</v>
      </c>
      <c r="VYN1" s="176" t="s">
        <v>196</v>
      </c>
      <c r="VYO1" s="176" t="s">
        <v>196</v>
      </c>
      <c r="VYP1" s="176" t="s">
        <v>196</v>
      </c>
      <c r="VYQ1" s="176" t="s">
        <v>196</v>
      </c>
      <c r="VYR1" s="176" t="s">
        <v>196</v>
      </c>
      <c r="VYS1" s="176" t="s">
        <v>196</v>
      </c>
      <c r="VYT1" s="176" t="s">
        <v>196</v>
      </c>
      <c r="VYU1" s="176" t="s">
        <v>196</v>
      </c>
      <c r="VYV1" s="176" t="s">
        <v>196</v>
      </c>
      <c r="VYW1" s="176" t="s">
        <v>196</v>
      </c>
      <c r="VYX1" s="176" t="s">
        <v>196</v>
      </c>
      <c r="VYY1" s="176" t="s">
        <v>196</v>
      </c>
      <c r="VYZ1" s="176" t="s">
        <v>196</v>
      </c>
      <c r="VZA1" s="176" t="s">
        <v>196</v>
      </c>
      <c r="VZB1" s="176" t="s">
        <v>196</v>
      </c>
      <c r="VZC1" s="176" t="s">
        <v>196</v>
      </c>
      <c r="VZD1" s="176" t="s">
        <v>196</v>
      </c>
      <c r="VZE1" s="176" t="s">
        <v>196</v>
      </c>
      <c r="VZF1" s="176" t="s">
        <v>196</v>
      </c>
      <c r="VZG1" s="176" t="s">
        <v>196</v>
      </c>
      <c r="VZH1" s="176" t="s">
        <v>196</v>
      </c>
      <c r="VZI1" s="176" t="s">
        <v>196</v>
      </c>
      <c r="VZJ1" s="176" t="s">
        <v>196</v>
      </c>
      <c r="VZK1" s="176" t="s">
        <v>196</v>
      </c>
      <c r="VZL1" s="176" t="s">
        <v>196</v>
      </c>
      <c r="VZM1" s="176" t="s">
        <v>196</v>
      </c>
      <c r="VZN1" s="176" t="s">
        <v>196</v>
      </c>
      <c r="VZO1" s="176" t="s">
        <v>196</v>
      </c>
      <c r="VZP1" s="176" t="s">
        <v>196</v>
      </c>
      <c r="VZQ1" s="176" t="s">
        <v>196</v>
      </c>
      <c r="VZR1" s="176" t="s">
        <v>196</v>
      </c>
      <c r="VZS1" s="176" t="s">
        <v>196</v>
      </c>
      <c r="VZT1" s="176" t="s">
        <v>196</v>
      </c>
      <c r="VZU1" s="176" t="s">
        <v>196</v>
      </c>
      <c r="VZV1" s="176" t="s">
        <v>196</v>
      </c>
      <c r="VZW1" s="176" t="s">
        <v>196</v>
      </c>
      <c r="VZX1" s="176" t="s">
        <v>196</v>
      </c>
      <c r="VZY1" s="176" t="s">
        <v>196</v>
      </c>
      <c r="VZZ1" s="176" t="s">
        <v>196</v>
      </c>
      <c r="WAA1" s="176" t="s">
        <v>196</v>
      </c>
      <c r="WAB1" s="176" t="s">
        <v>196</v>
      </c>
      <c r="WAC1" s="176" t="s">
        <v>196</v>
      </c>
      <c r="WAD1" s="176" t="s">
        <v>196</v>
      </c>
      <c r="WAE1" s="176" t="s">
        <v>196</v>
      </c>
      <c r="WAF1" s="176" t="s">
        <v>196</v>
      </c>
      <c r="WAG1" s="176" t="s">
        <v>196</v>
      </c>
      <c r="WAH1" s="176" t="s">
        <v>196</v>
      </c>
      <c r="WAI1" s="176" t="s">
        <v>196</v>
      </c>
      <c r="WAJ1" s="176" t="s">
        <v>196</v>
      </c>
      <c r="WAK1" s="176" t="s">
        <v>196</v>
      </c>
      <c r="WAL1" s="176" t="s">
        <v>196</v>
      </c>
      <c r="WAM1" s="176" t="s">
        <v>196</v>
      </c>
      <c r="WAN1" s="176" t="s">
        <v>196</v>
      </c>
      <c r="WAO1" s="176" t="s">
        <v>196</v>
      </c>
      <c r="WAP1" s="176" t="s">
        <v>196</v>
      </c>
      <c r="WAQ1" s="176" t="s">
        <v>196</v>
      </c>
      <c r="WAR1" s="176" t="s">
        <v>196</v>
      </c>
      <c r="WAS1" s="176" t="s">
        <v>196</v>
      </c>
      <c r="WAT1" s="176" t="s">
        <v>196</v>
      </c>
      <c r="WAU1" s="176" t="s">
        <v>196</v>
      </c>
      <c r="WAV1" s="176" t="s">
        <v>196</v>
      </c>
      <c r="WAW1" s="176" t="s">
        <v>196</v>
      </c>
      <c r="WAX1" s="176" t="s">
        <v>196</v>
      </c>
      <c r="WAY1" s="176" t="s">
        <v>196</v>
      </c>
      <c r="WAZ1" s="176" t="s">
        <v>196</v>
      </c>
      <c r="WBA1" s="176" t="s">
        <v>196</v>
      </c>
      <c r="WBB1" s="176" t="s">
        <v>196</v>
      </c>
      <c r="WBC1" s="176" t="s">
        <v>196</v>
      </c>
      <c r="WBD1" s="176" t="s">
        <v>196</v>
      </c>
      <c r="WBE1" s="176" t="s">
        <v>196</v>
      </c>
      <c r="WBF1" s="176" t="s">
        <v>196</v>
      </c>
      <c r="WBG1" s="176" t="s">
        <v>196</v>
      </c>
      <c r="WBH1" s="176" t="s">
        <v>196</v>
      </c>
      <c r="WBI1" s="176" t="s">
        <v>196</v>
      </c>
      <c r="WBJ1" s="176" t="s">
        <v>196</v>
      </c>
      <c r="WBK1" s="176" t="s">
        <v>196</v>
      </c>
      <c r="WBL1" s="176" t="s">
        <v>196</v>
      </c>
      <c r="WBM1" s="176" t="s">
        <v>196</v>
      </c>
      <c r="WBN1" s="176" t="s">
        <v>196</v>
      </c>
      <c r="WBO1" s="176" t="s">
        <v>196</v>
      </c>
      <c r="WBP1" s="176" t="s">
        <v>196</v>
      </c>
      <c r="WBQ1" s="176" t="s">
        <v>196</v>
      </c>
      <c r="WBR1" s="176" t="s">
        <v>196</v>
      </c>
      <c r="WBS1" s="176" t="s">
        <v>196</v>
      </c>
      <c r="WBT1" s="176" t="s">
        <v>196</v>
      </c>
      <c r="WBU1" s="176" t="s">
        <v>196</v>
      </c>
      <c r="WBV1" s="176" t="s">
        <v>196</v>
      </c>
      <c r="WBW1" s="176" t="s">
        <v>196</v>
      </c>
      <c r="WBX1" s="176" t="s">
        <v>196</v>
      </c>
      <c r="WBY1" s="176" t="s">
        <v>196</v>
      </c>
      <c r="WBZ1" s="176" t="s">
        <v>196</v>
      </c>
      <c r="WCA1" s="176" t="s">
        <v>196</v>
      </c>
      <c r="WCB1" s="176" t="s">
        <v>196</v>
      </c>
      <c r="WCC1" s="176" t="s">
        <v>196</v>
      </c>
      <c r="WCD1" s="176" t="s">
        <v>196</v>
      </c>
      <c r="WCE1" s="176" t="s">
        <v>196</v>
      </c>
      <c r="WCF1" s="176" t="s">
        <v>196</v>
      </c>
      <c r="WCG1" s="176" t="s">
        <v>196</v>
      </c>
      <c r="WCH1" s="176" t="s">
        <v>196</v>
      </c>
      <c r="WCI1" s="176" t="s">
        <v>196</v>
      </c>
      <c r="WCJ1" s="176" t="s">
        <v>196</v>
      </c>
      <c r="WCK1" s="176" t="s">
        <v>196</v>
      </c>
      <c r="WCL1" s="176" t="s">
        <v>196</v>
      </c>
      <c r="WCM1" s="176" t="s">
        <v>196</v>
      </c>
      <c r="WCN1" s="176" t="s">
        <v>196</v>
      </c>
      <c r="WCO1" s="176" t="s">
        <v>196</v>
      </c>
      <c r="WCP1" s="176" t="s">
        <v>196</v>
      </c>
      <c r="WCQ1" s="176" t="s">
        <v>196</v>
      </c>
      <c r="WCR1" s="176" t="s">
        <v>196</v>
      </c>
      <c r="WCS1" s="176" t="s">
        <v>196</v>
      </c>
      <c r="WCT1" s="176" t="s">
        <v>196</v>
      </c>
      <c r="WCU1" s="176" t="s">
        <v>196</v>
      </c>
      <c r="WCV1" s="176" t="s">
        <v>196</v>
      </c>
      <c r="WCW1" s="176" t="s">
        <v>196</v>
      </c>
      <c r="WCX1" s="176" t="s">
        <v>196</v>
      </c>
      <c r="WCY1" s="176" t="s">
        <v>196</v>
      </c>
      <c r="WCZ1" s="176" t="s">
        <v>196</v>
      </c>
      <c r="WDA1" s="176" t="s">
        <v>196</v>
      </c>
      <c r="WDB1" s="176" t="s">
        <v>196</v>
      </c>
      <c r="WDC1" s="176" t="s">
        <v>196</v>
      </c>
      <c r="WDD1" s="176" t="s">
        <v>196</v>
      </c>
      <c r="WDE1" s="176" t="s">
        <v>196</v>
      </c>
      <c r="WDF1" s="176" t="s">
        <v>196</v>
      </c>
      <c r="WDG1" s="176" t="s">
        <v>196</v>
      </c>
      <c r="WDH1" s="176" t="s">
        <v>196</v>
      </c>
      <c r="WDI1" s="176" t="s">
        <v>196</v>
      </c>
      <c r="WDJ1" s="176" t="s">
        <v>196</v>
      </c>
      <c r="WDK1" s="176" t="s">
        <v>196</v>
      </c>
      <c r="WDL1" s="176" t="s">
        <v>196</v>
      </c>
      <c r="WDM1" s="176" t="s">
        <v>196</v>
      </c>
      <c r="WDN1" s="176" t="s">
        <v>196</v>
      </c>
      <c r="WDO1" s="176" t="s">
        <v>196</v>
      </c>
      <c r="WDP1" s="176" t="s">
        <v>196</v>
      </c>
      <c r="WDQ1" s="176" t="s">
        <v>196</v>
      </c>
      <c r="WDR1" s="176" t="s">
        <v>196</v>
      </c>
      <c r="WDS1" s="176" t="s">
        <v>196</v>
      </c>
      <c r="WDT1" s="176" t="s">
        <v>196</v>
      </c>
      <c r="WDU1" s="176" t="s">
        <v>196</v>
      </c>
      <c r="WDV1" s="176" t="s">
        <v>196</v>
      </c>
      <c r="WDW1" s="176" t="s">
        <v>196</v>
      </c>
      <c r="WDX1" s="176" t="s">
        <v>196</v>
      </c>
      <c r="WDY1" s="176" t="s">
        <v>196</v>
      </c>
      <c r="WDZ1" s="176" t="s">
        <v>196</v>
      </c>
      <c r="WEA1" s="176" t="s">
        <v>196</v>
      </c>
      <c r="WEB1" s="176" t="s">
        <v>196</v>
      </c>
      <c r="WEC1" s="176" t="s">
        <v>196</v>
      </c>
      <c r="WED1" s="176" t="s">
        <v>196</v>
      </c>
      <c r="WEE1" s="176" t="s">
        <v>196</v>
      </c>
      <c r="WEF1" s="176" t="s">
        <v>196</v>
      </c>
      <c r="WEG1" s="176" t="s">
        <v>196</v>
      </c>
      <c r="WEH1" s="176" t="s">
        <v>196</v>
      </c>
      <c r="WEI1" s="176" t="s">
        <v>196</v>
      </c>
      <c r="WEJ1" s="176" t="s">
        <v>196</v>
      </c>
      <c r="WEK1" s="176" t="s">
        <v>196</v>
      </c>
      <c r="WEL1" s="176" t="s">
        <v>196</v>
      </c>
      <c r="WEM1" s="176" t="s">
        <v>196</v>
      </c>
      <c r="WEN1" s="176" t="s">
        <v>196</v>
      </c>
      <c r="WEO1" s="176" t="s">
        <v>196</v>
      </c>
      <c r="WEP1" s="176" t="s">
        <v>196</v>
      </c>
      <c r="WEQ1" s="176" t="s">
        <v>196</v>
      </c>
      <c r="WER1" s="176" t="s">
        <v>196</v>
      </c>
      <c r="WES1" s="176" t="s">
        <v>196</v>
      </c>
      <c r="WET1" s="176" t="s">
        <v>196</v>
      </c>
      <c r="WEU1" s="176" t="s">
        <v>196</v>
      </c>
      <c r="WEV1" s="176" t="s">
        <v>196</v>
      </c>
      <c r="WEW1" s="176" t="s">
        <v>196</v>
      </c>
      <c r="WEX1" s="176" t="s">
        <v>196</v>
      </c>
      <c r="WEY1" s="176" t="s">
        <v>196</v>
      </c>
      <c r="WEZ1" s="176" t="s">
        <v>196</v>
      </c>
      <c r="WFA1" s="176" t="s">
        <v>196</v>
      </c>
      <c r="WFB1" s="176" t="s">
        <v>196</v>
      </c>
      <c r="WFC1" s="176" t="s">
        <v>196</v>
      </c>
      <c r="WFD1" s="176" t="s">
        <v>196</v>
      </c>
      <c r="WFE1" s="176" t="s">
        <v>196</v>
      </c>
      <c r="WFF1" s="176" t="s">
        <v>196</v>
      </c>
      <c r="WFG1" s="176" t="s">
        <v>196</v>
      </c>
      <c r="WFH1" s="176" t="s">
        <v>196</v>
      </c>
      <c r="WFI1" s="176" t="s">
        <v>196</v>
      </c>
      <c r="WFJ1" s="176" t="s">
        <v>196</v>
      </c>
      <c r="WFK1" s="176" t="s">
        <v>196</v>
      </c>
      <c r="WFL1" s="176" t="s">
        <v>196</v>
      </c>
      <c r="WFM1" s="176" t="s">
        <v>196</v>
      </c>
      <c r="WFN1" s="176" t="s">
        <v>196</v>
      </c>
      <c r="WFO1" s="176" t="s">
        <v>196</v>
      </c>
      <c r="WFP1" s="176" t="s">
        <v>196</v>
      </c>
      <c r="WFQ1" s="176" t="s">
        <v>196</v>
      </c>
      <c r="WFR1" s="176" t="s">
        <v>196</v>
      </c>
      <c r="WFS1" s="176" t="s">
        <v>196</v>
      </c>
      <c r="WFT1" s="176" t="s">
        <v>196</v>
      </c>
      <c r="WFU1" s="176" t="s">
        <v>196</v>
      </c>
      <c r="WFV1" s="176" t="s">
        <v>196</v>
      </c>
      <c r="WFW1" s="176" t="s">
        <v>196</v>
      </c>
      <c r="WFX1" s="176" t="s">
        <v>196</v>
      </c>
      <c r="WFY1" s="176" t="s">
        <v>196</v>
      </c>
      <c r="WFZ1" s="176" t="s">
        <v>196</v>
      </c>
      <c r="WGA1" s="176" t="s">
        <v>196</v>
      </c>
      <c r="WGB1" s="176" t="s">
        <v>196</v>
      </c>
      <c r="WGC1" s="176" t="s">
        <v>196</v>
      </c>
      <c r="WGD1" s="176" t="s">
        <v>196</v>
      </c>
      <c r="WGE1" s="176" t="s">
        <v>196</v>
      </c>
      <c r="WGF1" s="176" t="s">
        <v>196</v>
      </c>
      <c r="WGG1" s="176" t="s">
        <v>196</v>
      </c>
      <c r="WGH1" s="176" t="s">
        <v>196</v>
      </c>
      <c r="WGI1" s="176" t="s">
        <v>196</v>
      </c>
      <c r="WGJ1" s="176" t="s">
        <v>196</v>
      </c>
      <c r="WGK1" s="176" t="s">
        <v>196</v>
      </c>
      <c r="WGL1" s="176" t="s">
        <v>196</v>
      </c>
      <c r="WGM1" s="176" t="s">
        <v>196</v>
      </c>
      <c r="WGN1" s="176" t="s">
        <v>196</v>
      </c>
      <c r="WGO1" s="176" t="s">
        <v>196</v>
      </c>
      <c r="WGP1" s="176" t="s">
        <v>196</v>
      </c>
      <c r="WGQ1" s="176" t="s">
        <v>196</v>
      </c>
      <c r="WGR1" s="176" t="s">
        <v>196</v>
      </c>
      <c r="WGS1" s="176" t="s">
        <v>196</v>
      </c>
      <c r="WGT1" s="176" t="s">
        <v>196</v>
      </c>
      <c r="WGU1" s="176" t="s">
        <v>196</v>
      </c>
      <c r="WGV1" s="176" t="s">
        <v>196</v>
      </c>
      <c r="WGW1" s="176" t="s">
        <v>196</v>
      </c>
      <c r="WGX1" s="176" t="s">
        <v>196</v>
      </c>
      <c r="WGY1" s="176" t="s">
        <v>196</v>
      </c>
      <c r="WGZ1" s="176" t="s">
        <v>196</v>
      </c>
      <c r="WHA1" s="176" t="s">
        <v>196</v>
      </c>
      <c r="WHB1" s="176" t="s">
        <v>196</v>
      </c>
      <c r="WHC1" s="176" t="s">
        <v>196</v>
      </c>
      <c r="WHD1" s="176" t="s">
        <v>196</v>
      </c>
      <c r="WHE1" s="176" t="s">
        <v>196</v>
      </c>
      <c r="WHF1" s="176" t="s">
        <v>196</v>
      </c>
      <c r="WHG1" s="176" t="s">
        <v>196</v>
      </c>
      <c r="WHH1" s="176" t="s">
        <v>196</v>
      </c>
      <c r="WHI1" s="176" t="s">
        <v>196</v>
      </c>
      <c r="WHJ1" s="176" t="s">
        <v>196</v>
      </c>
      <c r="WHK1" s="176" t="s">
        <v>196</v>
      </c>
      <c r="WHL1" s="176" t="s">
        <v>196</v>
      </c>
      <c r="WHM1" s="176" t="s">
        <v>196</v>
      </c>
      <c r="WHN1" s="176" t="s">
        <v>196</v>
      </c>
      <c r="WHO1" s="176" t="s">
        <v>196</v>
      </c>
      <c r="WHP1" s="176" t="s">
        <v>196</v>
      </c>
      <c r="WHQ1" s="176" t="s">
        <v>196</v>
      </c>
      <c r="WHR1" s="176" t="s">
        <v>196</v>
      </c>
      <c r="WHS1" s="176" t="s">
        <v>196</v>
      </c>
      <c r="WHT1" s="176" t="s">
        <v>196</v>
      </c>
      <c r="WHU1" s="176" t="s">
        <v>196</v>
      </c>
      <c r="WHV1" s="176" t="s">
        <v>196</v>
      </c>
      <c r="WHW1" s="176" t="s">
        <v>196</v>
      </c>
      <c r="WHX1" s="176" t="s">
        <v>196</v>
      </c>
      <c r="WHY1" s="176" t="s">
        <v>196</v>
      </c>
      <c r="WHZ1" s="176" t="s">
        <v>196</v>
      </c>
      <c r="WIA1" s="176" t="s">
        <v>196</v>
      </c>
      <c r="WIB1" s="176" t="s">
        <v>196</v>
      </c>
      <c r="WIC1" s="176" t="s">
        <v>196</v>
      </c>
      <c r="WID1" s="176" t="s">
        <v>196</v>
      </c>
      <c r="WIE1" s="176" t="s">
        <v>196</v>
      </c>
      <c r="WIF1" s="176" t="s">
        <v>196</v>
      </c>
      <c r="WIG1" s="176" t="s">
        <v>196</v>
      </c>
      <c r="WIH1" s="176" t="s">
        <v>196</v>
      </c>
      <c r="WII1" s="176" t="s">
        <v>196</v>
      </c>
      <c r="WIJ1" s="176" t="s">
        <v>196</v>
      </c>
      <c r="WIK1" s="176" t="s">
        <v>196</v>
      </c>
      <c r="WIL1" s="176" t="s">
        <v>196</v>
      </c>
      <c r="WIM1" s="176" t="s">
        <v>196</v>
      </c>
      <c r="WIN1" s="176" t="s">
        <v>196</v>
      </c>
      <c r="WIO1" s="176" t="s">
        <v>196</v>
      </c>
      <c r="WIP1" s="176" t="s">
        <v>196</v>
      </c>
      <c r="WIQ1" s="176" t="s">
        <v>196</v>
      </c>
      <c r="WIR1" s="176" t="s">
        <v>196</v>
      </c>
      <c r="WIS1" s="176" t="s">
        <v>196</v>
      </c>
      <c r="WIT1" s="176" t="s">
        <v>196</v>
      </c>
      <c r="WIU1" s="176" t="s">
        <v>196</v>
      </c>
      <c r="WIV1" s="176" t="s">
        <v>196</v>
      </c>
      <c r="WIW1" s="176" t="s">
        <v>196</v>
      </c>
      <c r="WIX1" s="176" t="s">
        <v>196</v>
      </c>
      <c r="WIY1" s="176" t="s">
        <v>196</v>
      </c>
      <c r="WIZ1" s="176" t="s">
        <v>196</v>
      </c>
      <c r="WJA1" s="176" t="s">
        <v>196</v>
      </c>
      <c r="WJB1" s="176" t="s">
        <v>196</v>
      </c>
      <c r="WJC1" s="176" t="s">
        <v>196</v>
      </c>
      <c r="WJD1" s="176" t="s">
        <v>196</v>
      </c>
      <c r="WJE1" s="176" t="s">
        <v>196</v>
      </c>
      <c r="WJF1" s="176" t="s">
        <v>196</v>
      </c>
      <c r="WJG1" s="176" t="s">
        <v>196</v>
      </c>
      <c r="WJH1" s="176" t="s">
        <v>196</v>
      </c>
      <c r="WJI1" s="176" t="s">
        <v>196</v>
      </c>
      <c r="WJJ1" s="176" t="s">
        <v>196</v>
      </c>
      <c r="WJK1" s="176" t="s">
        <v>196</v>
      </c>
      <c r="WJL1" s="176" t="s">
        <v>196</v>
      </c>
      <c r="WJM1" s="176" t="s">
        <v>196</v>
      </c>
      <c r="WJN1" s="176" t="s">
        <v>196</v>
      </c>
      <c r="WJO1" s="176" t="s">
        <v>196</v>
      </c>
      <c r="WJP1" s="176" t="s">
        <v>196</v>
      </c>
      <c r="WJQ1" s="176" t="s">
        <v>196</v>
      </c>
      <c r="WJR1" s="176" t="s">
        <v>196</v>
      </c>
      <c r="WJS1" s="176" t="s">
        <v>196</v>
      </c>
      <c r="WJT1" s="176" t="s">
        <v>196</v>
      </c>
      <c r="WJU1" s="176" t="s">
        <v>196</v>
      </c>
      <c r="WJV1" s="176" t="s">
        <v>196</v>
      </c>
      <c r="WJW1" s="176" t="s">
        <v>196</v>
      </c>
      <c r="WJX1" s="176" t="s">
        <v>196</v>
      </c>
      <c r="WJY1" s="176" t="s">
        <v>196</v>
      </c>
      <c r="WJZ1" s="176" t="s">
        <v>196</v>
      </c>
      <c r="WKA1" s="176" t="s">
        <v>196</v>
      </c>
      <c r="WKB1" s="176" t="s">
        <v>196</v>
      </c>
      <c r="WKC1" s="176" t="s">
        <v>196</v>
      </c>
      <c r="WKD1" s="176" t="s">
        <v>196</v>
      </c>
      <c r="WKE1" s="176" t="s">
        <v>196</v>
      </c>
      <c r="WKF1" s="176" t="s">
        <v>196</v>
      </c>
      <c r="WKG1" s="176" t="s">
        <v>196</v>
      </c>
      <c r="WKH1" s="176" t="s">
        <v>196</v>
      </c>
      <c r="WKI1" s="176" t="s">
        <v>196</v>
      </c>
      <c r="WKJ1" s="176" t="s">
        <v>196</v>
      </c>
      <c r="WKK1" s="176" t="s">
        <v>196</v>
      </c>
      <c r="WKL1" s="176" t="s">
        <v>196</v>
      </c>
      <c r="WKM1" s="176" t="s">
        <v>196</v>
      </c>
      <c r="WKN1" s="176" t="s">
        <v>196</v>
      </c>
      <c r="WKO1" s="176" t="s">
        <v>196</v>
      </c>
      <c r="WKP1" s="176" t="s">
        <v>196</v>
      </c>
      <c r="WKQ1" s="176" t="s">
        <v>196</v>
      </c>
      <c r="WKR1" s="176" t="s">
        <v>196</v>
      </c>
      <c r="WKS1" s="176" t="s">
        <v>196</v>
      </c>
      <c r="WKT1" s="176" t="s">
        <v>196</v>
      </c>
      <c r="WKU1" s="176" t="s">
        <v>196</v>
      </c>
      <c r="WKV1" s="176" t="s">
        <v>196</v>
      </c>
      <c r="WKW1" s="176" t="s">
        <v>196</v>
      </c>
      <c r="WKX1" s="176" t="s">
        <v>196</v>
      </c>
      <c r="WKY1" s="176" t="s">
        <v>196</v>
      </c>
      <c r="WKZ1" s="176" t="s">
        <v>196</v>
      </c>
      <c r="WLA1" s="176" t="s">
        <v>196</v>
      </c>
      <c r="WLB1" s="176" t="s">
        <v>196</v>
      </c>
      <c r="WLC1" s="176" t="s">
        <v>196</v>
      </c>
      <c r="WLD1" s="176" t="s">
        <v>196</v>
      </c>
      <c r="WLE1" s="176" t="s">
        <v>196</v>
      </c>
      <c r="WLF1" s="176" t="s">
        <v>196</v>
      </c>
      <c r="WLG1" s="176" t="s">
        <v>196</v>
      </c>
      <c r="WLH1" s="176" t="s">
        <v>196</v>
      </c>
      <c r="WLI1" s="176" t="s">
        <v>196</v>
      </c>
      <c r="WLJ1" s="176" t="s">
        <v>196</v>
      </c>
      <c r="WLK1" s="176" t="s">
        <v>196</v>
      </c>
      <c r="WLL1" s="176" t="s">
        <v>196</v>
      </c>
      <c r="WLM1" s="176" t="s">
        <v>196</v>
      </c>
      <c r="WLN1" s="176" t="s">
        <v>196</v>
      </c>
      <c r="WLO1" s="176" t="s">
        <v>196</v>
      </c>
      <c r="WLP1" s="176" t="s">
        <v>196</v>
      </c>
      <c r="WLQ1" s="176" t="s">
        <v>196</v>
      </c>
      <c r="WLR1" s="176" t="s">
        <v>196</v>
      </c>
      <c r="WLS1" s="176" t="s">
        <v>196</v>
      </c>
      <c r="WLT1" s="176" t="s">
        <v>196</v>
      </c>
      <c r="WLU1" s="176" t="s">
        <v>196</v>
      </c>
      <c r="WLV1" s="176" t="s">
        <v>196</v>
      </c>
      <c r="WLW1" s="176" t="s">
        <v>196</v>
      </c>
      <c r="WLX1" s="176" t="s">
        <v>196</v>
      </c>
      <c r="WLY1" s="176" t="s">
        <v>196</v>
      </c>
      <c r="WLZ1" s="176" t="s">
        <v>196</v>
      </c>
      <c r="WMA1" s="176" t="s">
        <v>196</v>
      </c>
      <c r="WMB1" s="176" t="s">
        <v>196</v>
      </c>
      <c r="WMC1" s="176" t="s">
        <v>196</v>
      </c>
      <c r="WMD1" s="176" t="s">
        <v>196</v>
      </c>
      <c r="WME1" s="176" t="s">
        <v>196</v>
      </c>
      <c r="WMF1" s="176" t="s">
        <v>196</v>
      </c>
      <c r="WMG1" s="176" t="s">
        <v>196</v>
      </c>
      <c r="WMH1" s="176" t="s">
        <v>196</v>
      </c>
      <c r="WMI1" s="176" t="s">
        <v>196</v>
      </c>
      <c r="WMJ1" s="176" t="s">
        <v>196</v>
      </c>
      <c r="WMK1" s="176" t="s">
        <v>196</v>
      </c>
      <c r="WML1" s="176" t="s">
        <v>196</v>
      </c>
      <c r="WMM1" s="176" t="s">
        <v>196</v>
      </c>
      <c r="WMN1" s="176" t="s">
        <v>196</v>
      </c>
      <c r="WMO1" s="176" t="s">
        <v>196</v>
      </c>
      <c r="WMP1" s="176" t="s">
        <v>196</v>
      </c>
      <c r="WMQ1" s="176" t="s">
        <v>196</v>
      </c>
      <c r="WMR1" s="176" t="s">
        <v>196</v>
      </c>
      <c r="WMS1" s="176" t="s">
        <v>196</v>
      </c>
      <c r="WMT1" s="176" t="s">
        <v>196</v>
      </c>
      <c r="WMU1" s="176" t="s">
        <v>196</v>
      </c>
      <c r="WMV1" s="176" t="s">
        <v>196</v>
      </c>
      <c r="WMW1" s="176" t="s">
        <v>196</v>
      </c>
      <c r="WMX1" s="176" t="s">
        <v>196</v>
      </c>
      <c r="WMY1" s="176" t="s">
        <v>196</v>
      </c>
      <c r="WMZ1" s="176" t="s">
        <v>196</v>
      </c>
      <c r="WNA1" s="176" t="s">
        <v>196</v>
      </c>
      <c r="WNB1" s="176" t="s">
        <v>196</v>
      </c>
      <c r="WNC1" s="176" t="s">
        <v>196</v>
      </c>
      <c r="WND1" s="176" t="s">
        <v>196</v>
      </c>
      <c r="WNE1" s="176" t="s">
        <v>196</v>
      </c>
      <c r="WNF1" s="176" t="s">
        <v>196</v>
      </c>
      <c r="WNG1" s="176" t="s">
        <v>196</v>
      </c>
      <c r="WNH1" s="176" t="s">
        <v>196</v>
      </c>
      <c r="WNI1" s="176" t="s">
        <v>196</v>
      </c>
      <c r="WNJ1" s="176" t="s">
        <v>196</v>
      </c>
      <c r="WNK1" s="176" t="s">
        <v>196</v>
      </c>
      <c r="WNL1" s="176" t="s">
        <v>196</v>
      </c>
      <c r="WNM1" s="176" t="s">
        <v>196</v>
      </c>
      <c r="WNN1" s="176" t="s">
        <v>196</v>
      </c>
      <c r="WNO1" s="176" t="s">
        <v>196</v>
      </c>
      <c r="WNP1" s="176" t="s">
        <v>196</v>
      </c>
      <c r="WNQ1" s="176" t="s">
        <v>196</v>
      </c>
      <c r="WNR1" s="176" t="s">
        <v>196</v>
      </c>
      <c r="WNS1" s="176" t="s">
        <v>196</v>
      </c>
      <c r="WNT1" s="176" t="s">
        <v>196</v>
      </c>
      <c r="WNU1" s="176" t="s">
        <v>196</v>
      </c>
      <c r="WNV1" s="176" t="s">
        <v>196</v>
      </c>
      <c r="WNW1" s="176" t="s">
        <v>196</v>
      </c>
      <c r="WNX1" s="176" t="s">
        <v>196</v>
      </c>
      <c r="WNY1" s="176" t="s">
        <v>196</v>
      </c>
      <c r="WNZ1" s="176" t="s">
        <v>196</v>
      </c>
      <c r="WOA1" s="176" t="s">
        <v>196</v>
      </c>
      <c r="WOB1" s="176" t="s">
        <v>196</v>
      </c>
      <c r="WOC1" s="176" t="s">
        <v>196</v>
      </c>
      <c r="WOD1" s="176" t="s">
        <v>196</v>
      </c>
      <c r="WOE1" s="176" t="s">
        <v>196</v>
      </c>
      <c r="WOF1" s="176" t="s">
        <v>196</v>
      </c>
      <c r="WOG1" s="176" t="s">
        <v>196</v>
      </c>
      <c r="WOH1" s="176" t="s">
        <v>196</v>
      </c>
      <c r="WOI1" s="176" t="s">
        <v>196</v>
      </c>
      <c r="WOJ1" s="176" t="s">
        <v>196</v>
      </c>
      <c r="WOK1" s="176" t="s">
        <v>196</v>
      </c>
      <c r="WOL1" s="176" t="s">
        <v>196</v>
      </c>
      <c r="WOM1" s="176" t="s">
        <v>196</v>
      </c>
      <c r="WON1" s="176" t="s">
        <v>196</v>
      </c>
      <c r="WOO1" s="176" t="s">
        <v>196</v>
      </c>
      <c r="WOP1" s="176" t="s">
        <v>196</v>
      </c>
      <c r="WOQ1" s="176" t="s">
        <v>196</v>
      </c>
      <c r="WOR1" s="176" t="s">
        <v>196</v>
      </c>
      <c r="WOS1" s="176" t="s">
        <v>196</v>
      </c>
      <c r="WOT1" s="176" t="s">
        <v>196</v>
      </c>
      <c r="WOU1" s="176" t="s">
        <v>196</v>
      </c>
      <c r="WOV1" s="176" t="s">
        <v>196</v>
      </c>
      <c r="WOW1" s="176" t="s">
        <v>196</v>
      </c>
      <c r="WOX1" s="176" t="s">
        <v>196</v>
      </c>
      <c r="WOY1" s="176" t="s">
        <v>196</v>
      </c>
      <c r="WOZ1" s="176" t="s">
        <v>196</v>
      </c>
      <c r="WPA1" s="176" t="s">
        <v>196</v>
      </c>
      <c r="WPB1" s="176" t="s">
        <v>196</v>
      </c>
      <c r="WPC1" s="176" t="s">
        <v>196</v>
      </c>
      <c r="WPD1" s="176" t="s">
        <v>196</v>
      </c>
      <c r="WPE1" s="176" t="s">
        <v>196</v>
      </c>
      <c r="WPF1" s="176" t="s">
        <v>196</v>
      </c>
      <c r="WPG1" s="176" t="s">
        <v>196</v>
      </c>
      <c r="WPH1" s="176" t="s">
        <v>196</v>
      </c>
      <c r="WPI1" s="176" t="s">
        <v>196</v>
      </c>
      <c r="WPJ1" s="176" t="s">
        <v>196</v>
      </c>
      <c r="WPK1" s="176" t="s">
        <v>196</v>
      </c>
      <c r="WPL1" s="176" t="s">
        <v>196</v>
      </c>
      <c r="WPM1" s="176" t="s">
        <v>196</v>
      </c>
      <c r="WPN1" s="176" t="s">
        <v>196</v>
      </c>
      <c r="WPO1" s="176" t="s">
        <v>196</v>
      </c>
      <c r="WPP1" s="176" t="s">
        <v>196</v>
      </c>
      <c r="WPQ1" s="176" t="s">
        <v>196</v>
      </c>
      <c r="WPR1" s="176" t="s">
        <v>196</v>
      </c>
      <c r="WPS1" s="176" t="s">
        <v>196</v>
      </c>
      <c r="WPT1" s="176" t="s">
        <v>196</v>
      </c>
      <c r="WPU1" s="176" t="s">
        <v>196</v>
      </c>
      <c r="WPV1" s="176" t="s">
        <v>196</v>
      </c>
      <c r="WPW1" s="176" t="s">
        <v>196</v>
      </c>
      <c r="WPX1" s="176" t="s">
        <v>196</v>
      </c>
      <c r="WPY1" s="176" t="s">
        <v>196</v>
      </c>
      <c r="WPZ1" s="176" t="s">
        <v>196</v>
      </c>
      <c r="WQA1" s="176" t="s">
        <v>196</v>
      </c>
      <c r="WQB1" s="176" t="s">
        <v>196</v>
      </c>
      <c r="WQC1" s="176" t="s">
        <v>196</v>
      </c>
      <c r="WQD1" s="176" t="s">
        <v>196</v>
      </c>
      <c r="WQE1" s="176" t="s">
        <v>196</v>
      </c>
      <c r="WQF1" s="176" t="s">
        <v>196</v>
      </c>
      <c r="WQG1" s="176" t="s">
        <v>196</v>
      </c>
      <c r="WQH1" s="176" t="s">
        <v>196</v>
      </c>
      <c r="WQI1" s="176" t="s">
        <v>196</v>
      </c>
      <c r="WQJ1" s="176" t="s">
        <v>196</v>
      </c>
      <c r="WQK1" s="176" t="s">
        <v>196</v>
      </c>
      <c r="WQL1" s="176" t="s">
        <v>196</v>
      </c>
      <c r="WQM1" s="176" t="s">
        <v>196</v>
      </c>
      <c r="WQN1" s="176" t="s">
        <v>196</v>
      </c>
      <c r="WQO1" s="176" t="s">
        <v>196</v>
      </c>
      <c r="WQP1" s="176" t="s">
        <v>196</v>
      </c>
      <c r="WQQ1" s="176" t="s">
        <v>196</v>
      </c>
      <c r="WQR1" s="176" t="s">
        <v>196</v>
      </c>
      <c r="WQS1" s="176" t="s">
        <v>196</v>
      </c>
      <c r="WQT1" s="176" t="s">
        <v>196</v>
      </c>
      <c r="WQU1" s="176" t="s">
        <v>196</v>
      </c>
      <c r="WQV1" s="176" t="s">
        <v>196</v>
      </c>
      <c r="WQW1" s="176" t="s">
        <v>196</v>
      </c>
      <c r="WQX1" s="176" t="s">
        <v>196</v>
      </c>
      <c r="WQY1" s="176" t="s">
        <v>196</v>
      </c>
      <c r="WQZ1" s="176" t="s">
        <v>196</v>
      </c>
      <c r="WRA1" s="176" t="s">
        <v>196</v>
      </c>
      <c r="WRB1" s="176" t="s">
        <v>196</v>
      </c>
      <c r="WRC1" s="176" t="s">
        <v>196</v>
      </c>
      <c r="WRD1" s="176" t="s">
        <v>196</v>
      </c>
      <c r="WRE1" s="176" t="s">
        <v>196</v>
      </c>
      <c r="WRF1" s="176" t="s">
        <v>196</v>
      </c>
      <c r="WRG1" s="176" t="s">
        <v>196</v>
      </c>
      <c r="WRH1" s="176" t="s">
        <v>196</v>
      </c>
      <c r="WRI1" s="176" t="s">
        <v>196</v>
      </c>
      <c r="WRJ1" s="176" t="s">
        <v>196</v>
      </c>
      <c r="WRK1" s="176" t="s">
        <v>196</v>
      </c>
      <c r="WRL1" s="176" t="s">
        <v>196</v>
      </c>
      <c r="WRM1" s="176" t="s">
        <v>196</v>
      </c>
      <c r="WRN1" s="176" t="s">
        <v>196</v>
      </c>
      <c r="WRO1" s="176" t="s">
        <v>196</v>
      </c>
      <c r="WRP1" s="176" t="s">
        <v>196</v>
      </c>
      <c r="WRQ1" s="176" t="s">
        <v>196</v>
      </c>
      <c r="WRR1" s="176" t="s">
        <v>196</v>
      </c>
      <c r="WRS1" s="176" t="s">
        <v>196</v>
      </c>
      <c r="WRT1" s="176" t="s">
        <v>196</v>
      </c>
      <c r="WRU1" s="176" t="s">
        <v>196</v>
      </c>
      <c r="WRV1" s="176" t="s">
        <v>196</v>
      </c>
      <c r="WRW1" s="176" t="s">
        <v>196</v>
      </c>
      <c r="WRX1" s="176" t="s">
        <v>196</v>
      </c>
      <c r="WRY1" s="176" t="s">
        <v>196</v>
      </c>
      <c r="WRZ1" s="176" t="s">
        <v>196</v>
      </c>
      <c r="WSA1" s="176" t="s">
        <v>196</v>
      </c>
      <c r="WSB1" s="176" t="s">
        <v>196</v>
      </c>
      <c r="WSC1" s="176" t="s">
        <v>196</v>
      </c>
      <c r="WSD1" s="176" t="s">
        <v>196</v>
      </c>
      <c r="WSE1" s="176" t="s">
        <v>196</v>
      </c>
      <c r="WSF1" s="176" t="s">
        <v>196</v>
      </c>
      <c r="WSG1" s="176" t="s">
        <v>196</v>
      </c>
      <c r="WSH1" s="176" t="s">
        <v>196</v>
      </c>
      <c r="WSI1" s="176" t="s">
        <v>196</v>
      </c>
      <c r="WSJ1" s="176" t="s">
        <v>196</v>
      </c>
      <c r="WSK1" s="176" t="s">
        <v>196</v>
      </c>
      <c r="WSL1" s="176" t="s">
        <v>196</v>
      </c>
      <c r="WSM1" s="176" t="s">
        <v>196</v>
      </c>
      <c r="WSN1" s="176" t="s">
        <v>196</v>
      </c>
      <c r="WSO1" s="176" t="s">
        <v>196</v>
      </c>
      <c r="WSP1" s="176" t="s">
        <v>196</v>
      </c>
      <c r="WSQ1" s="176" t="s">
        <v>196</v>
      </c>
      <c r="WSR1" s="176" t="s">
        <v>196</v>
      </c>
      <c r="WSS1" s="176" t="s">
        <v>196</v>
      </c>
      <c r="WST1" s="176" t="s">
        <v>196</v>
      </c>
      <c r="WSU1" s="176" t="s">
        <v>196</v>
      </c>
      <c r="WSV1" s="176" t="s">
        <v>196</v>
      </c>
      <c r="WSW1" s="176" t="s">
        <v>196</v>
      </c>
      <c r="WSX1" s="176" t="s">
        <v>196</v>
      </c>
      <c r="WSY1" s="176" t="s">
        <v>196</v>
      </c>
      <c r="WSZ1" s="176" t="s">
        <v>196</v>
      </c>
      <c r="WTA1" s="176" t="s">
        <v>196</v>
      </c>
      <c r="WTB1" s="176" t="s">
        <v>196</v>
      </c>
      <c r="WTC1" s="176" t="s">
        <v>196</v>
      </c>
      <c r="WTD1" s="176" t="s">
        <v>196</v>
      </c>
      <c r="WTE1" s="176" t="s">
        <v>196</v>
      </c>
      <c r="WTF1" s="176" t="s">
        <v>196</v>
      </c>
      <c r="WTG1" s="176" t="s">
        <v>196</v>
      </c>
      <c r="WTH1" s="176" t="s">
        <v>196</v>
      </c>
      <c r="WTI1" s="176" t="s">
        <v>196</v>
      </c>
      <c r="WTJ1" s="176" t="s">
        <v>196</v>
      </c>
      <c r="WTK1" s="176" t="s">
        <v>196</v>
      </c>
      <c r="WTL1" s="176" t="s">
        <v>196</v>
      </c>
      <c r="WTM1" s="176" t="s">
        <v>196</v>
      </c>
      <c r="WTN1" s="176" t="s">
        <v>196</v>
      </c>
      <c r="WTO1" s="176" t="s">
        <v>196</v>
      </c>
      <c r="WTP1" s="176" t="s">
        <v>196</v>
      </c>
      <c r="WTQ1" s="176" t="s">
        <v>196</v>
      </c>
      <c r="WTR1" s="176" t="s">
        <v>196</v>
      </c>
      <c r="WTS1" s="176" t="s">
        <v>196</v>
      </c>
      <c r="WTT1" s="176" t="s">
        <v>196</v>
      </c>
      <c r="WTU1" s="176" t="s">
        <v>196</v>
      </c>
      <c r="WTV1" s="176" t="s">
        <v>196</v>
      </c>
      <c r="WTW1" s="176" t="s">
        <v>196</v>
      </c>
      <c r="WTX1" s="176" t="s">
        <v>196</v>
      </c>
      <c r="WTY1" s="176" t="s">
        <v>196</v>
      </c>
      <c r="WTZ1" s="176" t="s">
        <v>196</v>
      </c>
      <c r="WUA1" s="176" t="s">
        <v>196</v>
      </c>
      <c r="WUB1" s="176" t="s">
        <v>196</v>
      </c>
      <c r="WUC1" s="176" t="s">
        <v>196</v>
      </c>
      <c r="WUD1" s="176" t="s">
        <v>196</v>
      </c>
      <c r="WUE1" s="176" t="s">
        <v>196</v>
      </c>
      <c r="WUF1" s="176" t="s">
        <v>196</v>
      </c>
      <c r="WUG1" s="176" t="s">
        <v>196</v>
      </c>
      <c r="WUH1" s="176" t="s">
        <v>196</v>
      </c>
      <c r="WUI1" s="176" t="s">
        <v>196</v>
      </c>
      <c r="WUJ1" s="176" t="s">
        <v>196</v>
      </c>
      <c r="WUK1" s="176" t="s">
        <v>196</v>
      </c>
      <c r="WUL1" s="176" t="s">
        <v>196</v>
      </c>
      <c r="WUM1" s="176" t="s">
        <v>196</v>
      </c>
      <c r="WUN1" s="176" t="s">
        <v>196</v>
      </c>
      <c r="WUO1" s="176" t="s">
        <v>196</v>
      </c>
      <c r="WUP1" s="176" t="s">
        <v>196</v>
      </c>
      <c r="WUQ1" s="176" t="s">
        <v>196</v>
      </c>
      <c r="WUR1" s="176" t="s">
        <v>196</v>
      </c>
      <c r="WUS1" s="176" t="s">
        <v>196</v>
      </c>
      <c r="WUT1" s="176" t="s">
        <v>196</v>
      </c>
      <c r="WUU1" s="176" t="s">
        <v>196</v>
      </c>
      <c r="WUV1" s="176" t="s">
        <v>196</v>
      </c>
      <c r="WUW1" s="176" t="s">
        <v>196</v>
      </c>
      <c r="WUX1" s="176" t="s">
        <v>196</v>
      </c>
      <c r="WUY1" s="176" t="s">
        <v>196</v>
      </c>
      <c r="WUZ1" s="176" t="s">
        <v>196</v>
      </c>
      <c r="WVA1" s="176" t="s">
        <v>196</v>
      </c>
      <c r="WVB1" s="176" t="s">
        <v>196</v>
      </c>
      <c r="WVC1" s="176" t="s">
        <v>196</v>
      </c>
      <c r="WVD1" s="176" t="s">
        <v>196</v>
      </c>
      <c r="WVE1" s="176" t="s">
        <v>196</v>
      </c>
      <c r="WVF1" s="176" t="s">
        <v>196</v>
      </c>
      <c r="WVG1" s="176" t="s">
        <v>196</v>
      </c>
      <c r="WVH1" s="176" t="s">
        <v>196</v>
      </c>
      <c r="WVI1" s="176" t="s">
        <v>196</v>
      </c>
      <c r="WVJ1" s="176" t="s">
        <v>196</v>
      </c>
      <c r="WVK1" s="176" t="s">
        <v>196</v>
      </c>
      <c r="WVL1" s="176" t="s">
        <v>196</v>
      </c>
      <c r="WVM1" s="176" t="s">
        <v>196</v>
      </c>
      <c r="WVN1" s="176" t="s">
        <v>196</v>
      </c>
      <c r="WVO1" s="176" t="s">
        <v>196</v>
      </c>
      <c r="WVP1" s="176" t="s">
        <v>196</v>
      </c>
      <c r="WVQ1" s="176" t="s">
        <v>196</v>
      </c>
      <c r="WVR1" s="176" t="s">
        <v>196</v>
      </c>
      <c r="WVS1" s="176" t="s">
        <v>196</v>
      </c>
      <c r="WVT1" s="176" t="s">
        <v>196</v>
      </c>
      <c r="WVU1" s="176" t="s">
        <v>196</v>
      </c>
      <c r="WVV1" s="176" t="s">
        <v>196</v>
      </c>
      <c r="WVW1" s="176" t="s">
        <v>196</v>
      </c>
      <c r="WVX1" s="176" t="s">
        <v>196</v>
      </c>
      <c r="WVY1" s="176" t="s">
        <v>196</v>
      </c>
      <c r="WVZ1" s="176" t="s">
        <v>196</v>
      </c>
      <c r="WWA1" s="176" t="s">
        <v>196</v>
      </c>
      <c r="WWB1" s="176" t="s">
        <v>196</v>
      </c>
      <c r="WWC1" s="176" t="s">
        <v>196</v>
      </c>
      <c r="WWD1" s="176" t="s">
        <v>196</v>
      </c>
      <c r="WWE1" s="176" t="s">
        <v>196</v>
      </c>
      <c r="WWF1" s="176" t="s">
        <v>196</v>
      </c>
      <c r="WWG1" s="176" t="s">
        <v>196</v>
      </c>
      <c r="WWH1" s="176" t="s">
        <v>196</v>
      </c>
      <c r="WWI1" s="176" t="s">
        <v>196</v>
      </c>
      <c r="WWJ1" s="176" t="s">
        <v>196</v>
      </c>
      <c r="WWK1" s="176" t="s">
        <v>196</v>
      </c>
      <c r="WWL1" s="176" t="s">
        <v>196</v>
      </c>
      <c r="WWM1" s="176" t="s">
        <v>196</v>
      </c>
      <c r="WWN1" s="176" t="s">
        <v>196</v>
      </c>
      <c r="WWO1" s="176" t="s">
        <v>196</v>
      </c>
      <c r="WWP1" s="176" t="s">
        <v>196</v>
      </c>
      <c r="WWQ1" s="176" t="s">
        <v>196</v>
      </c>
      <c r="WWR1" s="176" t="s">
        <v>196</v>
      </c>
      <c r="WWS1" s="176" t="s">
        <v>196</v>
      </c>
      <c r="WWT1" s="176" t="s">
        <v>196</v>
      </c>
      <c r="WWU1" s="176" t="s">
        <v>196</v>
      </c>
      <c r="WWV1" s="176" t="s">
        <v>196</v>
      </c>
      <c r="WWW1" s="176" t="s">
        <v>196</v>
      </c>
      <c r="WWX1" s="176" t="s">
        <v>196</v>
      </c>
      <c r="WWY1" s="176" t="s">
        <v>196</v>
      </c>
      <c r="WWZ1" s="176" t="s">
        <v>196</v>
      </c>
      <c r="WXA1" s="176" t="s">
        <v>196</v>
      </c>
      <c r="WXB1" s="176" t="s">
        <v>196</v>
      </c>
      <c r="WXC1" s="176" t="s">
        <v>196</v>
      </c>
      <c r="WXD1" s="176" t="s">
        <v>196</v>
      </c>
      <c r="WXE1" s="176" t="s">
        <v>196</v>
      </c>
      <c r="WXF1" s="176" t="s">
        <v>196</v>
      </c>
      <c r="WXG1" s="176" t="s">
        <v>196</v>
      </c>
      <c r="WXH1" s="176" t="s">
        <v>196</v>
      </c>
      <c r="WXI1" s="176" t="s">
        <v>196</v>
      </c>
      <c r="WXJ1" s="176" t="s">
        <v>196</v>
      </c>
      <c r="WXK1" s="176" t="s">
        <v>196</v>
      </c>
      <c r="WXL1" s="176" t="s">
        <v>196</v>
      </c>
      <c r="WXM1" s="176" t="s">
        <v>196</v>
      </c>
      <c r="WXN1" s="176" t="s">
        <v>196</v>
      </c>
      <c r="WXO1" s="176" t="s">
        <v>196</v>
      </c>
      <c r="WXP1" s="176" t="s">
        <v>196</v>
      </c>
      <c r="WXQ1" s="176" t="s">
        <v>196</v>
      </c>
      <c r="WXR1" s="176" t="s">
        <v>196</v>
      </c>
      <c r="WXS1" s="176" t="s">
        <v>196</v>
      </c>
      <c r="WXT1" s="176" t="s">
        <v>196</v>
      </c>
      <c r="WXU1" s="176" t="s">
        <v>196</v>
      </c>
      <c r="WXV1" s="176" t="s">
        <v>196</v>
      </c>
      <c r="WXW1" s="176" t="s">
        <v>196</v>
      </c>
      <c r="WXX1" s="176" t="s">
        <v>196</v>
      </c>
      <c r="WXY1" s="176" t="s">
        <v>196</v>
      </c>
      <c r="WXZ1" s="176" t="s">
        <v>196</v>
      </c>
      <c r="WYA1" s="176" t="s">
        <v>196</v>
      </c>
      <c r="WYB1" s="176" t="s">
        <v>196</v>
      </c>
      <c r="WYC1" s="176" t="s">
        <v>196</v>
      </c>
      <c r="WYD1" s="176" t="s">
        <v>196</v>
      </c>
      <c r="WYE1" s="176" t="s">
        <v>196</v>
      </c>
      <c r="WYF1" s="176" t="s">
        <v>196</v>
      </c>
      <c r="WYG1" s="176" t="s">
        <v>196</v>
      </c>
      <c r="WYH1" s="176" t="s">
        <v>196</v>
      </c>
      <c r="WYI1" s="176" t="s">
        <v>196</v>
      </c>
      <c r="WYJ1" s="176" t="s">
        <v>196</v>
      </c>
      <c r="WYK1" s="176" t="s">
        <v>196</v>
      </c>
      <c r="WYL1" s="176" t="s">
        <v>196</v>
      </c>
      <c r="WYM1" s="176" t="s">
        <v>196</v>
      </c>
      <c r="WYN1" s="176" t="s">
        <v>196</v>
      </c>
      <c r="WYO1" s="176" t="s">
        <v>196</v>
      </c>
      <c r="WYP1" s="176" t="s">
        <v>196</v>
      </c>
      <c r="WYQ1" s="176" t="s">
        <v>196</v>
      </c>
      <c r="WYR1" s="176" t="s">
        <v>196</v>
      </c>
      <c r="WYS1" s="176" t="s">
        <v>196</v>
      </c>
      <c r="WYT1" s="176" t="s">
        <v>196</v>
      </c>
      <c r="WYU1" s="176" t="s">
        <v>196</v>
      </c>
      <c r="WYV1" s="176" t="s">
        <v>196</v>
      </c>
      <c r="WYW1" s="176" t="s">
        <v>196</v>
      </c>
      <c r="WYX1" s="176" t="s">
        <v>196</v>
      </c>
      <c r="WYY1" s="176" t="s">
        <v>196</v>
      </c>
      <c r="WYZ1" s="176" t="s">
        <v>196</v>
      </c>
      <c r="WZA1" s="176" t="s">
        <v>196</v>
      </c>
      <c r="WZB1" s="176" t="s">
        <v>196</v>
      </c>
      <c r="WZC1" s="176" t="s">
        <v>196</v>
      </c>
      <c r="WZD1" s="176" t="s">
        <v>196</v>
      </c>
      <c r="WZE1" s="176" t="s">
        <v>196</v>
      </c>
      <c r="WZF1" s="176" t="s">
        <v>196</v>
      </c>
      <c r="WZG1" s="176" t="s">
        <v>196</v>
      </c>
      <c r="WZH1" s="176" t="s">
        <v>196</v>
      </c>
      <c r="WZI1" s="176" t="s">
        <v>196</v>
      </c>
      <c r="WZJ1" s="176" t="s">
        <v>196</v>
      </c>
      <c r="WZK1" s="176" t="s">
        <v>196</v>
      </c>
      <c r="WZL1" s="176" t="s">
        <v>196</v>
      </c>
      <c r="WZM1" s="176" t="s">
        <v>196</v>
      </c>
      <c r="WZN1" s="176" t="s">
        <v>196</v>
      </c>
      <c r="WZO1" s="176" t="s">
        <v>196</v>
      </c>
      <c r="WZP1" s="176" t="s">
        <v>196</v>
      </c>
      <c r="WZQ1" s="176" t="s">
        <v>196</v>
      </c>
      <c r="WZR1" s="176" t="s">
        <v>196</v>
      </c>
      <c r="WZS1" s="176" t="s">
        <v>196</v>
      </c>
      <c r="WZT1" s="176" t="s">
        <v>196</v>
      </c>
      <c r="WZU1" s="176" t="s">
        <v>196</v>
      </c>
      <c r="WZV1" s="176" t="s">
        <v>196</v>
      </c>
      <c r="WZW1" s="176" t="s">
        <v>196</v>
      </c>
      <c r="WZX1" s="176" t="s">
        <v>196</v>
      </c>
      <c r="WZY1" s="176" t="s">
        <v>196</v>
      </c>
      <c r="WZZ1" s="176" t="s">
        <v>196</v>
      </c>
      <c r="XAA1" s="176" t="s">
        <v>196</v>
      </c>
      <c r="XAB1" s="176" t="s">
        <v>196</v>
      </c>
      <c r="XAC1" s="176" t="s">
        <v>196</v>
      </c>
      <c r="XAD1" s="176" t="s">
        <v>196</v>
      </c>
      <c r="XAE1" s="176" t="s">
        <v>196</v>
      </c>
      <c r="XAF1" s="176" t="s">
        <v>196</v>
      </c>
      <c r="XAG1" s="176" t="s">
        <v>196</v>
      </c>
      <c r="XAH1" s="176" t="s">
        <v>196</v>
      </c>
      <c r="XAI1" s="176" t="s">
        <v>196</v>
      </c>
      <c r="XAJ1" s="176" t="s">
        <v>196</v>
      </c>
      <c r="XAK1" s="176" t="s">
        <v>196</v>
      </c>
      <c r="XAL1" s="176" t="s">
        <v>196</v>
      </c>
      <c r="XAM1" s="176" t="s">
        <v>196</v>
      </c>
      <c r="XAN1" s="176" t="s">
        <v>196</v>
      </c>
      <c r="XAO1" s="176" t="s">
        <v>196</v>
      </c>
      <c r="XAP1" s="176" t="s">
        <v>196</v>
      </c>
      <c r="XAQ1" s="176" t="s">
        <v>196</v>
      </c>
      <c r="XAR1" s="176" t="s">
        <v>196</v>
      </c>
      <c r="XAS1" s="176" t="s">
        <v>196</v>
      </c>
      <c r="XAT1" s="176" t="s">
        <v>196</v>
      </c>
      <c r="XAU1" s="176" t="s">
        <v>196</v>
      </c>
      <c r="XAV1" s="176" t="s">
        <v>196</v>
      </c>
      <c r="XAW1" s="176" t="s">
        <v>196</v>
      </c>
      <c r="XAX1" s="176" t="s">
        <v>196</v>
      </c>
      <c r="XAY1" s="176" t="s">
        <v>196</v>
      </c>
      <c r="XAZ1" s="176" t="s">
        <v>196</v>
      </c>
      <c r="XBA1" s="176" t="s">
        <v>196</v>
      </c>
      <c r="XBB1" s="176" t="s">
        <v>196</v>
      </c>
      <c r="XBC1" s="176" t="s">
        <v>196</v>
      </c>
      <c r="XBD1" s="176" t="s">
        <v>196</v>
      </c>
      <c r="XBE1" s="176" t="s">
        <v>196</v>
      </c>
      <c r="XBF1" s="176" t="s">
        <v>196</v>
      </c>
      <c r="XBG1" s="176" t="s">
        <v>196</v>
      </c>
      <c r="XBH1" s="176" t="s">
        <v>196</v>
      </c>
      <c r="XBI1" s="176" t="s">
        <v>196</v>
      </c>
      <c r="XBJ1" s="176" t="s">
        <v>196</v>
      </c>
      <c r="XBK1" s="176" t="s">
        <v>196</v>
      </c>
      <c r="XBL1" s="176" t="s">
        <v>196</v>
      </c>
      <c r="XBM1" s="176" t="s">
        <v>196</v>
      </c>
      <c r="XBN1" s="176" t="s">
        <v>196</v>
      </c>
      <c r="XBO1" s="176" t="s">
        <v>196</v>
      </c>
      <c r="XBP1" s="176" t="s">
        <v>196</v>
      </c>
      <c r="XBQ1" s="176" t="s">
        <v>196</v>
      </c>
      <c r="XBR1" s="176" t="s">
        <v>196</v>
      </c>
      <c r="XBS1" s="176" t="s">
        <v>196</v>
      </c>
      <c r="XBT1" s="176" t="s">
        <v>196</v>
      </c>
      <c r="XBU1" s="176" t="s">
        <v>196</v>
      </c>
      <c r="XBV1" s="176" t="s">
        <v>196</v>
      </c>
      <c r="XBW1" s="176" t="s">
        <v>196</v>
      </c>
      <c r="XBX1" s="176" t="s">
        <v>196</v>
      </c>
      <c r="XBY1" s="176" t="s">
        <v>196</v>
      </c>
      <c r="XBZ1" s="176" t="s">
        <v>196</v>
      </c>
      <c r="XCA1" s="176" t="s">
        <v>196</v>
      </c>
      <c r="XCB1" s="176" t="s">
        <v>196</v>
      </c>
      <c r="XCC1" s="176" t="s">
        <v>196</v>
      </c>
      <c r="XCD1" s="176" t="s">
        <v>196</v>
      </c>
      <c r="XCE1" s="176" t="s">
        <v>196</v>
      </c>
      <c r="XCF1" s="176" t="s">
        <v>196</v>
      </c>
      <c r="XCG1" s="176" t="s">
        <v>196</v>
      </c>
      <c r="XCH1" s="176" t="s">
        <v>196</v>
      </c>
      <c r="XCI1" s="176" t="s">
        <v>196</v>
      </c>
      <c r="XCJ1" s="176" t="s">
        <v>196</v>
      </c>
      <c r="XCK1" s="176" t="s">
        <v>196</v>
      </c>
      <c r="XCL1" s="176" t="s">
        <v>196</v>
      </c>
      <c r="XCM1" s="176" t="s">
        <v>196</v>
      </c>
      <c r="XCN1" s="176" t="s">
        <v>196</v>
      </c>
      <c r="XCO1" s="176" t="s">
        <v>196</v>
      </c>
      <c r="XCP1" s="176" t="s">
        <v>196</v>
      </c>
      <c r="XCQ1" s="176" t="s">
        <v>196</v>
      </c>
      <c r="XCR1" s="176" t="s">
        <v>196</v>
      </c>
      <c r="XCS1" s="176" t="s">
        <v>196</v>
      </c>
      <c r="XCT1" s="176" t="s">
        <v>196</v>
      </c>
      <c r="XCU1" s="176" t="s">
        <v>196</v>
      </c>
      <c r="XCV1" s="176" t="s">
        <v>196</v>
      </c>
      <c r="XCW1" s="176" t="s">
        <v>196</v>
      </c>
      <c r="XCX1" s="176" t="s">
        <v>196</v>
      </c>
      <c r="XCY1" s="176" t="s">
        <v>196</v>
      </c>
      <c r="XCZ1" s="176" t="s">
        <v>196</v>
      </c>
      <c r="XDA1" s="176" t="s">
        <v>196</v>
      </c>
      <c r="XDB1" s="176" t="s">
        <v>196</v>
      </c>
      <c r="XDC1" s="176" t="s">
        <v>196</v>
      </c>
      <c r="XDD1" s="176" t="s">
        <v>196</v>
      </c>
      <c r="XDE1" s="176" t="s">
        <v>196</v>
      </c>
      <c r="XDF1" s="176" t="s">
        <v>196</v>
      </c>
      <c r="XDG1" s="176" t="s">
        <v>196</v>
      </c>
      <c r="XDH1" s="176" t="s">
        <v>196</v>
      </c>
      <c r="XDI1" s="176" t="s">
        <v>196</v>
      </c>
      <c r="XDJ1" s="176" t="s">
        <v>196</v>
      </c>
      <c r="XDK1" s="176" t="s">
        <v>196</v>
      </c>
      <c r="XDL1" s="176" t="s">
        <v>196</v>
      </c>
      <c r="XDM1" s="176" t="s">
        <v>196</v>
      </c>
      <c r="XDN1" s="176" t="s">
        <v>196</v>
      </c>
      <c r="XDO1" s="176" t="s">
        <v>196</v>
      </c>
      <c r="XDP1" s="176" t="s">
        <v>196</v>
      </c>
      <c r="XDQ1" s="176" t="s">
        <v>196</v>
      </c>
      <c r="XDR1" s="176" t="s">
        <v>196</v>
      </c>
      <c r="XDS1" s="176" t="s">
        <v>196</v>
      </c>
      <c r="XDT1" s="176" t="s">
        <v>196</v>
      </c>
      <c r="XDU1" s="176" t="s">
        <v>196</v>
      </c>
      <c r="XDV1" s="176" t="s">
        <v>196</v>
      </c>
      <c r="XDW1" s="176" t="s">
        <v>196</v>
      </c>
      <c r="XDX1" s="176" t="s">
        <v>196</v>
      </c>
      <c r="XDY1" s="176" t="s">
        <v>196</v>
      </c>
      <c r="XDZ1" s="176" t="s">
        <v>196</v>
      </c>
      <c r="XEA1" s="176" t="s">
        <v>196</v>
      </c>
      <c r="XEB1" s="176" t="s">
        <v>196</v>
      </c>
      <c r="XEC1" s="176" t="s">
        <v>196</v>
      </c>
      <c r="XED1" s="176" t="s">
        <v>196</v>
      </c>
      <c r="XEE1" s="176" t="s">
        <v>196</v>
      </c>
      <c r="XEF1" s="176" t="s">
        <v>196</v>
      </c>
      <c r="XEG1" s="176" t="s">
        <v>196</v>
      </c>
      <c r="XEH1" s="176" t="s">
        <v>196</v>
      </c>
      <c r="XEI1" s="176" t="s">
        <v>196</v>
      </c>
      <c r="XEJ1" s="176" t="s">
        <v>196</v>
      </c>
      <c r="XEK1" s="176" t="s">
        <v>196</v>
      </c>
      <c r="XEL1" s="176" t="s">
        <v>196</v>
      </c>
      <c r="XEM1" s="176" t="s">
        <v>196</v>
      </c>
      <c r="XEN1" s="176" t="s">
        <v>196</v>
      </c>
      <c r="XEO1" s="176" t="s">
        <v>196</v>
      </c>
      <c r="XEP1" s="176" t="s">
        <v>196</v>
      </c>
      <c r="XEQ1" s="176" t="s">
        <v>196</v>
      </c>
      <c r="XER1" s="176" t="s">
        <v>196</v>
      </c>
      <c r="XES1" s="176" t="s">
        <v>196</v>
      </c>
      <c r="XET1" s="176" t="s">
        <v>196</v>
      </c>
      <c r="XEU1" s="176" t="s">
        <v>196</v>
      </c>
      <c r="XEV1" s="176" t="s">
        <v>196</v>
      </c>
      <c r="XEW1" s="176" t="s">
        <v>196</v>
      </c>
      <c r="XEX1" s="176" t="s">
        <v>196</v>
      </c>
      <c r="XEY1" s="176" t="s">
        <v>196</v>
      </c>
      <c r="XEZ1" s="176" t="s">
        <v>196</v>
      </c>
      <c r="XFA1" s="176" t="s">
        <v>196</v>
      </c>
      <c r="XFB1" s="176" t="s">
        <v>196</v>
      </c>
      <c r="XFC1" s="176" t="s">
        <v>196</v>
      </c>
      <c r="XFD1" s="176" t="s">
        <v>196</v>
      </c>
    </row>
    <row r="2" spans="1:16384" x14ac:dyDescent="0.25">
      <c r="B2" s="178"/>
      <c r="C2" s="178"/>
    </row>
    <row r="3" spans="1:16384" x14ac:dyDescent="0.25">
      <c r="B3" s="178"/>
      <c r="C3" s="178"/>
    </row>
    <row r="4" spans="1:16384" ht="15.75" x14ac:dyDescent="0.2">
      <c r="A4" s="857" t="s">
        <v>503</v>
      </c>
      <c r="B4" s="857"/>
      <c r="C4" s="857"/>
      <c r="D4" s="857"/>
      <c r="E4" s="857"/>
      <c r="F4" s="857"/>
    </row>
    <row r="5" spans="1:16384" ht="15.75" x14ac:dyDescent="0.25">
      <c r="B5" s="840"/>
      <c r="C5" s="840"/>
      <c r="D5" s="840"/>
      <c r="E5" s="840"/>
      <c r="F5" s="840"/>
    </row>
    <row r="6" spans="1:16384" ht="15.75" x14ac:dyDescent="0.25">
      <c r="B6" s="103"/>
      <c r="C6" s="103"/>
    </row>
    <row r="7" spans="1:16384" ht="15.75" thickBot="1" x14ac:dyDescent="0.3">
      <c r="A7" s="841" t="s">
        <v>197</v>
      </c>
      <c r="B7" s="841"/>
      <c r="C7" s="841"/>
      <c r="D7" s="841"/>
      <c r="E7" s="841"/>
      <c r="F7" s="841"/>
    </row>
    <row r="8" spans="1:16384" s="180" customFormat="1" ht="17.25" customHeight="1" thickBot="1" x14ac:dyDescent="0.25">
      <c r="A8" s="842" t="s">
        <v>198</v>
      </c>
      <c r="B8" s="844" t="s">
        <v>161</v>
      </c>
      <c r="C8" s="179"/>
      <c r="D8" s="846" t="s">
        <v>199</v>
      </c>
      <c r="E8" s="846"/>
      <c r="F8" s="847" t="s">
        <v>200</v>
      </c>
    </row>
    <row r="9" spans="1:16384" s="180" customFormat="1" ht="17.25" customHeight="1" thickBot="1" x14ac:dyDescent="0.25">
      <c r="A9" s="843"/>
      <c r="B9" s="845"/>
      <c r="C9" s="181"/>
      <c r="D9" s="182" t="s">
        <v>201</v>
      </c>
      <c r="E9" s="637" t="s">
        <v>202</v>
      </c>
      <c r="F9" s="848"/>
    </row>
    <row r="10" spans="1:16384" ht="17.25" customHeight="1" x14ac:dyDescent="0.2">
      <c r="A10" s="639"/>
      <c r="B10" s="183" t="s">
        <v>203</v>
      </c>
      <c r="C10" s="184"/>
      <c r="D10" s="185"/>
      <c r="E10" s="185"/>
      <c r="F10" s="186"/>
    </row>
    <row r="11" spans="1:16384" s="191" customFormat="1" ht="17.25" customHeight="1" x14ac:dyDescent="0.25">
      <c r="A11" s="849" t="s">
        <v>204</v>
      </c>
      <c r="B11" s="187" t="s">
        <v>205</v>
      </c>
      <c r="C11" s="188"/>
      <c r="D11" s="189">
        <f>SUM(C13:C15)</f>
        <v>2806960485</v>
      </c>
      <c r="E11" s="189"/>
      <c r="F11" s="190"/>
    </row>
    <row r="12" spans="1:16384" s="191" customFormat="1" ht="17.25" customHeight="1" x14ac:dyDescent="0.25">
      <c r="A12" s="850"/>
      <c r="B12" s="187" t="s">
        <v>63</v>
      </c>
      <c r="C12" s="188"/>
      <c r="D12" s="189"/>
      <c r="E12" s="189"/>
      <c r="F12" s="190"/>
    </row>
    <row r="13" spans="1:16384" s="191" customFormat="1" ht="17.25" customHeight="1" x14ac:dyDescent="0.25">
      <c r="A13" s="850"/>
      <c r="B13" s="192" t="s">
        <v>206</v>
      </c>
      <c r="C13" s="189">
        <f>SUM('[1]1. sz. melléklet'!E7)</f>
        <v>2352874858</v>
      </c>
      <c r="D13" s="189"/>
      <c r="E13" s="189"/>
      <c r="F13" s="190"/>
    </row>
    <row r="14" spans="1:16384" s="191" customFormat="1" ht="17.25" customHeight="1" x14ac:dyDescent="0.25">
      <c r="A14" s="850"/>
      <c r="B14" s="187" t="s">
        <v>207</v>
      </c>
      <c r="C14" s="189">
        <f>SUM('[1]1. sz. melléklet'!E8)</f>
        <v>445001914</v>
      </c>
      <c r="D14" s="189"/>
      <c r="E14" s="189"/>
      <c r="F14" s="190"/>
    </row>
    <row r="15" spans="1:16384" s="191" customFormat="1" ht="17.25" customHeight="1" x14ac:dyDescent="0.25">
      <c r="A15" s="851"/>
      <c r="B15" s="187" t="s">
        <v>208</v>
      </c>
      <c r="C15" s="189">
        <f>SUM('[1]1. sz. melléklet'!E9)</f>
        <v>9083713</v>
      </c>
      <c r="D15" s="189"/>
      <c r="E15" s="189"/>
      <c r="F15" s="190"/>
    </row>
    <row r="16" spans="1:16384" ht="17.25" customHeight="1" x14ac:dyDescent="0.2">
      <c r="A16" s="193" t="s">
        <v>209</v>
      </c>
      <c r="B16" s="194" t="s">
        <v>210</v>
      </c>
      <c r="C16" s="195"/>
      <c r="D16" s="189">
        <f>SUM('[1]1. sz. melléklet'!E12)</f>
        <v>638809478</v>
      </c>
      <c r="E16" s="189"/>
      <c r="F16" s="196"/>
    </row>
    <row r="17" spans="1:6" x14ac:dyDescent="0.2">
      <c r="A17" s="193" t="s">
        <v>211</v>
      </c>
      <c r="B17" s="192" t="s">
        <v>212</v>
      </c>
      <c r="C17" s="197"/>
      <c r="D17" s="189">
        <f>SUM('[1]1. sz. melléklet'!E13)</f>
        <v>322568739</v>
      </c>
      <c r="E17" s="189"/>
      <c r="F17" s="196"/>
    </row>
    <row r="18" spans="1:6" x14ac:dyDescent="0.2">
      <c r="A18" s="193" t="s">
        <v>213</v>
      </c>
      <c r="B18" s="198" t="s">
        <v>119</v>
      </c>
      <c r="C18" s="199"/>
      <c r="D18" s="200">
        <f>SUM('[1]1. sz. melléklet'!E15)</f>
        <v>7091539</v>
      </c>
      <c r="E18" s="200"/>
      <c r="F18" s="186"/>
    </row>
    <row r="19" spans="1:6" x14ac:dyDescent="0.2">
      <c r="A19" s="193" t="s">
        <v>214</v>
      </c>
      <c r="B19" s="194" t="s">
        <v>141</v>
      </c>
      <c r="C19" s="195"/>
      <c r="D19" s="189"/>
      <c r="E19" s="189">
        <f>SUM('[1]5. sz. melléklet'!C19)</f>
        <v>1277494594</v>
      </c>
      <c r="F19" s="196"/>
    </row>
    <row r="20" spans="1:6" x14ac:dyDescent="0.2">
      <c r="A20" s="193" t="s">
        <v>215</v>
      </c>
      <c r="B20" s="192" t="s">
        <v>157</v>
      </c>
      <c r="C20" s="197"/>
      <c r="D20" s="189"/>
      <c r="E20" s="189">
        <f>SUM('[1]5. sz. melléklet'!E19)</f>
        <v>191624163</v>
      </c>
      <c r="F20" s="196"/>
    </row>
    <row r="21" spans="1:6" x14ac:dyDescent="0.2">
      <c r="A21" s="193" t="s">
        <v>216</v>
      </c>
      <c r="B21" s="192" t="s">
        <v>142</v>
      </c>
      <c r="C21" s="197"/>
      <c r="D21" s="189"/>
      <c r="E21" s="189">
        <f>SUM('[1]5. sz. melléklet'!G19)</f>
        <v>1406046969</v>
      </c>
      <c r="F21" s="196"/>
    </row>
    <row r="22" spans="1:6" x14ac:dyDescent="0.2">
      <c r="A22" s="193" t="s">
        <v>217</v>
      </c>
      <c r="B22" s="194" t="s">
        <v>218</v>
      </c>
      <c r="C22" s="195"/>
      <c r="D22" s="189"/>
      <c r="E22" s="189">
        <f>SUM('[1]5. sz. melléklet'!I19)</f>
        <v>60955000</v>
      </c>
      <c r="F22" s="196"/>
    </row>
    <row r="23" spans="1:6" ht="15.75" thickBot="1" x14ac:dyDescent="0.25">
      <c r="A23" s="193" t="s">
        <v>219</v>
      </c>
      <c r="B23" s="194" t="s">
        <v>144</v>
      </c>
      <c r="C23" s="195"/>
      <c r="D23" s="189"/>
      <c r="E23" s="189">
        <f>SUM('[1]5. sz. melléklet'!K19)</f>
        <v>3959256598</v>
      </c>
      <c r="F23" s="186"/>
    </row>
    <row r="24" spans="1:6" s="204" customFormat="1" ht="15" customHeight="1" thickBot="1" x14ac:dyDescent="0.25">
      <c r="A24" s="852" t="s">
        <v>220</v>
      </c>
      <c r="B24" s="853"/>
      <c r="C24" s="201"/>
      <c r="D24" s="202">
        <f>SUM(D11:D23)</f>
        <v>3775430241</v>
      </c>
      <c r="E24" s="202">
        <f>SUM(E11:E23)</f>
        <v>6895377324</v>
      </c>
      <c r="F24" s="203">
        <f>D24-E24</f>
        <v>-3119947083</v>
      </c>
    </row>
    <row r="25" spans="1:6" x14ac:dyDescent="0.2">
      <c r="A25" s="640"/>
      <c r="B25" s="205" t="s">
        <v>221</v>
      </c>
      <c r="C25" s="206"/>
      <c r="D25" s="207"/>
      <c r="E25" s="207"/>
      <c r="F25" s="186"/>
    </row>
    <row r="26" spans="1:6" x14ac:dyDescent="0.2">
      <c r="A26" s="193" t="s">
        <v>222</v>
      </c>
      <c r="B26" s="194" t="s">
        <v>223</v>
      </c>
      <c r="C26" s="195"/>
      <c r="D26" s="189">
        <f>SUM('[1]1. sz. melléklet'!E11)</f>
        <v>2585627401</v>
      </c>
      <c r="E26" s="189"/>
      <c r="F26" s="196"/>
    </row>
    <row r="27" spans="1:6" x14ac:dyDescent="0.2">
      <c r="A27" s="193" t="s">
        <v>224</v>
      </c>
      <c r="B27" s="194" t="s">
        <v>118</v>
      </c>
      <c r="C27" s="195"/>
      <c r="D27" s="189">
        <f>SUM('[1]1. sz. melléklet'!E14)</f>
        <v>97437910</v>
      </c>
      <c r="E27" s="189"/>
      <c r="F27" s="196"/>
    </row>
    <row r="28" spans="1:6" x14ac:dyDescent="0.2">
      <c r="A28" s="193" t="s">
        <v>225</v>
      </c>
      <c r="B28" s="208" t="s">
        <v>120</v>
      </c>
      <c r="C28" s="209"/>
      <c r="D28" s="200">
        <f>SUM('[1]1. sz. melléklet'!E16)</f>
        <v>29082745</v>
      </c>
      <c r="E28" s="200"/>
      <c r="F28" s="186"/>
    </row>
    <row r="29" spans="1:6" x14ac:dyDescent="0.2">
      <c r="A29" s="193" t="s">
        <v>226</v>
      </c>
      <c r="B29" s="194" t="s">
        <v>146</v>
      </c>
      <c r="C29" s="195"/>
      <c r="D29" s="189"/>
      <c r="E29" s="189">
        <f>SUM('[1]5. sz. melléklet'!M19)</f>
        <v>2193102088</v>
      </c>
      <c r="F29" s="196"/>
    </row>
    <row r="30" spans="1:6" x14ac:dyDescent="0.2">
      <c r="A30" s="193" t="s">
        <v>227</v>
      </c>
      <c r="B30" s="194" t="s">
        <v>147</v>
      </c>
      <c r="C30" s="195"/>
      <c r="D30" s="189"/>
      <c r="E30" s="189">
        <f>SUM('[1]5. sz. melléklet'!O19)</f>
        <v>1803742287</v>
      </c>
      <c r="F30" s="196"/>
    </row>
    <row r="31" spans="1:6" ht="15.75" thickBot="1" x14ac:dyDescent="0.25">
      <c r="A31" s="193" t="s">
        <v>228</v>
      </c>
      <c r="B31" s="194" t="s">
        <v>229</v>
      </c>
      <c r="C31" s="210"/>
      <c r="D31" s="189"/>
      <c r="E31" s="189">
        <f>SUM('[1]5. sz. melléklet'!Q19)</f>
        <v>234849789</v>
      </c>
      <c r="F31" s="186"/>
    </row>
    <row r="32" spans="1:6" s="204" customFormat="1" ht="15" customHeight="1" thickBot="1" x14ac:dyDescent="0.25">
      <c r="A32" s="852" t="s">
        <v>230</v>
      </c>
      <c r="B32" s="853"/>
      <c r="C32" s="211"/>
      <c r="D32" s="202">
        <f>SUM(D26:D31)</f>
        <v>2712148056</v>
      </c>
      <c r="E32" s="202">
        <f>SUM(E26:E31)</f>
        <v>4231694164</v>
      </c>
      <c r="F32" s="203">
        <f>D32-E32</f>
        <v>-1519546108</v>
      </c>
    </row>
    <row r="33" spans="1:6" s="204" customFormat="1" ht="15" customHeight="1" thickBot="1" x14ac:dyDescent="0.25">
      <c r="A33" s="854" t="s">
        <v>231</v>
      </c>
      <c r="B33" s="855"/>
      <c r="C33" s="856"/>
      <c r="D33" s="212">
        <f>SUM(D24+D32)</f>
        <v>6487578297</v>
      </c>
      <c r="E33" s="212">
        <f>SUM(E24+E32)</f>
        <v>11127071488</v>
      </c>
      <c r="F33" s="213">
        <f>SUM(F24+F32)</f>
        <v>-4639493191</v>
      </c>
    </row>
    <row r="34" spans="1:6" s="204" customFormat="1" x14ac:dyDescent="0.2">
      <c r="A34" s="638" t="s">
        <v>232</v>
      </c>
      <c r="B34" s="214" t="s">
        <v>145</v>
      </c>
      <c r="C34" s="215"/>
      <c r="D34" s="216"/>
      <c r="E34" s="216">
        <f>SUM('[1]5. sz. melléklet'!S18)</f>
        <v>2611975843</v>
      </c>
      <c r="F34" s="217"/>
    </row>
    <row r="35" spans="1:6" s="204" customFormat="1" ht="15.75" thickBot="1" x14ac:dyDescent="0.25">
      <c r="A35" s="218" t="s">
        <v>162</v>
      </c>
      <c r="B35" s="219" t="s">
        <v>121</v>
      </c>
      <c r="C35" s="220"/>
      <c r="D35" s="221">
        <f>SUM('[1]1. sz. melléklet'!E22)</f>
        <v>7251469034</v>
      </c>
      <c r="E35" s="221"/>
      <c r="F35" s="222"/>
    </row>
    <row r="36" spans="1:6" s="204" customFormat="1" ht="15" customHeight="1" thickBot="1" x14ac:dyDescent="0.25">
      <c r="A36" s="852" t="s">
        <v>233</v>
      </c>
      <c r="B36" s="853"/>
      <c r="C36" s="211"/>
      <c r="D36" s="202">
        <f>SUM(D34:D35)</f>
        <v>7251469034</v>
      </c>
      <c r="E36" s="202">
        <f>SUM(E34:E35)</f>
        <v>2611975843</v>
      </c>
      <c r="F36" s="203">
        <f>D36-E36</f>
        <v>4639493191</v>
      </c>
    </row>
    <row r="37" spans="1:6" s="180" customFormat="1" ht="15" customHeight="1" thickBot="1" x14ac:dyDescent="0.25">
      <c r="A37" s="838" t="s">
        <v>234</v>
      </c>
      <c r="B37" s="839"/>
      <c r="C37" s="223"/>
      <c r="D37" s="224">
        <f>SUM(D33+D36)</f>
        <v>13739047331</v>
      </c>
      <c r="E37" s="224">
        <f>SUM(E33+E36)</f>
        <v>13739047331</v>
      </c>
      <c r="F37" s="224">
        <f t="shared" ref="F37" si="0">SUM(F33+F36)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4:F4"/>
    <mergeCell ref="A37:B37"/>
    <mergeCell ref="B5:F5"/>
    <mergeCell ref="A7:F7"/>
    <mergeCell ref="A8:A9"/>
    <mergeCell ref="B8:B9"/>
    <mergeCell ref="D8:E8"/>
    <mergeCell ref="F8:F9"/>
    <mergeCell ref="A11:A15"/>
    <mergeCell ref="A24:B24"/>
    <mergeCell ref="A32:B32"/>
    <mergeCell ref="A33:C33"/>
    <mergeCell ref="A36:B3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80" zoomScaleSheetLayoutView="80" workbookViewId="0">
      <selection activeCell="H19" sqref="H19"/>
    </sheetView>
  </sheetViews>
  <sheetFormatPr defaultRowHeight="15" x14ac:dyDescent="0.25"/>
  <cols>
    <col min="1" max="1" width="71" style="376" customWidth="1"/>
    <col min="2" max="2" width="18.42578125" style="376" customWidth="1"/>
    <col min="3" max="3" width="20.140625" style="376" customWidth="1"/>
    <col min="4" max="4" width="20.42578125" style="376" customWidth="1"/>
    <col min="5" max="21" width="18.42578125" style="376" customWidth="1"/>
    <col min="22" max="16384" width="9.140625" style="376"/>
  </cols>
  <sheetData>
    <row r="1" spans="1:13" s="371" customFormat="1" ht="15.75" x14ac:dyDescent="0.25">
      <c r="A1" s="371" t="s">
        <v>515</v>
      </c>
    </row>
    <row r="2" spans="1:13" ht="17.25" customHeight="1" x14ac:dyDescent="0.25"/>
    <row r="3" spans="1:13" s="543" customFormat="1" ht="19.5" x14ac:dyDescent="0.35">
      <c r="A3" s="858" t="s">
        <v>425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</row>
    <row r="5" spans="1:13" ht="15.75" thickBot="1" x14ac:dyDescent="0.3">
      <c r="K5" s="386" t="s">
        <v>0</v>
      </c>
    </row>
    <row r="6" spans="1:13" s="378" customFormat="1" ht="72.75" customHeight="1" thickBot="1" x14ac:dyDescent="0.3">
      <c r="A6" s="642" t="s">
        <v>161</v>
      </c>
      <c r="B6" s="642" t="s">
        <v>354</v>
      </c>
      <c r="C6" s="643" t="s">
        <v>355</v>
      </c>
      <c r="D6" s="643" t="s">
        <v>356</v>
      </c>
      <c r="E6" s="643" t="s">
        <v>449</v>
      </c>
      <c r="F6" s="643" t="s">
        <v>450</v>
      </c>
      <c r="G6" s="643" t="s">
        <v>451</v>
      </c>
      <c r="H6" s="643" t="s">
        <v>452</v>
      </c>
      <c r="I6" s="643" t="s">
        <v>365</v>
      </c>
      <c r="J6" s="643" t="s">
        <v>362</v>
      </c>
      <c r="K6" s="643" t="s">
        <v>357</v>
      </c>
    </row>
    <row r="7" spans="1:13" s="371" customFormat="1" ht="30" customHeight="1" x14ac:dyDescent="0.25">
      <c r="A7" s="567" t="s">
        <v>596</v>
      </c>
      <c r="B7" s="561">
        <v>799999000</v>
      </c>
      <c r="C7" s="561"/>
      <c r="D7" s="561"/>
      <c r="E7" s="561">
        <f>SUM('[1]6. sz. melléklet'!D29)</f>
        <v>12509500</v>
      </c>
      <c r="F7" s="561">
        <v>799999000</v>
      </c>
      <c r="G7" s="561">
        <v>787489500</v>
      </c>
      <c r="H7" s="561"/>
      <c r="I7" s="561">
        <f>SUM(C7+E7+G7)</f>
        <v>799999000</v>
      </c>
      <c r="J7" s="561">
        <f>SUM(D7+F7+H7)</f>
        <v>799999000</v>
      </c>
      <c r="K7" s="570">
        <v>45016</v>
      </c>
      <c r="L7" s="385">
        <f>SUM(J7-B7)</f>
        <v>0</v>
      </c>
      <c r="M7" s="385">
        <f>SUM(J7-I7)</f>
        <v>0</v>
      </c>
    </row>
    <row r="8" spans="1:13" s="371" customFormat="1" ht="30" customHeight="1" x14ac:dyDescent="0.25">
      <c r="A8" s="567" t="s">
        <v>358</v>
      </c>
      <c r="B8" s="561">
        <v>550000000</v>
      </c>
      <c r="C8" s="561">
        <v>21416000</v>
      </c>
      <c r="D8" s="561">
        <v>550000000</v>
      </c>
      <c r="E8" s="561">
        <f>SUM('[1]6. sz. melléklet'!D95)</f>
        <v>371670689</v>
      </c>
      <c r="F8" s="561"/>
      <c r="G8" s="561">
        <v>156913311</v>
      </c>
      <c r="H8" s="561"/>
      <c r="I8" s="561">
        <f>SUM(C8+E8+G8)</f>
        <v>550000000</v>
      </c>
      <c r="J8" s="561">
        <f>SUM(D8+F8+H8)</f>
        <v>550000000</v>
      </c>
      <c r="K8" s="570">
        <v>44926</v>
      </c>
      <c r="L8" s="385">
        <f t="shared" ref="L8:L19" si="0">SUM(J8-B8)</f>
        <v>0</v>
      </c>
      <c r="M8" s="385">
        <f t="shared" ref="M8:M19" si="1">SUM(J8-I8)</f>
        <v>0</v>
      </c>
    </row>
    <row r="9" spans="1:13" s="371" customFormat="1" ht="30" customHeight="1" x14ac:dyDescent="0.25">
      <c r="A9" s="568" t="s">
        <v>82</v>
      </c>
      <c r="B9" s="562">
        <f>215340000+49415723</f>
        <v>264755723</v>
      </c>
      <c r="C9" s="562">
        <v>15729713</v>
      </c>
      <c r="D9" s="562">
        <v>215340000</v>
      </c>
      <c r="E9" s="562">
        <f>SUM('[1]6. sz. melléklet'!D98)</f>
        <v>201453968</v>
      </c>
      <c r="F9" s="562"/>
      <c r="G9" s="562">
        <v>55528803</v>
      </c>
      <c r="H9" s="562">
        <v>49415723</v>
      </c>
      <c r="I9" s="561">
        <f t="shared" ref="I9:J22" si="2">SUM(C9+E9+G9)</f>
        <v>272712484</v>
      </c>
      <c r="J9" s="561">
        <f t="shared" si="2"/>
        <v>264755723</v>
      </c>
      <c r="K9" s="564">
        <v>44620</v>
      </c>
      <c r="L9" s="385">
        <f t="shared" si="0"/>
        <v>0</v>
      </c>
      <c r="M9" s="385">
        <f t="shared" si="1"/>
        <v>-7956761</v>
      </c>
    </row>
    <row r="10" spans="1:13" s="371" customFormat="1" ht="54.75" customHeight="1" x14ac:dyDescent="0.25">
      <c r="A10" s="320" t="s">
        <v>81</v>
      </c>
      <c r="B10" s="320">
        <v>497503307</v>
      </c>
      <c r="C10" s="562">
        <f>42159735-8435735</f>
        <v>33724000</v>
      </c>
      <c r="D10" s="562">
        <v>497503307</v>
      </c>
      <c r="E10" s="562">
        <f>SUM('[1]6. sz. melléklet'!D31)</f>
        <v>463779307</v>
      </c>
      <c r="F10" s="562"/>
      <c r="G10" s="562"/>
      <c r="H10" s="562"/>
      <c r="I10" s="561">
        <f t="shared" si="2"/>
        <v>497503307</v>
      </c>
      <c r="J10" s="561">
        <f t="shared" si="2"/>
        <v>497503307</v>
      </c>
      <c r="K10" s="564">
        <v>44743</v>
      </c>
      <c r="L10" s="385">
        <f t="shared" si="0"/>
        <v>0</v>
      </c>
      <c r="M10" s="385">
        <f t="shared" si="1"/>
        <v>0</v>
      </c>
    </row>
    <row r="11" spans="1:13" s="371" customFormat="1" ht="33" customHeight="1" x14ac:dyDescent="0.25">
      <c r="A11" s="382" t="s">
        <v>69</v>
      </c>
      <c r="B11" s="563">
        <v>85015021</v>
      </c>
      <c r="C11" s="562">
        <v>83429586</v>
      </c>
      <c r="D11" s="562">
        <v>85015021</v>
      </c>
      <c r="E11" s="562">
        <f>SUM('[1]6. sz. melléklet'!D94)</f>
        <v>82000</v>
      </c>
      <c r="F11" s="562"/>
      <c r="G11" s="562"/>
      <c r="H11" s="562"/>
      <c r="I11" s="561">
        <f t="shared" si="2"/>
        <v>83511586</v>
      </c>
      <c r="J11" s="561">
        <f t="shared" si="2"/>
        <v>85015021</v>
      </c>
      <c r="K11" s="564">
        <v>44773</v>
      </c>
      <c r="L11" s="385">
        <f t="shared" si="0"/>
        <v>0</v>
      </c>
      <c r="M11" s="385">
        <f t="shared" si="1"/>
        <v>1503435</v>
      </c>
    </row>
    <row r="12" spans="1:13" s="371" customFormat="1" ht="33" customHeight="1" x14ac:dyDescent="0.25">
      <c r="A12" s="382" t="s">
        <v>316</v>
      </c>
      <c r="B12" s="563">
        <v>100000000</v>
      </c>
      <c r="C12" s="562">
        <f>75049080-4799286</f>
        <v>70249794</v>
      </c>
      <c r="D12" s="562">
        <v>100000000</v>
      </c>
      <c r="E12" s="562">
        <f>SUM('[1]6. sz. melléklet'!D32)</f>
        <v>35826432</v>
      </c>
      <c r="F12" s="562"/>
      <c r="G12" s="562"/>
      <c r="H12" s="562"/>
      <c r="I12" s="561">
        <f t="shared" si="2"/>
        <v>106076226</v>
      </c>
      <c r="J12" s="561">
        <f t="shared" si="2"/>
        <v>100000000</v>
      </c>
      <c r="K12" s="564">
        <v>44286</v>
      </c>
      <c r="L12" s="385">
        <f t="shared" si="0"/>
        <v>0</v>
      </c>
      <c r="M12" s="385">
        <f t="shared" si="1"/>
        <v>-6076226</v>
      </c>
    </row>
    <row r="13" spans="1:13" s="371" customFormat="1" ht="44.25" customHeight="1" x14ac:dyDescent="0.25">
      <c r="A13" s="382" t="s">
        <v>317</v>
      </c>
      <c r="B13" s="563">
        <v>51714618</v>
      </c>
      <c r="C13" s="562">
        <v>8587178</v>
      </c>
      <c r="D13" s="562">
        <v>51714618</v>
      </c>
      <c r="E13" s="562">
        <f>SUM('[1]6. sz. melléklet'!D136)</f>
        <v>39557322</v>
      </c>
      <c r="F13" s="562"/>
      <c r="G13" s="562">
        <v>3570118</v>
      </c>
      <c r="H13" s="562"/>
      <c r="I13" s="561">
        <f t="shared" si="2"/>
        <v>51714618</v>
      </c>
      <c r="J13" s="561">
        <f t="shared" si="2"/>
        <v>51714618</v>
      </c>
      <c r="K13" s="564">
        <v>45077</v>
      </c>
      <c r="L13" s="385">
        <f t="shared" si="0"/>
        <v>0</v>
      </c>
      <c r="M13" s="385">
        <f t="shared" si="1"/>
        <v>0</v>
      </c>
    </row>
    <row r="14" spans="1:13" s="371" customFormat="1" ht="44.25" customHeight="1" x14ac:dyDescent="0.25">
      <c r="A14" s="382" t="s">
        <v>597</v>
      </c>
      <c r="B14" s="563">
        <v>5000000</v>
      </c>
      <c r="C14" s="562"/>
      <c r="D14" s="562"/>
      <c r="E14" s="562">
        <f>SUM('[1]6. sz. melléklet'!D138)</f>
        <v>5000000</v>
      </c>
      <c r="F14" s="562">
        <v>5000000</v>
      </c>
      <c r="G14" s="562"/>
      <c r="H14" s="562"/>
      <c r="I14" s="561">
        <f t="shared" si="2"/>
        <v>5000000</v>
      </c>
      <c r="J14" s="561">
        <f t="shared" si="2"/>
        <v>5000000</v>
      </c>
      <c r="K14" s="564">
        <v>44926</v>
      </c>
      <c r="L14" s="385">
        <f t="shared" si="0"/>
        <v>0</v>
      </c>
      <c r="M14" s="385">
        <f t="shared" si="1"/>
        <v>0</v>
      </c>
    </row>
    <row r="15" spans="1:13" s="371" customFormat="1" ht="77.25" customHeight="1" x14ac:dyDescent="0.25">
      <c r="A15" s="382" t="s">
        <v>360</v>
      </c>
      <c r="B15" s="563">
        <f>136000000+38500000</f>
        <v>174500000</v>
      </c>
      <c r="C15" s="562">
        <f>4762500</f>
        <v>4762500</v>
      </c>
      <c r="D15" s="562">
        <f>136000000</f>
        <v>136000000</v>
      </c>
      <c r="E15" s="562">
        <f>SUM('[1]6. sz. melléklet'!D137)</f>
        <v>127264760</v>
      </c>
      <c r="F15" s="562"/>
      <c r="G15" s="562">
        <v>42472740</v>
      </c>
      <c r="H15" s="562">
        <v>38500000</v>
      </c>
      <c r="I15" s="561">
        <f t="shared" si="2"/>
        <v>174500000</v>
      </c>
      <c r="J15" s="561">
        <f>SUM(D15+F15+H15)</f>
        <v>174500000</v>
      </c>
      <c r="K15" s="564">
        <v>44927</v>
      </c>
      <c r="L15" s="385">
        <f>SUM(J15-B15)</f>
        <v>0</v>
      </c>
      <c r="M15" s="385">
        <f t="shared" si="1"/>
        <v>0</v>
      </c>
    </row>
    <row r="16" spans="1:13" s="371" customFormat="1" ht="41.25" customHeight="1" x14ac:dyDescent="0.25">
      <c r="A16" s="384" t="s">
        <v>364</v>
      </c>
      <c r="B16" s="563">
        <v>250000000</v>
      </c>
      <c r="C16" s="562">
        <f>4221824+18858722</f>
        <v>23080546</v>
      </c>
      <c r="D16" s="562">
        <f>18014614+21734947+11156436</f>
        <v>50905997</v>
      </c>
      <c r="E16" s="562">
        <f>SUM('[1]6. sz. melléklet'!D64)</f>
        <v>33306266</v>
      </c>
      <c r="F16" s="562">
        <f>SUM('[1]3. sz. melléklet'!C25+'[1]3. sz. melléklet'!E25)</f>
        <v>65294024</v>
      </c>
      <c r="G16" s="562">
        <v>193613188</v>
      </c>
      <c r="H16" s="562">
        <v>133799979</v>
      </c>
      <c r="I16" s="561">
        <f t="shared" si="2"/>
        <v>250000000</v>
      </c>
      <c r="J16" s="561">
        <f t="shared" si="2"/>
        <v>250000000</v>
      </c>
      <c r="K16" s="564">
        <v>46387</v>
      </c>
      <c r="L16" s="385">
        <f t="shared" si="0"/>
        <v>0</v>
      </c>
      <c r="M16" s="385">
        <f t="shared" si="1"/>
        <v>0</v>
      </c>
    </row>
    <row r="17" spans="1:13" s="371" customFormat="1" ht="41.25" customHeight="1" x14ac:dyDescent="0.25">
      <c r="A17" s="568" t="s">
        <v>359</v>
      </c>
      <c r="B17" s="565">
        <v>2394641893</v>
      </c>
      <c r="C17" s="565">
        <f>737306248-599725840+69801496+295850</f>
        <v>207677754</v>
      </c>
      <c r="D17" s="565">
        <f>841606181-599725840+535019906</f>
        <v>776900247</v>
      </c>
      <c r="E17" s="565">
        <f>SUM('[1]6. sz. melléklet'!D72)</f>
        <v>1364847299</v>
      </c>
      <c r="F17" s="565">
        <f>SUM('[1]3. sz. melléklet'!E24)</f>
        <v>795624806</v>
      </c>
      <c r="G17" s="565">
        <v>822116840</v>
      </c>
      <c r="H17" s="565">
        <v>822116840</v>
      </c>
      <c r="I17" s="561">
        <f t="shared" si="2"/>
        <v>2394641893</v>
      </c>
      <c r="J17" s="561">
        <f t="shared" si="2"/>
        <v>2394641893</v>
      </c>
      <c r="K17" s="564">
        <v>44741</v>
      </c>
      <c r="L17" s="385">
        <f t="shared" si="0"/>
        <v>0</v>
      </c>
      <c r="M17" s="385">
        <f t="shared" si="1"/>
        <v>0</v>
      </c>
    </row>
    <row r="18" spans="1:13" s="371" customFormat="1" ht="41.25" customHeight="1" x14ac:dyDescent="0.25">
      <c r="A18" s="568" t="s">
        <v>361</v>
      </c>
      <c r="B18" s="562">
        <v>200000000</v>
      </c>
      <c r="C18" s="565">
        <f>82036009+53486878</f>
        <v>135522887</v>
      </c>
      <c r="D18" s="565">
        <f>141234176+56874231</f>
        <v>198108407</v>
      </c>
      <c r="E18" s="565">
        <v>64477113</v>
      </c>
      <c r="F18" s="565">
        <v>1891593</v>
      </c>
      <c r="G18" s="562"/>
      <c r="H18" s="562"/>
      <c r="I18" s="561">
        <f t="shared" si="2"/>
        <v>200000000</v>
      </c>
      <c r="J18" s="561">
        <f t="shared" si="2"/>
        <v>200000000</v>
      </c>
      <c r="K18" s="564">
        <v>44376</v>
      </c>
      <c r="L18" s="385">
        <f t="shared" si="0"/>
        <v>0</v>
      </c>
      <c r="M18" s="385">
        <f t="shared" si="1"/>
        <v>0</v>
      </c>
    </row>
    <row r="19" spans="1:13" s="371" customFormat="1" ht="41.25" customHeight="1" x14ac:dyDescent="0.25">
      <c r="A19" s="417" t="s">
        <v>598</v>
      </c>
      <c r="B19" s="562">
        <v>250000000</v>
      </c>
      <c r="C19" s="562"/>
      <c r="D19" s="562"/>
      <c r="E19" s="565">
        <v>250000000</v>
      </c>
      <c r="F19" s="562">
        <v>250000000</v>
      </c>
      <c r="G19" s="562"/>
      <c r="H19" s="562"/>
      <c r="I19" s="561">
        <f t="shared" ref="I19" si="3">SUM(C19+E19+G19)</f>
        <v>250000000</v>
      </c>
      <c r="J19" s="561">
        <f t="shared" ref="J19" si="4">SUM(D19+F19+H19)</f>
        <v>250000000</v>
      </c>
      <c r="K19" s="564">
        <v>44985</v>
      </c>
      <c r="L19" s="385">
        <f t="shared" si="0"/>
        <v>0</v>
      </c>
      <c r="M19" s="385">
        <f t="shared" si="1"/>
        <v>0</v>
      </c>
    </row>
    <row r="20" spans="1:13" s="383" customFormat="1" ht="39.75" customHeight="1" x14ac:dyDescent="0.25">
      <c r="A20" s="417" t="s">
        <v>377</v>
      </c>
      <c r="B20" s="562">
        <v>500000000</v>
      </c>
      <c r="C20" s="562">
        <f>7000000</f>
        <v>7000000</v>
      </c>
      <c r="D20" s="562">
        <v>500000000</v>
      </c>
      <c r="E20" s="565">
        <v>485620001</v>
      </c>
      <c r="F20" s="562"/>
      <c r="G20" s="562">
        <v>7379999</v>
      </c>
      <c r="H20" s="562"/>
      <c r="I20" s="561">
        <f t="shared" si="2"/>
        <v>500000000</v>
      </c>
      <c r="J20" s="561">
        <f t="shared" si="2"/>
        <v>500000000</v>
      </c>
      <c r="K20" s="564">
        <v>44836</v>
      </c>
      <c r="L20" s="385"/>
    </row>
    <row r="21" spans="1:13" s="383" customFormat="1" ht="39.75" customHeight="1" x14ac:dyDescent="0.25">
      <c r="A21" s="417" t="s">
        <v>574</v>
      </c>
      <c r="B21" s="562">
        <v>60666667</v>
      </c>
      <c r="C21" s="562"/>
      <c r="D21" s="562"/>
      <c r="E21" s="565">
        <v>1867800</v>
      </c>
      <c r="F21" s="562">
        <v>60666667</v>
      </c>
      <c r="G21" s="562">
        <v>59009667</v>
      </c>
      <c r="H21" s="562"/>
      <c r="I21" s="561">
        <f t="shared" ref="I21:J21" si="5">SUM(C21+E21+G21)</f>
        <v>60877467</v>
      </c>
      <c r="J21" s="561">
        <f t="shared" si="5"/>
        <v>60666667</v>
      </c>
      <c r="K21" s="564">
        <v>44985</v>
      </c>
    </row>
    <row r="22" spans="1:13" s="383" customFormat="1" ht="39.75" customHeight="1" x14ac:dyDescent="0.25">
      <c r="A22" s="417" t="s">
        <v>378</v>
      </c>
      <c r="B22" s="562">
        <v>170000000</v>
      </c>
      <c r="C22" s="562"/>
      <c r="D22" s="562">
        <v>170000000</v>
      </c>
      <c r="E22" s="562">
        <f>SUM('[1]6. sz. melléklet'!D99)</f>
        <v>18920500</v>
      </c>
      <c r="F22" s="562"/>
      <c r="G22" s="562">
        <v>151079500</v>
      </c>
      <c r="H22" s="562"/>
      <c r="I22" s="561">
        <f t="shared" si="2"/>
        <v>170000000</v>
      </c>
      <c r="J22" s="561">
        <f t="shared" si="2"/>
        <v>170000000</v>
      </c>
      <c r="K22" s="564">
        <v>44922</v>
      </c>
    </row>
    <row r="23" spans="1:13" s="371" customFormat="1" ht="31.5" x14ac:dyDescent="0.25">
      <c r="A23" s="417" t="s">
        <v>599</v>
      </c>
      <c r="B23" s="610">
        <v>34090000</v>
      </c>
      <c r="C23" s="610"/>
      <c r="D23" s="610"/>
      <c r="E23" s="610">
        <f>SUM('[1]6. sz. melléklet'!D100)</f>
        <v>4990000</v>
      </c>
      <c r="F23" s="610">
        <v>34090000</v>
      </c>
      <c r="G23" s="610">
        <v>29100000</v>
      </c>
      <c r="H23" s="610"/>
      <c r="I23" s="561">
        <f t="shared" ref="I23:J23" si="6">SUM(C23+E23+G23)</f>
        <v>34090000</v>
      </c>
      <c r="J23" s="561">
        <f t="shared" si="6"/>
        <v>34090000</v>
      </c>
      <c r="K23" s="611">
        <v>45168</v>
      </c>
    </row>
    <row r="24" spans="1:13" s="371" customFormat="1" ht="32.25" thickBot="1" x14ac:dyDescent="0.3">
      <c r="A24" s="569" t="s">
        <v>363</v>
      </c>
      <c r="B24" s="566">
        <f>SUM(B7:B23)</f>
        <v>6387886229</v>
      </c>
      <c r="C24" s="566">
        <f t="shared" ref="C24:J24" si="7">SUM(C7:C23)</f>
        <v>611179958</v>
      </c>
      <c r="D24" s="566">
        <f t="shared" si="7"/>
        <v>3331487597</v>
      </c>
      <c r="E24" s="566">
        <f t="shared" si="7"/>
        <v>3481172957</v>
      </c>
      <c r="F24" s="566">
        <f t="shared" si="7"/>
        <v>2012566090</v>
      </c>
      <c r="G24" s="566">
        <f t="shared" si="7"/>
        <v>2308273666</v>
      </c>
      <c r="H24" s="566">
        <f t="shared" si="7"/>
        <v>1043832542</v>
      </c>
      <c r="I24" s="566">
        <f t="shared" si="7"/>
        <v>6400626581</v>
      </c>
      <c r="J24" s="566">
        <f t="shared" si="7"/>
        <v>6387886229</v>
      </c>
      <c r="K24" s="571"/>
    </row>
    <row r="25" spans="1:13" s="371" customFormat="1" ht="15.75" x14ac:dyDescent="0.25">
      <c r="A25" s="379"/>
    </row>
    <row r="26" spans="1:13" s="371" customFormat="1" ht="15.75" x14ac:dyDescent="0.25">
      <c r="A26" s="379"/>
    </row>
    <row r="27" spans="1:13" s="371" customFormat="1" ht="15.75" x14ac:dyDescent="0.25">
      <c r="A27" s="379"/>
    </row>
    <row r="28" spans="1:13" s="371" customFormat="1" ht="15.75" x14ac:dyDescent="0.25">
      <c r="A28" s="379"/>
    </row>
    <row r="29" spans="1:13" s="371" customFormat="1" ht="15.75" x14ac:dyDescent="0.25">
      <c r="A29" s="379"/>
    </row>
    <row r="30" spans="1:13" s="371" customFormat="1" ht="15.75" x14ac:dyDescent="0.25">
      <c r="A30" s="379"/>
    </row>
    <row r="31" spans="1:13" s="371" customFormat="1" ht="15.75" x14ac:dyDescent="0.25">
      <c r="A31" s="379"/>
    </row>
    <row r="32" spans="1:13" s="371" customFormat="1" ht="15.75" x14ac:dyDescent="0.25">
      <c r="A32" s="379"/>
    </row>
    <row r="33" spans="1:1" s="371" customFormat="1" ht="15.75" x14ac:dyDescent="0.25">
      <c r="A33" s="379"/>
    </row>
    <row r="34" spans="1:1" s="371" customFormat="1" ht="15.75" x14ac:dyDescent="0.25">
      <c r="A34" s="379"/>
    </row>
    <row r="35" spans="1:1" s="371" customFormat="1" ht="15.75" x14ac:dyDescent="0.25">
      <c r="A35" s="379"/>
    </row>
    <row r="36" spans="1:1" s="371" customFormat="1" ht="15.75" x14ac:dyDescent="0.25">
      <c r="A36" s="379"/>
    </row>
    <row r="37" spans="1:1" s="371" customFormat="1" ht="15.75" x14ac:dyDescent="0.25">
      <c r="A37" s="379"/>
    </row>
    <row r="38" spans="1:1" s="371" customFormat="1" ht="15.75" x14ac:dyDescent="0.25">
      <c r="A38" s="379"/>
    </row>
    <row r="39" spans="1:1" s="371" customFormat="1" ht="15.75" x14ac:dyDescent="0.25">
      <c r="A39" s="379"/>
    </row>
    <row r="40" spans="1:1" s="371" customFormat="1" ht="15.75" x14ac:dyDescent="0.25">
      <c r="A40" s="379"/>
    </row>
    <row r="41" spans="1:1" s="371" customFormat="1" ht="15.75" x14ac:dyDescent="0.25">
      <c r="A41" s="379"/>
    </row>
    <row r="42" spans="1:1" x14ac:dyDescent="0.25">
      <c r="A42" s="377"/>
    </row>
    <row r="43" spans="1:1" x14ac:dyDescent="0.25">
      <c r="A43" s="377"/>
    </row>
    <row r="44" spans="1:1" x14ac:dyDescent="0.25">
      <c r="A44" s="377"/>
    </row>
    <row r="45" spans="1:1" x14ac:dyDescent="0.25">
      <c r="A45" s="377"/>
    </row>
    <row r="46" spans="1:1" x14ac:dyDescent="0.25">
      <c r="A46" s="377"/>
    </row>
    <row r="47" spans="1:1" x14ac:dyDescent="0.25">
      <c r="A47" s="377"/>
    </row>
  </sheetData>
  <sheetProtection formatCells="0" formatColumns="0" formatRows="0" insertColumns="0" insertRows="0" insertHyperlinks="0" deleteColumns="0" deleteRows="0" sort="0" autoFilter="0" pivotTables="0"/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zoomScale="120" zoomScaleSheetLayoutView="120" workbookViewId="0">
      <selection activeCell="B47" sqref="B47"/>
    </sheetView>
  </sheetViews>
  <sheetFormatPr defaultRowHeight="15" x14ac:dyDescent="0.25"/>
  <cols>
    <col min="1" max="1" width="71" style="376" customWidth="1"/>
    <col min="2" max="2" width="18.42578125" style="376" customWidth="1"/>
    <col min="3" max="3" width="20.140625" style="376" customWidth="1"/>
    <col min="4" max="4" width="20.42578125" style="376" customWidth="1"/>
    <col min="5" max="16" width="18.42578125" style="376" customWidth="1"/>
    <col min="17" max="16384" width="9.140625" style="376"/>
  </cols>
  <sheetData>
    <row r="1" spans="1:8" s="371" customFormat="1" ht="20.25" customHeight="1" x14ac:dyDescent="0.25">
      <c r="A1" s="371" t="s">
        <v>516</v>
      </c>
    </row>
    <row r="2" spans="1:8" ht="17.25" customHeight="1" x14ac:dyDescent="0.25"/>
    <row r="3" spans="1:8" s="543" customFormat="1" ht="19.5" x14ac:dyDescent="0.35">
      <c r="A3" s="858" t="s">
        <v>477</v>
      </c>
      <c r="B3" s="858"/>
      <c r="C3" s="858"/>
      <c r="D3" s="858"/>
      <c r="E3" s="858"/>
      <c r="F3" s="858"/>
    </row>
    <row r="4" spans="1:8" ht="15.75" thickBot="1" x14ac:dyDescent="0.3"/>
    <row r="5" spans="1:8" ht="15.75" customHeight="1" thickBot="1" x14ac:dyDescent="0.3">
      <c r="A5" s="877" t="s">
        <v>161</v>
      </c>
      <c r="B5" s="878" t="s">
        <v>600</v>
      </c>
      <c r="C5" s="879" t="s">
        <v>481</v>
      </c>
      <c r="D5" s="879"/>
      <c r="E5" s="879"/>
      <c r="F5" s="879"/>
    </row>
    <row r="6" spans="1:8" s="378" customFormat="1" ht="72.75" customHeight="1" thickBot="1" x14ac:dyDescent="0.3">
      <c r="A6" s="877"/>
      <c r="B6" s="878"/>
      <c r="C6" s="643" t="s">
        <v>483</v>
      </c>
      <c r="D6" s="643" t="s">
        <v>479</v>
      </c>
      <c r="E6" s="643" t="s">
        <v>480</v>
      </c>
      <c r="F6" s="643" t="s">
        <v>199</v>
      </c>
    </row>
    <row r="7" spans="1:8" s="521" customFormat="1" ht="33.75" customHeight="1" thickBot="1" x14ac:dyDescent="0.3">
      <c r="A7" s="880" t="s">
        <v>482</v>
      </c>
      <c r="B7" s="881"/>
      <c r="C7" s="881"/>
      <c r="D7" s="881"/>
      <c r="E7" s="881"/>
      <c r="F7" s="882"/>
    </row>
    <row r="8" spans="1:8" s="521" customFormat="1" ht="33" customHeight="1" x14ac:dyDescent="0.25">
      <c r="A8" s="871" t="s">
        <v>478</v>
      </c>
      <c r="B8" s="872"/>
      <c r="C8" s="872"/>
      <c r="D8" s="872"/>
      <c r="E8" s="872"/>
      <c r="F8" s="873"/>
    </row>
    <row r="9" spans="1:8" s="521" customFormat="1" ht="41.25" customHeight="1" x14ac:dyDescent="0.25">
      <c r="A9" s="530" t="s">
        <v>73</v>
      </c>
      <c r="B9" s="525">
        <v>1128329</v>
      </c>
      <c r="C9" s="526"/>
      <c r="D9" s="526"/>
      <c r="E9" s="526">
        <v>1128329</v>
      </c>
      <c r="F9" s="526">
        <f t="shared" ref="F9" si="0">SUM(C9:E9)</f>
        <v>1128329</v>
      </c>
      <c r="G9" s="527">
        <f>SUM(F9-B9)</f>
        <v>0</v>
      </c>
    </row>
    <row r="10" spans="1:8" s="521" customFormat="1" ht="39" customHeight="1" x14ac:dyDescent="0.25">
      <c r="A10" s="528" t="s">
        <v>332</v>
      </c>
      <c r="B10" s="525">
        <f>25243956+998631</f>
        <v>26242587</v>
      </c>
      <c r="C10" s="526"/>
      <c r="D10" s="526">
        <f>25243956+998631</f>
        <v>26242587</v>
      </c>
      <c r="E10" s="526"/>
      <c r="F10" s="526">
        <f>SUM(C10:E10)</f>
        <v>26242587</v>
      </c>
      <c r="G10" s="527">
        <f t="shared" ref="G10:G36" si="1">SUM(F10-B10)</f>
        <v>0</v>
      </c>
    </row>
    <row r="11" spans="1:8" s="521" customFormat="1" ht="34.5" customHeight="1" x14ac:dyDescent="0.25">
      <c r="A11" s="528" t="s">
        <v>432</v>
      </c>
      <c r="B11" s="525">
        <f>7488950</f>
        <v>7488950</v>
      </c>
      <c r="C11" s="526"/>
      <c r="D11" s="526">
        <v>7488950</v>
      </c>
      <c r="E11" s="526"/>
      <c r="F11" s="526">
        <f t="shared" ref="F11:F64" si="2">SUM(C11:E11)</f>
        <v>7488950</v>
      </c>
      <c r="G11" s="527">
        <f t="shared" si="1"/>
        <v>0</v>
      </c>
    </row>
    <row r="12" spans="1:8" s="371" customFormat="1" ht="34.5" customHeight="1" x14ac:dyDescent="0.25">
      <c r="A12" s="529" t="s">
        <v>473</v>
      </c>
      <c r="B12" s="525">
        <f>24000000-24000000</f>
        <v>0</v>
      </c>
      <c r="C12" s="526"/>
      <c r="D12" s="526"/>
      <c r="E12" s="526">
        <f>24000000-24000000</f>
        <v>0</v>
      </c>
      <c r="F12" s="526">
        <f t="shared" si="2"/>
        <v>0</v>
      </c>
      <c r="G12" s="527">
        <f>SUM(F12-B12)</f>
        <v>0</v>
      </c>
      <c r="H12" s="385"/>
    </row>
    <row r="13" spans="1:8" s="371" customFormat="1" ht="34.5" customHeight="1" x14ac:dyDescent="0.25">
      <c r="A13" s="529" t="s">
        <v>601</v>
      </c>
      <c r="B13" s="525">
        <v>26261639</v>
      </c>
      <c r="C13" s="526"/>
      <c r="D13" s="526"/>
      <c r="E13" s="526">
        <v>26261639</v>
      </c>
      <c r="F13" s="526">
        <f t="shared" si="2"/>
        <v>26261639</v>
      </c>
      <c r="G13" s="527">
        <f>SUM(F13-B13)</f>
        <v>0</v>
      </c>
      <c r="H13" s="385"/>
    </row>
    <row r="14" spans="1:8" s="371" customFormat="1" ht="34.5" customHeight="1" x14ac:dyDescent="0.25">
      <c r="A14" s="529" t="s">
        <v>525</v>
      </c>
      <c r="B14" s="525">
        <f>SUM('[1]6. sz. melléklet'!P28)</f>
        <v>3365500</v>
      </c>
      <c r="C14" s="526"/>
      <c r="D14" s="526"/>
      <c r="E14" s="526">
        <v>3365500</v>
      </c>
      <c r="F14" s="526">
        <f t="shared" ref="F14:F15" si="3">SUM(C14:E14)</f>
        <v>3365500</v>
      </c>
      <c r="G14" s="527">
        <f>SUM(F14-B14)</f>
        <v>0</v>
      </c>
      <c r="H14" s="385"/>
    </row>
    <row r="15" spans="1:8" s="521" customFormat="1" ht="33" customHeight="1" x14ac:dyDescent="0.25">
      <c r="A15" s="529" t="s">
        <v>571</v>
      </c>
      <c r="B15" s="525">
        <f>SUM('[1]6. sz. melléklet'!P29)</f>
        <v>7429500</v>
      </c>
      <c r="C15" s="526">
        <v>7429500</v>
      </c>
      <c r="D15" s="526"/>
      <c r="E15" s="526"/>
      <c r="F15" s="526">
        <f t="shared" si="3"/>
        <v>7429500</v>
      </c>
      <c r="G15" s="527">
        <f t="shared" si="1"/>
        <v>0</v>
      </c>
    </row>
    <row r="16" spans="1:8" s="521" customFormat="1" ht="60" customHeight="1" x14ac:dyDescent="0.25">
      <c r="A16" s="529" t="s">
        <v>315</v>
      </c>
      <c r="B16" s="525">
        <f>SUM('[1]6. sz. melléklet'!P30)</f>
        <v>1310412</v>
      </c>
      <c r="C16" s="526"/>
      <c r="D16" s="526">
        <v>1310412</v>
      </c>
      <c r="E16" s="526"/>
      <c r="F16" s="526">
        <f>SUM(C16:E16)</f>
        <v>1310412</v>
      </c>
      <c r="G16" s="527">
        <f t="shared" si="1"/>
        <v>0</v>
      </c>
    </row>
    <row r="17" spans="1:7" s="521" customFormat="1" ht="33" customHeight="1" x14ac:dyDescent="0.25">
      <c r="A17" s="320" t="s">
        <v>81</v>
      </c>
      <c r="B17" s="456">
        <f>SUM('[1]6. sz. melléklet'!P31)</f>
        <v>359119576</v>
      </c>
      <c r="C17" s="523">
        <v>359119576</v>
      </c>
      <c r="D17" s="523"/>
      <c r="E17" s="523"/>
      <c r="F17" s="526">
        <f t="shared" si="2"/>
        <v>359119576</v>
      </c>
      <c r="G17" s="527">
        <f t="shared" si="1"/>
        <v>0</v>
      </c>
    </row>
    <row r="18" spans="1:7" s="521" customFormat="1" ht="33" customHeight="1" x14ac:dyDescent="0.25">
      <c r="A18" s="382" t="s">
        <v>316</v>
      </c>
      <c r="B18" s="456">
        <f>SUM('[1]6. sz. melléklet'!P32)</f>
        <v>22949432</v>
      </c>
      <c r="C18" s="523">
        <v>22949432</v>
      </c>
      <c r="D18" s="523"/>
      <c r="E18" s="523"/>
      <c r="F18" s="526">
        <f t="shared" si="2"/>
        <v>22949432</v>
      </c>
      <c r="G18" s="527">
        <f t="shared" si="1"/>
        <v>0</v>
      </c>
    </row>
    <row r="19" spans="1:7" s="521" customFormat="1" ht="33" customHeight="1" x14ac:dyDescent="0.25">
      <c r="A19" s="320" t="s">
        <v>377</v>
      </c>
      <c r="B19" s="523">
        <v>467415001</v>
      </c>
      <c r="C19" s="523">
        <v>467415001</v>
      </c>
      <c r="D19" s="523"/>
      <c r="E19" s="524"/>
      <c r="F19" s="526">
        <f t="shared" si="2"/>
        <v>467415001</v>
      </c>
      <c r="G19" s="527">
        <f t="shared" si="1"/>
        <v>0</v>
      </c>
    </row>
    <row r="20" spans="1:7" s="521" customFormat="1" ht="33" customHeight="1" x14ac:dyDescent="0.25">
      <c r="A20" s="128" t="s">
        <v>526</v>
      </c>
      <c r="B20" s="522">
        <f>SUM('[1]6. sz. melléklet'!P34)</f>
        <v>12611700</v>
      </c>
      <c r="C20" s="522">
        <v>12611700</v>
      </c>
      <c r="D20" s="522"/>
      <c r="E20" s="653"/>
      <c r="F20" s="526">
        <f t="shared" si="2"/>
        <v>12611700</v>
      </c>
      <c r="G20" s="527">
        <f t="shared" si="1"/>
        <v>0</v>
      </c>
    </row>
    <row r="21" spans="1:7" s="542" customFormat="1" ht="33" customHeight="1" x14ac:dyDescent="0.25">
      <c r="A21" s="128" t="s">
        <v>573</v>
      </c>
      <c r="B21" s="522">
        <f>SUM('[1]6. sz. melléklet'!P36)</f>
        <v>1270000</v>
      </c>
      <c r="C21" s="522"/>
      <c r="D21" s="522"/>
      <c r="E21" s="653">
        <v>1270000</v>
      </c>
      <c r="F21" s="526">
        <f t="shared" ref="F21" si="4">SUM(C21:E21)</f>
        <v>1270000</v>
      </c>
      <c r="G21" s="541">
        <f t="shared" si="1"/>
        <v>0</v>
      </c>
    </row>
    <row r="22" spans="1:7" s="521" customFormat="1" ht="33" customHeight="1" x14ac:dyDescent="0.25">
      <c r="A22" s="128" t="s">
        <v>574</v>
      </c>
      <c r="B22" s="522">
        <f>SUM('[1]6. sz. melléklet'!P37)</f>
        <v>1657000</v>
      </c>
      <c r="C22" s="522">
        <v>1657000</v>
      </c>
      <c r="D22" s="522"/>
      <c r="E22" s="653"/>
      <c r="F22" s="526">
        <f t="shared" ref="F22:F25" si="5">SUM(C22:E22)</f>
        <v>1657000</v>
      </c>
      <c r="G22" s="527">
        <f t="shared" si="1"/>
        <v>0</v>
      </c>
    </row>
    <row r="23" spans="1:7" s="542" customFormat="1" ht="33" customHeight="1" x14ac:dyDescent="0.25">
      <c r="A23" s="128" t="s">
        <v>575</v>
      </c>
      <c r="B23" s="522">
        <f>SUM('[1]6. sz. melléklet'!P50)</f>
        <v>9906000</v>
      </c>
      <c r="C23" s="522"/>
      <c r="D23" s="522"/>
      <c r="E23" s="653">
        <v>9906000</v>
      </c>
      <c r="F23" s="526">
        <f t="shared" si="5"/>
        <v>9906000</v>
      </c>
      <c r="G23" s="541">
        <f t="shared" si="1"/>
        <v>0</v>
      </c>
    </row>
    <row r="24" spans="1:7" s="521" customFormat="1" ht="33" customHeight="1" x14ac:dyDescent="0.25">
      <c r="A24" s="128" t="s">
        <v>602</v>
      </c>
      <c r="B24" s="522">
        <f>SUM('[1]6. sz. melléklet'!P96)</f>
        <v>19506764</v>
      </c>
      <c r="C24" s="522"/>
      <c r="D24" s="522"/>
      <c r="E24" s="653">
        <v>19506764</v>
      </c>
      <c r="F24" s="526">
        <f t="shared" si="5"/>
        <v>19506764</v>
      </c>
      <c r="G24" s="527">
        <f t="shared" si="1"/>
        <v>0</v>
      </c>
    </row>
    <row r="25" spans="1:7" s="542" customFormat="1" ht="33" customHeight="1" x14ac:dyDescent="0.25">
      <c r="A25" s="128" t="s">
        <v>578</v>
      </c>
      <c r="B25" s="522">
        <f>SUM('[1]6. sz. melléklet'!P97)</f>
        <v>8763000</v>
      </c>
      <c r="C25" s="522"/>
      <c r="D25" s="522"/>
      <c r="E25" s="653">
        <v>8763000</v>
      </c>
      <c r="F25" s="526">
        <f t="shared" si="5"/>
        <v>8763000</v>
      </c>
      <c r="G25" s="541">
        <f t="shared" si="1"/>
        <v>0</v>
      </c>
    </row>
    <row r="26" spans="1:7" s="521" customFormat="1" ht="32.25" customHeight="1" x14ac:dyDescent="0.25">
      <c r="A26" s="530" t="s">
        <v>364</v>
      </c>
      <c r="B26" s="525">
        <f>SUM('[1]6. sz. melléklet'!P64)</f>
        <v>9999980</v>
      </c>
      <c r="C26" s="526">
        <v>9999980</v>
      </c>
      <c r="D26" s="526"/>
      <c r="E26" s="526"/>
      <c r="F26" s="526">
        <f t="shared" si="2"/>
        <v>9999980</v>
      </c>
      <c r="G26" s="527">
        <f t="shared" si="1"/>
        <v>0</v>
      </c>
    </row>
    <row r="27" spans="1:7" s="542" customFormat="1" ht="33" customHeight="1" x14ac:dyDescent="0.25">
      <c r="A27" s="531" t="s">
        <v>359</v>
      </c>
      <c r="B27" s="525">
        <f>SUM('[1]6. sz. melléklet'!P72)</f>
        <v>1054003430</v>
      </c>
      <c r="C27" s="526">
        <v>1054003430</v>
      </c>
      <c r="D27" s="526"/>
      <c r="E27" s="526"/>
      <c r="F27" s="526">
        <f t="shared" si="2"/>
        <v>1054003430</v>
      </c>
      <c r="G27" s="541">
        <f t="shared" si="1"/>
        <v>0</v>
      </c>
    </row>
    <row r="28" spans="1:7" s="534" customFormat="1" ht="33" customHeight="1" x14ac:dyDescent="0.25">
      <c r="A28" s="530" t="s">
        <v>474</v>
      </c>
      <c r="B28" s="525">
        <f>SUM('[1]6. sz. melléklet'!P99)</f>
        <v>10450000</v>
      </c>
      <c r="C28" s="526">
        <v>10450000</v>
      </c>
      <c r="D28" s="526"/>
      <c r="E28" s="526"/>
      <c r="F28" s="526">
        <f t="shared" si="2"/>
        <v>10450000</v>
      </c>
      <c r="G28" s="533">
        <f t="shared" si="1"/>
        <v>0</v>
      </c>
    </row>
    <row r="29" spans="1:7" s="542" customFormat="1" ht="33" customHeight="1" x14ac:dyDescent="0.25">
      <c r="A29" s="530" t="s">
        <v>531</v>
      </c>
      <c r="B29" s="525">
        <f>SUM('[1]6. sz. melléklet'!P134)</f>
        <v>725400</v>
      </c>
      <c r="C29" s="526">
        <v>725400</v>
      </c>
      <c r="D29" s="526"/>
      <c r="E29" s="526"/>
      <c r="F29" s="526">
        <f t="shared" si="2"/>
        <v>725400</v>
      </c>
      <c r="G29" s="541">
        <f t="shared" si="1"/>
        <v>0</v>
      </c>
    </row>
    <row r="30" spans="1:7" s="521" customFormat="1" ht="15.75" customHeight="1" x14ac:dyDescent="0.25">
      <c r="A30" s="530" t="s">
        <v>317</v>
      </c>
      <c r="B30" s="525">
        <v>99822</v>
      </c>
      <c r="C30" s="526">
        <v>99822</v>
      </c>
      <c r="D30" s="526"/>
      <c r="E30" s="526"/>
      <c r="F30" s="526">
        <f t="shared" si="2"/>
        <v>99822</v>
      </c>
      <c r="G30" s="527" t="e">
        <f>SUM(A30-B30)</f>
        <v>#VALUE!</v>
      </c>
    </row>
    <row r="31" spans="1:7" s="538" customFormat="1" ht="33" customHeight="1" x14ac:dyDescent="0.25">
      <c r="A31" s="532" t="s">
        <v>367</v>
      </c>
      <c r="B31" s="525">
        <f>SUM('[1]6. sz. melléklet'!P140)</f>
        <v>69298170</v>
      </c>
      <c r="C31" s="526"/>
      <c r="D31" s="526">
        <v>69298170</v>
      </c>
      <c r="E31" s="526"/>
      <c r="F31" s="526">
        <f t="shared" si="2"/>
        <v>69298170</v>
      </c>
      <c r="G31" s="537">
        <f t="shared" si="1"/>
        <v>0</v>
      </c>
    </row>
    <row r="32" spans="1:7" s="521" customFormat="1" ht="33" customHeight="1" x14ac:dyDescent="0.25">
      <c r="A32" s="654" t="s">
        <v>353</v>
      </c>
      <c r="B32" s="655">
        <f>SUM('[1]6. sz. melléklet'!P142)</f>
        <v>20363882</v>
      </c>
      <c r="C32" s="522"/>
      <c r="D32" s="522"/>
      <c r="E32" s="522">
        <v>20363882</v>
      </c>
      <c r="F32" s="526">
        <f t="shared" ref="F32" si="6">SUM(C32:E32)</f>
        <v>20363882</v>
      </c>
      <c r="G32" s="527" t="e">
        <f>SUM(A32-B32)</f>
        <v>#VALUE!</v>
      </c>
    </row>
    <row r="33" spans="1:8" s="538" customFormat="1" ht="33.75" customHeight="1" x14ac:dyDescent="0.25">
      <c r="A33" s="530" t="s">
        <v>337</v>
      </c>
      <c r="B33" s="525">
        <f>SUM('[1]6. sz. melléklet'!P147)</f>
        <v>14051071</v>
      </c>
      <c r="C33" s="526">
        <v>14051071</v>
      </c>
      <c r="D33" s="526"/>
      <c r="E33" s="526"/>
      <c r="F33" s="526">
        <f t="shared" si="2"/>
        <v>14051071</v>
      </c>
    </row>
    <row r="34" spans="1:8" s="542" customFormat="1" ht="33" customHeight="1" x14ac:dyDescent="0.25">
      <c r="A34" s="531" t="s">
        <v>341</v>
      </c>
      <c r="B34" s="525">
        <f>SUM('[1]6. sz. melléklet'!P155)</f>
        <v>7518400</v>
      </c>
      <c r="C34" s="526"/>
      <c r="D34" s="526"/>
      <c r="E34" s="526">
        <v>7518400</v>
      </c>
      <c r="F34" s="526">
        <f t="shared" ref="F34" si="7">SUM(C34:E34)</f>
        <v>7518400</v>
      </c>
    </row>
    <row r="35" spans="1:8" s="534" customFormat="1" ht="33" customHeight="1" x14ac:dyDescent="0.25">
      <c r="A35" s="539" t="s">
        <v>484</v>
      </c>
      <c r="B35" s="540">
        <f>SUM(B9:B34)</f>
        <v>2162935545</v>
      </c>
      <c r="C35" s="540">
        <f t="shared" ref="C35:F35" si="8">SUM(C9:C34)</f>
        <v>1960511912</v>
      </c>
      <c r="D35" s="540">
        <f t="shared" si="8"/>
        <v>104340119</v>
      </c>
      <c r="E35" s="540">
        <f t="shared" si="8"/>
        <v>98083514</v>
      </c>
      <c r="F35" s="540">
        <f t="shared" si="8"/>
        <v>2162935545</v>
      </c>
      <c r="G35" s="533">
        <f t="shared" si="1"/>
        <v>0</v>
      </c>
    </row>
    <row r="36" spans="1:8" s="521" customFormat="1" ht="34.5" customHeight="1" x14ac:dyDescent="0.25">
      <c r="A36" s="859"/>
      <c r="B36" s="860"/>
      <c r="C36" s="860"/>
      <c r="D36" s="860"/>
      <c r="E36" s="860"/>
      <c r="F36" s="861"/>
      <c r="G36" s="527">
        <f t="shared" si="1"/>
        <v>0</v>
      </c>
    </row>
    <row r="37" spans="1:8" s="371" customFormat="1" ht="30" customHeight="1" x14ac:dyDescent="0.25">
      <c r="A37" s="862" t="s">
        <v>127</v>
      </c>
      <c r="B37" s="863"/>
      <c r="C37" s="863"/>
      <c r="D37" s="863"/>
      <c r="E37" s="863"/>
      <c r="F37" s="864"/>
      <c r="G37" s="527">
        <f>SUM(F37-B37)</f>
        <v>0</v>
      </c>
      <c r="H37" s="385"/>
    </row>
    <row r="38" spans="1:8" s="371" customFormat="1" ht="30" customHeight="1" x14ac:dyDescent="0.25">
      <c r="A38" s="530" t="s">
        <v>603</v>
      </c>
      <c r="B38" s="525">
        <v>9329078</v>
      </c>
      <c r="C38" s="526"/>
      <c r="D38" s="526">
        <v>9329078</v>
      </c>
      <c r="E38" s="526"/>
      <c r="F38" s="526">
        <f t="shared" ref="F38" si="9">SUM(C38:E38)</f>
        <v>9329078</v>
      </c>
      <c r="G38" s="527">
        <f>SUM(F38-B38)</f>
        <v>0</v>
      </c>
      <c r="H38" s="385"/>
    </row>
    <row r="39" spans="1:8" s="371" customFormat="1" ht="41.25" customHeight="1" x14ac:dyDescent="0.25">
      <c r="A39" s="539" t="s">
        <v>604</v>
      </c>
      <c r="B39" s="540">
        <f>SUM(B38)</f>
        <v>9329078</v>
      </c>
      <c r="C39" s="540">
        <f t="shared" ref="C39:F39" si="10">SUM(C38)</f>
        <v>0</v>
      </c>
      <c r="D39" s="540">
        <f t="shared" si="10"/>
        <v>9329078</v>
      </c>
      <c r="E39" s="540">
        <f t="shared" si="10"/>
        <v>0</v>
      </c>
      <c r="F39" s="540">
        <f t="shared" si="10"/>
        <v>9329078</v>
      </c>
      <c r="G39" s="527">
        <f>SUM(F39-B39)</f>
        <v>0</v>
      </c>
      <c r="H39" s="385"/>
    </row>
    <row r="40" spans="1:8" s="371" customFormat="1" ht="33.75" customHeight="1" x14ac:dyDescent="0.25">
      <c r="A40" s="859"/>
      <c r="B40" s="860"/>
      <c r="C40" s="860"/>
      <c r="D40" s="860"/>
      <c r="E40" s="860"/>
      <c r="F40" s="861"/>
      <c r="G40" s="527">
        <f>SUM(F40-B40)</f>
        <v>0</v>
      </c>
      <c r="H40" s="385"/>
    </row>
    <row r="41" spans="1:8" s="542" customFormat="1" ht="33" customHeight="1" x14ac:dyDescent="0.25">
      <c r="A41" s="862" t="s">
        <v>485</v>
      </c>
      <c r="B41" s="863"/>
      <c r="C41" s="863"/>
      <c r="D41" s="863"/>
      <c r="E41" s="863"/>
      <c r="F41" s="864"/>
      <c r="G41" s="541">
        <f t="shared" ref="G41:G47" si="11">SUM(F41-B41)</f>
        <v>0</v>
      </c>
    </row>
    <row r="42" spans="1:8" s="521" customFormat="1" ht="31.5" customHeight="1" x14ac:dyDescent="0.25">
      <c r="A42" s="530" t="s">
        <v>486</v>
      </c>
      <c r="B42" s="525">
        <v>2299000</v>
      </c>
      <c r="C42" s="526"/>
      <c r="D42" s="526">
        <v>1299000</v>
      </c>
      <c r="E42" s="526">
        <v>1000000</v>
      </c>
      <c r="F42" s="526">
        <f t="shared" si="2"/>
        <v>2299000</v>
      </c>
      <c r="G42" s="527">
        <f t="shared" si="11"/>
        <v>0</v>
      </c>
    </row>
    <row r="43" spans="1:8" s="542" customFormat="1" ht="33" customHeight="1" x14ac:dyDescent="0.25">
      <c r="A43" s="530" t="s">
        <v>605</v>
      </c>
      <c r="B43" s="525">
        <v>3764805</v>
      </c>
      <c r="C43" s="526"/>
      <c r="D43" s="526"/>
      <c r="E43" s="526">
        <v>3764805</v>
      </c>
      <c r="F43" s="526">
        <f t="shared" ref="F43" si="12">SUM(C43:E43)</f>
        <v>3764805</v>
      </c>
      <c r="G43" s="541">
        <f t="shared" si="11"/>
        <v>0</v>
      </c>
    </row>
    <row r="44" spans="1:8" s="521" customFormat="1" ht="33" customHeight="1" x14ac:dyDescent="0.25">
      <c r="A44" s="539" t="s">
        <v>487</v>
      </c>
      <c r="B44" s="540">
        <f>SUM(B42:B43)</f>
        <v>6063805</v>
      </c>
      <c r="C44" s="540">
        <f t="shared" ref="C44:F44" si="13">SUM(C42:C43)</f>
        <v>0</v>
      </c>
      <c r="D44" s="540">
        <f t="shared" si="13"/>
        <v>1299000</v>
      </c>
      <c r="E44" s="540">
        <f t="shared" si="13"/>
        <v>4764805</v>
      </c>
      <c r="F44" s="540">
        <f t="shared" si="13"/>
        <v>6063805</v>
      </c>
      <c r="G44" s="527">
        <f t="shared" si="11"/>
        <v>0</v>
      </c>
    </row>
    <row r="45" spans="1:8" s="542" customFormat="1" ht="33" customHeight="1" x14ac:dyDescent="0.25">
      <c r="A45" s="859"/>
      <c r="B45" s="860"/>
      <c r="C45" s="860"/>
      <c r="D45" s="860"/>
      <c r="E45" s="860"/>
      <c r="F45" s="861"/>
      <c r="G45" s="541">
        <f t="shared" si="11"/>
        <v>0</v>
      </c>
    </row>
    <row r="46" spans="1:8" s="521" customFormat="1" ht="27.75" customHeight="1" x14ac:dyDescent="0.25">
      <c r="A46" s="862" t="s">
        <v>606</v>
      </c>
      <c r="B46" s="863"/>
      <c r="C46" s="863"/>
      <c r="D46" s="863"/>
      <c r="E46" s="863"/>
      <c r="F46" s="864"/>
      <c r="G46" s="527">
        <f t="shared" si="11"/>
        <v>0</v>
      </c>
    </row>
    <row r="47" spans="1:8" s="538" customFormat="1" ht="33" customHeight="1" x14ac:dyDescent="0.25">
      <c r="A47" s="530" t="s">
        <v>603</v>
      </c>
      <c r="B47" s="525">
        <v>2761082</v>
      </c>
      <c r="C47" s="526"/>
      <c r="D47" s="526"/>
      <c r="E47" s="526">
        <v>2761082</v>
      </c>
      <c r="F47" s="526">
        <f t="shared" ref="F47:F48" si="14">SUM(C47:E47)</f>
        <v>2761082</v>
      </c>
      <c r="G47" s="537">
        <f t="shared" si="11"/>
        <v>0</v>
      </c>
    </row>
    <row r="48" spans="1:8" s="383" customFormat="1" ht="39.75" customHeight="1" x14ac:dyDescent="0.25">
      <c r="A48" s="530" t="s">
        <v>607</v>
      </c>
      <c r="B48" s="525">
        <v>7237247</v>
      </c>
      <c r="C48" s="526">
        <v>7237247</v>
      </c>
      <c r="D48" s="526"/>
      <c r="E48" s="526"/>
      <c r="F48" s="526">
        <f t="shared" si="14"/>
        <v>7237247</v>
      </c>
      <c r="G48" s="527"/>
    </row>
    <row r="49" spans="1:7" s="383" customFormat="1" ht="39.75" customHeight="1" x14ac:dyDescent="0.25">
      <c r="A49" s="539" t="s">
        <v>608</v>
      </c>
      <c r="B49" s="540">
        <f>SUM(B47:B48)</f>
        <v>9998329</v>
      </c>
      <c r="C49" s="540">
        <f t="shared" ref="C49:F49" si="15">SUM(C47:C48)</f>
        <v>7237247</v>
      </c>
      <c r="D49" s="540">
        <f t="shared" si="15"/>
        <v>0</v>
      </c>
      <c r="E49" s="540">
        <f t="shared" si="15"/>
        <v>2761082</v>
      </c>
      <c r="F49" s="540">
        <f t="shared" si="15"/>
        <v>9998329</v>
      </c>
      <c r="G49" s="527"/>
    </row>
    <row r="50" spans="1:7" s="371" customFormat="1" ht="15.75" x14ac:dyDescent="0.25">
      <c r="A50" s="859"/>
      <c r="B50" s="860"/>
      <c r="C50" s="860"/>
      <c r="D50" s="860"/>
      <c r="E50" s="860"/>
      <c r="F50" s="861"/>
      <c r="G50" s="527"/>
    </row>
    <row r="51" spans="1:7" s="371" customFormat="1" ht="15.75" x14ac:dyDescent="0.25">
      <c r="A51" s="862" t="s">
        <v>488</v>
      </c>
      <c r="B51" s="863"/>
      <c r="C51" s="863"/>
      <c r="D51" s="863"/>
      <c r="E51" s="863"/>
      <c r="F51" s="864"/>
      <c r="G51" s="527"/>
    </row>
    <row r="52" spans="1:7" s="371" customFormat="1" ht="15.75" x14ac:dyDescent="0.25">
      <c r="A52" s="530" t="s">
        <v>603</v>
      </c>
      <c r="B52" s="525">
        <v>2349331</v>
      </c>
      <c r="C52" s="526"/>
      <c r="D52" s="526"/>
      <c r="E52" s="526">
        <v>2349331</v>
      </c>
      <c r="F52" s="526">
        <f t="shared" si="2"/>
        <v>2349331</v>
      </c>
      <c r="G52" s="527"/>
    </row>
    <row r="53" spans="1:7" s="371" customFormat="1" ht="15.75" x14ac:dyDescent="0.25">
      <c r="A53" s="539" t="s">
        <v>489</v>
      </c>
      <c r="B53" s="540">
        <f>SUM(B52)</f>
        <v>2349331</v>
      </c>
      <c r="C53" s="540">
        <f t="shared" ref="C53:F53" si="16">SUM(C52)</f>
        <v>0</v>
      </c>
      <c r="D53" s="540">
        <f t="shared" si="16"/>
        <v>0</v>
      </c>
      <c r="E53" s="540">
        <f t="shared" si="16"/>
        <v>2349331</v>
      </c>
      <c r="F53" s="540">
        <f t="shared" si="16"/>
        <v>2349331</v>
      </c>
      <c r="G53" s="527"/>
    </row>
    <row r="54" spans="1:7" s="371" customFormat="1" ht="15.75" x14ac:dyDescent="0.25">
      <c r="A54" s="874"/>
      <c r="B54" s="875"/>
      <c r="C54" s="875"/>
      <c r="D54" s="875"/>
      <c r="E54" s="875"/>
      <c r="F54" s="876"/>
      <c r="G54" s="527"/>
    </row>
    <row r="55" spans="1:7" s="371" customFormat="1" ht="15.75" x14ac:dyDescent="0.25">
      <c r="A55" s="862" t="s">
        <v>427</v>
      </c>
      <c r="B55" s="863"/>
      <c r="C55" s="863"/>
      <c r="D55" s="863"/>
      <c r="E55" s="863"/>
      <c r="F55" s="864"/>
      <c r="G55" s="527"/>
    </row>
    <row r="56" spans="1:7" s="371" customFormat="1" ht="15.75" x14ac:dyDescent="0.25">
      <c r="A56" s="530" t="s">
        <v>603</v>
      </c>
      <c r="B56" s="525">
        <v>2426000</v>
      </c>
      <c r="C56" s="526"/>
      <c r="D56" s="526"/>
      <c r="E56" s="526">
        <v>2426000</v>
      </c>
      <c r="F56" s="526">
        <f t="shared" ref="F56" si="17">SUM(C56:E56)</f>
        <v>2426000</v>
      </c>
      <c r="G56" s="527"/>
    </row>
    <row r="57" spans="1:7" s="371" customFormat="1" ht="15.75" x14ac:dyDescent="0.25">
      <c r="A57" s="539" t="s">
        <v>609</v>
      </c>
      <c r="B57" s="540">
        <f>SUM(B56)</f>
        <v>2426000</v>
      </c>
      <c r="C57" s="540">
        <f t="shared" ref="C57:F57" si="18">SUM(C56)</f>
        <v>0</v>
      </c>
      <c r="D57" s="540">
        <f t="shared" si="18"/>
        <v>0</v>
      </c>
      <c r="E57" s="540">
        <f t="shared" si="18"/>
        <v>2426000</v>
      </c>
      <c r="F57" s="540">
        <f t="shared" si="18"/>
        <v>2426000</v>
      </c>
      <c r="G57" s="527"/>
    </row>
    <row r="58" spans="1:7" s="371" customFormat="1" ht="15.75" x14ac:dyDescent="0.25">
      <c r="A58" s="874" t="s">
        <v>610</v>
      </c>
      <c r="B58" s="875"/>
      <c r="C58" s="875"/>
      <c r="D58" s="875"/>
      <c r="E58" s="875"/>
      <c r="F58" s="876"/>
      <c r="G58" s="527"/>
    </row>
    <row r="59" spans="1:7" s="371" customFormat="1" ht="15.75" x14ac:dyDescent="0.25">
      <c r="A59" s="535" t="s">
        <v>490</v>
      </c>
      <c r="B59" s="536">
        <f>SUM(B53+B44+B35+B57+B39+B49)</f>
        <v>2193102088</v>
      </c>
      <c r="C59" s="536">
        <f t="shared" ref="C59:F59" si="19">SUM(C53+C44+C35+C57+C39+C49)</f>
        <v>1967749159</v>
      </c>
      <c r="D59" s="536">
        <f t="shared" si="19"/>
        <v>114968197</v>
      </c>
      <c r="E59" s="536">
        <f t="shared" si="19"/>
        <v>110384732</v>
      </c>
      <c r="F59" s="536">
        <f t="shared" si="19"/>
        <v>2193102088</v>
      </c>
      <c r="G59" s="527"/>
    </row>
    <row r="60" spans="1:7" s="371" customFormat="1" ht="16.5" thickBot="1" x14ac:dyDescent="0.3">
      <c r="A60" s="865"/>
      <c r="B60" s="866"/>
      <c r="C60" s="866"/>
      <c r="D60" s="866"/>
      <c r="E60" s="866"/>
      <c r="F60" s="867"/>
      <c r="G60" s="527"/>
    </row>
    <row r="61" spans="1:7" s="371" customFormat="1" ht="16.5" thickBot="1" x14ac:dyDescent="0.3">
      <c r="A61" s="868" t="s">
        <v>491</v>
      </c>
      <c r="B61" s="869"/>
      <c r="C61" s="869"/>
      <c r="D61" s="869"/>
      <c r="E61" s="869"/>
      <c r="F61" s="870"/>
      <c r="G61" s="527"/>
    </row>
    <row r="62" spans="1:7" s="371" customFormat="1" ht="15.75" x14ac:dyDescent="0.25">
      <c r="A62" s="871" t="s">
        <v>478</v>
      </c>
      <c r="B62" s="872"/>
      <c r="C62" s="872"/>
      <c r="D62" s="872"/>
      <c r="E62" s="872"/>
      <c r="F62" s="873"/>
    </row>
    <row r="63" spans="1:7" s="371" customFormat="1" ht="15.75" x14ac:dyDescent="0.25">
      <c r="A63" s="530" t="s">
        <v>73</v>
      </c>
      <c r="B63" s="525">
        <v>506764</v>
      </c>
      <c r="C63" s="526"/>
      <c r="D63" s="526"/>
      <c r="E63" s="526">
        <v>506764</v>
      </c>
      <c r="F63" s="526">
        <f t="shared" ref="F63" si="20">SUM(C63:E63)</f>
        <v>506764</v>
      </c>
    </row>
    <row r="64" spans="1:7" s="371" customFormat="1" ht="15.75" x14ac:dyDescent="0.25">
      <c r="A64" s="530" t="s">
        <v>492</v>
      </c>
      <c r="B64" s="525">
        <v>19000000</v>
      </c>
      <c r="C64" s="526"/>
      <c r="D64" s="526"/>
      <c r="E64" s="526">
        <v>19000000</v>
      </c>
      <c r="F64" s="526">
        <f t="shared" si="2"/>
        <v>19000000</v>
      </c>
    </row>
    <row r="65" spans="1:6" s="371" customFormat="1" ht="15.75" x14ac:dyDescent="0.25">
      <c r="A65" s="529" t="s">
        <v>542</v>
      </c>
      <c r="B65" s="525">
        <v>35650165</v>
      </c>
      <c r="C65" s="526"/>
      <c r="D65" s="526">
        <v>35650165</v>
      </c>
      <c r="E65" s="526"/>
      <c r="F65" s="526">
        <f t="shared" ref="F65" si="21">SUM(C65:E65)</f>
        <v>35650165</v>
      </c>
    </row>
    <row r="66" spans="1:6" s="371" customFormat="1" ht="31.5" x14ac:dyDescent="0.25">
      <c r="A66" s="529" t="s">
        <v>315</v>
      </c>
      <c r="B66" s="525">
        <f>SUM('[1]6. sz. melléklet'!R30)</f>
        <v>543664320</v>
      </c>
      <c r="C66" s="526"/>
      <c r="D66" s="526">
        <v>543664320</v>
      </c>
      <c r="E66" s="526"/>
      <c r="F66" s="526">
        <f>SUM(C66:E66)</f>
        <v>543664320</v>
      </c>
    </row>
    <row r="67" spans="1:6" s="371" customFormat="1" ht="15.75" x14ac:dyDescent="0.25">
      <c r="A67" s="320" t="s">
        <v>81</v>
      </c>
      <c r="B67" s="456">
        <f>SUM('[1]6. sz. melléklet'!R31)</f>
        <v>30300686</v>
      </c>
      <c r="C67" s="523">
        <v>30300686</v>
      </c>
      <c r="D67" s="523"/>
      <c r="E67" s="523"/>
      <c r="F67" s="526">
        <f t="shared" ref="F67:F84" si="22">SUM(C67:E67)</f>
        <v>30300686</v>
      </c>
    </row>
    <row r="68" spans="1:6" s="371" customFormat="1" ht="31.5" x14ac:dyDescent="0.25">
      <c r="A68" s="128" t="s">
        <v>526</v>
      </c>
      <c r="B68" s="655">
        <f>SUM('[1]6. sz. melléklet'!R34)</f>
        <v>236903700</v>
      </c>
      <c r="C68" s="522">
        <v>236903700</v>
      </c>
      <c r="D68" s="522"/>
      <c r="E68" s="522"/>
      <c r="F68" s="526">
        <f t="shared" si="22"/>
        <v>236903700</v>
      </c>
    </row>
    <row r="69" spans="1:6" ht="47.25" x14ac:dyDescent="0.25">
      <c r="A69" s="531" t="s">
        <v>359</v>
      </c>
      <c r="B69" s="525">
        <f>SUM('[1]6. sz. melléklet'!R72)</f>
        <v>103143693</v>
      </c>
      <c r="C69" s="526">
        <v>103143693</v>
      </c>
      <c r="D69" s="526"/>
      <c r="E69" s="526"/>
      <c r="F69" s="526">
        <f t="shared" si="22"/>
        <v>103143693</v>
      </c>
    </row>
    <row r="70" spans="1:6" ht="15.75" x14ac:dyDescent="0.25">
      <c r="A70" s="380" t="s">
        <v>358</v>
      </c>
      <c r="B70" s="522">
        <f>SUM('[1]6. sz. melléklet'!R95)</f>
        <v>352142889</v>
      </c>
      <c r="C70" s="522">
        <v>352142889</v>
      </c>
      <c r="D70" s="522"/>
      <c r="E70" s="522"/>
      <c r="F70" s="526">
        <f t="shared" si="22"/>
        <v>352142889</v>
      </c>
    </row>
    <row r="71" spans="1:6" ht="15.75" x14ac:dyDescent="0.25">
      <c r="A71" s="381" t="s">
        <v>82</v>
      </c>
      <c r="B71" s="523">
        <f>SUM('[1]6. sz. melléklet'!R98)</f>
        <v>192885553</v>
      </c>
      <c r="C71" s="523">
        <v>192885553</v>
      </c>
      <c r="D71" s="523"/>
      <c r="E71" s="523"/>
      <c r="F71" s="526">
        <f t="shared" si="22"/>
        <v>192885553</v>
      </c>
    </row>
    <row r="72" spans="1:6" ht="15.75" x14ac:dyDescent="0.25">
      <c r="A72" s="417" t="s">
        <v>378</v>
      </c>
      <c r="B72" s="523">
        <v>4500000</v>
      </c>
      <c r="C72" s="523">
        <v>4500000</v>
      </c>
      <c r="D72" s="523"/>
      <c r="E72" s="523"/>
      <c r="F72" s="526">
        <f t="shared" si="22"/>
        <v>4500000</v>
      </c>
    </row>
    <row r="73" spans="1:6" ht="15.75" x14ac:dyDescent="0.25">
      <c r="A73" s="417" t="s">
        <v>528</v>
      </c>
      <c r="B73" s="523">
        <f>SUM('[1]6. sz. melléklet'!R131)</f>
        <v>18868263</v>
      </c>
      <c r="C73" s="523">
        <v>15000000</v>
      </c>
      <c r="D73" s="523"/>
      <c r="E73" s="523">
        <v>3868263</v>
      </c>
      <c r="F73" s="526">
        <f t="shared" si="22"/>
        <v>18868263</v>
      </c>
    </row>
    <row r="74" spans="1:6" ht="15.75" x14ac:dyDescent="0.25">
      <c r="A74" s="382" t="s">
        <v>360</v>
      </c>
      <c r="B74" s="456">
        <f>SUM('[1]6. sz. melléklet'!R137)</f>
        <v>123968960</v>
      </c>
      <c r="C74" s="523">
        <v>123968960</v>
      </c>
      <c r="D74" s="523"/>
      <c r="E74" s="523"/>
      <c r="F74" s="526">
        <f t="shared" si="22"/>
        <v>123968960</v>
      </c>
    </row>
    <row r="75" spans="1:6" ht="15.75" x14ac:dyDescent="0.25">
      <c r="A75" s="654" t="s">
        <v>353</v>
      </c>
      <c r="B75" s="655">
        <f>SUM('[1]6. sz. melléklet'!R142)</f>
        <v>101433182</v>
      </c>
      <c r="C75" s="522"/>
      <c r="D75" s="522"/>
      <c r="E75" s="522">
        <v>101433182</v>
      </c>
      <c r="F75" s="526">
        <f t="shared" ref="F75:F76" si="23">SUM(C75:E75)</f>
        <v>101433182</v>
      </c>
    </row>
    <row r="76" spans="1:6" ht="31.5" x14ac:dyDescent="0.25">
      <c r="A76" s="532" t="s">
        <v>367</v>
      </c>
      <c r="B76" s="525">
        <f>SUM('[1]6. sz. melléklet'!R140)</f>
        <v>21948500</v>
      </c>
      <c r="C76" s="526"/>
      <c r="D76" s="526">
        <v>21948500</v>
      </c>
      <c r="E76" s="526"/>
      <c r="F76" s="526">
        <f t="shared" si="23"/>
        <v>21948500</v>
      </c>
    </row>
    <row r="77" spans="1:6" ht="15.75" x14ac:dyDescent="0.25">
      <c r="A77" s="539" t="s">
        <v>484</v>
      </c>
      <c r="B77" s="540">
        <f>SUM(B63:B76)</f>
        <v>1784916675</v>
      </c>
      <c r="C77" s="540">
        <f t="shared" ref="C77:F77" si="24">SUM(C63:C76)</f>
        <v>1058845481</v>
      </c>
      <c r="D77" s="540">
        <f t="shared" si="24"/>
        <v>601262985</v>
      </c>
      <c r="E77" s="540">
        <f t="shared" si="24"/>
        <v>124808209</v>
      </c>
      <c r="F77" s="540">
        <f t="shared" si="24"/>
        <v>1784916675</v>
      </c>
    </row>
    <row r="78" spans="1:6" ht="15.75" x14ac:dyDescent="0.25">
      <c r="A78" s="859"/>
      <c r="B78" s="860"/>
      <c r="C78" s="860"/>
      <c r="D78" s="860"/>
      <c r="E78" s="860"/>
      <c r="F78" s="861"/>
    </row>
    <row r="79" spans="1:6" ht="15.75" x14ac:dyDescent="0.25">
      <c r="A79" s="862" t="s">
        <v>127</v>
      </c>
      <c r="B79" s="863"/>
      <c r="C79" s="863"/>
      <c r="D79" s="863"/>
      <c r="E79" s="863"/>
      <c r="F79" s="864"/>
    </row>
    <row r="80" spans="1:6" ht="15.75" x14ac:dyDescent="0.25">
      <c r="A80" s="530" t="s">
        <v>611</v>
      </c>
      <c r="B80" s="525">
        <v>2300429</v>
      </c>
      <c r="C80" s="526"/>
      <c r="D80" s="526">
        <v>2300429</v>
      </c>
      <c r="E80" s="526"/>
      <c r="F80" s="526">
        <f t="shared" ref="F80" si="25">SUM(C80:E80)</f>
        <v>2300429</v>
      </c>
    </row>
    <row r="81" spans="1:6" ht="15.75" x14ac:dyDescent="0.25">
      <c r="A81" s="539" t="s">
        <v>604</v>
      </c>
      <c r="B81" s="540">
        <f>SUM(B80)</f>
        <v>2300429</v>
      </c>
      <c r="C81" s="540">
        <f t="shared" ref="C81:F81" si="26">SUM(C80)</f>
        <v>0</v>
      </c>
      <c r="D81" s="540">
        <f t="shared" si="26"/>
        <v>2300429</v>
      </c>
      <c r="E81" s="540">
        <f t="shared" si="26"/>
        <v>0</v>
      </c>
      <c r="F81" s="540">
        <f t="shared" si="26"/>
        <v>2300429</v>
      </c>
    </row>
    <row r="82" spans="1:6" ht="15.75" x14ac:dyDescent="0.25">
      <c r="A82" s="859"/>
      <c r="B82" s="860"/>
      <c r="C82" s="860"/>
      <c r="D82" s="860"/>
      <c r="E82" s="860"/>
      <c r="F82" s="861"/>
    </row>
    <row r="83" spans="1:6" ht="15.75" x14ac:dyDescent="0.25">
      <c r="A83" s="862" t="s">
        <v>485</v>
      </c>
      <c r="B83" s="863"/>
      <c r="C83" s="863"/>
      <c r="D83" s="863"/>
      <c r="E83" s="863"/>
      <c r="F83" s="864"/>
    </row>
    <row r="84" spans="1:6" ht="15.75" x14ac:dyDescent="0.25">
      <c r="A84" s="530" t="s">
        <v>493</v>
      </c>
      <c r="B84" s="525">
        <v>8800000</v>
      </c>
      <c r="C84" s="526">
        <v>8800000</v>
      </c>
      <c r="D84" s="526"/>
      <c r="E84" s="526"/>
      <c r="F84" s="526">
        <f t="shared" si="22"/>
        <v>8800000</v>
      </c>
    </row>
    <row r="85" spans="1:6" ht="15.75" x14ac:dyDescent="0.25">
      <c r="A85" s="530" t="s">
        <v>612</v>
      </c>
      <c r="B85" s="525">
        <v>446287</v>
      </c>
      <c r="C85" s="526"/>
      <c r="D85" s="526"/>
      <c r="E85" s="526">
        <v>446287</v>
      </c>
      <c r="F85" s="526">
        <f t="shared" ref="F85" si="27">SUM(C85:E85)</f>
        <v>446287</v>
      </c>
    </row>
    <row r="86" spans="1:6" ht="15.75" x14ac:dyDescent="0.25">
      <c r="A86" s="539" t="s">
        <v>487</v>
      </c>
      <c r="B86" s="540">
        <f>SUM(B84:B85)</f>
        <v>9246287</v>
      </c>
      <c r="C86" s="540">
        <f t="shared" ref="C86:F86" si="28">SUM(C84:C85)</f>
        <v>8800000</v>
      </c>
      <c r="D86" s="540">
        <f t="shared" si="28"/>
        <v>0</v>
      </c>
      <c r="E86" s="540">
        <f t="shared" si="28"/>
        <v>446287</v>
      </c>
      <c r="F86" s="540">
        <f t="shared" si="28"/>
        <v>9246287</v>
      </c>
    </row>
    <row r="87" spans="1:6" ht="15.75" x14ac:dyDescent="0.25">
      <c r="A87" s="859"/>
      <c r="B87" s="860"/>
      <c r="C87" s="860"/>
      <c r="D87" s="860"/>
      <c r="E87" s="860"/>
      <c r="F87" s="861"/>
    </row>
    <row r="88" spans="1:6" ht="15.75" x14ac:dyDescent="0.25">
      <c r="A88" s="862" t="s">
        <v>606</v>
      </c>
      <c r="B88" s="863"/>
      <c r="C88" s="863"/>
      <c r="D88" s="863"/>
      <c r="E88" s="863"/>
      <c r="F88" s="864"/>
    </row>
    <row r="89" spans="1:6" ht="15.75" x14ac:dyDescent="0.25">
      <c r="A89" s="530" t="s">
        <v>612</v>
      </c>
      <c r="B89" s="525">
        <v>7278896</v>
      </c>
      <c r="C89" s="526"/>
      <c r="D89" s="526"/>
      <c r="E89" s="526">
        <v>7278896</v>
      </c>
      <c r="F89" s="526">
        <f t="shared" ref="F89" si="29">SUM(C89:E89)</f>
        <v>7278896</v>
      </c>
    </row>
    <row r="90" spans="1:6" ht="15.75" x14ac:dyDescent="0.25">
      <c r="A90" s="539" t="s">
        <v>608</v>
      </c>
      <c r="B90" s="540">
        <f>SUM(B89:B89)</f>
        <v>7278896</v>
      </c>
      <c r="C90" s="540">
        <f>SUM(C89:C89)</f>
        <v>0</v>
      </c>
      <c r="D90" s="540">
        <f>SUM(D89:D89)</f>
        <v>0</v>
      </c>
      <c r="E90" s="540">
        <f>SUM(E89:E89)</f>
        <v>7278896</v>
      </c>
      <c r="F90" s="540">
        <f>SUM(F89:F89)</f>
        <v>7278896</v>
      </c>
    </row>
    <row r="91" spans="1:6" ht="15.75" x14ac:dyDescent="0.25">
      <c r="A91" s="859"/>
      <c r="B91" s="860"/>
      <c r="C91" s="860"/>
      <c r="D91" s="860"/>
      <c r="E91" s="860"/>
      <c r="F91" s="861"/>
    </row>
    <row r="92" spans="1:6" ht="15.75" x14ac:dyDescent="0.25">
      <c r="A92" s="535" t="s">
        <v>494</v>
      </c>
      <c r="B92" s="536">
        <f>SUM(B77+B86+B81+B90)</f>
        <v>1803742287</v>
      </c>
      <c r="C92" s="536">
        <f t="shared" ref="C92:F92" si="30">SUM(C77+C86+C81+C90)</f>
        <v>1067645481</v>
      </c>
      <c r="D92" s="536">
        <f t="shared" si="30"/>
        <v>603563414</v>
      </c>
      <c r="E92" s="536">
        <f t="shared" si="30"/>
        <v>132533392</v>
      </c>
      <c r="F92" s="536">
        <f t="shared" si="30"/>
        <v>1803742287</v>
      </c>
    </row>
  </sheetData>
  <mergeCells count="27">
    <mergeCell ref="A46:F46"/>
    <mergeCell ref="A36:F36"/>
    <mergeCell ref="A37:F37"/>
    <mergeCell ref="A40:F40"/>
    <mergeCell ref="A41:F41"/>
    <mergeCell ref="A45:F45"/>
    <mergeCell ref="A3:F3"/>
    <mergeCell ref="A5:A6"/>
    <mergeCell ref="B5:B6"/>
    <mergeCell ref="C5:F5"/>
    <mergeCell ref="A8:F8"/>
    <mergeCell ref="A7:F7"/>
    <mergeCell ref="A50:F50"/>
    <mergeCell ref="A51:F51"/>
    <mergeCell ref="A54:F54"/>
    <mergeCell ref="A55:F55"/>
    <mergeCell ref="A58:F58"/>
    <mergeCell ref="A60:F60"/>
    <mergeCell ref="A61:F61"/>
    <mergeCell ref="A62:F62"/>
    <mergeCell ref="A78:F78"/>
    <mergeCell ref="A79:F79"/>
    <mergeCell ref="A82:F82"/>
    <mergeCell ref="A83:F83"/>
    <mergeCell ref="A87:F87"/>
    <mergeCell ref="A88:F88"/>
    <mergeCell ref="A91:F91"/>
  </mergeCells>
  <pageMargins left="0.7" right="0.7" top="0.75" bottom="0.75" header="0.3" footer="0.3"/>
  <pageSetup paperSize="9" scale="49" orientation="portrait" horizontalDpi="300" verticalDpi="300" r:id="rId1"/>
  <rowBreaks count="1" manualBreakCount="1">
    <brk id="45" max="5" man="1"/>
  </rowBreaks>
  <colBreaks count="1" manualBreakCount="1">
    <brk id="6" max="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view="pageBreakPreview" zoomScale="95" zoomScaleSheetLayoutView="95" workbookViewId="0">
      <selection activeCell="A15" sqref="A15"/>
    </sheetView>
  </sheetViews>
  <sheetFormatPr defaultRowHeight="15" x14ac:dyDescent="0.25"/>
  <cols>
    <col min="1" max="1" width="96.5703125" style="376" customWidth="1"/>
    <col min="2" max="3" width="23.85546875" style="376" customWidth="1"/>
    <col min="4" max="4" width="20.42578125" style="555" customWidth="1"/>
    <col min="5" max="16" width="18.42578125" style="555" customWidth="1"/>
    <col min="17" max="30" width="9.140625" style="555"/>
    <col min="31" max="16384" width="9.140625" style="376"/>
  </cols>
  <sheetData>
    <row r="1" spans="1:30" s="371" customFormat="1" ht="20.25" customHeight="1" x14ac:dyDescent="0.25">
      <c r="A1" s="371" t="s">
        <v>517</v>
      </c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</row>
    <row r="2" spans="1:30" ht="17.25" customHeight="1" x14ac:dyDescent="0.25"/>
    <row r="3" spans="1:30" ht="17.25" customHeight="1" x14ac:dyDescent="0.25"/>
    <row r="4" spans="1:30" s="543" customFormat="1" ht="19.5" x14ac:dyDescent="0.35">
      <c r="A4" s="858" t="s">
        <v>495</v>
      </c>
      <c r="B4" s="858"/>
      <c r="C4" s="858"/>
      <c r="D4" s="556"/>
      <c r="E4" s="556"/>
      <c r="F4" s="556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</row>
    <row r="5" spans="1:30" s="543" customFormat="1" ht="19.5" x14ac:dyDescent="0.35">
      <c r="A5" s="641"/>
      <c r="B5" s="641"/>
      <c r="C5" s="641"/>
      <c r="D5" s="556"/>
      <c r="E5" s="556"/>
      <c r="F5" s="556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  <c r="X5" s="557"/>
      <c r="Y5" s="557"/>
      <c r="Z5" s="557"/>
      <c r="AA5" s="557"/>
      <c r="AB5" s="557"/>
      <c r="AC5" s="557"/>
      <c r="AD5" s="557"/>
    </row>
    <row r="7" spans="1:30" ht="15.75" thickBot="1" x14ac:dyDescent="0.3"/>
    <row r="8" spans="1:30" s="411" customFormat="1" ht="16.5" customHeight="1" thickBot="1" x14ac:dyDescent="0.3">
      <c r="A8" s="886" t="s">
        <v>369</v>
      </c>
      <c r="B8" s="410"/>
      <c r="C8" s="883" t="s">
        <v>501</v>
      </c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</row>
    <row r="9" spans="1:30" s="411" customFormat="1" ht="32.25" thickBot="1" x14ac:dyDescent="0.3">
      <c r="A9" s="886"/>
      <c r="B9" s="412" t="s">
        <v>496</v>
      </c>
      <c r="C9" s="884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</row>
    <row r="10" spans="1:30" s="411" customFormat="1" ht="16.5" thickBot="1" x14ac:dyDescent="0.3">
      <c r="A10" s="886"/>
      <c r="B10" s="413"/>
      <c r="C10" s="885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  <c r="AB10" s="558"/>
      <c r="AC10" s="558"/>
      <c r="AD10" s="558"/>
    </row>
    <row r="11" spans="1:30" s="409" customFormat="1" ht="24" customHeight="1" thickBot="1" x14ac:dyDescent="0.25">
      <c r="A11" s="887" t="s">
        <v>87</v>
      </c>
      <c r="B11" s="889"/>
      <c r="C11" s="88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</row>
    <row r="12" spans="1:30" s="409" customFormat="1" ht="5.25" customHeight="1" x14ac:dyDescent="0.2">
      <c r="A12" s="888"/>
      <c r="B12" s="890"/>
      <c r="C12" s="890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</row>
    <row r="13" spans="1:30" s="409" customFormat="1" ht="25.5" customHeight="1" x14ac:dyDescent="0.2">
      <c r="A13" s="552" t="s">
        <v>497</v>
      </c>
      <c r="B13" s="572">
        <v>400</v>
      </c>
      <c r="C13" s="553">
        <f>SUM('[1]6. sz. melléklet'!B83)</f>
        <v>22381000</v>
      </c>
      <c r="D13" s="559"/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</row>
    <row r="14" spans="1:30" s="544" customFormat="1" ht="25.5" customHeight="1" x14ac:dyDescent="0.2">
      <c r="A14" s="550" t="s">
        <v>498</v>
      </c>
      <c r="B14" s="548">
        <v>70</v>
      </c>
      <c r="C14" s="546">
        <f>SUM('[1]6. sz. melléklet'!B84)</f>
        <v>4360000</v>
      </c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</row>
    <row r="15" spans="1:30" s="544" customFormat="1" ht="25.5" customHeight="1" x14ac:dyDescent="0.2">
      <c r="A15" s="545" t="s">
        <v>499</v>
      </c>
      <c r="B15" s="573">
        <v>1135</v>
      </c>
      <c r="C15" s="546">
        <f>SUM('[1]6. sz. melléklet'!B85)</f>
        <v>27100000</v>
      </c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</row>
    <row r="16" spans="1:30" s="549" customFormat="1" ht="25.5" customHeight="1" thickBot="1" x14ac:dyDescent="0.25">
      <c r="A16" s="547" t="s">
        <v>500</v>
      </c>
      <c r="B16" s="548">
        <v>25</v>
      </c>
      <c r="C16" s="546">
        <f>SUM('[1]6. sz. melléklet'!B86)</f>
        <v>5114000</v>
      </c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</row>
    <row r="17" spans="1:30" s="416" customFormat="1" ht="32.25" customHeight="1" thickBot="1" x14ac:dyDescent="0.3">
      <c r="A17" s="414" t="s">
        <v>370</v>
      </c>
      <c r="B17" s="415">
        <f>SUM(B13:B16)</f>
        <v>1630</v>
      </c>
      <c r="C17" s="415">
        <f>SUM(C13:C16)</f>
        <v>58955000</v>
      </c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</row>
    <row r="18" spans="1:30" x14ac:dyDescent="0.25">
      <c r="A18" s="377"/>
    </row>
    <row r="19" spans="1:30" x14ac:dyDescent="0.25">
      <c r="A19" s="377"/>
    </row>
    <row r="20" spans="1:30" x14ac:dyDescent="0.25">
      <c r="A20" s="377"/>
    </row>
    <row r="21" spans="1:30" x14ac:dyDescent="0.25">
      <c r="A21" s="377"/>
    </row>
    <row r="22" spans="1:30" x14ac:dyDescent="0.25">
      <c r="A22" s="377"/>
    </row>
    <row r="23" spans="1:30" x14ac:dyDescent="0.25">
      <c r="A23" s="377"/>
    </row>
  </sheetData>
  <mergeCells count="6">
    <mergeCell ref="A4:C4"/>
    <mergeCell ref="C8:C10"/>
    <mergeCell ref="A8:A10"/>
    <mergeCell ref="A11:A12"/>
    <mergeCell ref="B11:B12"/>
    <mergeCell ref="C11:C12"/>
  </mergeCells>
  <pageMargins left="0.7" right="0.7" top="0.75" bottom="0.75" header="0.3" footer="0.3"/>
  <pageSetup paperSize="9" scale="52" orientation="portrait" horizontalDpi="300" verticalDpi="300" r:id="rId1"/>
  <colBreaks count="2" manualBreakCount="2">
    <brk id="3" max="46" man="1"/>
    <brk id="6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BreakPreview" zoomScale="93" zoomScaleSheetLayoutView="93" workbookViewId="0">
      <selection activeCell="A80" sqref="A80:B80"/>
    </sheetView>
  </sheetViews>
  <sheetFormatPr defaultRowHeight="15.75" x14ac:dyDescent="0.25"/>
  <cols>
    <col min="1" max="1" width="74.5703125" style="1" customWidth="1"/>
    <col min="2" max="2" width="16.28515625" style="1" customWidth="1"/>
    <col min="3" max="3" width="19" style="38" customWidth="1"/>
    <col min="4" max="4" width="19.28515625" style="332" customWidth="1"/>
    <col min="5" max="5" width="19.28515625" style="1" customWidth="1"/>
    <col min="6" max="6" width="13.7109375" style="1" customWidth="1"/>
    <col min="7" max="7" width="19.7109375" style="1" customWidth="1"/>
    <col min="8" max="16384" width="9.140625" style="1"/>
  </cols>
  <sheetData>
    <row r="1" spans="1:6" x14ac:dyDescent="0.25">
      <c r="A1" s="676" t="s">
        <v>505</v>
      </c>
      <c r="B1" s="677"/>
      <c r="C1" s="677"/>
      <c r="D1" s="677"/>
      <c r="E1" s="331"/>
    </row>
    <row r="2" spans="1:6" x14ac:dyDescent="0.25">
      <c r="A2" s="2"/>
      <c r="B2" s="3"/>
      <c r="C2" s="4"/>
      <c r="D2" s="4"/>
      <c r="E2" s="4"/>
    </row>
    <row r="3" spans="1:6" s="46" customFormat="1" ht="44.25" customHeight="1" x14ac:dyDescent="0.25">
      <c r="A3" s="678" t="s">
        <v>380</v>
      </c>
      <c r="B3" s="678"/>
      <c r="C3" s="678"/>
      <c r="D3" s="678"/>
      <c r="E3" s="678"/>
    </row>
    <row r="4" spans="1:6" ht="16.5" thickBot="1" x14ac:dyDescent="0.3">
      <c r="A4" s="5"/>
      <c r="B4" s="6"/>
      <c r="C4" s="6"/>
      <c r="D4" s="159" t="s">
        <v>0</v>
      </c>
      <c r="E4" s="159" t="s">
        <v>0</v>
      </c>
    </row>
    <row r="5" spans="1:6" ht="16.5" customHeight="1" thickBot="1" x14ac:dyDescent="0.3">
      <c r="A5" s="679" t="s">
        <v>1</v>
      </c>
      <c r="B5" s="679"/>
      <c r="C5" s="679"/>
      <c r="D5" s="680" t="s">
        <v>2</v>
      </c>
      <c r="E5" s="681" t="s">
        <v>235</v>
      </c>
    </row>
    <row r="6" spans="1:6" ht="16.5" thickBot="1" x14ac:dyDescent="0.3">
      <c r="A6" s="679"/>
      <c r="B6" s="679"/>
      <c r="C6" s="679"/>
      <c r="D6" s="680"/>
      <c r="E6" s="682"/>
    </row>
    <row r="7" spans="1:6" x14ac:dyDescent="0.25">
      <c r="A7" s="79" t="s">
        <v>3</v>
      </c>
      <c r="B7" s="7"/>
      <c r="C7" s="8"/>
      <c r="D7" s="8"/>
      <c r="E7" s="8"/>
    </row>
    <row r="8" spans="1:6" x14ac:dyDescent="0.25">
      <c r="A8" s="9" t="s">
        <v>4</v>
      </c>
      <c r="B8" s="10"/>
      <c r="C8" s="11"/>
      <c r="D8" s="12"/>
      <c r="E8" s="12"/>
    </row>
    <row r="9" spans="1:6" x14ac:dyDescent="0.25">
      <c r="A9" s="9" t="s">
        <v>475</v>
      </c>
      <c r="B9" s="10"/>
      <c r="C9" s="11"/>
      <c r="D9" s="12"/>
      <c r="E9" s="12"/>
    </row>
    <row r="10" spans="1:6" x14ac:dyDescent="0.25">
      <c r="A10" s="699" t="s">
        <v>5</v>
      </c>
      <c r="B10" s="700"/>
      <c r="C10" s="13">
        <f>228800250+710430</f>
        <v>229510680</v>
      </c>
      <c r="D10" s="13">
        <v>228800250</v>
      </c>
      <c r="E10" s="13">
        <f>SUM(C10)</f>
        <v>229510680</v>
      </c>
      <c r="F10" s="38"/>
    </row>
    <row r="11" spans="1:6" ht="15.75" customHeight="1" x14ac:dyDescent="0.25">
      <c r="A11" s="699" t="s">
        <v>6</v>
      </c>
      <c r="B11" s="700"/>
      <c r="C11" s="13">
        <v>33327000</v>
      </c>
      <c r="D11" s="13">
        <v>33327000</v>
      </c>
      <c r="E11" s="13">
        <f t="shared" ref="E11:E15" si="0">SUM(C11)</f>
        <v>33327000</v>
      </c>
      <c r="F11" s="38"/>
    </row>
    <row r="12" spans="1:6" x14ac:dyDescent="0.25">
      <c r="A12" s="619" t="s">
        <v>7</v>
      </c>
      <c r="B12" s="620"/>
      <c r="C12" s="13">
        <v>55240000</v>
      </c>
      <c r="D12" s="13">
        <v>55240000</v>
      </c>
      <c r="E12" s="13">
        <f t="shared" si="0"/>
        <v>55240000</v>
      </c>
      <c r="F12" s="38"/>
    </row>
    <row r="13" spans="1:6" ht="18" customHeight="1" x14ac:dyDescent="0.25">
      <c r="A13" s="619" t="s">
        <v>8</v>
      </c>
      <c r="B13" s="620"/>
      <c r="C13" s="13">
        <f>32732906+998631</f>
        <v>33731537</v>
      </c>
      <c r="D13" s="13">
        <v>32732906</v>
      </c>
      <c r="E13" s="13">
        <f t="shared" si="0"/>
        <v>33731537</v>
      </c>
      <c r="F13" s="38"/>
    </row>
    <row r="14" spans="1:6" x14ac:dyDescent="0.25">
      <c r="A14" s="619" t="s">
        <v>9</v>
      </c>
      <c r="B14" s="620"/>
      <c r="C14" s="13">
        <v>53592300</v>
      </c>
      <c r="D14" s="13">
        <v>53592300</v>
      </c>
      <c r="E14" s="13">
        <f t="shared" si="0"/>
        <v>53592300</v>
      </c>
      <c r="F14" s="38"/>
    </row>
    <row r="15" spans="1:6" ht="16.5" thickBot="1" x14ac:dyDescent="0.3">
      <c r="A15" s="619" t="s">
        <v>10</v>
      </c>
      <c r="B15" s="620"/>
      <c r="C15" s="13">
        <v>1369350</v>
      </c>
      <c r="D15" s="13">
        <v>1369350</v>
      </c>
      <c r="E15" s="13">
        <f t="shared" si="0"/>
        <v>1369350</v>
      </c>
      <c r="F15" s="38"/>
    </row>
    <row r="16" spans="1:6" ht="16.5" hidden="1" customHeight="1" thickBot="1" x14ac:dyDescent="0.3">
      <c r="A16" s="619"/>
      <c r="B16" s="14"/>
      <c r="C16" s="13"/>
      <c r="D16" s="13"/>
      <c r="E16" s="13"/>
      <c r="F16" s="38"/>
    </row>
    <row r="17" spans="1:7" ht="16.5" hidden="1" customHeight="1" thickBot="1" x14ac:dyDescent="0.3">
      <c r="A17" s="15" t="s">
        <v>311</v>
      </c>
      <c r="B17" s="16"/>
      <c r="C17" s="17"/>
      <c r="D17" s="17"/>
      <c r="E17" s="17">
        <f>SUM(C17)</f>
        <v>0</v>
      </c>
      <c r="F17" s="38"/>
    </row>
    <row r="18" spans="1:7" ht="32.25" hidden="1" customHeight="1" thickBot="1" x14ac:dyDescent="0.3">
      <c r="A18" s="314" t="s">
        <v>312</v>
      </c>
      <c r="B18" s="315"/>
      <c r="C18" s="316"/>
      <c r="D18" s="316"/>
      <c r="E18" s="316"/>
      <c r="F18" s="38"/>
    </row>
    <row r="19" spans="1:7" ht="16.5" thickBot="1" x14ac:dyDescent="0.3">
      <c r="A19" s="697" t="s">
        <v>11</v>
      </c>
      <c r="B19" s="698"/>
      <c r="C19" s="18">
        <f>SUM(C10+C11+C12+C13+C14+C15-C16)</f>
        <v>406770867</v>
      </c>
      <c r="D19" s="18">
        <f>SUM(D10+D11+D12+D13+D14+D15-D16)</f>
        <v>405061806</v>
      </c>
      <c r="E19" s="18">
        <f>SUM(E10+E11+E12+E13+E14+E15-E16)</f>
        <v>406770867</v>
      </c>
      <c r="F19" s="38"/>
    </row>
    <row r="20" spans="1:7" x14ac:dyDescent="0.25">
      <c r="A20" s="701" t="s">
        <v>12</v>
      </c>
      <c r="B20" s="702"/>
      <c r="C20" s="12"/>
      <c r="D20" s="12"/>
      <c r="E20" s="12"/>
      <c r="F20" s="38"/>
    </row>
    <row r="21" spans="1:7" s="19" customFormat="1" ht="19.5" customHeight="1" x14ac:dyDescent="0.25">
      <c r="A21" s="687" t="s">
        <v>381</v>
      </c>
      <c r="B21" s="688"/>
      <c r="C21" s="13">
        <f>428872500+16758000-20333250</f>
        <v>425297250</v>
      </c>
      <c r="D21" s="13">
        <v>428872500</v>
      </c>
      <c r="E21" s="13">
        <f>SUM(C21)</f>
        <v>425297250</v>
      </c>
      <c r="F21" s="38"/>
    </row>
    <row r="22" spans="1:7" s="19" customFormat="1" ht="20.100000000000001" customHeight="1" x14ac:dyDescent="0.25">
      <c r="A22" s="619" t="s">
        <v>382</v>
      </c>
      <c r="B22" s="620"/>
      <c r="C22" s="13"/>
      <c r="D22" s="13"/>
      <c r="E22" s="13"/>
      <c r="F22" s="38"/>
    </row>
    <row r="23" spans="1:7" s="19" customFormat="1" ht="20.100000000000001" customHeight="1" x14ac:dyDescent="0.25">
      <c r="A23" s="619" t="s">
        <v>13</v>
      </c>
      <c r="B23" s="620"/>
      <c r="C23" s="13">
        <f>68248180-3603800</f>
        <v>64644380</v>
      </c>
      <c r="D23" s="13">
        <v>68248180</v>
      </c>
      <c r="E23" s="13">
        <f t="shared" ref="E23:E24" si="1">SUM(C23)</f>
        <v>64644380</v>
      </c>
      <c r="F23" s="38"/>
    </row>
    <row r="24" spans="1:7" s="19" customFormat="1" ht="20.100000000000001" customHeight="1" x14ac:dyDescent="0.25">
      <c r="A24" s="619" t="s">
        <v>14</v>
      </c>
      <c r="B24" s="620"/>
      <c r="C24" s="13">
        <f>23256000+1584000-766800</f>
        <v>24073200</v>
      </c>
      <c r="D24" s="13">
        <v>23256000</v>
      </c>
      <c r="E24" s="13">
        <f t="shared" si="1"/>
        <v>24073200</v>
      </c>
      <c r="F24" s="38"/>
    </row>
    <row r="25" spans="1:7" s="19" customFormat="1" ht="20.100000000000001" customHeight="1" x14ac:dyDescent="0.25">
      <c r="A25" s="15" t="s">
        <v>15</v>
      </c>
      <c r="B25" s="20"/>
      <c r="C25" s="17"/>
      <c r="D25" s="17"/>
      <c r="E25" s="17"/>
      <c r="F25" s="38"/>
    </row>
    <row r="26" spans="1:7" s="19" customFormat="1" ht="20.100000000000001" customHeight="1" x14ac:dyDescent="0.25">
      <c r="A26" s="15" t="s">
        <v>518</v>
      </c>
      <c r="B26" s="20"/>
      <c r="C26" s="17"/>
      <c r="D26" s="17"/>
      <c r="E26" s="17"/>
      <c r="F26" s="38"/>
    </row>
    <row r="27" spans="1:7" s="19" customFormat="1" ht="20.100000000000001" customHeight="1" thickBot="1" x14ac:dyDescent="0.3">
      <c r="A27" s="317" t="s">
        <v>519</v>
      </c>
      <c r="B27" s="318"/>
      <c r="C27" s="316">
        <f>72000+48000</f>
        <v>120000</v>
      </c>
      <c r="D27" s="316"/>
      <c r="E27" s="316">
        <f>SUM(C27)</f>
        <v>120000</v>
      </c>
      <c r="F27" s="38"/>
    </row>
    <row r="28" spans="1:7" s="19" customFormat="1" ht="20.100000000000001" customHeight="1" thickBot="1" x14ac:dyDescent="0.3">
      <c r="A28" s="697" t="s">
        <v>12</v>
      </c>
      <c r="B28" s="698"/>
      <c r="C28" s="18">
        <f t="shared" ref="C28:D28" si="2">SUM(C21:C27)</f>
        <v>514134830</v>
      </c>
      <c r="D28" s="18">
        <f t="shared" si="2"/>
        <v>520376680</v>
      </c>
      <c r="E28" s="18">
        <f>SUM(E21:E27)</f>
        <v>514134830</v>
      </c>
      <c r="F28" s="38"/>
    </row>
    <row r="29" spans="1:7" s="19" customFormat="1" ht="20.100000000000001" customHeight="1" x14ac:dyDescent="0.25">
      <c r="A29" s="701" t="s">
        <v>16</v>
      </c>
      <c r="B29" s="702"/>
      <c r="C29" s="12"/>
      <c r="D29" s="12"/>
      <c r="E29" s="12"/>
      <c r="F29" s="38"/>
    </row>
    <row r="30" spans="1:7" s="19" customFormat="1" ht="20.100000000000001" customHeight="1" x14ac:dyDescent="0.25">
      <c r="A30" s="21" t="s">
        <v>17</v>
      </c>
      <c r="B30" s="618"/>
      <c r="C30" s="22"/>
      <c r="D30" s="22"/>
      <c r="E30" s="22"/>
      <c r="F30" s="38"/>
    </row>
    <row r="31" spans="1:7" s="19" customFormat="1" ht="20.100000000000001" customHeight="1" x14ac:dyDescent="0.25">
      <c r="A31" s="687" t="s">
        <v>18</v>
      </c>
      <c r="B31" s="688"/>
      <c r="C31" s="13">
        <v>107881377</v>
      </c>
      <c r="D31" s="13">
        <v>107881377</v>
      </c>
      <c r="E31" s="13">
        <f>SUM(C31)</f>
        <v>107881377</v>
      </c>
      <c r="F31" s="38"/>
    </row>
    <row r="32" spans="1:7" s="19" customFormat="1" ht="20.100000000000001" customHeight="1" x14ac:dyDescent="0.25">
      <c r="A32" s="619" t="s">
        <v>19</v>
      </c>
      <c r="B32" s="620"/>
      <c r="C32" s="13">
        <f>SUM(B33:B43)</f>
        <v>221123500</v>
      </c>
      <c r="D32" s="13">
        <v>201886128</v>
      </c>
      <c r="E32" s="13">
        <f>SUM(C32)</f>
        <v>221123500</v>
      </c>
      <c r="F32" s="38"/>
      <c r="G32" s="328"/>
    </row>
    <row r="33" spans="1:6" s="19" customFormat="1" ht="20.100000000000001" customHeight="1" x14ac:dyDescent="0.25">
      <c r="A33" s="619" t="s">
        <v>20</v>
      </c>
      <c r="B33" s="23">
        <f>19270000+734140</f>
        <v>20004140</v>
      </c>
      <c r="C33" s="13"/>
      <c r="D33" s="13"/>
      <c r="E33" s="13"/>
      <c r="F33" s="38"/>
    </row>
    <row r="34" spans="1:6" s="19" customFormat="1" ht="20.100000000000001" customHeight="1" x14ac:dyDescent="0.25">
      <c r="A34" s="619" t="s">
        <v>21</v>
      </c>
      <c r="B34" s="23">
        <f>29565000+1446296</f>
        <v>31011296</v>
      </c>
      <c r="C34" s="13"/>
      <c r="D34" s="13"/>
      <c r="E34" s="13"/>
      <c r="F34" s="38"/>
    </row>
    <row r="35" spans="1:6" s="19" customFormat="1" ht="20.100000000000001" customHeight="1" x14ac:dyDescent="0.25">
      <c r="A35" s="619" t="s">
        <v>22</v>
      </c>
      <c r="B35" s="23">
        <f>36935976+896976+594624</f>
        <v>38427576</v>
      </c>
      <c r="C35" s="13"/>
      <c r="D35" s="13"/>
      <c r="E35" s="13"/>
      <c r="F35" s="38"/>
    </row>
    <row r="36" spans="1:6" s="19" customFormat="1" ht="20.100000000000001" customHeight="1" x14ac:dyDescent="0.25">
      <c r="A36" s="619" t="s">
        <v>23</v>
      </c>
      <c r="B36" s="23">
        <f>75000-50000+25000</f>
        <v>50000</v>
      </c>
      <c r="C36" s="13"/>
      <c r="D36" s="13"/>
      <c r="E36" s="13"/>
      <c r="F36" s="38"/>
    </row>
    <row r="37" spans="1:6" s="19" customFormat="1" ht="20.100000000000001" customHeight="1" x14ac:dyDescent="0.25">
      <c r="A37" s="619" t="s">
        <v>24</v>
      </c>
      <c r="B37" s="23">
        <f>52852800+3183900+1966200</f>
        <v>58002900</v>
      </c>
      <c r="C37" s="13"/>
      <c r="D37" s="13"/>
      <c r="E37" s="13"/>
      <c r="F37" s="38"/>
    </row>
    <row r="38" spans="1:6" s="19" customFormat="1" ht="20.100000000000001" customHeight="1" x14ac:dyDescent="0.25">
      <c r="A38" s="619" t="s">
        <v>25</v>
      </c>
      <c r="B38" s="23">
        <f>4479000+93000</f>
        <v>4572000</v>
      </c>
      <c r="C38" s="13"/>
      <c r="D38" s="13"/>
      <c r="E38" s="13"/>
      <c r="F38" s="38"/>
    </row>
    <row r="39" spans="1:6" s="19" customFormat="1" x14ac:dyDescent="0.25">
      <c r="A39" s="619" t="s">
        <v>26</v>
      </c>
      <c r="B39" s="23">
        <f>14647500+2166750+2017710</f>
        <v>18831960</v>
      </c>
      <c r="C39" s="13"/>
      <c r="D39" s="13"/>
      <c r="E39" s="13"/>
      <c r="F39" s="38"/>
    </row>
    <row r="40" spans="1:6" s="19" customFormat="1" x14ac:dyDescent="0.25">
      <c r="A40" s="619" t="s">
        <v>27</v>
      </c>
      <c r="B40" s="23">
        <f>6441600-1452792+831468+6569600</f>
        <v>12389876</v>
      </c>
      <c r="C40" s="13"/>
      <c r="D40" s="13"/>
      <c r="E40" s="13"/>
      <c r="F40" s="38"/>
    </row>
    <row r="41" spans="1:6" s="19" customFormat="1" x14ac:dyDescent="0.25">
      <c r="A41" s="619" t="s">
        <v>28</v>
      </c>
      <c r="B41" s="23">
        <f>6750000+128700</f>
        <v>6878700</v>
      </c>
      <c r="C41" s="13"/>
      <c r="D41" s="13"/>
      <c r="E41" s="13"/>
      <c r="F41" s="38"/>
    </row>
    <row r="42" spans="1:6" s="19" customFormat="1" x14ac:dyDescent="0.25">
      <c r="A42" s="619" t="s">
        <v>29</v>
      </c>
      <c r="B42" s="23">
        <f>4500000+85800</f>
        <v>4585800</v>
      </c>
      <c r="C42" s="13"/>
      <c r="D42" s="13"/>
      <c r="E42" s="13"/>
      <c r="F42" s="38"/>
    </row>
    <row r="43" spans="1:6" s="19" customFormat="1" x14ac:dyDescent="0.25">
      <c r="A43" s="619" t="s">
        <v>62</v>
      </c>
      <c r="B43" s="23">
        <v>26369252</v>
      </c>
      <c r="C43" s="13"/>
      <c r="D43" s="13"/>
      <c r="E43" s="13"/>
      <c r="F43" s="38"/>
    </row>
    <row r="44" spans="1:6" s="19" customFormat="1" x14ac:dyDescent="0.25">
      <c r="A44" s="619" t="s">
        <v>30</v>
      </c>
      <c r="B44" s="620"/>
      <c r="C44" s="13">
        <f>SUM(B46:B47)</f>
        <v>457651000</v>
      </c>
      <c r="D44" s="13">
        <v>433675160</v>
      </c>
      <c r="E44" s="13">
        <f>SUM(C44)</f>
        <v>457651000</v>
      </c>
      <c r="F44" s="38"/>
    </row>
    <row r="45" spans="1:6" s="19" customFormat="1" ht="15.75" customHeight="1" x14ac:dyDescent="0.25">
      <c r="A45" s="687" t="s">
        <v>31</v>
      </c>
      <c r="B45" s="688"/>
      <c r="C45" s="13"/>
      <c r="D45" s="13"/>
      <c r="E45" s="13"/>
      <c r="F45" s="38"/>
    </row>
    <row r="46" spans="1:6" s="19" customFormat="1" x14ac:dyDescent="0.25">
      <c r="A46" s="619" t="s">
        <v>32</v>
      </c>
      <c r="B46" s="24">
        <f>334489160+11986840</f>
        <v>346476000</v>
      </c>
      <c r="C46" s="13"/>
      <c r="D46" s="13"/>
      <c r="E46" s="13"/>
      <c r="F46" s="38"/>
    </row>
    <row r="47" spans="1:6" s="19" customFormat="1" x14ac:dyDescent="0.25">
      <c r="A47" s="619" t="s">
        <v>33</v>
      </c>
      <c r="B47" s="24">
        <f>99186000+11989000</f>
        <v>111175000</v>
      </c>
      <c r="C47" s="13"/>
      <c r="D47" s="13"/>
      <c r="E47" s="13"/>
      <c r="F47" s="38"/>
    </row>
    <row r="48" spans="1:6" s="19" customFormat="1" x14ac:dyDescent="0.25">
      <c r="A48" s="619" t="s">
        <v>34</v>
      </c>
      <c r="B48" s="24"/>
      <c r="C48" s="13">
        <f>SUM(B49:B50)</f>
        <v>165416513</v>
      </c>
      <c r="D48" s="13">
        <v>191817118</v>
      </c>
      <c r="E48" s="13">
        <f>SUM(C48)</f>
        <v>165416513</v>
      </c>
      <c r="F48" s="38"/>
    </row>
    <row r="49" spans="1:6" s="19" customFormat="1" x14ac:dyDescent="0.25">
      <c r="A49" s="619" t="s">
        <v>35</v>
      </c>
      <c r="B49" s="24">
        <f>60231600-4706100-3402000</f>
        <v>52123500</v>
      </c>
      <c r="C49" s="13"/>
      <c r="D49" s="13"/>
      <c r="E49" s="13"/>
      <c r="F49" s="38"/>
    </row>
    <row r="50" spans="1:6" s="19" customFormat="1" x14ac:dyDescent="0.25">
      <c r="A50" s="619" t="s">
        <v>36</v>
      </c>
      <c r="B50" s="24">
        <f>131585518-18292505</f>
        <v>113293013</v>
      </c>
      <c r="C50" s="13"/>
      <c r="D50" s="13"/>
      <c r="E50" s="13"/>
      <c r="F50" s="38"/>
    </row>
    <row r="51" spans="1:6" s="19" customFormat="1" x14ac:dyDescent="0.25">
      <c r="A51" s="619" t="s">
        <v>383</v>
      </c>
      <c r="B51" s="391">
        <f>6806490+167325-553870</f>
        <v>6419945</v>
      </c>
      <c r="C51" s="13">
        <f>SUM(B51)</f>
        <v>6419945</v>
      </c>
      <c r="D51" s="13">
        <v>6806490</v>
      </c>
      <c r="E51" s="13">
        <f>SUM(C51)</f>
        <v>6419945</v>
      </c>
      <c r="F51" s="38"/>
    </row>
    <row r="52" spans="1:6" s="19" customFormat="1" x14ac:dyDescent="0.25">
      <c r="A52" s="619" t="s">
        <v>384</v>
      </c>
      <c r="B52" s="391"/>
      <c r="C52" s="13"/>
      <c r="D52" s="13"/>
      <c r="E52" s="13"/>
      <c r="F52" s="38"/>
    </row>
    <row r="53" spans="1:6" s="19" customFormat="1" x14ac:dyDescent="0.25">
      <c r="A53" s="619" t="s">
        <v>37</v>
      </c>
      <c r="B53" s="24"/>
      <c r="C53" s="13">
        <f>SUM(B54:B58)</f>
        <v>128094000</v>
      </c>
      <c r="D53" s="13">
        <v>105469000</v>
      </c>
      <c r="E53" s="13">
        <f>SUM(C53)</f>
        <v>128094000</v>
      </c>
      <c r="F53" s="38"/>
    </row>
    <row r="54" spans="1:6" s="19" customFormat="1" x14ac:dyDescent="0.25">
      <c r="A54" s="619" t="s">
        <v>38</v>
      </c>
      <c r="B54" s="24">
        <f>20400000+2550000</f>
        <v>22950000</v>
      </c>
      <c r="C54" s="13"/>
      <c r="D54" s="13"/>
      <c r="E54" s="13"/>
      <c r="F54" s="38"/>
    </row>
    <row r="55" spans="1:6" s="19" customFormat="1" x14ac:dyDescent="0.25">
      <c r="A55" s="619" t="s">
        <v>39</v>
      </c>
      <c r="B55" s="24"/>
      <c r="C55" s="13"/>
      <c r="D55" s="13"/>
      <c r="E55" s="13"/>
      <c r="F55" s="38"/>
    </row>
    <row r="56" spans="1:6" s="19" customFormat="1" x14ac:dyDescent="0.25">
      <c r="A56" s="619" t="s">
        <v>40</v>
      </c>
      <c r="B56" s="24">
        <f>63048000+14910000-2130000</f>
        <v>75828000</v>
      </c>
      <c r="C56" s="13"/>
      <c r="D56" s="13"/>
      <c r="E56" s="13"/>
      <c r="F56" s="38"/>
    </row>
    <row r="57" spans="1:6" s="19" customFormat="1" x14ac:dyDescent="0.25">
      <c r="A57" s="619" t="s">
        <v>41</v>
      </c>
      <c r="B57" s="25"/>
      <c r="C57" s="17"/>
      <c r="D57" s="13"/>
      <c r="E57" s="13"/>
      <c r="F57" s="38"/>
    </row>
    <row r="58" spans="1:6" s="19" customFormat="1" x14ac:dyDescent="0.25">
      <c r="A58" s="619" t="s">
        <v>42</v>
      </c>
      <c r="B58" s="36">
        <f>22021000+7295000</f>
        <v>29316000</v>
      </c>
      <c r="C58" s="319"/>
      <c r="D58" s="27"/>
      <c r="E58" s="27"/>
      <c r="F58" s="38"/>
    </row>
    <row r="59" spans="1:6" s="19" customFormat="1" ht="15.75" hidden="1" customHeight="1" x14ac:dyDescent="0.25">
      <c r="A59" s="619" t="s">
        <v>371</v>
      </c>
      <c r="B59" s="36"/>
      <c r="C59" s="319"/>
      <c r="D59" s="13"/>
      <c r="E59" s="13">
        <f>SUM(C59)</f>
        <v>0</v>
      </c>
      <c r="F59" s="38"/>
    </row>
    <row r="60" spans="1:6" s="171" customFormat="1" ht="16.5" thickBot="1" x14ac:dyDescent="0.3">
      <c r="A60" s="330" t="s">
        <v>182</v>
      </c>
      <c r="B60" s="36"/>
      <c r="C60" s="319">
        <f>66351633+33398221+34713385-394078</f>
        <v>134069161</v>
      </c>
      <c r="D60" s="156"/>
      <c r="E60" s="156">
        <f>SUM(C60)</f>
        <v>134069161</v>
      </c>
      <c r="F60" s="38"/>
    </row>
    <row r="61" spans="1:6" ht="16.5" hidden="1" customHeight="1" thickBot="1" x14ac:dyDescent="0.3">
      <c r="A61" s="691" t="s">
        <v>1</v>
      </c>
      <c r="B61" s="692"/>
      <c r="C61" s="693"/>
      <c r="D61" s="681" t="s">
        <v>2</v>
      </c>
      <c r="E61" s="681" t="s">
        <v>235</v>
      </c>
      <c r="F61" s="38"/>
    </row>
    <row r="62" spans="1:6" ht="16.5" hidden="1" customHeight="1" thickBot="1" x14ac:dyDescent="0.3">
      <c r="A62" s="694"/>
      <c r="B62" s="695"/>
      <c r="C62" s="696"/>
      <c r="D62" s="682"/>
      <c r="E62" s="682"/>
      <c r="F62" s="38"/>
    </row>
    <row r="63" spans="1:6" s="171" customFormat="1" ht="16.5" hidden="1" customHeight="1" thickBot="1" x14ac:dyDescent="0.3">
      <c r="A63" s="330" t="s">
        <v>352</v>
      </c>
      <c r="B63" s="36"/>
      <c r="C63" s="319"/>
      <c r="D63" s="156"/>
      <c r="E63" s="156">
        <v>0</v>
      </c>
      <c r="F63" s="38"/>
    </row>
    <row r="64" spans="1:6" s="171" customFormat="1" ht="32.25" hidden="1" customHeight="1" thickBot="1" x14ac:dyDescent="0.3">
      <c r="A64" s="157" t="s">
        <v>313</v>
      </c>
      <c r="B64" s="169"/>
      <c r="C64" s="170"/>
      <c r="D64" s="158"/>
      <c r="E64" s="158">
        <f t="shared" ref="E64" si="3">SUM(C64)</f>
        <v>0</v>
      </c>
      <c r="F64" s="38"/>
    </row>
    <row r="65" spans="1:6" s="19" customFormat="1" x14ac:dyDescent="0.25">
      <c r="A65" s="683" t="s">
        <v>16</v>
      </c>
      <c r="B65" s="684"/>
      <c r="C65" s="28">
        <f>SUM(C29:C64)</f>
        <v>1220655496</v>
      </c>
      <c r="D65" s="28">
        <f>SUM(D29:D64)</f>
        <v>1047535273</v>
      </c>
      <c r="E65" s="28">
        <f>SUM(E29:E64)</f>
        <v>1220655496</v>
      </c>
      <c r="F65" s="38"/>
    </row>
    <row r="66" spans="1:6" s="19" customFormat="1" ht="16.5" thickBot="1" x14ac:dyDescent="0.3">
      <c r="A66" s="29" t="s">
        <v>17</v>
      </c>
      <c r="B66" s="30"/>
      <c r="C66" s="31"/>
      <c r="D66" s="31"/>
      <c r="E66" s="31"/>
      <c r="F66" s="38"/>
    </row>
    <row r="67" spans="1:6" s="19" customFormat="1" x14ac:dyDescent="0.25">
      <c r="A67" s="685" t="s">
        <v>43</v>
      </c>
      <c r="B67" s="686"/>
      <c r="C67" s="32"/>
      <c r="D67" s="47"/>
      <c r="E67" s="32"/>
      <c r="F67" s="38"/>
    </row>
    <row r="68" spans="1:6" x14ac:dyDescent="0.25">
      <c r="A68" s="33" t="s">
        <v>44</v>
      </c>
      <c r="B68" s="34"/>
      <c r="C68" s="35">
        <f>43072330+714564</f>
        <v>43786894</v>
      </c>
      <c r="D68" s="35">
        <v>43072330</v>
      </c>
      <c r="E68" s="35">
        <f>SUM(C68)</f>
        <v>43786894</v>
      </c>
      <c r="F68" s="38"/>
    </row>
    <row r="69" spans="1:6" x14ac:dyDescent="0.25">
      <c r="A69" s="619" t="s">
        <v>45</v>
      </c>
      <c r="B69" s="24"/>
      <c r="C69" s="13"/>
      <c r="D69" s="13"/>
      <c r="E69" s="13"/>
      <c r="F69" s="38"/>
    </row>
    <row r="70" spans="1:6" ht="16.5" customHeight="1" thickBot="1" x14ac:dyDescent="0.3">
      <c r="A70" s="687" t="s">
        <v>385</v>
      </c>
      <c r="B70" s="688"/>
      <c r="C70" s="156">
        <v>19100000</v>
      </c>
      <c r="D70" s="13">
        <v>19100000</v>
      </c>
      <c r="E70" s="35">
        <f>SUM(C70)</f>
        <v>19100000</v>
      </c>
      <c r="F70" s="38"/>
    </row>
    <row r="71" spans="1:6" ht="16.5" hidden="1" customHeight="1" thickBot="1" x14ac:dyDescent="0.3">
      <c r="A71" s="15"/>
      <c r="B71" s="26"/>
      <c r="C71" s="17"/>
      <c r="D71" s="17"/>
      <c r="E71" s="156"/>
      <c r="F71" s="38"/>
    </row>
    <row r="72" spans="1:6" ht="16.5" hidden="1" customHeight="1" thickBot="1" x14ac:dyDescent="0.3">
      <c r="A72" s="619"/>
      <c r="B72" s="620"/>
      <c r="C72" s="13"/>
      <c r="D72" s="13"/>
      <c r="E72" s="13"/>
      <c r="F72" s="38"/>
    </row>
    <row r="73" spans="1:6" ht="20.100000000000001" customHeight="1" thickBot="1" x14ac:dyDescent="0.3">
      <c r="A73" s="689" t="s">
        <v>43</v>
      </c>
      <c r="B73" s="690"/>
      <c r="C73" s="18">
        <f>SUM(C68:C70)</f>
        <v>62886894</v>
      </c>
      <c r="D73" s="18">
        <f>SUM(D68:D72)</f>
        <v>62172330</v>
      </c>
      <c r="E73" s="18">
        <f>SUM(E68:E72)</f>
        <v>62886894</v>
      </c>
      <c r="F73" s="38"/>
    </row>
    <row r="74" spans="1:6" ht="20.100000000000001" hidden="1" customHeight="1" x14ac:dyDescent="0.25">
      <c r="A74" s="15" t="s">
        <v>240</v>
      </c>
      <c r="B74" s="36"/>
      <c r="C74" s="13"/>
      <c r="D74" s="13"/>
      <c r="E74" s="17">
        <f>SUM(C74)</f>
        <v>0</v>
      </c>
      <c r="F74" s="38"/>
    </row>
    <row r="75" spans="1:6" ht="20.100000000000001" hidden="1" customHeight="1" x14ac:dyDescent="0.25">
      <c r="A75" s="15" t="s">
        <v>323</v>
      </c>
      <c r="B75" s="26"/>
      <c r="C75" s="17"/>
      <c r="D75" s="17"/>
      <c r="E75" s="17">
        <f t="shared" ref="E75:E78" si="4">SUM(C75)</f>
        <v>0</v>
      </c>
      <c r="F75" s="38"/>
    </row>
    <row r="76" spans="1:6" ht="20.100000000000001" hidden="1" customHeight="1" x14ac:dyDescent="0.25">
      <c r="A76" s="15" t="s">
        <v>324</v>
      </c>
      <c r="B76" s="26"/>
      <c r="C76" s="17"/>
      <c r="D76" s="17"/>
      <c r="E76" s="17">
        <f t="shared" si="4"/>
        <v>0</v>
      </c>
      <c r="F76" s="38"/>
    </row>
    <row r="77" spans="1:6" ht="20.100000000000001" hidden="1" customHeight="1" x14ac:dyDescent="0.25">
      <c r="A77" s="15" t="s">
        <v>325</v>
      </c>
      <c r="B77" s="26"/>
      <c r="C77" s="17"/>
      <c r="D77" s="17"/>
      <c r="E77" s="17">
        <f t="shared" si="4"/>
        <v>0</v>
      </c>
      <c r="F77" s="38"/>
    </row>
    <row r="78" spans="1:6" ht="20.100000000000001" hidden="1" customHeight="1" x14ac:dyDescent="0.25">
      <c r="A78" s="15" t="s">
        <v>326</v>
      </c>
      <c r="B78" s="26"/>
      <c r="C78" s="17"/>
      <c r="D78" s="17"/>
      <c r="E78" s="17">
        <f t="shared" si="4"/>
        <v>0</v>
      </c>
      <c r="F78" s="38"/>
    </row>
    <row r="79" spans="1:6" ht="20.100000000000001" hidden="1" customHeight="1" thickBot="1" x14ac:dyDescent="0.3">
      <c r="A79" s="15" t="s">
        <v>66</v>
      </c>
      <c r="B79" s="26"/>
      <c r="C79" s="17"/>
      <c r="D79" s="17"/>
      <c r="E79" s="17"/>
      <c r="F79" s="38"/>
    </row>
    <row r="80" spans="1:6" ht="20.100000000000001" customHeight="1" thickBot="1" x14ac:dyDescent="0.3">
      <c r="A80" s="689" t="s">
        <v>46</v>
      </c>
      <c r="B80" s="690"/>
      <c r="C80" s="18">
        <f>SUM(C74:C79)</f>
        <v>0</v>
      </c>
      <c r="D80" s="18">
        <f>SUM(D81:D82)</f>
        <v>0</v>
      </c>
      <c r="E80" s="18">
        <f>SUM(E81:E82)</f>
        <v>138302062</v>
      </c>
      <c r="F80" s="38"/>
    </row>
    <row r="81" spans="1:7" s="46" customFormat="1" ht="20.100000000000001" customHeight="1" thickBot="1" x14ac:dyDescent="0.3">
      <c r="A81" s="703" t="s">
        <v>535</v>
      </c>
      <c r="B81" s="704"/>
      <c r="C81" s="362">
        <f>140019663-1717601</f>
        <v>138302062</v>
      </c>
      <c r="D81" s="362"/>
      <c r="E81" s="362">
        <f>SUM(C81)</f>
        <v>138302062</v>
      </c>
      <c r="F81" s="356"/>
    </row>
    <row r="82" spans="1:7" s="46" customFormat="1" ht="20.100000000000001" customHeight="1" thickBot="1" x14ac:dyDescent="0.3">
      <c r="A82" s="703" t="s">
        <v>536</v>
      </c>
      <c r="B82" s="704"/>
      <c r="C82" s="362">
        <f>238920-238920</f>
        <v>0</v>
      </c>
      <c r="D82" s="362"/>
      <c r="E82" s="362">
        <f>SUM(C82)</f>
        <v>0</v>
      </c>
      <c r="F82" s="356"/>
    </row>
    <row r="83" spans="1:7" ht="20.100000000000001" customHeight="1" thickBot="1" x14ac:dyDescent="0.3">
      <c r="A83" s="689" t="s">
        <v>47</v>
      </c>
      <c r="B83" s="690"/>
      <c r="C83" s="18"/>
      <c r="D83" s="18">
        <v>0</v>
      </c>
      <c r="E83" s="18">
        <v>10124709</v>
      </c>
      <c r="F83" s="38"/>
    </row>
    <row r="84" spans="1:7" ht="20.100000000000001" customHeight="1" thickBot="1" x14ac:dyDescent="0.3">
      <c r="A84" s="668" t="s">
        <v>48</v>
      </c>
      <c r="B84" s="669"/>
      <c r="C84" s="40"/>
      <c r="D84" s="18">
        <f>D19+D28+D65+D73+D80+D83</f>
        <v>2035146089</v>
      </c>
      <c r="E84" s="37">
        <f>E19+E28+E65+E73+E80+E83</f>
        <v>2352874858</v>
      </c>
      <c r="F84" s="38"/>
      <c r="G84" s="38"/>
    </row>
  </sheetData>
  <sheetProtection formatCells="0" formatColumns="0" formatRows="0" insertColumns="0" insertRows="0" insertHyperlinks="0" deleteColumns="0" deleteRows="0" sort="0" autoFilter="0" pivotTables="0"/>
  <mergeCells count="26">
    <mergeCell ref="A83:B83"/>
    <mergeCell ref="A84:B84"/>
    <mergeCell ref="A29:B29"/>
    <mergeCell ref="A31:B31"/>
    <mergeCell ref="A45:B45"/>
    <mergeCell ref="A82:B82"/>
    <mergeCell ref="A80:B80"/>
    <mergeCell ref="A81:B81"/>
    <mergeCell ref="A10:B10"/>
    <mergeCell ref="A1:D1"/>
    <mergeCell ref="A3:E3"/>
    <mergeCell ref="A5:C6"/>
    <mergeCell ref="D5:D6"/>
    <mergeCell ref="E5:E6"/>
    <mergeCell ref="A28:B28"/>
    <mergeCell ref="A11:B11"/>
    <mergeCell ref="A19:B19"/>
    <mergeCell ref="A21:B21"/>
    <mergeCell ref="A20:B20"/>
    <mergeCell ref="E61:E62"/>
    <mergeCell ref="A65:B65"/>
    <mergeCell ref="A67:B67"/>
    <mergeCell ref="A70:B70"/>
    <mergeCell ref="A73:B73"/>
    <mergeCell ref="A61:C62"/>
    <mergeCell ref="D61:D6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2"/>
  <sheetViews>
    <sheetView view="pageBreakPreview" topLeftCell="O24" zoomScale="90" zoomScaleNormal="57" zoomScaleSheetLayoutView="90" workbookViewId="0">
      <selection activeCell="A99" sqref="A99"/>
    </sheetView>
  </sheetViews>
  <sheetFormatPr defaultRowHeight="20.25" x14ac:dyDescent="0.3"/>
  <cols>
    <col min="1" max="1" width="69.85546875" style="142" customWidth="1"/>
    <col min="2" max="2" width="24.140625" style="228" customWidth="1"/>
    <col min="3" max="3" width="22.7109375" style="228" customWidth="1"/>
    <col min="4" max="4" width="24.140625" style="142" customWidth="1"/>
    <col min="5" max="15" width="22.7109375" style="142" customWidth="1"/>
    <col min="16" max="16" width="69.85546875" style="142" hidden="1" customWidth="1"/>
    <col min="17" max="24" width="22.7109375" style="142" customWidth="1"/>
    <col min="25" max="25" width="22.5703125" style="142" bestFit="1" customWidth="1"/>
    <col min="26" max="16384" width="9.140625" style="142"/>
  </cols>
  <sheetData>
    <row r="2" spans="1:26" x14ac:dyDescent="0.3">
      <c r="O2" s="229"/>
      <c r="X2" s="229"/>
    </row>
    <row r="3" spans="1:26" s="232" customFormat="1" ht="26.25" x14ac:dyDescent="0.4">
      <c r="A3" s="230" t="s">
        <v>506</v>
      </c>
      <c r="B3" s="231"/>
      <c r="C3" s="231"/>
      <c r="P3" s="230"/>
    </row>
    <row r="4" spans="1:26" s="232" customFormat="1" ht="26.25" x14ac:dyDescent="0.4">
      <c r="A4" s="233"/>
      <c r="B4" s="231"/>
      <c r="C4" s="231"/>
      <c r="P4" s="233"/>
    </row>
    <row r="5" spans="1:26" s="232" customFormat="1" ht="26.25" x14ac:dyDescent="0.4">
      <c r="A5" s="719" t="s">
        <v>547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 s="719"/>
      <c r="Q5" s="719"/>
      <c r="R5" s="719"/>
      <c r="S5" s="719"/>
      <c r="T5" s="719"/>
      <c r="U5" s="719"/>
      <c r="V5" s="719"/>
      <c r="W5" s="719"/>
      <c r="X5" s="719"/>
    </row>
    <row r="6" spans="1:26" ht="21" thickBot="1" x14ac:dyDescent="0.35">
      <c r="A6" s="234"/>
      <c r="P6" s="234"/>
      <c r="U6" s="722"/>
      <c r="V6" s="722"/>
      <c r="W6" s="722"/>
      <c r="X6" s="589" t="s">
        <v>0</v>
      </c>
      <c r="Y6" s="589"/>
      <c r="Z6" s="589"/>
    </row>
    <row r="7" spans="1:26" s="135" customFormat="1" ht="21" thickBot="1" x14ac:dyDescent="0.35">
      <c r="A7" s="715" t="s">
        <v>161</v>
      </c>
      <c r="B7" s="713" t="s">
        <v>107</v>
      </c>
      <c r="C7" s="714"/>
      <c r="D7" s="713" t="s">
        <v>108</v>
      </c>
      <c r="E7" s="714"/>
      <c r="F7" s="713" t="s">
        <v>109</v>
      </c>
      <c r="G7" s="714"/>
      <c r="H7" s="713" t="s">
        <v>110</v>
      </c>
      <c r="I7" s="714"/>
      <c r="J7" s="713" t="s">
        <v>111</v>
      </c>
      <c r="K7" s="714"/>
      <c r="L7" s="713" t="s">
        <v>112</v>
      </c>
      <c r="M7" s="714"/>
      <c r="N7" s="713" t="s">
        <v>113</v>
      </c>
      <c r="O7" s="714"/>
      <c r="P7" s="715" t="s">
        <v>161</v>
      </c>
      <c r="Q7" s="720" t="s">
        <v>162</v>
      </c>
      <c r="R7" s="721"/>
      <c r="S7" s="705" t="s">
        <v>163</v>
      </c>
      <c r="T7" s="705"/>
      <c r="U7" s="705"/>
      <c r="V7" s="705"/>
      <c r="W7" s="705"/>
      <c r="X7" s="705"/>
    </row>
    <row r="8" spans="1:26" s="135" customFormat="1" ht="63.75" customHeight="1" thickBot="1" x14ac:dyDescent="0.35">
      <c r="A8" s="716"/>
      <c r="B8" s="706" t="s">
        <v>205</v>
      </c>
      <c r="C8" s="707"/>
      <c r="D8" s="706" t="s">
        <v>223</v>
      </c>
      <c r="E8" s="707"/>
      <c r="F8" s="706" t="s">
        <v>116</v>
      </c>
      <c r="G8" s="707"/>
      <c r="H8" s="706" t="s">
        <v>117</v>
      </c>
      <c r="I8" s="707"/>
      <c r="J8" s="706" t="s">
        <v>118</v>
      </c>
      <c r="K8" s="707"/>
      <c r="L8" s="706" t="s">
        <v>119</v>
      </c>
      <c r="M8" s="707"/>
      <c r="N8" s="706" t="s">
        <v>120</v>
      </c>
      <c r="O8" s="707"/>
      <c r="P8" s="716"/>
      <c r="Q8" s="706" t="s">
        <v>121</v>
      </c>
      <c r="R8" s="707"/>
      <c r="S8" s="710" t="s">
        <v>122</v>
      </c>
      <c r="T8" s="710"/>
      <c r="U8" s="710"/>
      <c r="V8" s="710"/>
      <c r="W8" s="710"/>
      <c r="X8" s="710"/>
    </row>
    <row r="9" spans="1:26" s="135" customFormat="1" ht="63.75" customHeight="1" thickBot="1" x14ac:dyDescent="0.35">
      <c r="A9" s="716"/>
      <c r="B9" s="708"/>
      <c r="C9" s="709"/>
      <c r="D9" s="708"/>
      <c r="E9" s="709"/>
      <c r="F9" s="708"/>
      <c r="G9" s="709"/>
      <c r="H9" s="708"/>
      <c r="I9" s="709"/>
      <c r="J9" s="708"/>
      <c r="K9" s="709"/>
      <c r="L9" s="708"/>
      <c r="M9" s="709"/>
      <c r="N9" s="708"/>
      <c r="O9" s="709"/>
      <c r="P9" s="716"/>
      <c r="Q9" s="708"/>
      <c r="R9" s="709"/>
      <c r="S9" s="711" t="s">
        <v>125</v>
      </c>
      <c r="T9" s="712"/>
      <c r="U9" s="711" t="s">
        <v>126</v>
      </c>
      <c r="V9" s="712"/>
      <c r="W9" s="711" t="s">
        <v>122</v>
      </c>
      <c r="X9" s="712"/>
    </row>
    <row r="10" spans="1:26" s="135" customFormat="1" ht="76.5" customHeight="1" thickBot="1" x14ac:dyDescent="0.35">
      <c r="A10" s="717"/>
      <c r="B10" s="621" t="s">
        <v>79</v>
      </c>
      <c r="C10" s="621" t="s">
        <v>195</v>
      </c>
      <c r="D10" s="621" t="s">
        <v>79</v>
      </c>
      <c r="E10" s="621" t="s">
        <v>195</v>
      </c>
      <c r="F10" s="621" t="s">
        <v>79</v>
      </c>
      <c r="G10" s="621" t="s">
        <v>195</v>
      </c>
      <c r="H10" s="621" t="s">
        <v>79</v>
      </c>
      <c r="I10" s="621" t="s">
        <v>79</v>
      </c>
      <c r="J10" s="621" t="s">
        <v>79</v>
      </c>
      <c r="K10" s="621" t="s">
        <v>195</v>
      </c>
      <c r="L10" s="621" t="s">
        <v>79</v>
      </c>
      <c r="M10" s="621" t="s">
        <v>195</v>
      </c>
      <c r="N10" s="621" t="s">
        <v>79</v>
      </c>
      <c r="O10" s="621" t="s">
        <v>195</v>
      </c>
      <c r="P10" s="717"/>
      <c r="Q10" s="621" t="s">
        <v>79</v>
      </c>
      <c r="R10" s="621" t="s">
        <v>195</v>
      </c>
      <c r="S10" s="621" t="s">
        <v>79</v>
      </c>
      <c r="T10" s="621" t="s">
        <v>195</v>
      </c>
      <c r="U10" s="621" t="s">
        <v>79</v>
      </c>
      <c r="V10" s="621" t="s">
        <v>195</v>
      </c>
      <c r="W10" s="621" t="s">
        <v>79</v>
      </c>
      <c r="X10" s="621" t="s">
        <v>195</v>
      </c>
    </row>
    <row r="11" spans="1:26" ht="30" customHeight="1" x14ac:dyDescent="0.3">
      <c r="A11" s="136" t="s">
        <v>105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136" t="s">
        <v>105</v>
      </c>
      <c r="Q11" s="226"/>
      <c r="R11" s="226"/>
      <c r="S11" s="226"/>
      <c r="T11" s="226"/>
      <c r="U11" s="226"/>
      <c r="V11" s="226"/>
      <c r="W11" s="226"/>
      <c r="X11" s="226"/>
    </row>
    <row r="12" spans="1:26" ht="37.5" customHeight="1" x14ac:dyDescent="0.3">
      <c r="A12" s="137" t="s">
        <v>164</v>
      </c>
      <c r="B12" s="139">
        <f>SUM('[1]2. sz. melléklet'!D84)</f>
        <v>2035146089</v>
      </c>
      <c r="C12" s="139">
        <f>SUM('[1]2. sz. melléklet'!E84)</f>
        <v>2352874858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37" t="s">
        <v>164</v>
      </c>
      <c r="Q12" s="140"/>
      <c r="R12" s="140"/>
      <c r="S12" s="139">
        <f>SUM(B12+F12+H12+L12+Q12)</f>
        <v>2035146089</v>
      </c>
      <c r="T12" s="139">
        <f>SUM(C12+G12+I12+M12+R12)</f>
        <v>2352874858</v>
      </c>
      <c r="U12" s="139">
        <f>SUM(D12+J12+N12)</f>
        <v>0</v>
      </c>
      <c r="V12" s="139">
        <f>SUM(E12+K12+O12)</f>
        <v>0</v>
      </c>
      <c r="W12" s="140">
        <f>SUM(B12+D12+F12+H12+J12+L12+N12+Q12)</f>
        <v>2035146089</v>
      </c>
      <c r="X12" s="140">
        <f>SUM(C12+E12+G12+I12+K12+M12+O12+R12)</f>
        <v>2352874858</v>
      </c>
      <c r="Y12" s="141"/>
    </row>
    <row r="13" spans="1:26" ht="41.25" customHeight="1" x14ac:dyDescent="0.3">
      <c r="A13" s="137" t="s">
        <v>372</v>
      </c>
      <c r="B13" s="139">
        <v>238920</v>
      </c>
      <c r="C13" s="139">
        <f>SUM(B13)-238920</f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37" t="s">
        <v>372</v>
      </c>
      <c r="Q13" s="140"/>
      <c r="R13" s="140"/>
      <c r="S13" s="139">
        <f t="shared" ref="S13:T69" si="0">SUM(B13+F13+H13+L13+Q13)</f>
        <v>238920</v>
      </c>
      <c r="T13" s="139">
        <f t="shared" si="0"/>
        <v>0</v>
      </c>
      <c r="U13" s="139">
        <f t="shared" ref="U13:V69" si="1">SUM(D13+J13+N13)</f>
        <v>0</v>
      </c>
      <c r="V13" s="139">
        <f t="shared" si="1"/>
        <v>0</v>
      </c>
      <c r="W13" s="140">
        <f t="shared" ref="W13:X69" si="2">SUM(B13+D13+F13+H13+J13+L13+N13+Q13)</f>
        <v>238920</v>
      </c>
      <c r="X13" s="140">
        <f t="shared" si="2"/>
        <v>0</v>
      </c>
      <c r="Y13" s="141"/>
    </row>
    <row r="14" spans="1:26" ht="41.25" customHeight="1" x14ac:dyDescent="0.3">
      <c r="A14" s="137" t="s">
        <v>388</v>
      </c>
      <c r="B14" s="139">
        <f>172256760+11000000</f>
        <v>183256760</v>
      </c>
      <c r="C14" s="139">
        <f>SUM(B14)-183256760</f>
        <v>0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37" t="s">
        <v>388</v>
      </c>
      <c r="Q14" s="140"/>
      <c r="R14" s="140"/>
      <c r="S14" s="139">
        <f t="shared" si="0"/>
        <v>183256760</v>
      </c>
      <c r="T14" s="139">
        <f t="shared" si="0"/>
        <v>0</v>
      </c>
      <c r="U14" s="139">
        <f t="shared" si="1"/>
        <v>0</v>
      </c>
      <c r="V14" s="139">
        <f t="shared" si="1"/>
        <v>0</v>
      </c>
      <c r="W14" s="140">
        <f t="shared" si="2"/>
        <v>183256760</v>
      </c>
      <c r="X14" s="140">
        <f t="shared" si="2"/>
        <v>0</v>
      </c>
      <c r="Y14" s="141"/>
    </row>
    <row r="15" spans="1:26" ht="41.25" customHeight="1" x14ac:dyDescent="0.3">
      <c r="A15" s="137" t="s">
        <v>537</v>
      </c>
      <c r="B15" s="139"/>
      <c r="C15" s="139">
        <f>25000000+3299985</f>
        <v>28299985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37"/>
      <c r="Q15" s="140"/>
      <c r="R15" s="140"/>
      <c r="S15" s="139">
        <f t="shared" si="0"/>
        <v>0</v>
      </c>
      <c r="T15" s="139">
        <f t="shared" si="0"/>
        <v>28299985</v>
      </c>
      <c r="U15" s="139">
        <f t="shared" si="1"/>
        <v>0</v>
      </c>
      <c r="V15" s="139">
        <f t="shared" si="1"/>
        <v>0</v>
      </c>
      <c r="W15" s="140">
        <f t="shared" si="2"/>
        <v>0</v>
      </c>
      <c r="X15" s="140">
        <f t="shared" si="2"/>
        <v>28299985</v>
      </c>
      <c r="Y15" s="141"/>
    </row>
    <row r="16" spans="1:26" ht="30" customHeight="1" x14ac:dyDescent="0.3">
      <c r="A16" s="138" t="s">
        <v>165</v>
      </c>
      <c r="B16" s="139">
        <v>6480000</v>
      </c>
      <c r="C16" s="139">
        <f>SUM(B16)</f>
        <v>6480000</v>
      </c>
      <c r="D16" s="140"/>
      <c r="E16" s="140"/>
      <c r="F16" s="139"/>
      <c r="G16" s="139"/>
      <c r="H16" s="139"/>
      <c r="I16" s="139"/>
      <c r="J16" s="139"/>
      <c r="K16" s="140"/>
      <c r="L16" s="140"/>
      <c r="M16" s="140"/>
      <c r="N16" s="140"/>
      <c r="O16" s="140"/>
      <c r="P16" s="138" t="s">
        <v>165</v>
      </c>
      <c r="Q16" s="140"/>
      <c r="R16" s="140"/>
      <c r="S16" s="139">
        <f t="shared" si="0"/>
        <v>6480000</v>
      </c>
      <c r="T16" s="139">
        <f t="shared" si="0"/>
        <v>6480000</v>
      </c>
      <c r="U16" s="139">
        <f t="shared" si="1"/>
        <v>0</v>
      </c>
      <c r="V16" s="139">
        <f t="shared" si="1"/>
        <v>0</v>
      </c>
      <c r="W16" s="140">
        <f t="shared" si="2"/>
        <v>6480000</v>
      </c>
      <c r="X16" s="140">
        <f t="shared" si="2"/>
        <v>6480000</v>
      </c>
      <c r="Y16" s="141"/>
    </row>
    <row r="17" spans="1:25" ht="30" customHeight="1" x14ac:dyDescent="0.3">
      <c r="A17" s="138" t="s">
        <v>328</v>
      </c>
      <c r="B17" s="143">
        <v>2500000</v>
      </c>
      <c r="C17" s="139">
        <f>SUM(B17)-624689</f>
        <v>1875311</v>
      </c>
      <c r="D17" s="140"/>
      <c r="E17" s="140"/>
      <c r="F17" s="139"/>
      <c r="G17" s="139"/>
      <c r="H17" s="139"/>
      <c r="I17" s="139"/>
      <c r="J17" s="139"/>
      <c r="K17" s="140"/>
      <c r="L17" s="140"/>
      <c r="M17" s="140"/>
      <c r="N17" s="140"/>
      <c r="O17" s="140"/>
      <c r="P17" s="138" t="s">
        <v>328</v>
      </c>
      <c r="Q17" s="140"/>
      <c r="R17" s="140"/>
      <c r="S17" s="139">
        <f t="shared" si="0"/>
        <v>2500000</v>
      </c>
      <c r="T17" s="139">
        <f t="shared" si="0"/>
        <v>1875311</v>
      </c>
      <c r="U17" s="139">
        <f t="shared" si="1"/>
        <v>0</v>
      </c>
      <c r="V17" s="139">
        <f t="shared" si="1"/>
        <v>0</v>
      </c>
      <c r="W17" s="140">
        <f t="shared" si="2"/>
        <v>2500000</v>
      </c>
      <c r="X17" s="140">
        <f t="shared" si="2"/>
        <v>1875311</v>
      </c>
      <c r="Y17" s="141"/>
    </row>
    <row r="18" spans="1:25" ht="30" customHeight="1" x14ac:dyDescent="0.3">
      <c r="A18" s="138" t="s">
        <v>208</v>
      </c>
      <c r="B18" s="143"/>
      <c r="C18" s="139">
        <v>9083713</v>
      </c>
      <c r="D18" s="140"/>
      <c r="E18" s="140"/>
      <c r="F18" s="139"/>
      <c r="G18" s="139"/>
      <c r="H18" s="139"/>
      <c r="I18" s="139"/>
      <c r="J18" s="139"/>
      <c r="K18" s="140"/>
      <c r="L18" s="140"/>
      <c r="M18" s="140"/>
      <c r="N18" s="140"/>
      <c r="O18" s="140"/>
      <c r="P18" s="138" t="s">
        <v>208</v>
      </c>
      <c r="Q18" s="140"/>
      <c r="R18" s="140"/>
      <c r="S18" s="139">
        <f t="shared" si="0"/>
        <v>0</v>
      </c>
      <c r="T18" s="139">
        <f t="shared" si="0"/>
        <v>9083713</v>
      </c>
      <c r="U18" s="139">
        <f t="shared" si="1"/>
        <v>0</v>
      </c>
      <c r="V18" s="139">
        <f t="shared" si="1"/>
        <v>0</v>
      </c>
      <c r="W18" s="140">
        <f t="shared" si="2"/>
        <v>0</v>
      </c>
      <c r="X18" s="140">
        <f t="shared" si="2"/>
        <v>9083713</v>
      </c>
      <c r="Y18" s="141"/>
    </row>
    <row r="19" spans="1:25" ht="108" customHeight="1" x14ac:dyDescent="0.3">
      <c r="A19" s="138" t="s">
        <v>548</v>
      </c>
      <c r="B19" s="143"/>
      <c r="C19" s="139">
        <v>1245859</v>
      </c>
      <c r="D19" s="140"/>
      <c r="E19" s="140"/>
      <c r="F19" s="139"/>
      <c r="G19" s="139"/>
      <c r="H19" s="139"/>
      <c r="I19" s="139"/>
      <c r="J19" s="139"/>
      <c r="K19" s="140"/>
      <c r="L19" s="140"/>
      <c r="M19" s="140"/>
      <c r="N19" s="140"/>
      <c r="O19" s="140"/>
      <c r="P19" s="138"/>
      <c r="Q19" s="140"/>
      <c r="R19" s="140"/>
      <c r="S19" s="139">
        <f t="shared" si="0"/>
        <v>0</v>
      </c>
      <c r="T19" s="139">
        <f t="shared" si="0"/>
        <v>1245859</v>
      </c>
      <c r="U19" s="139">
        <f t="shared" si="1"/>
        <v>0</v>
      </c>
      <c r="V19" s="139">
        <f t="shared" si="1"/>
        <v>0</v>
      </c>
      <c r="W19" s="140">
        <f t="shared" si="2"/>
        <v>0</v>
      </c>
      <c r="X19" s="140">
        <f t="shared" si="2"/>
        <v>1245859</v>
      </c>
      <c r="Y19" s="141"/>
    </row>
    <row r="20" spans="1:25" ht="35.25" customHeight="1" x14ac:dyDescent="0.3">
      <c r="A20" s="138" t="s">
        <v>549</v>
      </c>
      <c r="B20" s="143"/>
      <c r="C20" s="139">
        <v>8153233</v>
      </c>
      <c r="D20" s="140"/>
      <c r="E20" s="140"/>
      <c r="F20" s="139"/>
      <c r="G20" s="139"/>
      <c r="H20" s="139"/>
      <c r="I20" s="139"/>
      <c r="J20" s="139"/>
      <c r="K20" s="140"/>
      <c r="L20" s="140"/>
      <c r="M20" s="140"/>
      <c r="N20" s="140"/>
      <c r="O20" s="140"/>
      <c r="P20" s="138"/>
      <c r="Q20" s="140"/>
      <c r="R20" s="140"/>
      <c r="S20" s="139">
        <f t="shared" si="0"/>
        <v>0</v>
      </c>
      <c r="T20" s="139">
        <f t="shared" si="0"/>
        <v>8153233</v>
      </c>
      <c r="U20" s="139">
        <f t="shared" si="1"/>
        <v>0</v>
      </c>
      <c r="V20" s="139">
        <f t="shared" si="1"/>
        <v>0</v>
      </c>
      <c r="W20" s="140">
        <f t="shared" si="2"/>
        <v>0</v>
      </c>
      <c r="X20" s="140">
        <f t="shared" si="2"/>
        <v>8153233</v>
      </c>
      <c r="Y20" s="141"/>
    </row>
    <row r="21" spans="1:25" ht="84" customHeight="1" x14ac:dyDescent="0.3">
      <c r="A21" s="138" t="s">
        <v>550</v>
      </c>
      <c r="B21" s="143"/>
      <c r="C21" s="139">
        <v>5000000</v>
      </c>
      <c r="D21" s="140"/>
      <c r="E21" s="140"/>
      <c r="F21" s="139"/>
      <c r="G21" s="139"/>
      <c r="H21" s="139"/>
      <c r="I21" s="139"/>
      <c r="J21" s="139"/>
      <c r="K21" s="140"/>
      <c r="L21" s="140"/>
      <c r="M21" s="140"/>
      <c r="N21" s="140"/>
      <c r="O21" s="140"/>
      <c r="P21" s="138"/>
      <c r="Q21" s="140"/>
      <c r="R21" s="140"/>
      <c r="S21" s="139">
        <f t="shared" si="0"/>
        <v>0</v>
      </c>
      <c r="T21" s="139">
        <f t="shared" si="0"/>
        <v>5000000</v>
      </c>
      <c r="U21" s="139">
        <f t="shared" si="1"/>
        <v>0</v>
      </c>
      <c r="V21" s="139">
        <f t="shared" si="1"/>
        <v>0</v>
      </c>
      <c r="W21" s="140">
        <f t="shared" si="2"/>
        <v>0</v>
      </c>
      <c r="X21" s="140">
        <f t="shared" si="2"/>
        <v>5000000</v>
      </c>
      <c r="Y21" s="141"/>
    </row>
    <row r="22" spans="1:25" ht="57.75" customHeight="1" x14ac:dyDescent="0.3">
      <c r="A22" s="138" t="s">
        <v>359</v>
      </c>
      <c r="B22" s="143"/>
      <c r="C22" s="139"/>
      <c r="D22" s="139">
        <v>577300853</v>
      </c>
      <c r="E22" s="139">
        <f>SUM(D22)+35166303+183157650</f>
        <v>795624806</v>
      </c>
      <c r="F22" s="139"/>
      <c r="G22" s="139"/>
      <c r="H22" s="139"/>
      <c r="I22" s="139"/>
      <c r="J22" s="139"/>
      <c r="K22" s="140"/>
      <c r="L22" s="140"/>
      <c r="M22" s="140"/>
      <c r="N22" s="140"/>
      <c r="O22" s="140"/>
      <c r="P22" s="138" t="s">
        <v>359</v>
      </c>
      <c r="Q22" s="140"/>
      <c r="R22" s="140"/>
      <c r="S22" s="139">
        <f t="shared" si="0"/>
        <v>0</v>
      </c>
      <c r="T22" s="139">
        <f t="shared" si="0"/>
        <v>0</v>
      </c>
      <c r="U22" s="139">
        <f t="shared" si="1"/>
        <v>577300853</v>
      </c>
      <c r="V22" s="139">
        <f t="shared" si="1"/>
        <v>795624806</v>
      </c>
      <c r="W22" s="140">
        <f t="shared" si="2"/>
        <v>577300853</v>
      </c>
      <c r="X22" s="140">
        <f t="shared" si="2"/>
        <v>795624806</v>
      </c>
      <c r="Y22" s="141"/>
    </row>
    <row r="23" spans="1:25" ht="57.75" customHeight="1" x14ac:dyDescent="0.3">
      <c r="A23" s="138" t="s">
        <v>366</v>
      </c>
      <c r="B23" s="143"/>
      <c r="C23" s="139">
        <v>26466640</v>
      </c>
      <c r="D23" s="139">
        <v>7855242</v>
      </c>
      <c r="E23" s="139">
        <f>SUM(D23)+30972142</f>
        <v>38827384</v>
      </c>
      <c r="F23" s="139"/>
      <c r="G23" s="139"/>
      <c r="H23" s="139"/>
      <c r="I23" s="139"/>
      <c r="J23" s="139"/>
      <c r="K23" s="140"/>
      <c r="L23" s="140"/>
      <c r="M23" s="140"/>
      <c r="N23" s="140"/>
      <c r="O23" s="139">
        <f>13748789</f>
        <v>13748789</v>
      </c>
      <c r="P23" s="138" t="s">
        <v>366</v>
      </c>
      <c r="Q23" s="140"/>
      <c r="R23" s="140"/>
      <c r="S23" s="139">
        <f t="shared" si="0"/>
        <v>0</v>
      </c>
      <c r="T23" s="139">
        <f t="shared" si="0"/>
        <v>26466640</v>
      </c>
      <c r="U23" s="139">
        <f t="shared" si="1"/>
        <v>7855242</v>
      </c>
      <c r="V23" s="139">
        <f t="shared" si="1"/>
        <v>52576173</v>
      </c>
      <c r="W23" s="140">
        <f t="shared" si="2"/>
        <v>7855242</v>
      </c>
      <c r="X23" s="140">
        <f t="shared" si="2"/>
        <v>79042813</v>
      </c>
      <c r="Y23" s="141"/>
    </row>
    <row r="24" spans="1:25" ht="46.5" customHeight="1" x14ac:dyDescent="0.3">
      <c r="A24" s="138" t="s">
        <v>520</v>
      </c>
      <c r="B24" s="143"/>
      <c r="C24" s="139"/>
      <c r="D24" s="139"/>
      <c r="E24" s="139">
        <v>30000000</v>
      </c>
      <c r="F24" s="139"/>
      <c r="G24" s="139"/>
      <c r="H24" s="139"/>
      <c r="I24" s="139"/>
      <c r="J24" s="139"/>
      <c r="K24" s="140"/>
      <c r="L24" s="140"/>
      <c r="M24" s="140"/>
      <c r="N24" s="140"/>
      <c r="O24" s="140"/>
      <c r="P24" s="138" t="s">
        <v>520</v>
      </c>
      <c r="Q24" s="140"/>
      <c r="R24" s="140"/>
      <c r="S24" s="139">
        <f t="shared" si="0"/>
        <v>0</v>
      </c>
      <c r="T24" s="139">
        <f t="shared" si="0"/>
        <v>0</v>
      </c>
      <c r="U24" s="139">
        <f t="shared" si="1"/>
        <v>0</v>
      </c>
      <c r="V24" s="139">
        <f t="shared" si="1"/>
        <v>30000000</v>
      </c>
      <c r="W24" s="140">
        <f t="shared" si="2"/>
        <v>0</v>
      </c>
      <c r="X24" s="140">
        <f t="shared" si="2"/>
        <v>30000000</v>
      </c>
      <c r="Y24" s="141"/>
    </row>
    <row r="25" spans="1:25" ht="46.5" customHeight="1" x14ac:dyDescent="0.3">
      <c r="A25" s="138" t="s">
        <v>551</v>
      </c>
      <c r="B25" s="143"/>
      <c r="C25" s="139"/>
      <c r="D25" s="139"/>
      <c r="E25" s="139">
        <v>147000000</v>
      </c>
      <c r="F25" s="139"/>
      <c r="G25" s="139"/>
      <c r="H25" s="139"/>
      <c r="I25" s="139"/>
      <c r="J25" s="139"/>
      <c r="K25" s="140"/>
      <c r="L25" s="140"/>
      <c r="M25" s="140"/>
      <c r="N25" s="140"/>
      <c r="O25" s="140"/>
      <c r="P25" s="138"/>
      <c r="Q25" s="140"/>
      <c r="R25" s="140"/>
      <c r="S25" s="139">
        <f t="shared" si="0"/>
        <v>0</v>
      </c>
      <c r="T25" s="139">
        <f t="shared" si="0"/>
        <v>0</v>
      </c>
      <c r="U25" s="139">
        <f t="shared" si="1"/>
        <v>0</v>
      </c>
      <c r="V25" s="139">
        <f t="shared" si="1"/>
        <v>147000000</v>
      </c>
      <c r="W25" s="140">
        <f t="shared" si="2"/>
        <v>0</v>
      </c>
      <c r="X25" s="140">
        <f t="shared" si="2"/>
        <v>147000000</v>
      </c>
      <c r="Y25" s="141"/>
    </row>
    <row r="26" spans="1:25" ht="46.5" customHeight="1" x14ac:dyDescent="0.3">
      <c r="A26" s="138" t="s">
        <v>552</v>
      </c>
      <c r="B26" s="143"/>
      <c r="C26" s="139"/>
      <c r="D26" s="139"/>
      <c r="E26" s="139">
        <v>133148070</v>
      </c>
      <c r="F26" s="139"/>
      <c r="G26" s="139"/>
      <c r="H26" s="139"/>
      <c r="I26" s="139"/>
      <c r="J26" s="139"/>
      <c r="K26" s="140"/>
      <c r="L26" s="140"/>
      <c r="M26" s="140"/>
      <c r="N26" s="140"/>
      <c r="O26" s="140"/>
      <c r="P26" s="138"/>
      <c r="Q26" s="140"/>
      <c r="R26" s="140"/>
      <c r="S26" s="139">
        <f t="shared" si="0"/>
        <v>0</v>
      </c>
      <c r="T26" s="139">
        <f t="shared" si="0"/>
        <v>0</v>
      </c>
      <c r="U26" s="139">
        <f t="shared" si="1"/>
        <v>0</v>
      </c>
      <c r="V26" s="139">
        <f t="shared" si="1"/>
        <v>133148070</v>
      </c>
      <c r="W26" s="140">
        <f t="shared" si="2"/>
        <v>0</v>
      </c>
      <c r="X26" s="140">
        <f t="shared" si="2"/>
        <v>133148070</v>
      </c>
      <c r="Y26" s="141"/>
    </row>
    <row r="27" spans="1:25" ht="30" customHeight="1" x14ac:dyDescent="0.3">
      <c r="A27" s="138" t="s">
        <v>553</v>
      </c>
      <c r="B27" s="143"/>
      <c r="C27" s="139"/>
      <c r="D27" s="139"/>
      <c r="E27" s="139">
        <v>170000000</v>
      </c>
      <c r="F27" s="139"/>
      <c r="G27" s="139"/>
      <c r="H27" s="139"/>
      <c r="I27" s="139"/>
      <c r="J27" s="139"/>
      <c r="K27" s="140"/>
      <c r="L27" s="140"/>
      <c r="M27" s="140"/>
      <c r="N27" s="140"/>
      <c r="O27" s="140"/>
      <c r="P27" s="138"/>
      <c r="Q27" s="140"/>
      <c r="R27" s="140"/>
      <c r="S27" s="139">
        <f t="shared" si="0"/>
        <v>0</v>
      </c>
      <c r="T27" s="139">
        <f t="shared" si="0"/>
        <v>0</v>
      </c>
      <c r="U27" s="139">
        <f t="shared" si="1"/>
        <v>0</v>
      </c>
      <c r="V27" s="139">
        <f t="shared" si="1"/>
        <v>170000000</v>
      </c>
      <c r="W27" s="140">
        <f t="shared" si="2"/>
        <v>0</v>
      </c>
      <c r="X27" s="140">
        <f t="shared" si="2"/>
        <v>170000000</v>
      </c>
      <c r="Y27" s="141"/>
    </row>
    <row r="28" spans="1:25" ht="52.5" customHeight="1" x14ac:dyDescent="0.3">
      <c r="A28" s="138" t="s">
        <v>568</v>
      </c>
      <c r="B28" s="143"/>
      <c r="C28" s="139"/>
      <c r="D28" s="139"/>
      <c r="E28" s="139">
        <v>60666667</v>
      </c>
      <c r="F28" s="139"/>
      <c r="G28" s="139"/>
      <c r="H28" s="139"/>
      <c r="I28" s="139"/>
      <c r="J28" s="139"/>
      <c r="K28" s="140"/>
      <c r="L28" s="140"/>
      <c r="M28" s="140"/>
      <c r="N28" s="140"/>
      <c r="O28" s="140"/>
      <c r="P28" s="138"/>
      <c r="Q28" s="140"/>
      <c r="R28" s="140"/>
      <c r="S28" s="139">
        <f t="shared" si="0"/>
        <v>0</v>
      </c>
      <c r="T28" s="139">
        <f t="shared" si="0"/>
        <v>0</v>
      </c>
      <c r="U28" s="139">
        <f t="shared" si="1"/>
        <v>0</v>
      </c>
      <c r="V28" s="139">
        <f t="shared" si="1"/>
        <v>60666667</v>
      </c>
      <c r="W28" s="140">
        <f t="shared" si="2"/>
        <v>0</v>
      </c>
      <c r="X28" s="140">
        <f t="shared" si="2"/>
        <v>60666667</v>
      </c>
      <c r="Y28" s="141"/>
    </row>
    <row r="29" spans="1:25" ht="42" customHeight="1" x14ac:dyDescent="0.3">
      <c r="A29" s="138" t="s">
        <v>521</v>
      </c>
      <c r="B29" s="143"/>
      <c r="C29" s="139"/>
      <c r="D29" s="139"/>
      <c r="E29" s="139">
        <v>250000000</v>
      </c>
      <c r="F29" s="139"/>
      <c r="G29" s="139"/>
      <c r="H29" s="139"/>
      <c r="I29" s="139"/>
      <c r="J29" s="139"/>
      <c r="K29" s="140"/>
      <c r="L29" s="140"/>
      <c r="M29" s="140"/>
      <c r="N29" s="140"/>
      <c r="O29" s="140"/>
      <c r="P29" s="138" t="s">
        <v>521</v>
      </c>
      <c r="Q29" s="140"/>
      <c r="R29" s="140"/>
      <c r="S29" s="139">
        <f t="shared" si="0"/>
        <v>0</v>
      </c>
      <c r="T29" s="139">
        <f t="shared" si="0"/>
        <v>0</v>
      </c>
      <c r="U29" s="139">
        <f t="shared" si="1"/>
        <v>0</v>
      </c>
      <c r="V29" s="139">
        <f t="shared" si="1"/>
        <v>250000000</v>
      </c>
      <c r="W29" s="140">
        <f t="shared" si="2"/>
        <v>0</v>
      </c>
      <c r="X29" s="140">
        <f t="shared" si="2"/>
        <v>250000000</v>
      </c>
      <c r="Y29" s="141"/>
    </row>
    <row r="30" spans="1:25" ht="39.75" customHeight="1" x14ac:dyDescent="0.3">
      <c r="A30" s="138" t="s">
        <v>554</v>
      </c>
      <c r="B30" s="143"/>
      <c r="C30" s="139"/>
      <c r="D30" s="139"/>
      <c r="E30" s="139">
        <v>2500000</v>
      </c>
      <c r="F30" s="139"/>
      <c r="G30" s="139"/>
      <c r="H30" s="139"/>
      <c r="I30" s="139"/>
      <c r="J30" s="139"/>
      <c r="K30" s="140"/>
      <c r="L30" s="140"/>
      <c r="M30" s="140"/>
      <c r="N30" s="140"/>
      <c r="O30" s="140"/>
      <c r="P30" s="138"/>
      <c r="Q30" s="140"/>
      <c r="R30" s="140"/>
      <c r="S30" s="139">
        <f t="shared" si="0"/>
        <v>0</v>
      </c>
      <c r="T30" s="139">
        <f t="shared" si="0"/>
        <v>0</v>
      </c>
      <c r="U30" s="139">
        <f t="shared" si="1"/>
        <v>0</v>
      </c>
      <c r="V30" s="139">
        <f t="shared" si="1"/>
        <v>2500000</v>
      </c>
      <c r="W30" s="140">
        <f t="shared" si="2"/>
        <v>0</v>
      </c>
      <c r="X30" s="140">
        <f t="shared" si="2"/>
        <v>2500000</v>
      </c>
      <c r="Y30" s="141"/>
    </row>
    <row r="31" spans="1:25" ht="47.25" customHeight="1" x14ac:dyDescent="0.3">
      <c r="A31" s="138" t="s">
        <v>555</v>
      </c>
      <c r="B31" s="143"/>
      <c r="C31" s="139"/>
      <c r="D31" s="139"/>
      <c r="E31" s="139">
        <v>24999994</v>
      </c>
      <c r="F31" s="139"/>
      <c r="G31" s="139"/>
      <c r="H31" s="139"/>
      <c r="I31" s="139"/>
      <c r="J31" s="139"/>
      <c r="K31" s="140"/>
      <c r="L31" s="140"/>
      <c r="M31" s="140"/>
      <c r="N31" s="140"/>
      <c r="O31" s="140"/>
      <c r="P31" s="138"/>
      <c r="Q31" s="140"/>
      <c r="R31" s="140"/>
      <c r="S31" s="139">
        <f t="shared" si="0"/>
        <v>0</v>
      </c>
      <c r="T31" s="139">
        <f t="shared" si="0"/>
        <v>0</v>
      </c>
      <c r="U31" s="139">
        <f t="shared" si="1"/>
        <v>0</v>
      </c>
      <c r="V31" s="139">
        <f t="shared" si="1"/>
        <v>24999994</v>
      </c>
      <c r="W31" s="140">
        <f t="shared" si="2"/>
        <v>0</v>
      </c>
      <c r="X31" s="140">
        <f t="shared" si="2"/>
        <v>24999994</v>
      </c>
      <c r="Y31" s="141"/>
    </row>
    <row r="32" spans="1:25" ht="41.25" customHeight="1" x14ac:dyDescent="0.3">
      <c r="A32" s="138" t="s">
        <v>522</v>
      </c>
      <c r="B32" s="143"/>
      <c r="C32" s="139"/>
      <c r="D32" s="139"/>
      <c r="E32" s="139"/>
      <c r="F32" s="139"/>
      <c r="G32" s="139"/>
      <c r="H32" s="139"/>
      <c r="I32" s="139"/>
      <c r="J32" s="139"/>
      <c r="K32" s="140"/>
      <c r="L32" s="140"/>
      <c r="M32" s="140"/>
      <c r="N32" s="140"/>
      <c r="O32" s="139">
        <v>15000000</v>
      </c>
      <c r="P32" s="138" t="s">
        <v>521</v>
      </c>
      <c r="Q32" s="140"/>
      <c r="R32" s="140"/>
      <c r="S32" s="139">
        <f t="shared" si="0"/>
        <v>0</v>
      </c>
      <c r="T32" s="139">
        <f t="shared" si="0"/>
        <v>0</v>
      </c>
      <c r="U32" s="139">
        <f t="shared" si="1"/>
        <v>0</v>
      </c>
      <c r="V32" s="139">
        <f t="shared" si="1"/>
        <v>15000000</v>
      </c>
      <c r="W32" s="140">
        <f t="shared" si="2"/>
        <v>0</v>
      </c>
      <c r="X32" s="140">
        <f t="shared" si="2"/>
        <v>15000000</v>
      </c>
      <c r="Y32" s="141"/>
    </row>
    <row r="33" spans="1:25" ht="42" customHeight="1" x14ac:dyDescent="0.3">
      <c r="A33" s="138" t="s">
        <v>556</v>
      </c>
      <c r="B33" s="143"/>
      <c r="C33" s="139">
        <v>1480000</v>
      </c>
      <c r="D33" s="139"/>
      <c r="E33" s="139">
        <v>10520000</v>
      </c>
      <c r="F33" s="139"/>
      <c r="G33" s="139"/>
      <c r="H33" s="139"/>
      <c r="I33" s="139"/>
      <c r="J33" s="139"/>
      <c r="K33" s="140"/>
      <c r="L33" s="140"/>
      <c r="M33" s="140"/>
      <c r="N33" s="140"/>
      <c r="O33" s="139"/>
      <c r="P33" s="138"/>
      <c r="Q33" s="140"/>
      <c r="R33" s="140"/>
      <c r="S33" s="139">
        <f t="shared" si="0"/>
        <v>0</v>
      </c>
      <c r="T33" s="139">
        <f t="shared" si="0"/>
        <v>1480000</v>
      </c>
      <c r="U33" s="139">
        <f t="shared" si="1"/>
        <v>0</v>
      </c>
      <c r="V33" s="139">
        <f t="shared" si="1"/>
        <v>10520000</v>
      </c>
      <c r="W33" s="140">
        <f t="shared" si="2"/>
        <v>0</v>
      </c>
      <c r="X33" s="140">
        <f t="shared" si="2"/>
        <v>12000000</v>
      </c>
      <c r="Y33" s="141"/>
    </row>
    <row r="34" spans="1:25" ht="33" customHeight="1" x14ac:dyDescent="0.3">
      <c r="A34" s="138" t="s">
        <v>557</v>
      </c>
      <c r="B34" s="143"/>
      <c r="C34" s="139">
        <v>1500000</v>
      </c>
      <c r="D34" s="139"/>
      <c r="E34" s="139"/>
      <c r="F34" s="139"/>
      <c r="G34" s="139"/>
      <c r="H34" s="139"/>
      <c r="I34" s="139"/>
      <c r="J34" s="139"/>
      <c r="K34" s="140"/>
      <c r="L34" s="140"/>
      <c r="M34" s="140"/>
      <c r="N34" s="140"/>
      <c r="O34" s="139"/>
      <c r="P34" s="138"/>
      <c r="Q34" s="140"/>
      <c r="R34" s="140"/>
      <c r="S34" s="139">
        <f t="shared" si="0"/>
        <v>0</v>
      </c>
      <c r="T34" s="139">
        <f t="shared" si="0"/>
        <v>1500000</v>
      </c>
      <c r="U34" s="139">
        <f t="shared" si="1"/>
        <v>0</v>
      </c>
      <c r="V34" s="139">
        <f t="shared" si="1"/>
        <v>0</v>
      </c>
      <c r="W34" s="140">
        <f t="shared" si="2"/>
        <v>0</v>
      </c>
      <c r="X34" s="140">
        <f t="shared" si="2"/>
        <v>1500000</v>
      </c>
      <c r="Y34" s="141"/>
    </row>
    <row r="35" spans="1:25" ht="33" customHeight="1" x14ac:dyDescent="0.3">
      <c r="A35" s="138" t="s">
        <v>558</v>
      </c>
      <c r="B35" s="143"/>
      <c r="C35" s="139">
        <v>3200000</v>
      </c>
      <c r="D35" s="139"/>
      <c r="E35" s="139"/>
      <c r="F35" s="139"/>
      <c r="G35" s="139"/>
      <c r="H35" s="139"/>
      <c r="I35" s="139"/>
      <c r="J35" s="139"/>
      <c r="K35" s="140"/>
      <c r="L35" s="140"/>
      <c r="M35" s="140"/>
      <c r="N35" s="140"/>
      <c r="O35" s="139"/>
      <c r="P35" s="138"/>
      <c r="Q35" s="140"/>
      <c r="R35" s="140"/>
      <c r="S35" s="139">
        <f t="shared" si="0"/>
        <v>0</v>
      </c>
      <c r="T35" s="139">
        <f t="shared" si="0"/>
        <v>3200000</v>
      </c>
      <c r="U35" s="139">
        <f t="shared" si="1"/>
        <v>0</v>
      </c>
      <c r="V35" s="139">
        <f t="shared" si="1"/>
        <v>0</v>
      </c>
      <c r="W35" s="140">
        <f t="shared" si="2"/>
        <v>0</v>
      </c>
      <c r="X35" s="140">
        <f t="shared" si="2"/>
        <v>3200000</v>
      </c>
      <c r="Y35" s="141"/>
    </row>
    <row r="36" spans="1:25" ht="33" customHeight="1" x14ac:dyDescent="0.3">
      <c r="A36" s="138" t="s">
        <v>559</v>
      </c>
      <c r="B36" s="143"/>
      <c r="C36" s="139">
        <v>135000</v>
      </c>
      <c r="D36" s="139"/>
      <c r="E36" s="139"/>
      <c r="F36" s="139"/>
      <c r="G36" s="139"/>
      <c r="H36" s="139"/>
      <c r="I36" s="139"/>
      <c r="J36" s="139"/>
      <c r="K36" s="140"/>
      <c r="L36" s="140"/>
      <c r="M36" s="140"/>
      <c r="N36" s="140"/>
      <c r="O36" s="139"/>
      <c r="P36" s="138"/>
      <c r="Q36" s="140"/>
      <c r="R36" s="140"/>
      <c r="S36" s="139">
        <f t="shared" si="0"/>
        <v>0</v>
      </c>
      <c r="T36" s="139">
        <f t="shared" si="0"/>
        <v>135000</v>
      </c>
      <c r="U36" s="139">
        <f t="shared" si="1"/>
        <v>0</v>
      </c>
      <c r="V36" s="139">
        <f t="shared" si="1"/>
        <v>0</v>
      </c>
      <c r="W36" s="140">
        <f t="shared" si="2"/>
        <v>0</v>
      </c>
      <c r="X36" s="140">
        <f t="shared" si="2"/>
        <v>135000</v>
      </c>
      <c r="Y36" s="141"/>
    </row>
    <row r="37" spans="1:25" ht="33" customHeight="1" x14ac:dyDescent="0.3">
      <c r="A37" s="138" t="s">
        <v>538</v>
      </c>
      <c r="B37" s="143"/>
      <c r="C37" s="139"/>
      <c r="D37" s="139"/>
      <c r="E37" s="139">
        <f>76200000</f>
        <v>76200000</v>
      </c>
      <c r="F37" s="139"/>
      <c r="G37" s="139"/>
      <c r="H37" s="139"/>
      <c r="I37" s="139"/>
      <c r="J37" s="139"/>
      <c r="K37" s="140"/>
      <c r="L37" s="140"/>
      <c r="M37" s="140"/>
      <c r="N37" s="140"/>
      <c r="O37" s="139"/>
      <c r="P37" s="138"/>
      <c r="Q37" s="140"/>
      <c r="R37" s="140"/>
      <c r="S37" s="139">
        <f t="shared" si="0"/>
        <v>0</v>
      </c>
      <c r="T37" s="139">
        <f t="shared" si="0"/>
        <v>0</v>
      </c>
      <c r="U37" s="139">
        <f t="shared" si="1"/>
        <v>0</v>
      </c>
      <c r="V37" s="139">
        <f t="shared" si="1"/>
        <v>76200000</v>
      </c>
      <c r="W37" s="140">
        <f t="shared" si="2"/>
        <v>0</v>
      </c>
      <c r="X37" s="140">
        <f t="shared" si="2"/>
        <v>76200000</v>
      </c>
      <c r="Y37" s="141"/>
    </row>
    <row r="38" spans="1:25" ht="30" customHeight="1" x14ac:dyDescent="0.3">
      <c r="A38" s="138" t="s">
        <v>539</v>
      </c>
      <c r="B38" s="143"/>
      <c r="C38" s="139"/>
      <c r="D38" s="139"/>
      <c r="E38" s="139">
        <f>36331825</f>
        <v>36331825</v>
      </c>
      <c r="F38" s="139"/>
      <c r="G38" s="139"/>
      <c r="H38" s="139"/>
      <c r="I38" s="139"/>
      <c r="J38" s="139"/>
      <c r="K38" s="140"/>
      <c r="L38" s="140"/>
      <c r="M38" s="140"/>
      <c r="N38" s="140"/>
      <c r="O38" s="139"/>
      <c r="P38" s="138"/>
      <c r="Q38" s="140"/>
      <c r="R38" s="140"/>
      <c r="S38" s="139">
        <f t="shared" si="0"/>
        <v>0</v>
      </c>
      <c r="T38" s="139">
        <f t="shared" si="0"/>
        <v>0</v>
      </c>
      <c r="U38" s="139">
        <f t="shared" si="1"/>
        <v>0</v>
      </c>
      <c r="V38" s="139">
        <f t="shared" si="1"/>
        <v>36331825</v>
      </c>
      <c r="W38" s="140">
        <f t="shared" si="2"/>
        <v>0</v>
      </c>
      <c r="X38" s="140">
        <f t="shared" si="2"/>
        <v>36331825</v>
      </c>
      <c r="Y38" s="141"/>
    </row>
    <row r="39" spans="1:25" ht="30" customHeight="1" x14ac:dyDescent="0.3">
      <c r="A39" s="138" t="s">
        <v>540</v>
      </c>
      <c r="B39" s="143"/>
      <c r="C39" s="139"/>
      <c r="D39" s="139"/>
      <c r="E39" s="139">
        <f>9809655</f>
        <v>9809655</v>
      </c>
      <c r="F39" s="139"/>
      <c r="G39" s="139"/>
      <c r="H39" s="139"/>
      <c r="I39" s="139"/>
      <c r="J39" s="139"/>
      <c r="K39" s="140"/>
      <c r="L39" s="140"/>
      <c r="M39" s="140"/>
      <c r="N39" s="140"/>
      <c r="O39" s="139"/>
      <c r="P39" s="138"/>
      <c r="Q39" s="140"/>
      <c r="R39" s="140"/>
      <c r="S39" s="139">
        <f t="shared" si="0"/>
        <v>0</v>
      </c>
      <c r="T39" s="139">
        <f t="shared" si="0"/>
        <v>0</v>
      </c>
      <c r="U39" s="139">
        <f t="shared" si="1"/>
        <v>0</v>
      </c>
      <c r="V39" s="139">
        <f t="shared" si="1"/>
        <v>9809655</v>
      </c>
      <c r="W39" s="140">
        <f t="shared" si="2"/>
        <v>0</v>
      </c>
      <c r="X39" s="140">
        <f t="shared" si="2"/>
        <v>9809655</v>
      </c>
      <c r="Y39" s="141"/>
    </row>
    <row r="40" spans="1:25" ht="48" customHeight="1" x14ac:dyDescent="0.3">
      <c r="A40" s="138" t="s">
        <v>567</v>
      </c>
      <c r="B40" s="143"/>
      <c r="C40" s="139"/>
      <c r="D40" s="139"/>
      <c r="E40" s="139">
        <v>799999000</v>
      </c>
      <c r="F40" s="139"/>
      <c r="G40" s="139"/>
      <c r="H40" s="139"/>
      <c r="I40" s="139"/>
      <c r="J40" s="139"/>
      <c r="K40" s="140"/>
      <c r="L40" s="140"/>
      <c r="M40" s="140"/>
      <c r="N40" s="140"/>
      <c r="O40" s="139"/>
      <c r="P40" s="138"/>
      <c r="Q40" s="140"/>
      <c r="R40" s="140"/>
      <c r="S40" s="139">
        <f t="shared" si="0"/>
        <v>0</v>
      </c>
      <c r="T40" s="139">
        <f t="shared" si="0"/>
        <v>0</v>
      </c>
      <c r="U40" s="139">
        <f t="shared" si="1"/>
        <v>0</v>
      </c>
      <c r="V40" s="139">
        <f t="shared" si="1"/>
        <v>799999000</v>
      </c>
      <c r="W40" s="140">
        <f t="shared" si="2"/>
        <v>0</v>
      </c>
      <c r="X40" s="140">
        <f t="shared" si="2"/>
        <v>799999000</v>
      </c>
      <c r="Y40" s="141"/>
    </row>
    <row r="41" spans="1:25" ht="31.5" customHeight="1" x14ac:dyDescent="0.3">
      <c r="A41" s="138" t="s">
        <v>561</v>
      </c>
      <c r="B41" s="143"/>
      <c r="C41" s="139"/>
      <c r="D41" s="139"/>
      <c r="E41" s="139"/>
      <c r="F41" s="139"/>
      <c r="G41" s="139"/>
      <c r="H41" s="139"/>
      <c r="I41" s="139"/>
      <c r="J41" s="139"/>
      <c r="K41" s="140"/>
      <c r="L41" s="140"/>
      <c r="M41" s="139">
        <v>5396539</v>
      </c>
      <c r="N41" s="140"/>
      <c r="O41" s="139"/>
      <c r="P41" s="138"/>
      <c r="Q41" s="140"/>
      <c r="R41" s="140"/>
      <c r="S41" s="139">
        <f t="shared" si="0"/>
        <v>0</v>
      </c>
      <c r="T41" s="139">
        <f t="shared" si="0"/>
        <v>5396539</v>
      </c>
      <c r="U41" s="139">
        <f t="shared" si="1"/>
        <v>0</v>
      </c>
      <c r="V41" s="139">
        <f t="shared" si="1"/>
        <v>0</v>
      </c>
      <c r="W41" s="140">
        <f t="shared" si="2"/>
        <v>0</v>
      </c>
      <c r="X41" s="140">
        <f t="shared" si="2"/>
        <v>5396539</v>
      </c>
      <c r="Y41" s="141"/>
    </row>
    <row r="42" spans="1:25" ht="30" customHeight="1" x14ac:dyDescent="0.3">
      <c r="A42" s="138" t="s">
        <v>562</v>
      </c>
      <c r="B42" s="143"/>
      <c r="C42" s="139"/>
      <c r="D42" s="139"/>
      <c r="E42" s="139"/>
      <c r="F42" s="139"/>
      <c r="G42" s="139"/>
      <c r="H42" s="139"/>
      <c r="I42" s="139"/>
      <c r="J42" s="139"/>
      <c r="K42" s="140"/>
      <c r="L42" s="140"/>
      <c r="M42" s="139">
        <v>1050000</v>
      </c>
      <c r="N42" s="140"/>
      <c r="O42" s="139"/>
      <c r="P42" s="138"/>
      <c r="Q42" s="140"/>
      <c r="R42" s="140"/>
      <c r="S42" s="139">
        <f t="shared" si="0"/>
        <v>0</v>
      </c>
      <c r="T42" s="139">
        <f t="shared" si="0"/>
        <v>1050000</v>
      </c>
      <c r="U42" s="139">
        <f t="shared" si="1"/>
        <v>0</v>
      </c>
      <c r="V42" s="139">
        <f t="shared" si="1"/>
        <v>0</v>
      </c>
      <c r="W42" s="140">
        <f t="shared" si="2"/>
        <v>0</v>
      </c>
      <c r="X42" s="140">
        <f t="shared" si="2"/>
        <v>1050000</v>
      </c>
      <c r="Y42" s="141"/>
    </row>
    <row r="43" spans="1:25" ht="30" customHeight="1" x14ac:dyDescent="0.3">
      <c r="A43" s="138" t="s">
        <v>563</v>
      </c>
      <c r="B43" s="143"/>
      <c r="C43" s="139"/>
      <c r="D43" s="139"/>
      <c r="E43" s="139"/>
      <c r="F43" s="139"/>
      <c r="G43" s="139"/>
      <c r="H43" s="139"/>
      <c r="I43" s="139"/>
      <c r="J43" s="139"/>
      <c r="K43" s="140"/>
      <c r="L43" s="140"/>
      <c r="M43" s="139">
        <v>540000</v>
      </c>
      <c r="N43" s="140"/>
      <c r="O43" s="139"/>
      <c r="P43" s="138"/>
      <c r="Q43" s="140"/>
      <c r="R43" s="140"/>
      <c r="S43" s="139">
        <f t="shared" si="0"/>
        <v>0</v>
      </c>
      <c r="T43" s="139">
        <f t="shared" si="0"/>
        <v>540000</v>
      </c>
      <c r="U43" s="139">
        <f t="shared" si="1"/>
        <v>0</v>
      </c>
      <c r="V43" s="139">
        <f t="shared" si="1"/>
        <v>0</v>
      </c>
      <c r="W43" s="140">
        <f t="shared" si="2"/>
        <v>0</v>
      </c>
      <c r="X43" s="140">
        <f t="shared" si="2"/>
        <v>540000</v>
      </c>
      <c r="Y43" s="141"/>
    </row>
    <row r="44" spans="1:25" ht="30" customHeight="1" x14ac:dyDescent="0.3">
      <c r="A44" s="138" t="s">
        <v>166</v>
      </c>
      <c r="B44" s="143"/>
      <c r="C44" s="139"/>
      <c r="D44" s="140"/>
      <c r="E44" s="139"/>
      <c r="F44" s="139">
        <v>15000000</v>
      </c>
      <c r="G44" s="139">
        <f>SUM(F44)-5694538</f>
        <v>9305462</v>
      </c>
      <c r="H44" s="139"/>
      <c r="I44" s="139"/>
      <c r="J44" s="139"/>
      <c r="K44" s="140"/>
      <c r="L44" s="140"/>
      <c r="M44" s="140"/>
      <c r="N44" s="140"/>
      <c r="O44" s="140"/>
      <c r="P44" s="138" t="s">
        <v>166</v>
      </c>
      <c r="Q44" s="140"/>
      <c r="R44" s="140"/>
      <c r="S44" s="139">
        <f t="shared" si="0"/>
        <v>15000000</v>
      </c>
      <c r="T44" s="139">
        <f t="shared" si="0"/>
        <v>9305462</v>
      </c>
      <c r="U44" s="139">
        <f t="shared" si="1"/>
        <v>0</v>
      </c>
      <c r="V44" s="139">
        <f t="shared" si="1"/>
        <v>0</v>
      </c>
      <c r="W44" s="140">
        <f t="shared" si="2"/>
        <v>15000000</v>
      </c>
      <c r="X44" s="140">
        <f t="shared" si="2"/>
        <v>9305462</v>
      </c>
      <c r="Y44" s="141"/>
    </row>
    <row r="45" spans="1:25" ht="30" customHeight="1" x14ac:dyDescent="0.3">
      <c r="A45" s="138" t="s">
        <v>174</v>
      </c>
      <c r="B45" s="143"/>
      <c r="C45" s="143"/>
      <c r="D45" s="140"/>
      <c r="E45" s="139"/>
      <c r="F45" s="139">
        <v>1500000</v>
      </c>
      <c r="G45" s="139">
        <f>SUM(F45)-869430</f>
        <v>630570</v>
      </c>
      <c r="H45" s="139"/>
      <c r="I45" s="139"/>
      <c r="J45" s="139"/>
      <c r="K45" s="140"/>
      <c r="L45" s="140"/>
      <c r="M45" s="140"/>
      <c r="N45" s="140"/>
      <c r="O45" s="140"/>
      <c r="P45" s="138" t="s">
        <v>174</v>
      </c>
      <c r="Q45" s="140"/>
      <c r="R45" s="140"/>
      <c r="S45" s="139">
        <f t="shared" si="0"/>
        <v>1500000</v>
      </c>
      <c r="T45" s="139">
        <f t="shared" si="0"/>
        <v>630570</v>
      </c>
      <c r="U45" s="139">
        <f t="shared" si="1"/>
        <v>0</v>
      </c>
      <c r="V45" s="139">
        <f t="shared" si="1"/>
        <v>0</v>
      </c>
      <c r="W45" s="140">
        <f t="shared" si="2"/>
        <v>1500000</v>
      </c>
      <c r="X45" s="140">
        <f t="shared" si="2"/>
        <v>630570</v>
      </c>
      <c r="Y45" s="141"/>
    </row>
    <row r="46" spans="1:25" ht="30" customHeight="1" x14ac:dyDescent="0.3">
      <c r="A46" s="138" t="s">
        <v>168</v>
      </c>
      <c r="B46" s="143"/>
      <c r="C46" s="143"/>
      <c r="D46" s="140"/>
      <c r="E46" s="140"/>
      <c r="F46" s="139">
        <f>416108154+11000000</f>
        <v>427108154</v>
      </c>
      <c r="G46" s="139">
        <f>SUM(F46)+143164429+49241568+789563</f>
        <v>620303714</v>
      </c>
      <c r="H46" s="139"/>
      <c r="I46" s="139"/>
      <c r="J46" s="139"/>
      <c r="K46" s="140"/>
      <c r="L46" s="140"/>
      <c r="M46" s="140"/>
      <c r="N46" s="140"/>
      <c r="O46" s="140"/>
      <c r="P46" s="138" t="s">
        <v>168</v>
      </c>
      <c r="Q46" s="140"/>
      <c r="R46" s="140"/>
      <c r="S46" s="139">
        <f t="shared" si="0"/>
        <v>427108154</v>
      </c>
      <c r="T46" s="139">
        <f t="shared" si="0"/>
        <v>620303714</v>
      </c>
      <c r="U46" s="139">
        <f t="shared" si="1"/>
        <v>0</v>
      </c>
      <c r="V46" s="139">
        <f t="shared" si="1"/>
        <v>0</v>
      </c>
      <c r="W46" s="140">
        <f t="shared" si="2"/>
        <v>427108154</v>
      </c>
      <c r="X46" s="140">
        <f t="shared" si="2"/>
        <v>620303714</v>
      </c>
      <c r="Y46" s="141"/>
    </row>
    <row r="47" spans="1:25" ht="31.5" customHeight="1" x14ac:dyDescent="0.3">
      <c r="A47" s="138" t="s">
        <v>169</v>
      </c>
      <c r="B47" s="143"/>
      <c r="C47" s="143"/>
      <c r="D47" s="140"/>
      <c r="E47" s="140"/>
      <c r="F47" s="139">
        <v>2500000</v>
      </c>
      <c r="G47" s="139">
        <f>SUM(F47)+1042880</f>
        <v>3542880</v>
      </c>
      <c r="H47" s="139"/>
      <c r="I47" s="139"/>
      <c r="J47" s="139"/>
      <c r="K47" s="140"/>
      <c r="L47" s="140"/>
      <c r="M47" s="140"/>
      <c r="N47" s="140"/>
      <c r="O47" s="140"/>
      <c r="P47" s="138" t="s">
        <v>169</v>
      </c>
      <c r="Q47" s="140"/>
      <c r="R47" s="140"/>
      <c r="S47" s="139">
        <f t="shared" si="0"/>
        <v>2500000</v>
      </c>
      <c r="T47" s="139">
        <f t="shared" si="0"/>
        <v>3542880</v>
      </c>
      <c r="U47" s="139">
        <f t="shared" si="1"/>
        <v>0</v>
      </c>
      <c r="V47" s="139">
        <f t="shared" si="1"/>
        <v>0</v>
      </c>
      <c r="W47" s="140">
        <f t="shared" si="2"/>
        <v>2500000</v>
      </c>
      <c r="X47" s="140">
        <f t="shared" si="2"/>
        <v>3542880</v>
      </c>
      <c r="Y47" s="141"/>
    </row>
    <row r="48" spans="1:25" ht="31.5" customHeight="1" x14ac:dyDescent="0.3">
      <c r="A48" s="138" t="s">
        <v>170</v>
      </c>
      <c r="B48" s="143"/>
      <c r="C48" s="143"/>
      <c r="D48" s="140"/>
      <c r="E48" s="140"/>
      <c r="F48" s="139">
        <v>100000</v>
      </c>
      <c r="G48" s="139">
        <f>SUM(F48)-74357</f>
        <v>25643</v>
      </c>
      <c r="H48" s="139"/>
      <c r="I48" s="139"/>
      <c r="J48" s="139"/>
      <c r="K48" s="140"/>
      <c r="L48" s="140"/>
      <c r="M48" s="140"/>
      <c r="N48" s="140"/>
      <c r="O48" s="140"/>
      <c r="P48" s="138" t="s">
        <v>170</v>
      </c>
      <c r="Q48" s="140"/>
      <c r="R48" s="140"/>
      <c r="S48" s="139">
        <f t="shared" si="0"/>
        <v>100000</v>
      </c>
      <c r="T48" s="139">
        <f t="shared" si="0"/>
        <v>25643</v>
      </c>
      <c r="U48" s="139">
        <f t="shared" si="1"/>
        <v>0</v>
      </c>
      <c r="V48" s="139">
        <f t="shared" si="1"/>
        <v>0</v>
      </c>
      <c r="W48" s="140">
        <f t="shared" si="2"/>
        <v>100000</v>
      </c>
      <c r="X48" s="140">
        <f t="shared" si="2"/>
        <v>25643</v>
      </c>
      <c r="Y48" s="141"/>
    </row>
    <row r="49" spans="1:25" ht="31.5" customHeight="1" x14ac:dyDescent="0.3">
      <c r="A49" s="138" t="s">
        <v>171</v>
      </c>
      <c r="B49" s="143"/>
      <c r="C49" s="143"/>
      <c r="D49" s="140"/>
      <c r="E49" s="140"/>
      <c r="F49" s="139">
        <v>3500000</v>
      </c>
      <c r="G49" s="139">
        <f>SUM(F49)-48839</f>
        <v>3451161</v>
      </c>
      <c r="H49" s="139"/>
      <c r="I49" s="139"/>
      <c r="J49" s="139"/>
      <c r="K49" s="140"/>
      <c r="L49" s="140"/>
      <c r="M49" s="140"/>
      <c r="N49" s="140"/>
      <c r="O49" s="140"/>
      <c r="P49" s="138" t="s">
        <v>171</v>
      </c>
      <c r="Q49" s="140"/>
      <c r="R49" s="140"/>
      <c r="S49" s="139">
        <f t="shared" si="0"/>
        <v>3500000</v>
      </c>
      <c r="T49" s="139">
        <f t="shared" si="0"/>
        <v>3451161</v>
      </c>
      <c r="U49" s="139">
        <f t="shared" si="1"/>
        <v>0</v>
      </c>
      <c r="V49" s="139">
        <f t="shared" si="1"/>
        <v>0</v>
      </c>
      <c r="W49" s="140">
        <f t="shared" si="2"/>
        <v>3500000</v>
      </c>
      <c r="X49" s="140">
        <f t="shared" si="2"/>
        <v>3451161</v>
      </c>
      <c r="Y49" s="141"/>
    </row>
    <row r="50" spans="1:25" ht="30" customHeight="1" x14ac:dyDescent="0.3">
      <c r="A50" s="145" t="s">
        <v>423</v>
      </c>
      <c r="B50" s="143"/>
      <c r="C50" s="143"/>
      <c r="D50" s="140"/>
      <c r="E50" s="140"/>
      <c r="F50" s="139">
        <v>1250000</v>
      </c>
      <c r="G50" s="139">
        <f>SUM(F50)+250048</f>
        <v>1500048</v>
      </c>
      <c r="H50" s="139"/>
      <c r="I50" s="139"/>
      <c r="J50" s="139"/>
      <c r="K50" s="140"/>
      <c r="L50" s="140"/>
      <c r="M50" s="140"/>
      <c r="N50" s="140"/>
      <c r="O50" s="140"/>
      <c r="P50" s="145" t="s">
        <v>423</v>
      </c>
      <c r="Q50" s="140"/>
      <c r="R50" s="140"/>
      <c r="S50" s="139">
        <f t="shared" si="0"/>
        <v>1250000</v>
      </c>
      <c r="T50" s="139">
        <f t="shared" si="0"/>
        <v>1500048</v>
      </c>
      <c r="U50" s="139">
        <f t="shared" si="1"/>
        <v>0</v>
      </c>
      <c r="V50" s="139">
        <f t="shared" si="1"/>
        <v>0</v>
      </c>
      <c r="W50" s="140">
        <f t="shared" si="2"/>
        <v>1250000</v>
      </c>
      <c r="X50" s="140">
        <f t="shared" si="2"/>
        <v>1500048</v>
      </c>
      <c r="Y50" s="141"/>
    </row>
    <row r="51" spans="1:25" ht="35.25" customHeight="1" x14ac:dyDescent="0.3">
      <c r="A51" s="138" t="s">
        <v>167</v>
      </c>
      <c r="B51" s="143"/>
      <c r="C51" s="143"/>
      <c r="D51" s="140"/>
      <c r="E51" s="140"/>
      <c r="F51" s="139"/>
      <c r="G51" s="139"/>
      <c r="H51" s="139">
        <v>450000</v>
      </c>
      <c r="I51" s="139">
        <f>SUM(H51)+7542013+3383600-245488</f>
        <v>11130125</v>
      </c>
      <c r="J51" s="139"/>
      <c r="K51" s="140"/>
      <c r="L51" s="140"/>
      <c r="M51" s="140"/>
      <c r="N51" s="140"/>
      <c r="O51" s="140"/>
      <c r="P51" s="138" t="s">
        <v>167</v>
      </c>
      <c r="Q51" s="140"/>
      <c r="R51" s="140"/>
      <c r="S51" s="139">
        <f t="shared" si="0"/>
        <v>450000</v>
      </c>
      <c r="T51" s="139">
        <f t="shared" si="0"/>
        <v>11130125</v>
      </c>
      <c r="U51" s="139">
        <f t="shared" si="1"/>
        <v>0</v>
      </c>
      <c r="V51" s="139">
        <f t="shared" si="1"/>
        <v>0</v>
      </c>
      <c r="W51" s="140">
        <f t="shared" si="2"/>
        <v>450000</v>
      </c>
      <c r="X51" s="140">
        <f t="shared" si="2"/>
        <v>11130125</v>
      </c>
      <c r="Y51" s="141"/>
    </row>
    <row r="52" spans="1:25" ht="33.75" customHeight="1" x14ac:dyDescent="0.3">
      <c r="A52" s="138" t="s">
        <v>173</v>
      </c>
      <c r="B52" s="143"/>
      <c r="C52" s="143"/>
      <c r="D52" s="140"/>
      <c r="E52" s="140"/>
      <c r="F52" s="139"/>
      <c r="G52" s="139"/>
      <c r="H52" s="139">
        <v>10500000</v>
      </c>
      <c r="I52" s="139">
        <f>SUM(H52)+855021</f>
        <v>11355021</v>
      </c>
      <c r="J52" s="139"/>
      <c r="K52" s="140"/>
      <c r="L52" s="140"/>
      <c r="M52" s="140"/>
      <c r="N52" s="140"/>
      <c r="O52" s="140"/>
      <c r="P52" s="138" t="s">
        <v>173</v>
      </c>
      <c r="Q52" s="140"/>
      <c r="R52" s="140"/>
      <c r="S52" s="139">
        <f t="shared" si="0"/>
        <v>10500000</v>
      </c>
      <c r="T52" s="139">
        <f t="shared" si="0"/>
        <v>11355021</v>
      </c>
      <c r="U52" s="139">
        <f t="shared" si="1"/>
        <v>0</v>
      </c>
      <c r="V52" s="139">
        <f t="shared" si="1"/>
        <v>0</v>
      </c>
      <c r="W52" s="140">
        <f t="shared" si="2"/>
        <v>10500000</v>
      </c>
      <c r="X52" s="140">
        <f t="shared" si="2"/>
        <v>11355021</v>
      </c>
      <c r="Y52" s="141"/>
    </row>
    <row r="53" spans="1:25" s="152" customFormat="1" ht="39" customHeight="1" x14ac:dyDescent="0.3">
      <c r="A53" s="138" t="s">
        <v>175</v>
      </c>
      <c r="B53" s="143"/>
      <c r="C53" s="143"/>
      <c r="D53" s="140"/>
      <c r="E53" s="140"/>
      <c r="F53" s="139"/>
      <c r="G53" s="139"/>
      <c r="H53" s="139">
        <f>140970000+103711968</f>
        <v>244681968</v>
      </c>
      <c r="I53" s="139">
        <f>SUM(H53)-123350568</f>
        <v>121331400</v>
      </c>
      <c r="J53" s="139"/>
      <c r="K53" s="140"/>
      <c r="L53" s="140"/>
      <c r="M53" s="140"/>
      <c r="N53" s="140"/>
      <c r="O53" s="140"/>
      <c r="P53" s="138" t="s">
        <v>175</v>
      </c>
      <c r="Q53" s="140"/>
      <c r="R53" s="140"/>
      <c r="S53" s="139">
        <f t="shared" si="0"/>
        <v>244681968</v>
      </c>
      <c r="T53" s="139">
        <f t="shared" si="0"/>
        <v>121331400</v>
      </c>
      <c r="U53" s="139">
        <f t="shared" si="1"/>
        <v>0</v>
      </c>
      <c r="V53" s="139">
        <f t="shared" si="1"/>
        <v>0</v>
      </c>
      <c r="W53" s="140">
        <f t="shared" si="2"/>
        <v>244681968</v>
      </c>
      <c r="X53" s="140">
        <f t="shared" si="2"/>
        <v>121331400</v>
      </c>
      <c r="Y53" s="151"/>
    </row>
    <row r="54" spans="1:25" s="135" customFormat="1" ht="33.75" customHeight="1" x14ac:dyDescent="0.3">
      <c r="A54" s="138" t="s">
        <v>176</v>
      </c>
      <c r="B54" s="143"/>
      <c r="C54" s="143"/>
      <c r="D54" s="140"/>
      <c r="E54" s="140"/>
      <c r="F54" s="139"/>
      <c r="G54" s="139"/>
      <c r="H54" s="139">
        <f>1500000+14388929</f>
        <v>15888929</v>
      </c>
      <c r="I54" s="139">
        <f>SUM(H54)+20205990+4901523</f>
        <v>40996442</v>
      </c>
      <c r="J54" s="139"/>
      <c r="K54" s="140"/>
      <c r="L54" s="140"/>
      <c r="M54" s="140"/>
      <c r="N54" s="140"/>
      <c r="O54" s="140"/>
      <c r="P54" s="138" t="s">
        <v>176</v>
      </c>
      <c r="Q54" s="140"/>
      <c r="R54" s="140"/>
      <c r="S54" s="139">
        <f t="shared" si="0"/>
        <v>15888929</v>
      </c>
      <c r="T54" s="139">
        <f t="shared" si="0"/>
        <v>40996442</v>
      </c>
      <c r="U54" s="139">
        <f t="shared" si="1"/>
        <v>0</v>
      </c>
      <c r="V54" s="139">
        <f t="shared" si="1"/>
        <v>0</v>
      </c>
      <c r="W54" s="140">
        <f t="shared" si="2"/>
        <v>15888929</v>
      </c>
      <c r="X54" s="140">
        <f t="shared" si="2"/>
        <v>40996442</v>
      </c>
    </row>
    <row r="55" spans="1:25" s="135" customFormat="1" ht="36.75" customHeight="1" x14ac:dyDescent="0.3">
      <c r="A55" s="138" t="s">
        <v>177</v>
      </c>
      <c r="B55" s="143"/>
      <c r="C55" s="143"/>
      <c r="D55" s="140"/>
      <c r="E55" s="139"/>
      <c r="F55" s="139"/>
      <c r="G55" s="139"/>
      <c r="H55" s="139">
        <v>3600000</v>
      </c>
      <c r="I55" s="139">
        <f t="shared" ref="I55" si="3">SUM(H55)</f>
        <v>3600000</v>
      </c>
      <c r="J55" s="139"/>
      <c r="K55" s="140"/>
      <c r="L55" s="140"/>
      <c r="M55" s="140"/>
      <c r="N55" s="140"/>
      <c r="O55" s="140"/>
      <c r="P55" s="138" t="s">
        <v>177</v>
      </c>
      <c r="Q55" s="140"/>
      <c r="R55" s="140"/>
      <c r="S55" s="139">
        <f t="shared" si="0"/>
        <v>3600000</v>
      </c>
      <c r="T55" s="139">
        <f t="shared" si="0"/>
        <v>3600000</v>
      </c>
      <c r="U55" s="139">
        <f t="shared" si="1"/>
        <v>0</v>
      </c>
      <c r="V55" s="139">
        <f t="shared" si="1"/>
        <v>0</v>
      </c>
      <c r="W55" s="140">
        <f t="shared" si="2"/>
        <v>3600000</v>
      </c>
      <c r="X55" s="140">
        <f t="shared" si="2"/>
        <v>3600000</v>
      </c>
    </row>
    <row r="56" spans="1:25" s="135" customFormat="1" ht="36.75" customHeight="1" x14ac:dyDescent="0.3">
      <c r="A56" s="138" t="s">
        <v>389</v>
      </c>
      <c r="B56" s="143"/>
      <c r="C56" s="143"/>
      <c r="D56" s="140"/>
      <c r="E56" s="139"/>
      <c r="F56" s="139"/>
      <c r="G56" s="139"/>
      <c r="H56" s="139">
        <v>15054000</v>
      </c>
      <c r="I56" s="139">
        <f>SUM(H56)-9873954</f>
        <v>5180046</v>
      </c>
      <c r="J56" s="139"/>
      <c r="K56" s="140"/>
      <c r="L56" s="140"/>
      <c r="M56" s="140"/>
      <c r="N56" s="140"/>
      <c r="O56" s="140"/>
      <c r="P56" s="138" t="s">
        <v>389</v>
      </c>
      <c r="Q56" s="140"/>
      <c r="R56" s="140"/>
      <c r="S56" s="139">
        <f t="shared" si="0"/>
        <v>15054000</v>
      </c>
      <c r="T56" s="139">
        <f t="shared" si="0"/>
        <v>5180046</v>
      </c>
      <c r="U56" s="139">
        <f t="shared" si="1"/>
        <v>0</v>
      </c>
      <c r="V56" s="139">
        <f t="shared" si="1"/>
        <v>0</v>
      </c>
      <c r="W56" s="140">
        <f t="shared" si="2"/>
        <v>15054000</v>
      </c>
      <c r="X56" s="140">
        <f t="shared" si="2"/>
        <v>5180046</v>
      </c>
    </row>
    <row r="57" spans="1:25" s="135" customFormat="1" ht="34.5" customHeight="1" x14ac:dyDescent="0.3">
      <c r="A57" s="138" t="s">
        <v>178</v>
      </c>
      <c r="B57" s="143"/>
      <c r="C57" s="143"/>
      <c r="D57" s="140"/>
      <c r="E57" s="139"/>
      <c r="F57" s="139"/>
      <c r="G57" s="139"/>
      <c r="H57" s="139">
        <v>7184960</v>
      </c>
      <c r="I57" s="139">
        <f>SUM(H57)+3000000+284433</f>
        <v>10469393</v>
      </c>
      <c r="J57" s="139"/>
      <c r="K57" s="140"/>
      <c r="L57" s="140"/>
      <c r="M57" s="140"/>
      <c r="N57" s="140"/>
      <c r="O57" s="140"/>
      <c r="P57" s="138" t="s">
        <v>178</v>
      </c>
      <c r="Q57" s="140"/>
      <c r="R57" s="140"/>
      <c r="S57" s="139">
        <f t="shared" si="0"/>
        <v>7184960</v>
      </c>
      <c r="T57" s="139">
        <f t="shared" si="0"/>
        <v>10469393</v>
      </c>
      <c r="U57" s="139">
        <f t="shared" si="1"/>
        <v>0</v>
      </c>
      <c r="V57" s="139">
        <f t="shared" si="1"/>
        <v>0</v>
      </c>
      <c r="W57" s="140">
        <f t="shared" si="2"/>
        <v>7184960</v>
      </c>
      <c r="X57" s="140">
        <f t="shared" si="2"/>
        <v>10469393</v>
      </c>
    </row>
    <row r="58" spans="1:25" ht="33" customHeight="1" x14ac:dyDescent="0.3">
      <c r="A58" s="145" t="s">
        <v>373</v>
      </c>
      <c r="B58" s="143"/>
      <c r="C58" s="143"/>
      <c r="D58" s="140"/>
      <c r="E58" s="139"/>
      <c r="F58" s="139"/>
      <c r="G58" s="139"/>
      <c r="H58" s="139"/>
      <c r="I58" s="139">
        <v>2028714</v>
      </c>
      <c r="J58" s="139"/>
      <c r="K58" s="140"/>
      <c r="L58" s="140"/>
      <c r="M58" s="140"/>
      <c r="N58" s="140"/>
      <c r="O58" s="140"/>
      <c r="P58" s="145" t="s">
        <v>373</v>
      </c>
      <c r="Q58" s="140"/>
      <c r="R58" s="140"/>
      <c r="S58" s="139">
        <f t="shared" si="0"/>
        <v>0</v>
      </c>
      <c r="T58" s="139">
        <f t="shared" si="0"/>
        <v>2028714</v>
      </c>
      <c r="U58" s="139">
        <f t="shared" si="1"/>
        <v>0</v>
      </c>
      <c r="V58" s="139">
        <f t="shared" si="1"/>
        <v>0</v>
      </c>
      <c r="W58" s="140">
        <f t="shared" si="2"/>
        <v>0</v>
      </c>
      <c r="X58" s="140">
        <f t="shared" si="2"/>
        <v>2028714</v>
      </c>
      <c r="Y58" s="141"/>
    </row>
    <row r="59" spans="1:25" ht="32.25" customHeight="1" x14ac:dyDescent="0.3">
      <c r="A59" s="145" t="s">
        <v>564</v>
      </c>
      <c r="B59" s="143"/>
      <c r="C59" s="143"/>
      <c r="D59" s="140"/>
      <c r="E59" s="139"/>
      <c r="F59" s="139"/>
      <c r="G59" s="139"/>
      <c r="H59" s="139"/>
      <c r="I59" s="139">
        <v>21220000</v>
      </c>
      <c r="J59" s="139"/>
      <c r="K59" s="140"/>
      <c r="L59" s="140"/>
      <c r="M59" s="140"/>
      <c r="N59" s="140"/>
      <c r="O59" s="140"/>
      <c r="P59" s="145"/>
      <c r="Q59" s="140"/>
      <c r="R59" s="140"/>
      <c r="S59" s="139">
        <f t="shared" si="0"/>
        <v>0</v>
      </c>
      <c r="T59" s="139">
        <f t="shared" si="0"/>
        <v>21220000</v>
      </c>
      <c r="U59" s="139">
        <f t="shared" si="1"/>
        <v>0</v>
      </c>
      <c r="V59" s="139">
        <f t="shared" si="1"/>
        <v>0</v>
      </c>
      <c r="W59" s="140">
        <f t="shared" si="2"/>
        <v>0</v>
      </c>
      <c r="X59" s="140">
        <f t="shared" si="2"/>
        <v>21220000</v>
      </c>
      <c r="Y59" s="141"/>
    </row>
    <row r="60" spans="1:25" ht="30.75" customHeight="1" x14ac:dyDescent="0.3">
      <c r="A60" s="145" t="s">
        <v>179</v>
      </c>
      <c r="B60" s="143"/>
      <c r="C60" s="143"/>
      <c r="D60" s="140"/>
      <c r="E60" s="139"/>
      <c r="F60" s="139"/>
      <c r="G60" s="139"/>
      <c r="H60" s="139">
        <v>5000000</v>
      </c>
      <c r="I60" s="139">
        <f>SUM(H60)-5000000</f>
        <v>0</v>
      </c>
      <c r="J60" s="140"/>
      <c r="K60" s="140"/>
      <c r="L60" s="140"/>
      <c r="M60" s="140"/>
      <c r="N60" s="140"/>
      <c r="O60" s="140"/>
      <c r="P60" s="145" t="s">
        <v>179</v>
      </c>
      <c r="Q60" s="140"/>
      <c r="R60" s="140"/>
      <c r="S60" s="139">
        <f t="shared" si="0"/>
        <v>5000000</v>
      </c>
      <c r="T60" s="139">
        <f t="shared" si="0"/>
        <v>0</v>
      </c>
      <c r="U60" s="139">
        <f t="shared" si="1"/>
        <v>0</v>
      </c>
      <c r="V60" s="139">
        <f t="shared" si="1"/>
        <v>0</v>
      </c>
      <c r="W60" s="140">
        <f t="shared" si="2"/>
        <v>5000000</v>
      </c>
      <c r="X60" s="140">
        <f t="shared" si="2"/>
        <v>0</v>
      </c>
      <c r="Y60" s="141"/>
    </row>
    <row r="61" spans="1:25" ht="32.25" customHeight="1" x14ac:dyDescent="0.3">
      <c r="A61" s="145" t="s">
        <v>565</v>
      </c>
      <c r="B61" s="143"/>
      <c r="C61" s="143"/>
      <c r="D61" s="140"/>
      <c r="E61" s="139"/>
      <c r="F61" s="139"/>
      <c r="G61" s="139"/>
      <c r="H61" s="139"/>
      <c r="I61" s="139"/>
      <c r="J61" s="140"/>
      <c r="K61" s="140"/>
      <c r="L61" s="140"/>
      <c r="M61" s="140"/>
      <c r="N61" s="140"/>
      <c r="O61" s="139">
        <v>333956</v>
      </c>
      <c r="P61" s="145" t="s">
        <v>374</v>
      </c>
      <c r="Q61" s="140"/>
      <c r="R61" s="140"/>
      <c r="S61" s="139">
        <f t="shared" si="0"/>
        <v>0</v>
      </c>
      <c r="T61" s="139">
        <f t="shared" si="0"/>
        <v>0</v>
      </c>
      <c r="U61" s="139">
        <f t="shared" si="1"/>
        <v>0</v>
      </c>
      <c r="V61" s="139">
        <f t="shared" si="1"/>
        <v>333956</v>
      </c>
      <c r="W61" s="140">
        <f t="shared" si="2"/>
        <v>0</v>
      </c>
      <c r="X61" s="140">
        <f t="shared" si="2"/>
        <v>333956</v>
      </c>
      <c r="Y61" s="141"/>
    </row>
    <row r="62" spans="1:25" ht="36.75" customHeight="1" x14ac:dyDescent="0.3">
      <c r="A62" s="153" t="s">
        <v>339</v>
      </c>
      <c r="B62" s="143"/>
      <c r="C62" s="143"/>
      <c r="D62" s="144"/>
      <c r="E62" s="144"/>
      <c r="F62" s="143"/>
      <c r="G62" s="143"/>
      <c r="H62" s="139"/>
      <c r="I62" s="139"/>
      <c r="J62" s="144">
        <v>1348550</v>
      </c>
      <c r="K62" s="143">
        <f>SUM(J62)-86390</f>
        <v>1262160</v>
      </c>
      <c r="L62" s="143"/>
      <c r="M62" s="143"/>
      <c r="N62" s="143"/>
      <c r="O62" s="143"/>
      <c r="P62" s="153" t="s">
        <v>339</v>
      </c>
      <c r="Q62" s="143"/>
      <c r="R62" s="143"/>
      <c r="S62" s="139">
        <f t="shared" si="0"/>
        <v>0</v>
      </c>
      <c r="T62" s="139">
        <f t="shared" si="0"/>
        <v>0</v>
      </c>
      <c r="U62" s="139">
        <f t="shared" si="1"/>
        <v>1348550</v>
      </c>
      <c r="V62" s="139">
        <f t="shared" si="1"/>
        <v>1262160</v>
      </c>
      <c r="W62" s="140">
        <f t="shared" si="2"/>
        <v>1348550</v>
      </c>
      <c r="X62" s="140">
        <f t="shared" si="2"/>
        <v>1262160</v>
      </c>
      <c r="Y62" s="141"/>
    </row>
    <row r="63" spans="1:25" ht="38.25" customHeight="1" x14ac:dyDescent="0.3">
      <c r="A63" s="153" t="s">
        <v>390</v>
      </c>
      <c r="B63" s="143"/>
      <c r="C63" s="143"/>
      <c r="D63" s="144"/>
      <c r="E63" s="144"/>
      <c r="F63" s="143"/>
      <c r="G63" s="143"/>
      <c r="H63" s="139"/>
      <c r="I63" s="139"/>
      <c r="J63" s="144">
        <v>10000000</v>
      </c>
      <c r="K63" s="143">
        <f t="shared" ref="K63" si="4">SUM(J63)</f>
        <v>10000000</v>
      </c>
      <c r="L63" s="143"/>
      <c r="M63" s="143"/>
      <c r="N63" s="143"/>
      <c r="O63" s="143"/>
      <c r="P63" s="153" t="s">
        <v>390</v>
      </c>
      <c r="Q63" s="143"/>
      <c r="R63" s="143"/>
      <c r="S63" s="139">
        <f t="shared" si="0"/>
        <v>0</v>
      </c>
      <c r="T63" s="139">
        <f t="shared" si="0"/>
        <v>0</v>
      </c>
      <c r="U63" s="139">
        <f t="shared" si="1"/>
        <v>10000000</v>
      </c>
      <c r="V63" s="139">
        <f t="shared" si="1"/>
        <v>10000000</v>
      </c>
      <c r="W63" s="140">
        <f t="shared" si="2"/>
        <v>10000000</v>
      </c>
      <c r="X63" s="140">
        <f t="shared" si="2"/>
        <v>10000000</v>
      </c>
      <c r="Y63" s="141"/>
    </row>
    <row r="64" spans="1:25" ht="38.25" customHeight="1" x14ac:dyDescent="0.3">
      <c r="A64" s="153" t="s">
        <v>410</v>
      </c>
      <c r="B64" s="143"/>
      <c r="C64" s="143"/>
      <c r="D64" s="144"/>
      <c r="E64" s="144"/>
      <c r="F64" s="143"/>
      <c r="G64" s="143"/>
      <c r="H64" s="139"/>
      <c r="I64" s="139"/>
      <c r="J64" s="144">
        <v>20000000</v>
      </c>
      <c r="K64" s="143">
        <f>SUM(J64)+10000000-18434450</f>
        <v>11565550</v>
      </c>
      <c r="L64" s="143"/>
      <c r="M64" s="143"/>
      <c r="N64" s="143"/>
      <c r="O64" s="143"/>
      <c r="P64" s="153" t="s">
        <v>410</v>
      </c>
      <c r="Q64" s="143"/>
      <c r="R64" s="143"/>
      <c r="S64" s="139">
        <f t="shared" si="0"/>
        <v>0</v>
      </c>
      <c r="T64" s="139">
        <f t="shared" si="0"/>
        <v>0</v>
      </c>
      <c r="U64" s="139">
        <f t="shared" si="1"/>
        <v>20000000</v>
      </c>
      <c r="V64" s="139">
        <f t="shared" si="1"/>
        <v>11565550</v>
      </c>
      <c r="W64" s="140">
        <f t="shared" si="2"/>
        <v>20000000</v>
      </c>
      <c r="X64" s="140">
        <f t="shared" si="2"/>
        <v>11565550</v>
      </c>
      <c r="Y64" s="141"/>
    </row>
    <row r="65" spans="1:25" ht="33.75" customHeight="1" x14ac:dyDescent="0.3">
      <c r="A65" s="153" t="s">
        <v>415</v>
      </c>
      <c r="B65" s="143"/>
      <c r="C65" s="143"/>
      <c r="D65" s="144"/>
      <c r="E65" s="144"/>
      <c r="F65" s="143"/>
      <c r="G65" s="143"/>
      <c r="H65" s="139"/>
      <c r="I65" s="139"/>
      <c r="J65" s="144">
        <f>74837000+20205990</f>
        <v>95042990</v>
      </c>
      <c r="K65" s="143">
        <f>SUM(J65)-20205990-226800</f>
        <v>74610200</v>
      </c>
      <c r="L65" s="143"/>
      <c r="M65" s="143"/>
      <c r="N65" s="143"/>
      <c r="O65" s="143"/>
      <c r="P65" s="153" t="s">
        <v>415</v>
      </c>
      <c r="Q65" s="143"/>
      <c r="R65" s="143"/>
      <c r="S65" s="139">
        <f t="shared" si="0"/>
        <v>0</v>
      </c>
      <c r="T65" s="139">
        <f t="shared" si="0"/>
        <v>0</v>
      </c>
      <c r="U65" s="139">
        <f t="shared" si="1"/>
        <v>95042990</v>
      </c>
      <c r="V65" s="139">
        <f t="shared" si="1"/>
        <v>74610200</v>
      </c>
      <c r="W65" s="140">
        <f t="shared" si="2"/>
        <v>95042990</v>
      </c>
      <c r="X65" s="140">
        <f t="shared" si="2"/>
        <v>74610200</v>
      </c>
      <c r="Y65" s="141"/>
    </row>
    <row r="66" spans="1:25" ht="33.75" customHeight="1" x14ac:dyDescent="0.3">
      <c r="A66" s="154" t="s">
        <v>541</v>
      </c>
      <c r="B66" s="143"/>
      <c r="C66" s="143"/>
      <c r="D66" s="144"/>
      <c r="E66" s="144"/>
      <c r="F66" s="143"/>
      <c r="G66" s="143"/>
      <c r="H66" s="139"/>
      <c r="I66" s="139"/>
      <c r="J66" s="144"/>
      <c r="K66" s="143"/>
      <c r="L66" s="143"/>
      <c r="M66" s="143">
        <f>105000</f>
        <v>105000</v>
      </c>
      <c r="N66" s="143"/>
      <c r="O66" s="143"/>
      <c r="P66" s="154"/>
      <c r="Q66" s="143"/>
      <c r="R66" s="143"/>
      <c r="S66" s="139">
        <f t="shared" si="0"/>
        <v>0</v>
      </c>
      <c r="T66" s="139">
        <f t="shared" si="0"/>
        <v>105000</v>
      </c>
      <c r="U66" s="139">
        <f t="shared" si="1"/>
        <v>0</v>
      </c>
      <c r="V66" s="139">
        <f t="shared" si="1"/>
        <v>0</v>
      </c>
      <c r="W66" s="140">
        <f t="shared" si="2"/>
        <v>0</v>
      </c>
      <c r="X66" s="140">
        <f t="shared" si="2"/>
        <v>105000</v>
      </c>
      <c r="Y66" s="141"/>
    </row>
    <row r="67" spans="1:25" ht="33.75" customHeight="1" x14ac:dyDescent="0.3">
      <c r="A67" s="154" t="s">
        <v>186</v>
      </c>
      <c r="B67" s="143"/>
      <c r="C67" s="143"/>
      <c r="D67" s="144"/>
      <c r="E67" s="143"/>
      <c r="F67" s="143"/>
      <c r="G67" s="143"/>
      <c r="H67" s="139"/>
      <c r="I67" s="139"/>
      <c r="J67" s="143"/>
      <c r="K67" s="143"/>
      <c r="L67" s="143"/>
      <c r="M67" s="143"/>
      <c r="N67" s="143"/>
      <c r="O67" s="143"/>
      <c r="P67" s="154" t="s">
        <v>186</v>
      </c>
      <c r="Q67" s="144">
        <v>200000000</v>
      </c>
      <c r="R67" s="144">
        <f>SUM(Q67)</f>
        <v>200000000</v>
      </c>
      <c r="S67" s="139">
        <f t="shared" si="0"/>
        <v>200000000</v>
      </c>
      <c r="T67" s="139">
        <f t="shared" si="0"/>
        <v>200000000</v>
      </c>
      <c r="U67" s="139">
        <f t="shared" si="1"/>
        <v>0</v>
      </c>
      <c r="V67" s="139">
        <f t="shared" si="1"/>
        <v>0</v>
      </c>
      <c r="W67" s="140">
        <f t="shared" si="2"/>
        <v>200000000</v>
      </c>
      <c r="X67" s="140">
        <f t="shared" si="2"/>
        <v>200000000</v>
      </c>
      <c r="Y67" s="141"/>
    </row>
    <row r="68" spans="1:25" ht="33.75" customHeight="1" x14ac:dyDescent="0.3">
      <c r="A68" s="154" t="s">
        <v>566</v>
      </c>
      <c r="B68" s="146"/>
      <c r="C68" s="146"/>
      <c r="D68" s="147"/>
      <c r="E68" s="146"/>
      <c r="F68" s="146"/>
      <c r="G68" s="146"/>
      <c r="H68" s="148"/>
      <c r="I68" s="148"/>
      <c r="J68" s="146"/>
      <c r="K68" s="146"/>
      <c r="L68" s="146"/>
      <c r="M68" s="146"/>
      <c r="N68" s="146"/>
      <c r="O68" s="146"/>
      <c r="P68" s="154"/>
      <c r="Q68" s="147"/>
      <c r="R68" s="144">
        <f>1114543638+299026362</f>
        <v>1413570000</v>
      </c>
      <c r="S68" s="139">
        <f t="shared" si="0"/>
        <v>0</v>
      </c>
      <c r="T68" s="139">
        <f t="shared" si="0"/>
        <v>1413570000</v>
      </c>
      <c r="U68" s="139">
        <f t="shared" si="1"/>
        <v>0</v>
      </c>
      <c r="V68" s="139">
        <f t="shared" si="1"/>
        <v>0</v>
      </c>
      <c r="W68" s="140">
        <f t="shared" si="2"/>
        <v>0</v>
      </c>
      <c r="X68" s="140">
        <f t="shared" si="2"/>
        <v>1413570000</v>
      </c>
      <c r="Y68" s="141"/>
    </row>
    <row r="69" spans="1:25" ht="33.75" customHeight="1" thickBot="1" x14ac:dyDescent="0.35">
      <c r="A69" s="337" t="s">
        <v>180</v>
      </c>
      <c r="B69" s="146"/>
      <c r="C69" s="146"/>
      <c r="D69" s="147"/>
      <c r="E69" s="146"/>
      <c r="F69" s="146"/>
      <c r="G69" s="146"/>
      <c r="H69" s="148"/>
      <c r="I69" s="148"/>
      <c r="J69" s="146"/>
      <c r="K69" s="146"/>
      <c r="L69" s="146"/>
      <c r="M69" s="146"/>
      <c r="N69" s="146"/>
      <c r="O69" s="146"/>
      <c r="P69" s="337" t="s">
        <v>180</v>
      </c>
      <c r="Q69" s="147">
        <v>5069722623</v>
      </c>
      <c r="R69" s="144">
        <f>SUM(Q69)+482018938</f>
        <v>5551741561</v>
      </c>
      <c r="S69" s="139">
        <f t="shared" si="0"/>
        <v>5069722623</v>
      </c>
      <c r="T69" s="139">
        <f t="shared" si="0"/>
        <v>5551741561</v>
      </c>
      <c r="U69" s="139">
        <f t="shared" si="1"/>
        <v>0</v>
      </c>
      <c r="V69" s="139">
        <f t="shared" si="1"/>
        <v>0</v>
      </c>
      <c r="W69" s="140">
        <f t="shared" si="2"/>
        <v>5069722623</v>
      </c>
      <c r="X69" s="140">
        <f t="shared" si="2"/>
        <v>5551741561</v>
      </c>
      <c r="Y69" s="141"/>
    </row>
    <row r="70" spans="1:25" ht="3" hidden="1" customHeight="1" thickBot="1" x14ac:dyDescent="0.35">
      <c r="A70" s="145"/>
      <c r="B70" s="146"/>
      <c r="C70" s="146"/>
      <c r="D70" s="147"/>
      <c r="E70" s="146"/>
      <c r="F70" s="146"/>
      <c r="G70" s="146"/>
      <c r="H70" s="148"/>
      <c r="I70" s="148"/>
      <c r="J70" s="146"/>
      <c r="K70" s="146"/>
      <c r="L70" s="146"/>
      <c r="M70" s="146"/>
      <c r="N70" s="146"/>
      <c r="O70" s="146"/>
      <c r="P70" s="145"/>
      <c r="Q70" s="146"/>
      <c r="R70" s="146"/>
      <c r="S70" s="139">
        <f t="shared" ref="S70:T71" si="5">SUM(B70+F70+H70+L70+Q70)</f>
        <v>0</v>
      </c>
      <c r="T70" s="139">
        <f t="shared" si="5"/>
        <v>0</v>
      </c>
      <c r="U70" s="139">
        <f t="shared" ref="U70:V71" si="6">SUM(D70+J70+N70)</f>
        <v>0</v>
      </c>
      <c r="V70" s="139">
        <f t="shared" si="6"/>
        <v>0</v>
      </c>
      <c r="W70" s="140">
        <f t="shared" ref="W70:X71" si="7">SUM(B70+D70+F70+H70+J70+L70+N70+Q70)</f>
        <v>0</v>
      </c>
      <c r="X70" s="140">
        <f t="shared" si="7"/>
        <v>0</v>
      </c>
      <c r="Y70" s="141"/>
    </row>
    <row r="71" spans="1:25" ht="82.5" hidden="1" customHeight="1" thickBot="1" x14ac:dyDescent="0.35">
      <c r="A71" s="145"/>
      <c r="B71" s="148"/>
      <c r="C71" s="148"/>
      <c r="D71" s="147"/>
      <c r="E71" s="146"/>
      <c r="F71" s="147"/>
      <c r="G71" s="147"/>
      <c r="H71" s="146"/>
      <c r="I71" s="146"/>
      <c r="J71" s="146"/>
      <c r="K71" s="146"/>
      <c r="L71" s="146"/>
      <c r="M71" s="146"/>
      <c r="N71" s="146"/>
      <c r="O71" s="146"/>
      <c r="P71" s="145"/>
      <c r="Q71" s="146"/>
      <c r="R71" s="146"/>
      <c r="S71" s="139">
        <f t="shared" si="5"/>
        <v>0</v>
      </c>
      <c r="T71" s="139">
        <f t="shared" si="5"/>
        <v>0</v>
      </c>
      <c r="U71" s="139">
        <f t="shared" si="6"/>
        <v>0</v>
      </c>
      <c r="V71" s="139">
        <f t="shared" si="6"/>
        <v>0</v>
      </c>
      <c r="W71" s="140">
        <f t="shared" si="7"/>
        <v>0</v>
      </c>
      <c r="X71" s="140">
        <f t="shared" si="7"/>
        <v>0</v>
      </c>
      <c r="Y71" s="141"/>
    </row>
    <row r="72" spans="1:25" s="152" customFormat="1" ht="39" customHeight="1" thickBot="1" x14ac:dyDescent="0.35">
      <c r="A72" s="149" t="s">
        <v>172</v>
      </c>
      <c r="B72" s="150">
        <f t="shared" ref="B72:O72" si="8">SUM(B12:B71)</f>
        <v>2227621769</v>
      </c>
      <c r="C72" s="150">
        <f>SUM(C12:C71)</f>
        <v>2445794599</v>
      </c>
      <c r="D72" s="150">
        <f t="shared" si="8"/>
        <v>585156095</v>
      </c>
      <c r="E72" s="150">
        <f t="shared" si="8"/>
        <v>2585627401</v>
      </c>
      <c r="F72" s="150">
        <f t="shared" si="8"/>
        <v>450958154</v>
      </c>
      <c r="G72" s="150">
        <f t="shared" si="8"/>
        <v>638759478</v>
      </c>
      <c r="H72" s="150">
        <f t="shared" si="8"/>
        <v>302359857</v>
      </c>
      <c r="I72" s="150">
        <f t="shared" si="8"/>
        <v>227311141</v>
      </c>
      <c r="J72" s="150">
        <f t="shared" si="8"/>
        <v>126391540</v>
      </c>
      <c r="K72" s="150">
        <f t="shared" si="8"/>
        <v>97437910</v>
      </c>
      <c r="L72" s="150">
        <f t="shared" si="8"/>
        <v>0</v>
      </c>
      <c r="M72" s="150">
        <f t="shared" si="8"/>
        <v>7091539</v>
      </c>
      <c r="N72" s="150">
        <f t="shared" si="8"/>
        <v>0</v>
      </c>
      <c r="O72" s="150">
        <f t="shared" si="8"/>
        <v>29082745</v>
      </c>
      <c r="P72" s="149" t="s">
        <v>172</v>
      </c>
      <c r="Q72" s="150">
        <f t="shared" ref="Q72:X72" si="9">SUM(Q12:Q71)</f>
        <v>5269722623</v>
      </c>
      <c r="R72" s="150">
        <f t="shared" si="9"/>
        <v>7165311561</v>
      </c>
      <c r="S72" s="150">
        <f t="shared" si="9"/>
        <v>8250662403</v>
      </c>
      <c r="T72" s="150">
        <f t="shared" si="9"/>
        <v>10484268318</v>
      </c>
      <c r="U72" s="150">
        <f t="shared" si="9"/>
        <v>711547635</v>
      </c>
      <c r="V72" s="150">
        <f t="shared" si="9"/>
        <v>2712148056</v>
      </c>
      <c r="W72" s="150">
        <f t="shared" si="9"/>
        <v>8962210038</v>
      </c>
      <c r="X72" s="150">
        <f t="shared" si="9"/>
        <v>13196416374</v>
      </c>
    </row>
    <row r="73" spans="1:25" s="152" customFormat="1" ht="1.5" hidden="1" customHeight="1" thickBot="1" x14ac:dyDescent="0.35">
      <c r="A73" s="715" t="s">
        <v>161</v>
      </c>
      <c r="B73" s="713" t="s">
        <v>107</v>
      </c>
      <c r="C73" s="714"/>
      <c r="D73" s="713" t="s">
        <v>108</v>
      </c>
      <c r="E73" s="714"/>
      <c r="F73" s="713" t="s">
        <v>109</v>
      </c>
      <c r="G73" s="714"/>
      <c r="H73" s="713" t="s">
        <v>110</v>
      </c>
      <c r="I73" s="714"/>
      <c r="J73" s="713" t="s">
        <v>111</v>
      </c>
      <c r="K73" s="714"/>
      <c r="L73" s="713" t="s">
        <v>112</v>
      </c>
      <c r="M73" s="714"/>
      <c r="N73" s="713" t="s">
        <v>113</v>
      </c>
      <c r="O73" s="714"/>
      <c r="P73" s="715" t="s">
        <v>161</v>
      </c>
      <c r="Q73" s="718" t="s">
        <v>162</v>
      </c>
      <c r="R73" s="718"/>
      <c r="S73" s="705" t="s">
        <v>163</v>
      </c>
      <c r="T73" s="705"/>
      <c r="U73" s="705"/>
      <c r="V73" s="705"/>
      <c r="W73" s="705"/>
      <c r="X73" s="705"/>
      <c r="Y73" s="151"/>
    </row>
    <row r="74" spans="1:25" ht="21" hidden="1" customHeight="1" thickBot="1" x14ac:dyDescent="0.35">
      <c r="A74" s="716"/>
      <c r="B74" s="706" t="s">
        <v>205</v>
      </c>
      <c r="C74" s="707"/>
      <c r="D74" s="706" t="s">
        <v>223</v>
      </c>
      <c r="E74" s="707"/>
      <c r="F74" s="706" t="s">
        <v>116</v>
      </c>
      <c r="G74" s="707"/>
      <c r="H74" s="706" t="s">
        <v>117</v>
      </c>
      <c r="I74" s="707"/>
      <c r="J74" s="706" t="s">
        <v>118</v>
      </c>
      <c r="K74" s="707"/>
      <c r="L74" s="706" t="s">
        <v>119</v>
      </c>
      <c r="M74" s="707"/>
      <c r="N74" s="706" t="s">
        <v>120</v>
      </c>
      <c r="O74" s="707"/>
      <c r="P74" s="716"/>
      <c r="Q74" s="706" t="s">
        <v>121</v>
      </c>
      <c r="R74" s="707"/>
      <c r="S74" s="710" t="s">
        <v>122</v>
      </c>
      <c r="T74" s="710"/>
      <c r="U74" s="710"/>
      <c r="V74" s="710"/>
      <c r="W74" s="710"/>
      <c r="X74" s="710"/>
    </row>
    <row r="75" spans="1:25" ht="21" hidden="1" thickBot="1" x14ac:dyDescent="0.35">
      <c r="A75" s="716"/>
      <c r="B75" s="708"/>
      <c r="C75" s="709"/>
      <c r="D75" s="708"/>
      <c r="E75" s="709"/>
      <c r="F75" s="708"/>
      <c r="G75" s="709"/>
      <c r="H75" s="708"/>
      <c r="I75" s="709"/>
      <c r="J75" s="708"/>
      <c r="K75" s="709"/>
      <c r="L75" s="708"/>
      <c r="M75" s="709"/>
      <c r="N75" s="708"/>
      <c r="O75" s="709"/>
      <c r="P75" s="716"/>
      <c r="Q75" s="708"/>
      <c r="R75" s="709"/>
      <c r="S75" s="711" t="s">
        <v>125</v>
      </c>
      <c r="T75" s="712"/>
      <c r="U75" s="711" t="s">
        <v>126</v>
      </c>
      <c r="V75" s="712"/>
      <c r="W75" s="711" t="s">
        <v>122</v>
      </c>
      <c r="X75" s="712"/>
    </row>
    <row r="76" spans="1:25" ht="7.5" hidden="1" customHeight="1" thickBot="1" x14ac:dyDescent="0.35">
      <c r="A76" s="717"/>
      <c r="B76" s="621" t="s">
        <v>79</v>
      </c>
      <c r="C76" s="621" t="s">
        <v>195</v>
      </c>
      <c r="D76" s="621" t="s">
        <v>79</v>
      </c>
      <c r="E76" s="621" t="s">
        <v>195</v>
      </c>
      <c r="F76" s="621" t="s">
        <v>79</v>
      </c>
      <c r="G76" s="621" t="s">
        <v>195</v>
      </c>
      <c r="H76" s="621" t="s">
        <v>79</v>
      </c>
      <c r="I76" s="621" t="s">
        <v>79</v>
      </c>
      <c r="J76" s="621" t="s">
        <v>79</v>
      </c>
      <c r="K76" s="621" t="s">
        <v>195</v>
      </c>
      <c r="L76" s="621" t="s">
        <v>79</v>
      </c>
      <c r="M76" s="621" t="s">
        <v>195</v>
      </c>
      <c r="N76" s="621" t="s">
        <v>79</v>
      </c>
      <c r="O76" s="621" t="s">
        <v>195</v>
      </c>
      <c r="P76" s="717"/>
      <c r="Q76" s="621" t="s">
        <v>79</v>
      </c>
      <c r="R76" s="621" t="s">
        <v>195</v>
      </c>
      <c r="S76" s="621" t="s">
        <v>79</v>
      </c>
      <c r="T76" s="621" t="s">
        <v>195</v>
      </c>
      <c r="U76" s="621" t="s">
        <v>79</v>
      </c>
      <c r="V76" s="621" t="s">
        <v>195</v>
      </c>
      <c r="W76" s="621" t="s">
        <v>79</v>
      </c>
      <c r="X76" s="621" t="s">
        <v>195</v>
      </c>
    </row>
    <row r="77" spans="1:25" ht="41.25" hidden="1" thickBot="1" x14ac:dyDescent="0.35">
      <c r="A77" s="335" t="s">
        <v>181</v>
      </c>
      <c r="B77" s="143"/>
      <c r="C77" s="143"/>
      <c r="D77" s="144"/>
      <c r="E77" s="144"/>
      <c r="F77" s="143"/>
      <c r="G77" s="143"/>
      <c r="H77" s="139"/>
      <c r="I77" s="139"/>
      <c r="J77" s="143"/>
      <c r="K77" s="143"/>
      <c r="L77" s="143"/>
      <c r="M77" s="143"/>
      <c r="N77" s="143"/>
      <c r="O77" s="143"/>
      <c r="P77" s="335" t="s">
        <v>181</v>
      </c>
      <c r="Q77" s="144"/>
      <c r="R77" s="144"/>
      <c r="S77" s="139">
        <f t="shared" ref="S77:T80" si="10">SUM(B77+F77+H77+L77+Q77)</f>
        <v>0</v>
      </c>
      <c r="T77" s="139">
        <f t="shared" si="10"/>
        <v>0</v>
      </c>
      <c r="U77" s="139">
        <f t="shared" ref="U77:V80" si="11">SUM(D77+J77+N77)</f>
        <v>0</v>
      </c>
      <c r="V77" s="139">
        <f t="shared" si="11"/>
        <v>0</v>
      </c>
      <c r="W77" s="140">
        <f t="shared" ref="W77:X80" si="12">SUM(B77+D77+F77+H77+J77+L77+N77+Q77)</f>
        <v>0</v>
      </c>
      <c r="X77" s="140">
        <f t="shared" si="12"/>
        <v>0</v>
      </c>
    </row>
    <row r="78" spans="1:25" ht="21" hidden="1" thickBot="1" x14ac:dyDescent="0.35">
      <c r="A78" s="145"/>
      <c r="B78" s="143"/>
      <c r="C78" s="143"/>
      <c r="D78" s="144"/>
      <c r="E78" s="143"/>
      <c r="F78" s="143"/>
      <c r="G78" s="143"/>
      <c r="H78" s="139"/>
      <c r="I78" s="139"/>
      <c r="J78" s="143"/>
      <c r="K78" s="143"/>
      <c r="L78" s="143"/>
      <c r="M78" s="143"/>
      <c r="N78" s="143"/>
      <c r="O78" s="143"/>
      <c r="P78" s="145"/>
      <c r="Q78" s="143"/>
      <c r="R78" s="143"/>
      <c r="S78" s="139">
        <f t="shared" si="10"/>
        <v>0</v>
      </c>
      <c r="T78" s="139">
        <f t="shared" si="10"/>
        <v>0</v>
      </c>
      <c r="U78" s="139">
        <f t="shared" si="11"/>
        <v>0</v>
      </c>
      <c r="V78" s="139">
        <f t="shared" si="11"/>
        <v>0</v>
      </c>
      <c r="W78" s="140">
        <f t="shared" si="12"/>
        <v>0</v>
      </c>
      <c r="X78" s="140">
        <f t="shared" si="12"/>
        <v>0</v>
      </c>
    </row>
    <row r="79" spans="1:25" ht="21" hidden="1" thickBot="1" x14ac:dyDescent="0.35">
      <c r="A79" s="138"/>
      <c r="B79" s="143"/>
      <c r="C79" s="143"/>
      <c r="D79" s="144"/>
      <c r="E79" s="143"/>
      <c r="F79" s="143"/>
      <c r="G79" s="143"/>
      <c r="H79" s="139"/>
      <c r="I79" s="139"/>
      <c r="J79" s="143"/>
      <c r="K79" s="143"/>
      <c r="L79" s="143"/>
      <c r="M79" s="143"/>
      <c r="N79" s="143"/>
      <c r="O79" s="143"/>
      <c r="P79" s="138"/>
      <c r="Q79" s="143"/>
      <c r="R79" s="143"/>
      <c r="S79" s="139">
        <f t="shared" si="10"/>
        <v>0</v>
      </c>
      <c r="T79" s="139">
        <f t="shared" si="10"/>
        <v>0</v>
      </c>
      <c r="U79" s="139">
        <f t="shared" si="11"/>
        <v>0</v>
      </c>
      <c r="V79" s="139">
        <f t="shared" si="11"/>
        <v>0</v>
      </c>
      <c r="W79" s="140">
        <f t="shared" si="12"/>
        <v>0</v>
      </c>
      <c r="X79" s="140">
        <f t="shared" si="12"/>
        <v>0</v>
      </c>
    </row>
    <row r="80" spans="1:25" ht="21" hidden="1" thickBot="1" x14ac:dyDescent="0.35">
      <c r="A80" s="138"/>
      <c r="B80" s="143"/>
      <c r="C80" s="143"/>
      <c r="D80" s="144"/>
      <c r="E80" s="143"/>
      <c r="F80" s="143"/>
      <c r="G80" s="143"/>
      <c r="H80" s="139"/>
      <c r="I80" s="139"/>
      <c r="J80" s="143"/>
      <c r="K80" s="143"/>
      <c r="L80" s="143"/>
      <c r="M80" s="143"/>
      <c r="N80" s="143"/>
      <c r="O80" s="143"/>
      <c r="P80" s="138"/>
      <c r="Q80" s="143"/>
      <c r="R80" s="143"/>
      <c r="S80" s="139">
        <f t="shared" si="10"/>
        <v>0</v>
      </c>
      <c r="T80" s="139">
        <f t="shared" si="10"/>
        <v>0</v>
      </c>
      <c r="U80" s="139">
        <f t="shared" si="11"/>
        <v>0</v>
      </c>
      <c r="V80" s="139">
        <f t="shared" si="11"/>
        <v>0</v>
      </c>
      <c r="W80" s="140">
        <f t="shared" si="12"/>
        <v>0</v>
      </c>
      <c r="X80" s="140">
        <f t="shared" si="12"/>
        <v>0</v>
      </c>
    </row>
    <row r="81" spans="1:24" ht="21" hidden="1" thickBot="1" x14ac:dyDescent="0.35">
      <c r="A81" s="138"/>
      <c r="B81" s="143"/>
      <c r="C81" s="143"/>
      <c r="D81" s="144"/>
      <c r="E81" s="143"/>
      <c r="F81" s="143"/>
      <c r="G81" s="143"/>
      <c r="H81" s="139"/>
      <c r="I81" s="139"/>
      <c r="J81" s="143"/>
      <c r="K81" s="143"/>
      <c r="L81" s="143"/>
      <c r="M81" s="143"/>
      <c r="N81" s="143"/>
      <c r="O81" s="143"/>
      <c r="P81" s="138"/>
      <c r="Q81" s="143"/>
      <c r="R81" s="143"/>
      <c r="S81" s="139" t="e">
        <f>SUM(B81+F81+H81+L81+#REF!+Q81)</f>
        <v>#REF!</v>
      </c>
      <c r="T81" s="139" t="e">
        <f>SUM(C81+G81+I81+M81+#REF!+R81)</f>
        <v>#REF!</v>
      </c>
      <c r="U81" s="139" t="e">
        <f>SUM(D81+J81+N81+#REF!)</f>
        <v>#REF!</v>
      </c>
      <c r="V81" s="139" t="e">
        <f>SUM(E81+K81+O81+#REF!)</f>
        <v>#REF!</v>
      </c>
      <c r="W81" s="140" t="e">
        <f>SUM(B81+D81+F81+H81+J81+L81+N81+#REF!+#REF!+Q81)</f>
        <v>#REF!</v>
      </c>
      <c r="X81" s="140" t="e">
        <f>SUM(C81+E81+G81+I81+K81+M81+O81+#REF!+#REF!+R81)</f>
        <v>#REF!</v>
      </c>
    </row>
    <row r="82" spans="1:24" ht="21" hidden="1" thickBot="1" x14ac:dyDescent="0.35">
      <c r="A82" s="138"/>
      <c r="B82" s="143"/>
      <c r="C82" s="143"/>
      <c r="D82" s="144"/>
      <c r="E82" s="143"/>
      <c r="F82" s="143"/>
      <c r="G82" s="143"/>
      <c r="H82" s="139"/>
      <c r="I82" s="139"/>
      <c r="J82" s="143"/>
      <c r="K82" s="143"/>
      <c r="L82" s="143"/>
      <c r="M82" s="143"/>
      <c r="N82" s="143"/>
      <c r="O82" s="143"/>
      <c r="P82" s="138"/>
      <c r="Q82" s="143"/>
      <c r="R82" s="143"/>
      <c r="S82" s="139" t="e">
        <f>SUM(B82+F82+H82+L82+#REF!+Q82)</f>
        <v>#REF!</v>
      </c>
      <c r="T82" s="139" t="e">
        <f>SUM(C82+G82+I82+M82+#REF!+R82)</f>
        <v>#REF!</v>
      </c>
      <c r="U82" s="139" t="e">
        <f>SUM(D82+J82+N82+#REF!)</f>
        <v>#REF!</v>
      </c>
      <c r="V82" s="139" t="e">
        <f>SUM(E82+K82+O82+#REF!)</f>
        <v>#REF!</v>
      </c>
      <c r="W82" s="140" t="e">
        <f>SUM(B82+D82+F82+H82+J82+L82+N82+#REF!+#REF!+Q82)</f>
        <v>#REF!</v>
      </c>
      <c r="X82" s="140" t="e">
        <f>SUM(C82+E82+G82+I82+K82+M82+O82+#REF!+#REF!+R82)</f>
        <v>#REF!</v>
      </c>
    </row>
    <row r="83" spans="1:24" ht="21" hidden="1" thickBot="1" x14ac:dyDescent="0.35">
      <c r="A83" s="138"/>
      <c r="B83" s="143"/>
      <c r="C83" s="143"/>
      <c r="D83" s="144"/>
      <c r="E83" s="143"/>
      <c r="F83" s="143"/>
      <c r="G83" s="143"/>
      <c r="H83" s="139"/>
      <c r="I83" s="139"/>
      <c r="J83" s="143"/>
      <c r="K83" s="143"/>
      <c r="L83" s="143"/>
      <c r="M83" s="143"/>
      <c r="N83" s="143"/>
      <c r="O83" s="143"/>
      <c r="P83" s="138"/>
      <c r="Q83" s="143"/>
      <c r="R83" s="143"/>
      <c r="S83" s="139" t="e">
        <f>SUM(B83+F83+H83+L83+#REF!+Q83)</f>
        <v>#REF!</v>
      </c>
      <c r="T83" s="139" t="e">
        <f>SUM(C83+G83+I83+M83+#REF!+R83)</f>
        <v>#REF!</v>
      </c>
      <c r="U83" s="139" t="e">
        <f>SUM(D83+J83+N83+#REF!)</f>
        <v>#REF!</v>
      </c>
      <c r="V83" s="139" t="e">
        <f>SUM(E83+K83+O83+#REF!)</f>
        <v>#REF!</v>
      </c>
      <c r="W83" s="140" t="e">
        <f>SUM(B83+D83+F83+H83+J83+L83+N83+#REF!+#REF!+Q83)</f>
        <v>#REF!</v>
      </c>
      <c r="X83" s="140" t="e">
        <f>SUM(C83+E83+G83+I83+K83+M83+O83+#REF!+#REF!+R83)</f>
        <v>#REF!</v>
      </c>
    </row>
    <row r="84" spans="1:24" ht="21" hidden="1" thickBot="1" x14ac:dyDescent="0.35">
      <c r="A84" s="138"/>
      <c r="B84" s="143"/>
      <c r="C84" s="143"/>
      <c r="D84" s="144"/>
      <c r="E84" s="143"/>
      <c r="F84" s="143"/>
      <c r="G84" s="143"/>
      <c r="H84" s="139"/>
      <c r="I84" s="139"/>
      <c r="J84" s="143"/>
      <c r="K84" s="143"/>
      <c r="L84" s="143"/>
      <c r="M84" s="143"/>
      <c r="N84" s="143"/>
      <c r="O84" s="143"/>
      <c r="P84" s="138"/>
      <c r="Q84" s="143"/>
      <c r="R84" s="143"/>
      <c r="S84" s="139" t="e">
        <f>SUM(B84+F84+H84+L84+#REF!+Q84)</f>
        <v>#REF!</v>
      </c>
      <c r="T84" s="139" t="e">
        <f>SUM(C84+G84+I84+M84+#REF!+R84)</f>
        <v>#REF!</v>
      </c>
      <c r="U84" s="139" t="e">
        <f>SUM(D84+J84+N84+#REF!)</f>
        <v>#REF!</v>
      </c>
      <c r="V84" s="139" t="e">
        <f>SUM(E84+K84+O84+#REF!)</f>
        <v>#REF!</v>
      </c>
      <c r="W84" s="140" t="e">
        <f>SUM(B84+D84+F84+H84+J84+L84+N84+#REF!+#REF!+Q84)</f>
        <v>#REF!</v>
      </c>
      <c r="X84" s="140" t="e">
        <f>SUM(C84+E84+G84+I84+K84+M84+O84+#REF!+#REF!+R84)</f>
        <v>#REF!</v>
      </c>
    </row>
    <row r="85" spans="1:24" ht="21" hidden="1" thickBot="1" x14ac:dyDescent="0.35">
      <c r="A85" s="138"/>
      <c r="B85" s="143"/>
      <c r="C85" s="143"/>
      <c r="D85" s="144"/>
      <c r="E85" s="143"/>
      <c r="F85" s="143"/>
      <c r="G85" s="143"/>
      <c r="H85" s="139"/>
      <c r="I85" s="139"/>
      <c r="J85" s="143"/>
      <c r="K85" s="143"/>
      <c r="L85" s="143"/>
      <c r="M85" s="143"/>
      <c r="N85" s="143"/>
      <c r="O85" s="143"/>
      <c r="P85" s="138"/>
      <c r="Q85" s="143"/>
      <c r="R85" s="143"/>
      <c r="S85" s="139" t="e">
        <f>SUM(B85+F85+H85+L85+#REF!+Q85)</f>
        <v>#REF!</v>
      </c>
      <c r="T85" s="139" t="e">
        <f>SUM(C85+G85+I85+M85+#REF!+R85)</f>
        <v>#REF!</v>
      </c>
      <c r="U85" s="139" t="e">
        <f>SUM(D85+J85+N85+#REF!)</f>
        <v>#REF!</v>
      </c>
      <c r="V85" s="139" t="e">
        <f>SUM(E85+K85+O85+#REF!)</f>
        <v>#REF!</v>
      </c>
      <c r="W85" s="140" t="e">
        <f>SUM(B85+D85+F85+H85+J85+L85+N85+#REF!+#REF!+Q85)</f>
        <v>#REF!</v>
      </c>
      <c r="X85" s="140" t="e">
        <f>SUM(C85+E85+G85+I85+K85+M85+O85+#REF!+#REF!+R85)</f>
        <v>#REF!</v>
      </c>
    </row>
    <row r="86" spans="1:24" ht="21" hidden="1" thickBot="1" x14ac:dyDescent="0.35">
      <c r="A86" s="138"/>
      <c r="B86" s="143"/>
      <c r="C86" s="143"/>
      <c r="D86" s="144"/>
      <c r="E86" s="143"/>
      <c r="F86" s="143"/>
      <c r="G86" s="143"/>
      <c r="H86" s="139"/>
      <c r="I86" s="139"/>
      <c r="J86" s="143"/>
      <c r="K86" s="143"/>
      <c r="L86" s="143"/>
      <c r="M86" s="143"/>
      <c r="N86" s="143"/>
      <c r="O86" s="143"/>
      <c r="P86" s="138"/>
      <c r="Q86" s="143"/>
      <c r="R86" s="143"/>
      <c r="S86" s="139" t="e">
        <f>SUM(B86+F86+H86+L86+#REF!+Q86)</f>
        <v>#REF!</v>
      </c>
      <c r="T86" s="139" t="e">
        <f>SUM(C86+G86+I86+M86+#REF!+R86)</f>
        <v>#REF!</v>
      </c>
      <c r="U86" s="139" t="e">
        <f>SUM(D86+J86+N86+#REF!)</f>
        <v>#REF!</v>
      </c>
      <c r="V86" s="139" t="e">
        <f>SUM(E86+K86+O86+#REF!)</f>
        <v>#REF!</v>
      </c>
      <c r="W86" s="140" t="e">
        <f>SUM(B86+D86+F86+H86+J86+L86+N86+#REF!+#REF!+Q86)</f>
        <v>#REF!</v>
      </c>
      <c r="X86" s="140" t="e">
        <f>SUM(C86+E86+G86+I86+K86+M86+O86+#REF!+#REF!+R86)</f>
        <v>#REF!</v>
      </c>
    </row>
    <row r="87" spans="1:24" ht="21" hidden="1" thickBot="1" x14ac:dyDescent="0.35">
      <c r="A87" s="138"/>
      <c r="B87" s="143"/>
      <c r="C87" s="143"/>
      <c r="D87" s="144"/>
      <c r="E87" s="143"/>
      <c r="F87" s="143"/>
      <c r="G87" s="143"/>
      <c r="H87" s="139"/>
      <c r="I87" s="139"/>
      <c r="J87" s="143"/>
      <c r="K87" s="143"/>
      <c r="L87" s="143"/>
      <c r="M87" s="143"/>
      <c r="N87" s="143"/>
      <c r="O87" s="143"/>
      <c r="P87" s="138"/>
      <c r="Q87" s="143"/>
      <c r="R87" s="143"/>
      <c r="S87" s="139" t="e">
        <f>SUM(B87+F87+H87+L87+#REF!+Q87)</f>
        <v>#REF!</v>
      </c>
      <c r="T87" s="139" t="e">
        <f>SUM(C87+G87+I87+M87+#REF!+R87)</f>
        <v>#REF!</v>
      </c>
      <c r="U87" s="139" t="e">
        <f>SUM(D87+J87+N87+#REF!)</f>
        <v>#REF!</v>
      </c>
      <c r="V87" s="139" t="e">
        <f>SUM(E87+K87+O87+#REF!)</f>
        <v>#REF!</v>
      </c>
      <c r="W87" s="140" t="e">
        <f>SUM(B87+D87+F87+H87+J87+L87+N87+#REF!+#REF!+Q87)</f>
        <v>#REF!</v>
      </c>
      <c r="X87" s="140" t="e">
        <f>SUM(C87+E87+G87+I87+K87+M87+O87+#REF!+#REF!+R87)</f>
        <v>#REF!</v>
      </c>
    </row>
    <row r="88" spans="1:24" ht="21" hidden="1" thickBot="1" x14ac:dyDescent="0.35">
      <c r="A88" s="145"/>
      <c r="B88" s="146"/>
      <c r="C88" s="146"/>
      <c r="D88" s="147"/>
      <c r="E88" s="146"/>
      <c r="F88" s="146"/>
      <c r="G88" s="146"/>
      <c r="H88" s="148"/>
      <c r="I88" s="148"/>
      <c r="J88" s="146"/>
      <c r="K88" s="146"/>
      <c r="L88" s="146"/>
      <c r="M88" s="146"/>
      <c r="N88" s="146"/>
      <c r="O88" s="146"/>
      <c r="P88" s="145"/>
      <c r="Q88" s="146"/>
      <c r="R88" s="146"/>
      <c r="S88" s="139" t="e">
        <f>SUM(B88+F88+H88+L88+#REF!+Q88)</f>
        <v>#REF!</v>
      </c>
      <c r="T88" s="139" t="e">
        <f>SUM(C88+G88+I88+M88+#REF!+R88)</f>
        <v>#REF!</v>
      </c>
      <c r="U88" s="139" t="e">
        <f>SUM(D88+J88+N88+#REF!)</f>
        <v>#REF!</v>
      </c>
      <c r="V88" s="139" t="e">
        <f>SUM(E88+K88+O88+#REF!)</f>
        <v>#REF!</v>
      </c>
      <c r="W88" s="140"/>
      <c r="X88" s="140" t="e">
        <f>SUM(C88+E88+G88+I88+K88+M88+O88+#REF!+#REF!+R88)</f>
        <v>#REF!</v>
      </c>
    </row>
    <row r="89" spans="1:24" ht="21" hidden="1" thickBot="1" x14ac:dyDescent="0.35">
      <c r="A89" s="145"/>
      <c r="B89" s="146"/>
      <c r="C89" s="146"/>
      <c r="D89" s="147"/>
      <c r="E89" s="146"/>
      <c r="F89" s="146"/>
      <c r="G89" s="146"/>
      <c r="H89" s="148"/>
      <c r="I89" s="148"/>
      <c r="J89" s="146"/>
      <c r="K89" s="146"/>
      <c r="L89" s="146"/>
      <c r="M89" s="146"/>
      <c r="N89" s="146"/>
      <c r="O89" s="146"/>
      <c r="P89" s="145"/>
      <c r="Q89" s="146"/>
      <c r="R89" s="146"/>
      <c r="S89" s="139" t="e">
        <f>SUM(B89+F89+H89+L89+#REF!+Q89)</f>
        <v>#REF!</v>
      </c>
      <c r="T89" s="139" t="e">
        <f>SUM(C89+G89+I89+M89+#REF!+R89)</f>
        <v>#REF!</v>
      </c>
      <c r="U89" s="139" t="e">
        <f>SUM(D89+J89+N89+#REF!)</f>
        <v>#REF!</v>
      </c>
      <c r="V89" s="139" t="e">
        <f>SUM(E89+K89+O89+#REF!)</f>
        <v>#REF!</v>
      </c>
      <c r="W89" s="140" t="e">
        <f>SUM(B89+D89+F89+H89+J89+L89+N89+#REF!+#REF!+Q89)</f>
        <v>#REF!</v>
      </c>
      <c r="X89" s="140" t="e">
        <f>SUM(C89+E89+G89+I89+K89+M89+O89+#REF!+#REF!+R89)</f>
        <v>#REF!</v>
      </c>
    </row>
    <row r="90" spans="1:24" ht="21" hidden="1" thickBot="1" x14ac:dyDescent="0.35">
      <c r="A90" s="145"/>
      <c r="B90" s="143"/>
      <c r="C90" s="143"/>
      <c r="D90" s="144"/>
      <c r="E90" s="144"/>
      <c r="F90" s="143"/>
      <c r="G90" s="143"/>
      <c r="H90" s="139"/>
      <c r="I90" s="139"/>
      <c r="J90" s="143"/>
      <c r="K90" s="143"/>
      <c r="L90" s="143"/>
      <c r="M90" s="143"/>
      <c r="N90" s="143"/>
      <c r="O90" s="143"/>
      <c r="P90" s="145"/>
      <c r="Q90" s="143"/>
      <c r="R90" s="143"/>
      <c r="S90" s="139" t="e">
        <f>SUM(B90+F90+H90+L90+#REF!+Q90)</f>
        <v>#REF!</v>
      </c>
      <c r="T90" s="139" t="e">
        <f>SUM(C90+G90+I90+M90+#REF!+R90)</f>
        <v>#REF!</v>
      </c>
      <c r="U90" s="139" t="e">
        <f>SUM(D90+J90+N90+#REF!)</f>
        <v>#REF!</v>
      </c>
      <c r="V90" s="139" t="e">
        <f>SUM(E90+K90+O90+#REF!)</f>
        <v>#REF!</v>
      </c>
      <c r="W90" s="139" t="e">
        <f>SUM(B90+D90+F90+H90+J90+L90+N90+#REF!+#REF!+Q90)</f>
        <v>#REF!</v>
      </c>
      <c r="X90" s="140" t="e">
        <f>SUM(C90+E90+G90+I90+K90+M90+O90+#REF!+#REF!+R90)</f>
        <v>#REF!</v>
      </c>
    </row>
    <row r="91" spans="1:24" ht="34.5" customHeight="1" thickBot="1" x14ac:dyDescent="0.35">
      <c r="A91" s="227" t="s">
        <v>236</v>
      </c>
      <c r="B91" s="150">
        <f t="shared" ref="B91:O91" si="13">SUM(B74:B90)</f>
        <v>0</v>
      </c>
      <c r="C91" s="150">
        <f t="shared" si="13"/>
        <v>0</v>
      </c>
      <c r="D91" s="150">
        <f t="shared" si="13"/>
        <v>0</v>
      </c>
      <c r="E91" s="150">
        <f t="shared" si="13"/>
        <v>0</v>
      </c>
      <c r="F91" s="150">
        <f t="shared" si="13"/>
        <v>0</v>
      </c>
      <c r="G91" s="150">
        <f t="shared" si="13"/>
        <v>0</v>
      </c>
      <c r="H91" s="150">
        <f t="shared" si="13"/>
        <v>0</v>
      </c>
      <c r="I91" s="150">
        <f t="shared" si="13"/>
        <v>0</v>
      </c>
      <c r="J91" s="150">
        <f t="shared" si="13"/>
        <v>0</v>
      </c>
      <c r="K91" s="150">
        <f t="shared" si="13"/>
        <v>0</v>
      </c>
      <c r="L91" s="150">
        <f t="shared" si="13"/>
        <v>0</v>
      </c>
      <c r="M91" s="150">
        <f t="shared" si="13"/>
        <v>0</v>
      </c>
      <c r="N91" s="150">
        <f t="shared" si="13"/>
        <v>0</v>
      </c>
      <c r="O91" s="150">
        <f t="shared" si="13"/>
        <v>0</v>
      </c>
      <c r="P91" s="227" t="s">
        <v>236</v>
      </c>
      <c r="Q91" s="150">
        <f>SUM(Q74:Q90)</f>
        <v>0</v>
      </c>
      <c r="R91" s="150">
        <f>SUM(R74:R90)</f>
        <v>0</v>
      </c>
      <c r="S91" s="150">
        <f t="shared" ref="S91:X91" si="14">SUM(S74:S80)</f>
        <v>0</v>
      </c>
      <c r="T91" s="150">
        <f t="shared" si="14"/>
        <v>0</v>
      </c>
      <c r="U91" s="150">
        <f t="shared" si="14"/>
        <v>0</v>
      </c>
      <c r="V91" s="150">
        <f t="shared" si="14"/>
        <v>0</v>
      </c>
      <c r="W91" s="150">
        <f t="shared" si="14"/>
        <v>0</v>
      </c>
      <c r="X91" s="150">
        <f t="shared" si="14"/>
        <v>0</v>
      </c>
    </row>
    <row r="92" spans="1:24" ht="38.25" customHeight="1" thickBot="1" x14ac:dyDescent="0.35">
      <c r="A92" s="155" t="s">
        <v>237</v>
      </c>
      <c r="B92" s="150">
        <f t="shared" ref="B92:O92" si="15">SUM(B72+B91)</f>
        <v>2227621769</v>
      </c>
      <c r="C92" s="150">
        <f t="shared" si="15"/>
        <v>2445794599</v>
      </c>
      <c r="D92" s="150">
        <f t="shared" si="15"/>
        <v>585156095</v>
      </c>
      <c r="E92" s="150">
        <f t="shared" si="15"/>
        <v>2585627401</v>
      </c>
      <c r="F92" s="150">
        <f t="shared" si="15"/>
        <v>450958154</v>
      </c>
      <c r="G92" s="150">
        <f t="shared" si="15"/>
        <v>638759478</v>
      </c>
      <c r="H92" s="150">
        <f t="shared" si="15"/>
        <v>302359857</v>
      </c>
      <c r="I92" s="150">
        <f t="shared" si="15"/>
        <v>227311141</v>
      </c>
      <c r="J92" s="150">
        <f t="shared" si="15"/>
        <v>126391540</v>
      </c>
      <c r="K92" s="150">
        <f t="shared" si="15"/>
        <v>97437910</v>
      </c>
      <c r="L92" s="150">
        <f t="shared" si="15"/>
        <v>0</v>
      </c>
      <c r="M92" s="150">
        <f t="shared" si="15"/>
        <v>7091539</v>
      </c>
      <c r="N92" s="150">
        <f t="shared" si="15"/>
        <v>0</v>
      </c>
      <c r="O92" s="150">
        <f t="shared" si="15"/>
        <v>29082745</v>
      </c>
      <c r="P92" s="155" t="s">
        <v>237</v>
      </c>
      <c r="Q92" s="150">
        <f t="shared" ref="Q92:X92" si="16">SUM(Q72+Q91)</f>
        <v>5269722623</v>
      </c>
      <c r="R92" s="150">
        <f t="shared" si="16"/>
        <v>7165311561</v>
      </c>
      <c r="S92" s="150">
        <f t="shared" si="16"/>
        <v>8250662403</v>
      </c>
      <c r="T92" s="150">
        <f t="shared" si="16"/>
        <v>10484268318</v>
      </c>
      <c r="U92" s="150">
        <f t="shared" si="16"/>
        <v>711547635</v>
      </c>
      <c r="V92" s="150">
        <f t="shared" si="16"/>
        <v>2712148056</v>
      </c>
      <c r="W92" s="150">
        <f t="shared" si="16"/>
        <v>8962210038</v>
      </c>
      <c r="X92" s="150">
        <f t="shared" si="16"/>
        <v>13196416374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U6:W6"/>
    <mergeCell ref="S7:X7"/>
    <mergeCell ref="J7:K7"/>
    <mergeCell ref="N8:O9"/>
    <mergeCell ref="Q8:R9"/>
    <mergeCell ref="S8:X8"/>
    <mergeCell ref="S9:T9"/>
    <mergeCell ref="U9:V9"/>
    <mergeCell ref="W9:X9"/>
    <mergeCell ref="A5:X5"/>
    <mergeCell ref="L7:M7"/>
    <mergeCell ref="N7:O7"/>
    <mergeCell ref="P7:P10"/>
    <mergeCell ref="Q7:R7"/>
    <mergeCell ref="B8:C9"/>
    <mergeCell ref="D8:E9"/>
    <mergeCell ref="F8:G9"/>
    <mergeCell ref="H8:I9"/>
    <mergeCell ref="J8:K9"/>
    <mergeCell ref="L8:M9"/>
    <mergeCell ref="A7:A10"/>
    <mergeCell ref="B7:C7"/>
    <mergeCell ref="D7:E7"/>
    <mergeCell ref="F7:G7"/>
    <mergeCell ref="H7:I7"/>
    <mergeCell ref="P73:P76"/>
    <mergeCell ref="Q73:R73"/>
    <mergeCell ref="A73:A76"/>
    <mergeCell ref="B73:C73"/>
    <mergeCell ref="D73:E73"/>
    <mergeCell ref="F73:G73"/>
    <mergeCell ref="H73:I73"/>
    <mergeCell ref="S73:X73"/>
    <mergeCell ref="B74:C75"/>
    <mergeCell ref="D74:E75"/>
    <mergeCell ref="F74:G75"/>
    <mergeCell ref="H74:I75"/>
    <mergeCell ref="J74:K75"/>
    <mergeCell ref="L74:M75"/>
    <mergeCell ref="N74:O75"/>
    <mergeCell ref="Q74:R75"/>
    <mergeCell ref="S74:X74"/>
    <mergeCell ref="S75:T75"/>
    <mergeCell ref="U75:V75"/>
    <mergeCell ref="W75:X75"/>
    <mergeCell ref="J73:K73"/>
    <mergeCell ref="L73:M73"/>
    <mergeCell ref="N73:O73"/>
  </mergeCells>
  <pageMargins left="0.23622047244094491" right="0.23622047244094491" top="0.74803149606299213" bottom="0.74803149606299213" header="0.31496062992125984" footer="0.31496062992125984"/>
  <pageSetup paperSize="9" scale="24" orientation="landscape" horizontalDpi="300" verticalDpi="300" r:id="rId1"/>
  <rowBreaks count="1" manualBreakCount="1">
    <brk id="52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view="pageBreakPreview" topLeftCell="Q1" zoomScale="84" zoomScaleNormal="84" zoomScaleSheetLayoutView="84" workbookViewId="0">
      <selection activeCell="S41" sqref="S41"/>
    </sheetView>
  </sheetViews>
  <sheetFormatPr defaultRowHeight="15" x14ac:dyDescent="0.25"/>
  <cols>
    <col min="1" max="1" width="55.7109375" customWidth="1"/>
    <col min="2" max="15" width="14.5703125" style="126" customWidth="1"/>
    <col min="16" max="16" width="55.7109375" customWidth="1"/>
    <col min="17" max="18" width="14.5703125" style="126" customWidth="1"/>
    <col min="19" max="19" width="16.140625" style="126" customWidth="1"/>
    <col min="20" max="20" width="18.7109375" style="126" customWidth="1"/>
    <col min="21" max="21" width="16.42578125" style="126" customWidth="1"/>
    <col min="22" max="22" width="18.85546875" style="126" customWidth="1"/>
    <col min="23" max="24" width="14.5703125" style="126" customWidth="1"/>
    <col min="25" max="25" width="17.28515625" style="127" customWidth="1"/>
    <col min="26" max="26" width="19.85546875" style="127" customWidth="1"/>
    <col min="27" max="27" width="13.28515625" style="126" customWidth="1"/>
    <col min="28" max="28" width="14.140625" style="126" customWidth="1"/>
    <col min="29" max="29" width="13.5703125" customWidth="1"/>
    <col min="30" max="30" width="11.5703125" customWidth="1"/>
    <col min="31" max="32" width="13" customWidth="1"/>
    <col min="33" max="33" width="15.140625" customWidth="1"/>
  </cols>
  <sheetData>
    <row r="1" spans="1:54" s="19" customFormat="1" ht="15.75" x14ac:dyDescent="0.25">
      <c r="A1" s="676" t="s">
        <v>507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96"/>
      <c r="AD1" s="96"/>
      <c r="AE1" s="96"/>
      <c r="AF1" s="96"/>
      <c r="AG1" s="96"/>
    </row>
    <row r="2" spans="1:54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35" t="s">
        <v>238</v>
      </c>
      <c r="P2" s="97"/>
      <c r="Q2" s="97"/>
      <c r="R2" s="97"/>
      <c r="S2" s="97"/>
      <c r="T2" s="97"/>
      <c r="U2" s="97"/>
      <c r="V2" s="97"/>
      <c r="W2" s="97"/>
      <c r="X2" s="97"/>
      <c r="Y2" s="235"/>
      <c r="Z2" s="235" t="s">
        <v>523</v>
      </c>
      <c r="AA2" s="97"/>
      <c r="AB2" s="97"/>
      <c r="AC2" s="98"/>
      <c r="AD2" s="98"/>
      <c r="AE2" s="98"/>
      <c r="AF2" s="98"/>
      <c r="AG2" s="98"/>
    </row>
    <row r="3" spans="1:54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236"/>
      <c r="Z3" s="236"/>
      <c r="AA3" s="97"/>
      <c r="AB3" s="97"/>
      <c r="AC3" s="98"/>
      <c r="AD3" s="98"/>
      <c r="AE3" s="98"/>
      <c r="AF3" s="98"/>
      <c r="AG3" s="98"/>
    </row>
    <row r="4" spans="1:54" x14ac:dyDescent="0.25">
      <c r="A4" s="97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7"/>
      <c r="Q4" s="99"/>
      <c r="R4" s="99"/>
      <c r="S4" s="99"/>
      <c r="T4" s="99"/>
      <c r="U4" s="99"/>
      <c r="V4" s="99"/>
      <c r="W4" s="99"/>
      <c r="X4" s="99"/>
      <c r="Y4" s="100"/>
      <c r="Z4" s="100"/>
      <c r="AA4" s="99"/>
      <c r="AB4" s="99"/>
      <c r="AC4" s="98"/>
      <c r="AD4" s="98"/>
      <c r="AE4" s="98"/>
      <c r="AF4" s="98"/>
      <c r="AG4" s="98"/>
    </row>
    <row r="5" spans="1:54" s="102" customFormat="1" ht="39.75" customHeight="1" x14ac:dyDescent="0.25">
      <c r="A5" s="739" t="s">
        <v>386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 t="s">
        <v>386</v>
      </c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392"/>
      <c r="AB5" s="392"/>
      <c r="AC5" s="392"/>
      <c r="AD5" s="392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</row>
    <row r="6" spans="1:54" ht="15.75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</row>
    <row r="7" spans="1:54" ht="16.5" thickBot="1" x14ac:dyDescent="0.3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723" t="s">
        <v>0</v>
      </c>
      <c r="X7" s="723"/>
      <c r="Y7" s="723"/>
      <c r="Z7" s="723"/>
      <c r="AA7" s="387"/>
      <c r="AB7" s="387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</row>
    <row r="8" spans="1:54" s="238" customFormat="1" ht="13.5" customHeight="1" thickBot="1" x14ac:dyDescent="0.25">
      <c r="A8" s="727" t="s">
        <v>106</v>
      </c>
      <c r="B8" s="623" t="s">
        <v>107</v>
      </c>
      <c r="C8" s="623" t="s">
        <v>107</v>
      </c>
      <c r="D8" s="623" t="s">
        <v>108</v>
      </c>
      <c r="E8" s="623" t="s">
        <v>108</v>
      </c>
      <c r="F8" s="623" t="s">
        <v>109</v>
      </c>
      <c r="G8" s="623" t="s">
        <v>109</v>
      </c>
      <c r="H8" s="623" t="s">
        <v>110</v>
      </c>
      <c r="I8" s="623" t="s">
        <v>110</v>
      </c>
      <c r="J8" s="623" t="s">
        <v>111</v>
      </c>
      <c r="K8" s="623" t="s">
        <v>111</v>
      </c>
      <c r="L8" s="623" t="s">
        <v>112</v>
      </c>
      <c r="M8" s="623" t="s">
        <v>112</v>
      </c>
      <c r="N8" s="623" t="s">
        <v>113</v>
      </c>
      <c r="O8" s="623" t="s">
        <v>113</v>
      </c>
      <c r="P8" s="727" t="s">
        <v>106</v>
      </c>
      <c r="Q8" s="730" t="s">
        <v>114</v>
      </c>
      <c r="R8" s="731"/>
      <c r="S8" s="731"/>
      <c r="T8" s="732"/>
      <c r="U8" s="733" t="s">
        <v>115</v>
      </c>
      <c r="V8" s="733"/>
      <c r="W8" s="733"/>
      <c r="X8" s="733"/>
      <c r="Y8" s="733"/>
      <c r="Z8" s="733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</row>
    <row r="9" spans="1:54" s="240" customFormat="1" ht="15.75" customHeight="1" thickBot="1" x14ac:dyDescent="0.3">
      <c r="A9" s="728"/>
      <c r="B9" s="734" t="s">
        <v>205</v>
      </c>
      <c r="C9" s="735"/>
      <c r="D9" s="734" t="s">
        <v>223</v>
      </c>
      <c r="E9" s="735"/>
      <c r="F9" s="734" t="s">
        <v>116</v>
      </c>
      <c r="G9" s="735"/>
      <c r="H9" s="734" t="s">
        <v>117</v>
      </c>
      <c r="I9" s="735"/>
      <c r="J9" s="734" t="s">
        <v>118</v>
      </c>
      <c r="K9" s="735"/>
      <c r="L9" s="734" t="s">
        <v>119</v>
      </c>
      <c r="M9" s="735"/>
      <c r="N9" s="734" t="s">
        <v>120</v>
      </c>
      <c r="O9" s="735"/>
      <c r="P9" s="728"/>
      <c r="Q9" s="724" t="s">
        <v>121</v>
      </c>
      <c r="R9" s="738"/>
      <c r="S9" s="738"/>
      <c r="T9" s="725"/>
      <c r="U9" s="726" t="s">
        <v>122</v>
      </c>
      <c r="V9" s="726"/>
      <c r="W9" s="726"/>
      <c r="X9" s="726"/>
      <c r="Y9" s="726"/>
      <c r="Z9" s="726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</row>
    <row r="10" spans="1:54" s="240" customFormat="1" ht="51" customHeight="1" thickBot="1" x14ac:dyDescent="0.3">
      <c r="A10" s="728"/>
      <c r="B10" s="736"/>
      <c r="C10" s="737"/>
      <c r="D10" s="736"/>
      <c r="E10" s="737"/>
      <c r="F10" s="736"/>
      <c r="G10" s="737"/>
      <c r="H10" s="736"/>
      <c r="I10" s="737"/>
      <c r="J10" s="736"/>
      <c r="K10" s="737"/>
      <c r="L10" s="736"/>
      <c r="M10" s="737"/>
      <c r="N10" s="736"/>
      <c r="O10" s="737"/>
      <c r="P10" s="728"/>
      <c r="Q10" s="724" t="s">
        <v>123</v>
      </c>
      <c r="R10" s="725"/>
      <c r="S10" s="724" t="s">
        <v>124</v>
      </c>
      <c r="T10" s="725"/>
      <c r="U10" s="726" t="s">
        <v>125</v>
      </c>
      <c r="V10" s="726"/>
      <c r="W10" s="726" t="s">
        <v>126</v>
      </c>
      <c r="X10" s="726"/>
      <c r="Y10" s="726" t="s">
        <v>122</v>
      </c>
      <c r="Z10" s="726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</row>
    <row r="11" spans="1:54" s="239" customFormat="1" ht="51" customHeight="1" thickBot="1" x14ac:dyDescent="0.3">
      <c r="A11" s="729"/>
      <c r="B11" s="241" t="s">
        <v>79</v>
      </c>
      <c r="C11" s="241" t="s">
        <v>195</v>
      </c>
      <c r="D11" s="241" t="s">
        <v>79</v>
      </c>
      <c r="E11" s="241" t="s">
        <v>195</v>
      </c>
      <c r="F11" s="241" t="s">
        <v>79</v>
      </c>
      <c r="G11" s="241" t="s">
        <v>195</v>
      </c>
      <c r="H11" s="241" t="s">
        <v>79</v>
      </c>
      <c r="I11" s="241" t="s">
        <v>195</v>
      </c>
      <c r="J11" s="241" t="s">
        <v>79</v>
      </c>
      <c r="K11" s="241" t="s">
        <v>195</v>
      </c>
      <c r="L11" s="241" t="s">
        <v>79</v>
      </c>
      <c r="M11" s="241" t="s">
        <v>195</v>
      </c>
      <c r="N11" s="241" t="s">
        <v>79</v>
      </c>
      <c r="O11" s="241" t="s">
        <v>195</v>
      </c>
      <c r="P11" s="729"/>
      <c r="Q11" s="241" t="s">
        <v>79</v>
      </c>
      <c r="R11" s="241" t="s">
        <v>195</v>
      </c>
      <c r="S11" s="241" t="s">
        <v>79</v>
      </c>
      <c r="T11" s="241" t="s">
        <v>195</v>
      </c>
      <c r="U11" s="241" t="s">
        <v>79</v>
      </c>
      <c r="V11" s="241" t="s">
        <v>195</v>
      </c>
      <c r="W11" s="241" t="s">
        <v>79</v>
      </c>
      <c r="X11" s="241" t="s">
        <v>195</v>
      </c>
      <c r="Y11" s="241" t="s">
        <v>79</v>
      </c>
      <c r="Z11" s="241" t="s">
        <v>195</v>
      </c>
    </row>
    <row r="12" spans="1:54" s="108" customFormat="1" ht="21" customHeight="1" x14ac:dyDescent="0.25">
      <c r="A12" s="104" t="s">
        <v>127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4" t="s">
        <v>127</v>
      </c>
      <c r="Q12" s="105"/>
      <c r="R12" s="105"/>
      <c r="S12" s="105"/>
      <c r="T12" s="105"/>
      <c r="U12" s="105"/>
      <c r="V12" s="105"/>
      <c r="W12" s="105"/>
      <c r="X12" s="105"/>
      <c r="Y12" s="106"/>
      <c r="Z12" s="106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</row>
    <row r="13" spans="1:54" s="108" customFormat="1" ht="21" customHeight="1" x14ac:dyDescent="0.25">
      <c r="A13" s="109" t="s">
        <v>64</v>
      </c>
      <c r="B13" s="110"/>
      <c r="C13" s="110">
        <f>1000000+243244+8213000</f>
        <v>9456244</v>
      </c>
      <c r="D13" s="110"/>
      <c r="E13" s="110"/>
      <c r="F13" s="110"/>
      <c r="G13" s="110"/>
      <c r="H13" s="110">
        <v>5009000</v>
      </c>
      <c r="I13" s="110">
        <f>SUM(H13)+340085</f>
        <v>5349085</v>
      </c>
      <c r="J13" s="110"/>
      <c r="K13" s="110"/>
      <c r="L13" s="110"/>
      <c r="M13" s="110"/>
      <c r="N13" s="110"/>
      <c r="O13" s="110"/>
      <c r="P13" s="109" t="s">
        <v>64</v>
      </c>
      <c r="Q13" s="110">
        <v>1583000</v>
      </c>
      <c r="R13" s="110">
        <f>SUM(Q13)+2748734</f>
        <v>4331734</v>
      </c>
      <c r="S13" s="110">
        <v>650133142</v>
      </c>
      <c r="T13" s="110">
        <f>SUM(S13)+18704980+7373921+11327285-16316490</f>
        <v>671222838</v>
      </c>
      <c r="U13" s="110">
        <f>SUM(B13+F13+H13+L13+S13+Q13)</f>
        <v>656725142</v>
      </c>
      <c r="V13" s="110">
        <f>SUM(C13+G13+I13+M13+T13+R13)</f>
        <v>690359901</v>
      </c>
      <c r="W13" s="110">
        <f t="shared" ref="W13:X15" si="0">SUM(D13+J13+N13)</f>
        <v>0</v>
      </c>
      <c r="X13" s="110">
        <f t="shared" si="0"/>
        <v>0</v>
      </c>
      <c r="Y13" s="111">
        <f t="shared" ref="Y13:Z15" si="1">SUM(U13+W13)</f>
        <v>656725142</v>
      </c>
      <c r="Z13" s="111">
        <f t="shared" si="1"/>
        <v>690359901</v>
      </c>
      <c r="AA13" s="242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</row>
    <row r="14" spans="1:54" s="108" customFormat="1" ht="21" customHeight="1" x14ac:dyDescent="0.25">
      <c r="A14" s="636" t="s">
        <v>441</v>
      </c>
      <c r="B14" s="113"/>
      <c r="C14" s="113">
        <f>2568060</f>
        <v>2568060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636" t="s">
        <v>441</v>
      </c>
      <c r="Q14" s="113"/>
      <c r="R14" s="113"/>
      <c r="S14" s="113"/>
      <c r="T14" s="113">
        <v>437856</v>
      </c>
      <c r="U14" s="110">
        <f>SUM(B14+F14+H14+L14+S14+Q14)</f>
        <v>0</v>
      </c>
      <c r="V14" s="110">
        <f>SUM(C14+G14+I14+M14+T14+R14)</f>
        <v>3005916</v>
      </c>
      <c r="W14" s="110">
        <f t="shared" si="0"/>
        <v>0</v>
      </c>
      <c r="X14" s="110">
        <f t="shared" si="0"/>
        <v>0</v>
      </c>
      <c r="Y14" s="111">
        <f t="shared" si="1"/>
        <v>0</v>
      </c>
      <c r="Z14" s="111">
        <f t="shared" si="1"/>
        <v>3005916</v>
      </c>
      <c r="AA14" s="242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</row>
    <row r="15" spans="1:54" s="108" customFormat="1" ht="21" customHeight="1" thickBot="1" x14ac:dyDescent="0.3">
      <c r="A15" s="635" t="s">
        <v>439</v>
      </c>
      <c r="B15" s="112">
        <v>10409000</v>
      </c>
      <c r="C15" s="112">
        <f>SUM(B15)+892436</f>
        <v>11301436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635" t="s">
        <v>439</v>
      </c>
      <c r="Q15" s="112"/>
      <c r="R15" s="112">
        <v>886640</v>
      </c>
      <c r="S15" s="112"/>
      <c r="T15" s="112"/>
      <c r="U15" s="132">
        <f>SUM(B15+F15+H15+L15+S15)</f>
        <v>10409000</v>
      </c>
      <c r="V15" s="110">
        <f>SUM(C15+G15+I15+M15+T15+R15)</f>
        <v>12188076</v>
      </c>
      <c r="W15" s="132">
        <f t="shared" si="0"/>
        <v>0</v>
      </c>
      <c r="X15" s="132">
        <f t="shared" si="0"/>
        <v>0</v>
      </c>
      <c r="Y15" s="111">
        <f t="shared" si="1"/>
        <v>10409000</v>
      </c>
      <c r="Z15" s="111">
        <f t="shared" si="1"/>
        <v>12188076</v>
      </c>
      <c r="AA15" s="242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</row>
    <row r="16" spans="1:54" s="247" customFormat="1" ht="26.25" customHeight="1" thickBot="1" x14ac:dyDescent="0.3">
      <c r="A16" s="243" t="s">
        <v>128</v>
      </c>
      <c r="B16" s="244">
        <f>SUM(B13:B15)</f>
        <v>10409000</v>
      </c>
      <c r="C16" s="244">
        <f>SUM(C13:C15)</f>
        <v>23325740</v>
      </c>
      <c r="D16" s="244">
        <f t="shared" ref="D16:O16" si="2">SUM(D13:D15)</f>
        <v>0</v>
      </c>
      <c r="E16" s="244">
        <f t="shared" si="2"/>
        <v>0</v>
      </c>
      <c r="F16" s="244">
        <f t="shared" si="2"/>
        <v>0</v>
      </c>
      <c r="G16" s="244">
        <f t="shared" si="2"/>
        <v>0</v>
      </c>
      <c r="H16" s="244">
        <f t="shared" si="2"/>
        <v>5009000</v>
      </c>
      <c r="I16" s="244">
        <f t="shared" si="2"/>
        <v>5349085</v>
      </c>
      <c r="J16" s="244">
        <f t="shared" si="2"/>
        <v>0</v>
      </c>
      <c r="K16" s="244">
        <f t="shared" si="2"/>
        <v>0</v>
      </c>
      <c r="L16" s="244">
        <f t="shared" si="2"/>
        <v>0</v>
      </c>
      <c r="M16" s="244">
        <f t="shared" si="2"/>
        <v>0</v>
      </c>
      <c r="N16" s="244">
        <f t="shared" si="2"/>
        <v>0</v>
      </c>
      <c r="O16" s="244">
        <f t="shared" si="2"/>
        <v>0</v>
      </c>
      <c r="P16" s="243" t="s">
        <v>128</v>
      </c>
      <c r="Q16" s="244">
        <f>SUM(Q13:Q15)</f>
        <v>1583000</v>
      </c>
      <c r="R16" s="244">
        <f t="shared" ref="R16:X16" si="3">SUM(R13:R15)</f>
        <v>5218374</v>
      </c>
      <c r="S16" s="244">
        <f t="shared" si="3"/>
        <v>650133142</v>
      </c>
      <c r="T16" s="244">
        <f>SUM(T13:T15)</f>
        <v>671660694</v>
      </c>
      <c r="U16" s="244">
        <f t="shared" si="3"/>
        <v>667134142</v>
      </c>
      <c r="V16" s="244">
        <f t="shared" si="3"/>
        <v>705553893</v>
      </c>
      <c r="W16" s="244">
        <f t="shared" si="3"/>
        <v>0</v>
      </c>
      <c r="X16" s="244">
        <f t="shared" si="3"/>
        <v>0</v>
      </c>
      <c r="Y16" s="244">
        <f>SUM(Y13:Y15)</f>
        <v>667134142</v>
      </c>
      <c r="Z16" s="244">
        <f>SUM(Z13:Z15)</f>
        <v>705553893</v>
      </c>
      <c r="AA16" s="245"/>
      <c r="AB16" s="245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</row>
    <row r="17" spans="1:54" s="108" customFormat="1" ht="36.75" customHeight="1" x14ac:dyDescent="0.25">
      <c r="A17" s="104" t="s">
        <v>129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04" t="s">
        <v>129</v>
      </c>
      <c r="Q17" s="113"/>
      <c r="R17" s="113"/>
      <c r="S17" s="113"/>
      <c r="T17" s="113"/>
      <c r="U17" s="113"/>
      <c r="V17" s="113"/>
      <c r="W17" s="113"/>
      <c r="X17" s="113"/>
      <c r="Y17" s="114"/>
      <c r="Z17" s="114"/>
      <c r="AA17" s="242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</row>
    <row r="18" spans="1:54" s="108" customFormat="1" ht="24.75" customHeight="1" x14ac:dyDescent="0.25">
      <c r="A18" s="109" t="s">
        <v>64</v>
      </c>
      <c r="B18" s="110"/>
      <c r="C18" s="110">
        <v>600000</v>
      </c>
      <c r="D18" s="110"/>
      <c r="E18" s="110"/>
      <c r="F18" s="110"/>
      <c r="G18" s="110"/>
      <c r="H18" s="110">
        <v>30342681</v>
      </c>
      <c r="I18" s="110">
        <f>SUM(H18)-3517784</f>
        <v>26824897</v>
      </c>
      <c r="J18" s="110"/>
      <c r="K18" s="110"/>
      <c r="L18" s="110"/>
      <c r="M18" s="110"/>
      <c r="N18" s="110"/>
      <c r="O18" s="110"/>
      <c r="P18" s="109" t="s">
        <v>64</v>
      </c>
      <c r="Q18" s="110">
        <f>8800000+800000+2299000</f>
        <v>11899000</v>
      </c>
      <c r="R18" s="110">
        <f>SUM(Q18)+2924704-820142</f>
        <v>14003562</v>
      </c>
      <c r="S18" s="110">
        <v>158512736</v>
      </c>
      <c r="T18" s="110">
        <f>SUM(S18)+714564-26719359</f>
        <v>132507941</v>
      </c>
      <c r="U18" s="110">
        <f>SUM(B18+F18+H18+L18+S18)</f>
        <v>188855417</v>
      </c>
      <c r="V18" s="110">
        <f>SUM(C18+G18+I18+M18+T18+R18)</f>
        <v>173936400</v>
      </c>
      <c r="W18" s="110">
        <f t="shared" ref="W18:W21" si="4">SUM(D18+J18+N18+Q18)</f>
        <v>11899000</v>
      </c>
      <c r="X18" s="110">
        <f>SUM(E18+K18+O18)</f>
        <v>0</v>
      </c>
      <c r="Y18" s="111">
        <f t="shared" ref="Y18:Y22" si="5">SUM(U18+W18)</f>
        <v>200754417</v>
      </c>
      <c r="Z18" s="111">
        <f>SUM(V18+X18)</f>
        <v>173936400</v>
      </c>
      <c r="AA18" s="242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</row>
    <row r="19" spans="1:54" s="108" customFormat="1" ht="24.75" customHeight="1" x14ac:dyDescent="0.25">
      <c r="A19" s="636" t="s">
        <v>569</v>
      </c>
      <c r="B19" s="113"/>
      <c r="C19" s="113">
        <v>20654633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636" t="s">
        <v>569</v>
      </c>
      <c r="Q19" s="113"/>
      <c r="R19" s="113"/>
      <c r="S19" s="113"/>
      <c r="T19" s="113"/>
      <c r="U19" s="110">
        <f>SUM(B19+F19+H19+L19+S19)</f>
        <v>0</v>
      </c>
      <c r="V19" s="110">
        <f>SUM(C19+G19+I19+M19+T19+R19)</f>
        <v>20654633</v>
      </c>
      <c r="W19" s="110">
        <f t="shared" si="4"/>
        <v>0</v>
      </c>
      <c r="X19" s="110">
        <f>SUM(E19+K19+O19)</f>
        <v>0</v>
      </c>
      <c r="Y19" s="111">
        <f t="shared" si="5"/>
        <v>0</v>
      </c>
      <c r="Z19" s="111">
        <f>SUM(V19+X19)</f>
        <v>20654633</v>
      </c>
      <c r="AA19" s="242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0" spans="1:54" s="108" customFormat="1" ht="24.75" customHeight="1" x14ac:dyDescent="0.25">
      <c r="A20" s="635" t="s">
        <v>444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275" t="s">
        <v>444</v>
      </c>
      <c r="Q20" s="115">
        <v>5911957</v>
      </c>
      <c r="R20" s="115">
        <f>SUM(Q20)-570168</f>
        <v>5341789</v>
      </c>
      <c r="S20" s="115"/>
      <c r="T20" s="115"/>
      <c r="U20" s="115">
        <f>SUM(B20+F20+H20+L20+S20)</f>
        <v>0</v>
      </c>
      <c r="V20" s="115">
        <f t="shared" ref="V20:V22" si="6">SUM(C20+G20+I20+M20+T20+R20)</f>
        <v>5341789</v>
      </c>
      <c r="W20" s="115">
        <f t="shared" si="4"/>
        <v>5911957</v>
      </c>
      <c r="X20" s="115">
        <f>SUM(E20+K20+O20)</f>
        <v>0</v>
      </c>
      <c r="Y20" s="248">
        <f t="shared" si="5"/>
        <v>5911957</v>
      </c>
      <c r="Z20" s="248">
        <f>SUM(V20+X20)</f>
        <v>5341789</v>
      </c>
      <c r="AA20" s="242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</row>
    <row r="21" spans="1:54" s="108" customFormat="1" ht="24.75" customHeight="1" x14ac:dyDescent="0.25">
      <c r="A21" s="635" t="s">
        <v>441</v>
      </c>
      <c r="B21" s="115"/>
      <c r="C21" s="115">
        <v>947330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635" t="s">
        <v>441</v>
      </c>
      <c r="Q21" s="115"/>
      <c r="R21" s="115"/>
      <c r="S21" s="115"/>
      <c r="T21" s="115"/>
      <c r="U21" s="115">
        <f>SUM(B21+F21+H21+L21+S21)</f>
        <v>0</v>
      </c>
      <c r="V21" s="115">
        <f t="shared" si="6"/>
        <v>947330</v>
      </c>
      <c r="W21" s="115">
        <f t="shared" si="4"/>
        <v>0</v>
      </c>
      <c r="X21" s="115">
        <f>SUM(E21+K21+O21)</f>
        <v>0</v>
      </c>
      <c r="Y21" s="248">
        <f t="shared" si="5"/>
        <v>0</v>
      </c>
      <c r="Z21" s="248">
        <f>SUM(V21+X21)</f>
        <v>947330</v>
      </c>
      <c r="AA21" s="242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</row>
    <row r="22" spans="1:54" s="108" customFormat="1" ht="16.5" thickBot="1" x14ac:dyDescent="0.3">
      <c r="A22" s="635" t="s">
        <v>439</v>
      </c>
      <c r="B22" s="112">
        <v>5000000</v>
      </c>
      <c r="C22" s="112">
        <f>SUM(B22)+3354053+3362607</f>
        <v>11716660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635" t="s">
        <v>439</v>
      </c>
      <c r="Q22" s="112"/>
      <c r="R22" s="112">
        <v>820142</v>
      </c>
      <c r="S22" s="112"/>
      <c r="T22" s="112"/>
      <c r="U22" s="110">
        <f>SUM(B22+F22+H22+L22+S22)</f>
        <v>5000000</v>
      </c>
      <c r="V22" s="110">
        <f t="shared" si="6"/>
        <v>12536802</v>
      </c>
      <c r="W22" s="612">
        <f>SUM(D22+J22+N22)</f>
        <v>0</v>
      </c>
      <c r="X22" s="612">
        <f>SUM(E22+K22+O22)</f>
        <v>0</v>
      </c>
      <c r="Y22" s="122">
        <f t="shared" si="5"/>
        <v>5000000</v>
      </c>
      <c r="Z22" s="122">
        <f>SUM(V22+X22)</f>
        <v>12536802</v>
      </c>
      <c r="AA22" s="245"/>
      <c r="AB22" s="245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</row>
    <row r="23" spans="1:54" s="108" customFormat="1" ht="23.25" customHeight="1" thickBot="1" x14ac:dyDescent="0.3">
      <c r="A23" s="243" t="s">
        <v>130</v>
      </c>
      <c r="B23" s="244">
        <f>SUM(B18:B22)</f>
        <v>5000000</v>
      </c>
      <c r="C23" s="244">
        <f>SUM(C18:C22)</f>
        <v>33918623</v>
      </c>
      <c r="D23" s="244">
        <f t="shared" ref="D23:O23" si="7">SUM(D18:D22)</f>
        <v>0</v>
      </c>
      <c r="E23" s="244">
        <f t="shared" si="7"/>
        <v>0</v>
      </c>
      <c r="F23" s="244">
        <f t="shared" si="7"/>
        <v>0</v>
      </c>
      <c r="G23" s="244">
        <f t="shared" si="7"/>
        <v>0</v>
      </c>
      <c r="H23" s="244">
        <f t="shared" si="7"/>
        <v>30342681</v>
      </c>
      <c r="I23" s="244">
        <f t="shared" si="7"/>
        <v>26824897</v>
      </c>
      <c r="J23" s="244">
        <f t="shared" si="7"/>
        <v>0</v>
      </c>
      <c r="K23" s="244">
        <f t="shared" si="7"/>
        <v>0</v>
      </c>
      <c r="L23" s="244">
        <f t="shared" si="7"/>
        <v>0</v>
      </c>
      <c r="M23" s="244">
        <f t="shared" si="7"/>
        <v>0</v>
      </c>
      <c r="N23" s="244">
        <f t="shared" si="7"/>
        <v>0</v>
      </c>
      <c r="O23" s="244">
        <f t="shared" si="7"/>
        <v>0</v>
      </c>
      <c r="P23" s="243" t="s">
        <v>130</v>
      </c>
      <c r="Q23" s="244">
        <f t="shared" ref="Q23:Z23" si="8">SUM(Q18:Q22)</f>
        <v>17810957</v>
      </c>
      <c r="R23" s="244">
        <f t="shared" si="8"/>
        <v>20165493</v>
      </c>
      <c r="S23" s="244">
        <f t="shared" si="8"/>
        <v>158512736</v>
      </c>
      <c r="T23" s="244">
        <f t="shared" si="8"/>
        <v>132507941</v>
      </c>
      <c r="U23" s="244">
        <f t="shared" si="8"/>
        <v>193855417</v>
      </c>
      <c r="V23" s="244">
        <f>SUM(V18:V22)</f>
        <v>213416954</v>
      </c>
      <c r="W23" s="244">
        <f t="shared" si="8"/>
        <v>17810957</v>
      </c>
      <c r="X23" s="244">
        <f t="shared" si="8"/>
        <v>0</v>
      </c>
      <c r="Y23" s="244">
        <f t="shared" si="8"/>
        <v>211666374</v>
      </c>
      <c r="Z23" s="244">
        <f t="shared" si="8"/>
        <v>213416954</v>
      </c>
      <c r="AA23" s="242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</row>
    <row r="24" spans="1:54" s="108" customFormat="1" ht="23.25" customHeight="1" x14ac:dyDescent="0.25">
      <c r="A24" s="104" t="s">
        <v>131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04" t="s">
        <v>131</v>
      </c>
      <c r="Q24" s="113"/>
      <c r="R24" s="113"/>
      <c r="S24" s="113"/>
      <c r="T24" s="113"/>
      <c r="U24" s="113"/>
      <c r="V24" s="113"/>
      <c r="W24" s="113"/>
      <c r="X24" s="113"/>
      <c r="Y24" s="114"/>
      <c r="Z24" s="114"/>
      <c r="AA24" s="242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</row>
    <row r="25" spans="1:54" s="108" customFormat="1" ht="23.25" hidden="1" customHeight="1" thickBot="1" x14ac:dyDescent="0.3">
      <c r="A25" s="109" t="s">
        <v>64</v>
      </c>
      <c r="B25" s="110"/>
      <c r="C25" s="110"/>
      <c r="D25" s="110"/>
      <c r="E25" s="110"/>
      <c r="F25" s="110"/>
      <c r="G25" s="110"/>
      <c r="H25" s="110">
        <v>76821353</v>
      </c>
      <c r="I25" s="110">
        <f>SUM(H25)-31929853+2209484+3653502</f>
        <v>50754486</v>
      </c>
      <c r="J25" s="110"/>
      <c r="K25" s="110"/>
      <c r="L25" s="110"/>
      <c r="M25" s="110"/>
      <c r="N25" s="110"/>
      <c r="O25" s="110"/>
      <c r="P25" s="109" t="s">
        <v>64</v>
      </c>
      <c r="Q25" s="110"/>
      <c r="R25" s="110">
        <v>246158</v>
      </c>
      <c r="S25" s="110">
        <v>231216701</v>
      </c>
      <c r="T25" s="110">
        <f>SUM(S25)-4280207+31929853+41486682+614000+19402135</f>
        <v>320369164</v>
      </c>
      <c r="U25" s="110">
        <f>SUM(B25+F25+H25+L25+S25+Q25)</f>
        <v>308038054</v>
      </c>
      <c r="V25" s="110">
        <f>SUM(C25+G25+I25+M25+T25+R25)</f>
        <v>371369808</v>
      </c>
      <c r="W25" s="113">
        <f>SUM(D25+J25+N25)</f>
        <v>0</v>
      </c>
      <c r="X25" s="110">
        <f>E25+K25+O25</f>
        <v>0</v>
      </c>
      <c r="Y25" s="111">
        <f>SUM(U25+W25)</f>
        <v>308038054</v>
      </c>
      <c r="Z25" s="111">
        <f>SUM(V25+X25)</f>
        <v>371369808</v>
      </c>
      <c r="AA25" s="242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</row>
    <row r="26" spans="1:54" s="108" customFormat="1" ht="23.25" hidden="1" customHeight="1" thickBot="1" x14ac:dyDescent="0.3">
      <c r="A26" s="635" t="s">
        <v>440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635" t="s">
        <v>440</v>
      </c>
      <c r="Q26" s="113"/>
      <c r="R26" s="113"/>
      <c r="S26" s="113"/>
      <c r="T26" s="113"/>
      <c r="U26" s="113">
        <f>SUM(B26+F26+H26+L26+S26)</f>
        <v>0</v>
      </c>
      <c r="V26" s="113">
        <v>0</v>
      </c>
      <c r="W26" s="112">
        <f>SUM(D26+J26+N26+Q26)</f>
        <v>0</v>
      </c>
      <c r="X26" s="113">
        <f>SUM(R26)</f>
        <v>0</v>
      </c>
      <c r="Y26" s="114">
        <f t="shared" ref="Y26:Y28" si="9">SUM(U26+W26)</f>
        <v>0</v>
      </c>
      <c r="Z26" s="114">
        <f>SUM(V26+X26)</f>
        <v>0</v>
      </c>
      <c r="AA26" s="242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</row>
    <row r="27" spans="1:54" s="108" customFormat="1" ht="23.25" customHeight="1" x14ac:dyDescent="0.25">
      <c r="A27" s="635" t="s">
        <v>314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635" t="s">
        <v>314</v>
      </c>
      <c r="Q27" s="112"/>
      <c r="R27" s="112"/>
      <c r="S27" s="112"/>
      <c r="T27" s="112"/>
      <c r="U27" s="115">
        <f>SUM(B27+F27+H27+L27+S27+Q27)</f>
        <v>0</v>
      </c>
      <c r="V27" s="115">
        <f>SUM(C27+G27+I27+M27+T27+R27)</f>
        <v>0</v>
      </c>
      <c r="W27" s="115">
        <f t="shared" ref="W27:W28" si="10">SUM(D27+J27+N27)</f>
        <v>0</v>
      </c>
      <c r="X27" s="115">
        <f>SUM(R27)</f>
        <v>0</v>
      </c>
      <c r="Y27" s="248">
        <f t="shared" si="9"/>
        <v>0</v>
      </c>
      <c r="Z27" s="248">
        <f>SUM(V27+X27)</f>
        <v>0</v>
      </c>
      <c r="AA27" s="242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</row>
    <row r="28" spans="1:54" s="250" customFormat="1" ht="16.5" thickBot="1" x14ac:dyDescent="0.3">
      <c r="A28" s="635" t="s">
        <v>442</v>
      </c>
      <c r="B28" s="112">
        <v>299818581</v>
      </c>
      <c r="C28" s="112">
        <f>SUM(B28)+835264</f>
        <v>300653845</v>
      </c>
      <c r="D28" s="112"/>
      <c r="E28" s="112"/>
      <c r="F28" s="112"/>
      <c r="G28" s="112"/>
      <c r="H28" s="112"/>
      <c r="I28" s="112">
        <v>711473</v>
      </c>
      <c r="J28" s="112"/>
      <c r="K28" s="112"/>
      <c r="L28" s="112"/>
      <c r="M28" s="112"/>
      <c r="N28" s="112"/>
      <c r="O28" s="112"/>
      <c r="P28" s="635" t="s">
        <v>442</v>
      </c>
      <c r="Q28" s="112"/>
      <c r="R28" s="112">
        <v>6238324</v>
      </c>
      <c r="S28" s="112">
        <v>13831246</v>
      </c>
      <c r="T28" s="112">
        <f>SUM(S28)+13420326</f>
        <v>27251572</v>
      </c>
      <c r="U28" s="132">
        <f>SUM(B28+F28+H28+L28+S28)</f>
        <v>313649827</v>
      </c>
      <c r="V28" s="132">
        <f>SUM(C28+G28+I28+M28+T28+R28)</f>
        <v>334855214</v>
      </c>
      <c r="W28" s="132">
        <f t="shared" si="10"/>
        <v>0</v>
      </c>
      <c r="X28" s="132">
        <f t="shared" ref="X28" si="11">E28+K28+O28</f>
        <v>0</v>
      </c>
      <c r="Y28" s="133">
        <f t="shared" si="9"/>
        <v>313649827</v>
      </c>
      <c r="Z28" s="133">
        <f>SUM(V28+X28)</f>
        <v>334855214</v>
      </c>
      <c r="AA28" s="245"/>
      <c r="AB28" s="245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</row>
    <row r="29" spans="1:54" s="108" customFormat="1" ht="23.25" customHeight="1" thickBot="1" x14ac:dyDescent="0.3">
      <c r="A29" s="243" t="s">
        <v>132</v>
      </c>
      <c r="B29" s="244">
        <f>SUM(B25:B28)</f>
        <v>299818581</v>
      </c>
      <c r="C29" s="244">
        <f>SUM(C25:C28)</f>
        <v>300653845</v>
      </c>
      <c r="D29" s="244">
        <f t="shared" ref="D29:O29" si="12">SUM(D25:D28)</f>
        <v>0</v>
      </c>
      <c r="E29" s="244">
        <f t="shared" si="12"/>
        <v>0</v>
      </c>
      <c r="F29" s="244">
        <f t="shared" si="12"/>
        <v>0</v>
      </c>
      <c r="G29" s="244">
        <f t="shared" si="12"/>
        <v>0</v>
      </c>
      <c r="H29" s="244">
        <f t="shared" si="12"/>
        <v>76821353</v>
      </c>
      <c r="I29" s="244">
        <f t="shared" si="12"/>
        <v>51465959</v>
      </c>
      <c r="J29" s="244">
        <f t="shared" si="12"/>
        <v>0</v>
      </c>
      <c r="K29" s="244">
        <f t="shared" si="12"/>
        <v>0</v>
      </c>
      <c r="L29" s="244">
        <f t="shared" si="12"/>
        <v>0</v>
      </c>
      <c r="M29" s="244">
        <f t="shared" si="12"/>
        <v>0</v>
      </c>
      <c r="N29" s="244">
        <f t="shared" si="12"/>
        <v>0</v>
      </c>
      <c r="O29" s="244">
        <f t="shared" si="12"/>
        <v>0</v>
      </c>
      <c r="P29" s="243" t="s">
        <v>132</v>
      </c>
      <c r="Q29" s="244">
        <f>SUM(Q25:Q28)</f>
        <v>0</v>
      </c>
      <c r="R29" s="244">
        <f>SUM(R25:R28)</f>
        <v>6484482</v>
      </c>
      <c r="S29" s="244">
        <f t="shared" ref="S29:Y29" si="13">SUM(S25:S28)</f>
        <v>245047947</v>
      </c>
      <c r="T29" s="244">
        <f t="shared" si="13"/>
        <v>347620736</v>
      </c>
      <c r="U29" s="244">
        <f t="shared" si="13"/>
        <v>621687881</v>
      </c>
      <c r="V29" s="244">
        <f>SUM(V25:V28)</f>
        <v>706225022</v>
      </c>
      <c r="W29" s="244">
        <f t="shared" si="13"/>
        <v>0</v>
      </c>
      <c r="X29" s="244">
        <f t="shared" si="13"/>
        <v>0</v>
      </c>
      <c r="Y29" s="244">
        <f t="shared" si="13"/>
        <v>621687881</v>
      </c>
      <c r="Z29" s="244">
        <f>SUM(Z25:Z28)</f>
        <v>706225022</v>
      </c>
      <c r="AA29" s="242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</row>
    <row r="30" spans="1:54" s="108" customFormat="1" ht="23.25" customHeight="1" x14ac:dyDescent="0.25">
      <c r="A30" s="104" t="s">
        <v>133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04" t="s">
        <v>133</v>
      </c>
      <c r="Q30" s="113"/>
      <c r="R30" s="113"/>
      <c r="S30" s="113"/>
      <c r="T30" s="113"/>
      <c r="U30" s="113"/>
      <c r="V30" s="113"/>
      <c r="W30" s="113"/>
      <c r="X30" s="113"/>
      <c r="Y30" s="114"/>
      <c r="Z30" s="114"/>
      <c r="AA30" s="242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</row>
    <row r="31" spans="1:54" s="108" customFormat="1" ht="23.25" customHeight="1" x14ac:dyDescent="0.25">
      <c r="A31" s="636" t="s">
        <v>64</v>
      </c>
      <c r="B31" s="113"/>
      <c r="C31" s="113"/>
      <c r="D31" s="113"/>
      <c r="E31" s="113"/>
      <c r="F31" s="113"/>
      <c r="G31" s="113"/>
      <c r="H31" s="113">
        <v>186050</v>
      </c>
      <c r="I31" s="110">
        <f>SUM(H31)+372008+5275</f>
        <v>563333</v>
      </c>
      <c r="J31" s="113"/>
      <c r="K31" s="113"/>
      <c r="L31" s="113"/>
      <c r="M31" s="113"/>
      <c r="N31" s="113"/>
      <c r="O31" s="113"/>
      <c r="P31" s="636" t="s">
        <v>64</v>
      </c>
      <c r="Q31" s="113">
        <v>3314599</v>
      </c>
      <c r="R31" s="113">
        <f>SUM(Q31)+1229529</f>
        <v>4544128</v>
      </c>
      <c r="S31" s="113">
        <v>32066796</v>
      </c>
      <c r="T31" s="113">
        <f>SUM(S31)-2117940+1993703+2633299</f>
        <v>34575858</v>
      </c>
      <c r="U31" s="113">
        <f>SUM(B31+F31+H31+L31+S31+Q31)</f>
        <v>35567445</v>
      </c>
      <c r="V31" s="113">
        <f>SUM(C31+G31+I31+M31+T31+R31)</f>
        <v>39683319</v>
      </c>
      <c r="W31" s="113">
        <f t="shared" ref="W31:X33" si="14">SUM(D31+J31+N31)</f>
        <v>0</v>
      </c>
      <c r="X31" s="113">
        <f t="shared" si="14"/>
        <v>0</v>
      </c>
      <c r="Y31" s="114">
        <f t="shared" ref="Y31:Z33" si="15">SUM(U31+W31)</f>
        <v>35567445</v>
      </c>
      <c r="Z31" s="111">
        <f t="shared" si="15"/>
        <v>39683319</v>
      </c>
      <c r="AA31" s="242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</row>
    <row r="32" spans="1:54" s="108" customFormat="1" ht="23.25" customHeight="1" x14ac:dyDescent="0.25">
      <c r="A32" s="275" t="s">
        <v>439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275" t="s">
        <v>439</v>
      </c>
      <c r="Q32" s="115"/>
      <c r="R32" s="115"/>
      <c r="S32" s="115"/>
      <c r="T32" s="115"/>
      <c r="U32" s="115">
        <f>SUM(B32+F32+H32+L32+S32+Q32)</f>
        <v>0</v>
      </c>
      <c r="V32" s="115">
        <f>SUM(C32+G32+I32+M32+T32+R32)</f>
        <v>0</v>
      </c>
      <c r="W32" s="115">
        <f t="shared" si="14"/>
        <v>0</v>
      </c>
      <c r="X32" s="115">
        <f t="shared" si="14"/>
        <v>0</v>
      </c>
      <c r="Y32" s="248">
        <f t="shared" si="15"/>
        <v>0</v>
      </c>
      <c r="Z32" s="111">
        <f t="shared" si="15"/>
        <v>0</v>
      </c>
      <c r="AA32" s="242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</row>
    <row r="33" spans="1:54" s="108" customFormat="1" ht="37.5" customHeight="1" thickBot="1" x14ac:dyDescent="0.3">
      <c r="A33" s="636" t="s">
        <v>443</v>
      </c>
      <c r="B33" s="113"/>
      <c r="C33" s="113"/>
      <c r="D33" s="113"/>
      <c r="E33" s="113"/>
      <c r="F33" s="113"/>
      <c r="G33" s="113"/>
      <c r="H33" s="113">
        <v>175482</v>
      </c>
      <c r="I33" s="113">
        <f>SUM(H33)+2520</f>
        <v>178002</v>
      </c>
      <c r="J33" s="113"/>
      <c r="K33" s="113"/>
      <c r="L33" s="113"/>
      <c r="M33" s="113"/>
      <c r="N33" s="113"/>
      <c r="O33" s="113"/>
      <c r="P33" s="636" t="s">
        <v>443</v>
      </c>
      <c r="Q33" s="113"/>
      <c r="R33" s="113"/>
      <c r="S33" s="113">
        <v>3519035</v>
      </c>
      <c r="T33" s="113">
        <f>SUM(S33)+864396</f>
        <v>4383431</v>
      </c>
      <c r="U33" s="113">
        <f>SUM(B33+F33+H33+L33+S33)</f>
        <v>3694517</v>
      </c>
      <c r="V33" s="110">
        <f>SUM(C33+G33+I33+M33+T33+R33)</f>
        <v>4561433</v>
      </c>
      <c r="W33" s="113">
        <f t="shared" si="14"/>
        <v>0</v>
      </c>
      <c r="X33" s="113">
        <f t="shared" si="14"/>
        <v>0</v>
      </c>
      <c r="Y33" s="111">
        <f t="shared" si="15"/>
        <v>3694517</v>
      </c>
      <c r="Z33" s="111">
        <f t="shared" si="15"/>
        <v>4561433</v>
      </c>
      <c r="AA33" s="245"/>
      <c r="AB33" s="245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</row>
    <row r="34" spans="1:54" s="108" customFormat="1" ht="24.75" customHeight="1" thickBot="1" x14ac:dyDescent="0.3">
      <c r="A34" s="243" t="s">
        <v>134</v>
      </c>
      <c r="B34" s="244">
        <f>B31+B33</f>
        <v>0</v>
      </c>
      <c r="C34" s="244">
        <f>C31+C33</f>
        <v>0</v>
      </c>
      <c r="D34" s="244">
        <f t="shared" ref="D34:O34" si="16">D31+D33</f>
        <v>0</v>
      </c>
      <c r="E34" s="244">
        <f t="shared" si="16"/>
        <v>0</v>
      </c>
      <c r="F34" s="244">
        <f t="shared" si="16"/>
        <v>0</v>
      </c>
      <c r="G34" s="244">
        <f t="shared" si="16"/>
        <v>0</v>
      </c>
      <c r="H34" s="244">
        <f t="shared" si="16"/>
        <v>361532</v>
      </c>
      <c r="I34" s="244">
        <f t="shared" si="16"/>
        <v>741335</v>
      </c>
      <c r="J34" s="244">
        <f t="shared" si="16"/>
        <v>0</v>
      </c>
      <c r="K34" s="244">
        <f t="shared" si="16"/>
        <v>0</v>
      </c>
      <c r="L34" s="244">
        <f t="shared" si="16"/>
        <v>0</v>
      </c>
      <c r="M34" s="244">
        <f t="shared" si="16"/>
        <v>0</v>
      </c>
      <c r="N34" s="244">
        <f t="shared" si="16"/>
        <v>0</v>
      </c>
      <c r="O34" s="244">
        <f t="shared" si="16"/>
        <v>0</v>
      </c>
      <c r="P34" s="243" t="s">
        <v>134</v>
      </c>
      <c r="Q34" s="244">
        <f>Q31+Q33</f>
        <v>3314599</v>
      </c>
      <c r="R34" s="244">
        <f>R31+R33</f>
        <v>4544128</v>
      </c>
      <c r="S34" s="244">
        <f t="shared" ref="S34:U34" si="17">S31+S33</f>
        <v>35585831</v>
      </c>
      <c r="T34" s="244">
        <f>T31+T33</f>
        <v>38959289</v>
      </c>
      <c r="U34" s="244">
        <f t="shared" si="17"/>
        <v>39261962</v>
      </c>
      <c r="V34" s="244">
        <f>V31+V33</f>
        <v>44244752</v>
      </c>
      <c r="W34" s="244">
        <f>W31+W33</f>
        <v>0</v>
      </c>
      <c r="X34" s="244">
        <f>X31+X33</f>
        <v>0</v>
      </c>
      <c r="Y34" s="244">
        <f>Y31+Y33</f>
        <v>39261962</v>
      </c>
      <c r="Z34" s="244">
        <f>Z31+Z33</f>
        <v>44244752</v>
      </c>
      <c r="AA34" s="242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</row>
    <row r="35" spans="1:54" s="108" customFormat="1" ht="24.75" customHeight="1" x14ac:dyDescent="0.25">
      <c r="A35" s="104" t="s">
        <v>135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04" t="s">
        <v>135</v>
      </c>
      <c r="Q35" s="113"/>
      <c r="R35" s="113"/>
      <c r="S35" s="113"/>
      <c r="T35" s="113"/>
      <c r="U35" s="113"/>
      <c r="V35" s="113"/>
      <c r="W35" s="113"/>
      <c r="X35" s="113"/>
      <c r="Y35" s="114"/>
      <c r="Z35" s="114"/>
      <c r="AA35" s="242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</row>
    <row r="36" spans="1:54" s="108" customFormat="1" ht="24.75" customHeight="1" x14ac:dyDescent="0.25">
      <c r="A36" s="636" t="s">
        <v>64</v>
      </c>
      <c r="B36" s="113"/>
      <c r="C36" s="113"/>
      <c r="D36" s="113"/>
      <c r="E36" s="113"/>
      <c r="F36" s="113">
        <v>50000</v>
      </c>
      <c r="G36" s="110">
        <f>SUM(F36)</f>
        <v>50000</v>
      </c>
      <c r="H36" s="113">
        <v>4600000</v>
      </c>
      <c r="I36" s="110">
        <f>SUM(H36)+6276322</f>
        <v>10876322</v>
      </c>
      <c r="J36" s="113"/>
      <c r="K36" s="113"/>
      <c r="L36" s="113"/>
      <c r="M36" s="113"/>
      <c r="N36" s="113"/>
      <c r="O36" s="113"/>
      <c r="P36" s="636" t="s">
        <v>64</v>
      </c>
      <c r="Q36" s="113"/>
      <c r="R36" s="113">
        <v>2690131</v>
      </c>
      <c r="S36" s="113">
        <v>307055688</v>
      </c>
      <c r="T36" s="113">
        <f>SUM(S36)+710430+11665031+800000</f>
        <v>320231149</v>
      </c>
      <c r="U36" s="110">
        <f t="shared" ref="U36:V39" si="18">SUM(B36+F36+H36+L36+S36)</f>
        <v>311705688</v>
      </c>
      <c r="V36" s="110">
        <f>SUM(C36+G36+I36+M36+T36+R36)</f>
        <v>333847602</v>
      </c>
      <c r="W36" s="110">
        <f t="shared" ref="W36:X39" si="19">SUM(D36+J36+N36)</f>
        <v>0</v>
      </c>
      <c r="X36" s="110">
        <f t="shared" si="19"/>
        <v>0</v>
      </c>
      <c r="Y36" s="111">
        <f>SUM(U36+W36)</f>
        <v>311705688</v>
      </c>
      <c r="Z36" s="111">
        <f>SUM(V36+X36)</f>
        <v>333847602</v>
      </c>
      <c r="AA36" s="242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</row>
    <row r="37" spans="1:54" s="108" customFormat="1" ht="24.75" customHeight="1" x14ac:dyDescent="0.25">
      <c r="A37" s="635" t="s">
        <v>439</v>
      </c>
      <c r="B37" s="112">
        <v>5544000</v>
      </c>
      <c r="C37" s="112">
        <f>SUM(B37)-2276322</f>
        <v>3267678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635" t="s">
        <v>439</v>
      </c>
      <c r="Q37" s="112"/>
      <c r="R37" s="112"/>
      <c r="S37" s="112"/>
      <c r="T37" s="112"/>
      <c r="U37" s="110">
        <f>SUM(B37+F37+H37+L37+S37+Q37)</f>
        <v>5544000</v>
      </c>
      <c r="V37" s="110">
        <f>SUM(C37+G37+I37+M37+T37+R37)</f>
        <v>3267678</v>
      </c>
      <c r="W37" s="110">
        <f t="shared" si="19"/>
        <v>0</v>
      </c>
      <c r="X37" s="110">
        <f t="shared" si="19"/>
        <v>0</v>
      </c>
      <c r="Y37" s="111">
        <f t="shared" ref="Y37:Z38" si="20">SUM(U37+W37)</f>
        <v>5544000</v>
      </c>
      <c r="Z37" s="111">
        <f t="shared" si="20"/>
        <v>3267678</v>
      </c>
      <c r="AA37" s="242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</row>
    <row r="38" spans="1:54" s="120" customFormat="1" ht="24.75" customHeight="1" x14ac:dyDescent="0.25">
      <c r="A38" s="635" t="s">
        <v>445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635" t="s">
        <v>445</v>
      </c>
      <c r="Q38" s="112">
        <v>47054865</v>
      </c>
      <c r="R38" s="112">
        <f>SUM(Q38)</f>
        <v>47054865</v>
      </c>
      <c r="S38" s="112"/>
      <c r="T38" s="112"/>
      <c r="U38" s="110">
        <f>SUM(B38+F38+H38+L38+S38+Q38)</f>
        <v>47054865</v>
      </c>
      <c r="V38" s="110">
        <f>SUM(C38+G38+I38+M38+T38+R38)</f>
        <v>47054865</v>
      </c>
      <c r="W38" s="110">
        <f t="shared" si="19"/>
        <v>0</v>
      </c>
      <c r="X38" s="110">
        <f t="shared" si="19"/>
        <v>0</v>
      </c>
      <c r="Y38" s="111">
        <f t="shared" si="20"/>
        <v>47054865</v>
      </c>
      <c r="Z38" s="111">
        <f t="shared" si="20"/>
        <v>47054865</v>
      </c>
      <c r="AA38" s="251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</row>
    <row r="39" spans="1:54" s="108" customFormat="1" ht="27.75" customHeight="1" thickBot="1" x14ac:dyDescent="0.3">
      <c r="A39" s="116" t="s">
        <v>65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6" t="s">
        <v>65</v>
      </c>
      <c r="Q39" s="117"/>
      <c r="R39" s="117"/>
      <c r="S39" s="117"/>
      <c r="T39" s="117"/>
      <c r="U39" s="118">
        <f t="shared" si="18"/>
        <v>0</v>
      </c>
      <c r="V39" s="118">
        <f t="shared" si="18"/>
        <v>0</v>
      </c>
      <c r="W39" s="118">
        <f t="shared" si="19"/>
        <v>0</v>
      </c>
      <c r="X39" s="118">
        <f t="shared" si="19"/>
        <v>0</v>
      </c>
      <c r="Y39" s="111">
        <f>SUM(U39+W39)</f>
        <v>0</v>
      </c>
      <c r="Z39" s="111">
        <f>SUM(V39+X39)</f>
        <v>0</v>
      </c>
      <c r="AA39" s="245"/>
      <c r="AB39" s="245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</row>
    <row r="40" spans="1:54" s="108" customFormat="1" ht="27" customHeight="1" thickBot="1" x14ac:dyDescent="0.3">
      <c r="A40" s="243" t="s">
        <v>136</v>
      </c>
      <c r="B40" s="244">
        <f>SUM(B36:B39)</f>
        <v>5544000</v>
      </c>
      <c r="C40" s="244">
        <f>SUM(C36:C39)</f>
        <v>3267678</v>
      </c>
      <c r="D40" s="244">
        <f t="shared" ref="D40:O40" si="21">SUM(D36:D39)</f>
        <v>0</v>
      </c>
      <c r="E40" s="244">
        <f t="shared" si="21"/>
        <v>0</v>
      </c>
      <c r="F40" s="244">
        <f t="shared" si="21"/>
        <v>50000</v>
      </c>
      <c r="G40" s="244">
        <f t="shared" si="21"/>
        <v>50000</v>
      </c>
      <c r="H40" s="244">
        <f t="shared" si="21"/>
        <v>4600000</v>
      </c>
      <c r="I40" s="244">
        <f t="shared" si="21"/>
        <v>10876322</v>
      </c>
      <c r="J40" s="244">
        <f t="shared" si="21"/>
        <v>0</v>
      </c>
      <c r="K40" s="244">
        <f t="shared" si="21"/>
        <v>0</v>
      </c>
      <c r="L40" s="244">
        <f t="shared" si="21"/>
        <v>0</v>
      </c>
      <c r="M40" s="244">
        <f t="shared" si="21"/>
        <v>0</v>
      </c>
      <c r="N40" s="244">
        <f t="shared" si="21"/>
        <v>0</v>
      </c>
      <c r="O40" s="244">
        <f t="shared" si="21"/>
        <v>0</v>
      </c>
      <c r="P40" s="243" t="s">
        <v>136</v>
      </c>
      <c r="Q40" s="244">
        <f t="shared" ref="Q40:X40" si="22">SUM(Q36:Q39)</f>
        <v>47054865</v>
      </c>
      <c r="R40" s="244">
        <f t="shared" si="22"/>
        <v>49744996</v>
      </c>
      <c r="S40" s="244">
        <f t="shared" si="22"/>
        <v>307055688</v>
      </c>
      <c r="T40" s="244">
        <f t="shared" si="22"/>
        <v>320231149</v>
      </c>
      <c r="U40" s="244">
        <f t="shared" si="22"/>
        <v>364304553</v>
      </c>
      <c r="V40" s="244">
        <f t="shared" si="22"/>
        <v>384170145</v>
      </c>
      <c r="W40" s="244">
        <f t="shared" si="22"/>
        <v>0</v>
      </c>
      <c r="X40" s="244">
        <f t="shared" si="22"/>
        <v>0</v>
      </c>
      <c r="Y40" s="244">
        <f>SUM(Y36:Y39)</f>
        <v>364304553</v>
      </c>
      <c r="Z40" s="244">
        <f>SUM(Z36:Z39)</f>
        <v>384170145</v>
      </c>
      <c r="AA40" s="242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</row>
    <row r="41" spans="1:54" ht="16.5" thickBot="1" x14ac:dyDescent="0.3">
      <c r="A41" s="121" t="s">
        <v>137</v>
      </c>
      <c r="B41" s="122">
        <f>SUM(B13+B15+B18+B20+B22+B25+B26+B28+B31+B32+B33+B36+B37+B21+B14)</f>
        <v>320771581</v>
      </c>
      <c r="C41" s="122">
        <f>SUM(C13+C15+C18+C20+C22+C25+C26+C28+C31+C32+C33+C36+C37+C21+C14+C19)</f>
        <v>361165886</v>
      </c>
      <c r="D41" s="122">
        <f t="shared" ref="D41:N41" si="23">SUM(D13+D15+D18+D20+D22+D25+D26+D28+D31+D32+D33+D36+D37+D21+D14+D19)</f>
        <v>0</v>
      </c>
      <c r="E41" s="122">
        <f t="shared" si="23"/>
        <v>0</v>
      </c>
      <c r="F41" s="122">
        <f t="shared" si="23"/>
        <v>50000</v>
      </c>
      <c r="G41" s="122">
        <f t="shared" si="23"/>
        <v>50000</v>
      </c>
      <c r="H41" s="122">
        <f t="shared" si="23"/>
        <v>117134566</v>
      </c>
      <c r="I41" s="122">
        <f t="shared" si="23"/>
        <v>95257598</v>
      </c>
      <c r="J41" s="122">
        <f t="shared" si="23"/>
        <v>0</v>
      </c>
      <c r="K41" s="122">
        <f t="shared" si="23"/>
        <v>0</v>
      </c>
      <c r="L41" s="122">
        <f t="shared" si="23"/>
        <v>0</v>
      </c>
      <c r="M41" s="122">
        <f t="shared" si="23"/>
        <v>0</v>
      </c>
      <c r="N41" s="122">
        <f t="shared" si="23"/>
        <v>0</v>
      </c>
      <c r="O41" s="122">
        <f>SUM(O13+O15+O18+O20+O22+O25+O26+O28+O31+O32+O33+O36+O37+O21+O14)</f>
        <v>0</v>
      </c>
      <c r="P41" s="121" t="s">
        <v>137</v>
      </c>
      <c r="Q41" s="122">
        <f t="shared" ref="Q41:Z41" si="24">SUM(Q13+Q15+Q18+Q20+Q22+Q25+Q26+Q28+Q31+Q32+Q33+Q36+Q37+Q21+Q14)</f>
        <v>22708556</v>
      </c>
      <c r="R41" s="122">
        <f t="shared" si="24"/>
        <v>39102608</v>
      </c>
      <c r="S41" s="122">
        <f t="shared" si="24"/>
        <v>1396335344</v>
      </c>
      <c r="T41" s="122">
        <f t="shared" si="24"/>
        <v>1510979809</v>
      </c>
      <c r="U41" s="122">
        <f t="shared" si="24"/>
        <v>1839189090</v>
      </c>
      <c r="V41" s="122">
        <f t="shared" si="24"/>
        <v>1985901268</v>
      </c>
      <c r="W41" s="122">
        <f t="shared" si="24"/>
        <v>17810957</v>
      </c>
      <c r="X41" s="122">
        <f t="shared" si="24"/>
        <v>0</v>
      </c>
      <c r="Y41" s="122">
        <f t="shared" si="24"/>
        <v>1857000047</v>
      </c>
      <c r="Z41" s="122">
        <f t="shared" si="24"/>
        <v>1985901268</v>
      </c>
      <c r="AA41" s="242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</row>
    <row r="42" spans="1:54" ht="32.25" thickBot="1" x14ac:dyDescent="0.3">
      <c r="A42" s="123" t="s">
        <v>138</v>
      </c>
      <c r="B42" s="114">
        <f>SUM(B38)</f>
        <v>0</v>
      </c>
      <c r="C42" s="114">
        <f t="shared" ref="C42:O43" si="25">SUM(C38)</f>
        <v>0</v>
      </c>
      <c r="D42" s="114">
        <f t="shared" si="25"/>
        <v>0</v>
      </c>
      <c r="E42" s="114">
        <f t="shared" si="25"/>
        <v>0</v>
      </c>
      <c r="F42" s="114">
        <f t="shared" si="25"/>
        <v>0</v>
      </c>
      <c r="G42" s="114">
        <f t="shared" si="25"/>
        <v>0</v>
      </c>
      <c r="H42" s="114">
        <f t="shared" si="25"/>
        <v>0</v>
      </c>
      <c r="I42" s="114">
        <f t="shared" si="25"/>
        <v>0</v>
      </c>
      <c r="J42" s="114">
        <f t="shared" si="25"/>
        <v>0</v>
      </c>
      <c r="K42" s="114">
        <f t="shared" si="25"/>
        <v>0</v>
      </c>
      <c r="L42" s="114">
        <f t="shared" si="25"/>
        <v>0</v>
      </c>
      <c r="M42" s="114">
        <f t="shared" si="25"/>
        <v>0</v>
      </c>
      <c r="N42" s="114">
        <f t="shared" si="25"/>
        <v>0</v>
      </c>
      <c r="O42" s="114">
        <f t="shared" si="25"/>
        <v>0</v>
      </c>
      <c r="P42" s="123" t="s">
        <v>138</v>
      </c>
      <c r="Q42" s="114">
        <f t="shared" ref="Q42:Z43" si="26">SUM(Q38)</f>
        <v>47054865</v>
      </c>
      <c r="R42" s="114">
        <f t="shared" si="26"/>
        <v>47054865</v>
      </c>
      <c r="S42" s="114">
        <f t="shared" si="26"/>
        <v>0</v>
      </c>
      <c r="T42" s="114">
        <f t="shared" si="26"/>
        <v>0</v>
      </c>
      <c r="U42" s="114">
        <f t="shared" si="26"/>
        <v>47054865</v>
      </c>
      <c r="V42" s="114">
        <f t="shared" si="26"/>
        <v>47054865</v>
      </c>
      <c r="W42" s="114">
        <f t="shared" si="26"/>
        <v>0</v>
      </c>
      <c r="X42" s="114">
        <f t="shared" si="26"/>
        <v>0</v>
      </c>
      <c r="Y42" s="114">
        <f>SUM(Y38)</f>
        <v>47054865</v>
      </c>
      <c r="Z42" s="114">
        <f>SUM(Z38)</f>
        <v>47054865</v>
      </c>
      <c r="AA42" s="242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</row>
    <row r="43" spans="1:54" s="173" customFormat="1" ht="26.25" customHeight="1" thickBot="1" x14ac:dyDescent="0.3">
      <c r="A43" s="125" t="s">
        <v>139</v>
      </c>
      <c r="B43" s="124">
        <f>SUM(B39)</f>
        <v>0</v>
      </c>
      <c r="C43" s="124">
        <f t="shared" si="25"/>
        <v>0</v>
      </c>
      <c r="D43" s="124">
        <f t="shared" si="25"/>
        <v>0</v>
      </c>
      <c r="E43" s="124">
        <f t="shared" si="25"/>
        <v>0</v>
      </c>
      <c r="F43" s="124">
        <f t="shared" si="25"/>
        <v>0</v>
      </c>
      <c r="G43" s="124">
        <f t="shared" si="25"/>
        <v>0</v>
      </c>
      <c r="H43" s="124">
        <f t="shared" si="25"/>
        <v>0</v>
      </c>
      <c r="I43" s="124">
        <f t="shared" si="25"/>
        <v>0</v>
      </c>
      <c r="J43" s="124">
        <f t="shared" si="25"/>
        <v>0</v>
      </c>
      <c r="K43" s="124">
        <f t="shared" si="25"/>
        <v>0</v>
      </c>
      <c r="L43" s="124">
        <f t="shared" si="25"/>
        <v>0</v>
      </c>
      <c r="M43" s="124">
        <f t="shared" si="25"/>
        <v>0</v>
      </c>
      <c r="N43" s="124">
        <f t="shared" si="25"/>
        <v>0</v>
      </c>
      <c r="O43" s="124">
        <f t="shared" si="25"/>
        <v>0</v>
      </c>
      <c r="P43" s="125" t="s">
        <v>139</v>
      </c>
      <c r="Q43" s="124">
        <f t="shared" si="26"/>
        <v>0</v>
      </c>
      <c r="R43" s="124">
        <f t="shared" si="26"/>
        <v>0</v>
      </c>
      <c r="S43" s="124">
        <f t="shared" si="26"/>
        <v>0</v>
      </c>
      <c r="T43" s="124">
        <f t="shared" si="26"/>
        <v>0</v>
      </c>
      <c r="U43" s="124">
        <f t="shared" si="26"/>
        <v>0</v>
      </c>
      <c r="V43" s="124">
        <f t="shared" si="26"/>
        <v>0</v>
      </c>
      <c r="W43" s="124">
        <f t="shared" si="26"/>
        <v>0</v>
      </c>
      <c r="X43" s="124">
        <f t="shared" si="26"/>
        <v>0</v>
      </c>
      <c r="Y43" s="124">
        <f t="shared" si="26"/>
        <v>0</v>
      </c>
      <c r="Z43" s="124">
        <f t="shared" si="26"/>
        <v>0</v>
      </c>
      <c r="AA43" s="245"/>
      <c r="AB43" s="254"/>
      <c r="AC43" s="254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</row>
    <row r="44" spans="1:54" ht="16.5" thickBot="1" x14ac:dyDescent="0.3">
      <c r="A44" s="252" t="s">
        <v>140</v>
      </c>
      <c r="B44" s="253">
        <f>B41+B42+B43</f>
        <v>320771581</v>
      </c>
      <c r="C44" s="253">
        <f>C41+C42+C43</f>
        <v>361165886</v>
      </c>
      <c r="D44" s="253">
        <f t="shared" ref="D44:O44" si="27">D41+D42+D43</f>
        <v>0</v>
      </c>
      <c r="E44" s="253">
        <f t="shared" si="27"/>
        <v>0</v>
      </c>
      <c r="F44" s="253">
        <f t="shared" si="27"/>
        <v>50000</v>
      </c>
      <c r="G44" s="253">
        <f t="shared" si="27"/>
        <v>50000</v>
      </c>
      <c r="H44" s="253">
        <f>H41+H42+H43</f>
        <v>117134566</v>
      </c>
      <c r="I44" s="253">
        <f>I41+I42+I43</f>
        <v>95257598</v>
      </c>
      <c r="J44" s="253">
        <f t="shared" si="27"/>
        <v>0</v>
      </c>
      <c r="K44" s="253">
        <f t="shared" si="27"/>
        <v>0</v>
      </c>
      <c r="L44" s="253">
        <f t="shared" si="27"/>
        <v>0</v>
      </c>
      <c r="M44" s="253">
        <f t="shared" si="27"/>
        <v>0</v>
      </c>
      <c r="N44" s="253">
        <f t="shared" si="27"/>
        <v>0</v>
      </c>
      <c r="O44" s="253">
        <f t="shared" si="27"/>
        <v>0</v>
      </c>
      <c r="P44" s="252" t="s">
        <v>140</v>
      </c>
      <c r="Q44" s="253">
        <f t="shared" ref="Q44:X44" si="28">Q41+Q42+Q43</f>
        <v>69763421</v>
      </c>
      <c r="R44" s="253">
        <f t="shared" si="28"/>
        <v>86157473</v>
      </c>
      <c r="S44" s="253">
        <f t="shared" si="28"/>
        <v>1396335344</v>
      </c>
      <c r="T44" s="253">
        <f t="shared" si="28"/>
        <v>1510979809</v>
      </c>
      <c r="U44" s="253">
        <f>U41+U42+U43</f>
        <v>1886243955</v>
      </c>
      <c r="V44" s="253">
        <f>V41+V42+V43</f>
        <v>2032956133</v>
      </c>
      <c r="W44" s="253">
        <f t="shared" si="28"/>
        <v>17810957</v>
      </c>
      <c r="X44" s="253">
        <f t="shared" si="28"/>
        <v>0</v>
      </c>
      <c r="Y44" s="253">
        <f>Y41+Y42+Y43</f>
        <v>1904054912</v>
      </c>
      <c r="Z44" s="253">
        <f>Z41+Z42+Z43</f>
        <v>2032956133</v>
      </c>
    </row>
    <row r="45" spans="1:54" ht="15.75" thickTop="1" x14ac:dyDescent="0.25"/>
  </sheetData>
  <sheetProtection formatCells="0" formatColumns="0" formatRows="0" insertColumns="0" insertRows="0" insertHyperlinks="0" deleteColumns="0" deleteRows="0" sort="0" autoFilter="0" pivotTables="0"/>
  <mergeCells count="22">
    <mergeCell ref="A1:AB1"/>
    <mergeCell ref="A8:A11"/>
    <mergeCell ref="P8:P11"/>
    <mergeCell ref="Q8:T8"/>
    <mergeCell ref="U8:Z8"/>
    <mergeCell ref="B9:C10"/>
    <mergeCell ref="D9:E10"/>
    <mergeCell ref="F9:G10"/>
    <mergeCell ref="H9:I10"/>
    <mergeCell ref="J9:K10"/>
    <mergeCell ref="L9:M10"/>
    <mergeCell ref="N9:O10"/>
    <mergeCell ref="Q9:T9"/>
    <mergeCell ref="U9:Z9"/>
    <mergeCell ref="A5:O5"/>
    <mergeCell ref="P5:Z5"/>
    <mergeCell ref="W7:Z7"/>
    <mergeCell ref="Q10:R10"/>
    <mergeCell ref="S10:T10"/>
    <mergeCell ref="U10:V10"/>
    <mergeCell ref="W10:X10"/>
    <mergeCell ref="Y10:Z10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colBreaks count="1" manualBreakCount="1">
    <brk id="15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3"/>
  <sheetViews>
    <sheetView view="pageBreakPreview" topLeftCell="Q10" zoomScale="96" zoomScaleSheetLayoutView="96" workbookViewId="0">
      <selection activeCell="Z18" sqref="Z18"/>
    </sheetView>
  </sheetViews>
  <sheetFormatPr defaultRowHeight="15" x14ac:dyDescent="0.25"/>
  <cols>
    <col min="1" max="1" width="26.140625" style="165" customWidth="1"/>
    <col min="2" max="3" width="15.5703125" style="163" customWidth="1"/>
    <col min="4" max="7" width="15.5703125" style="165" customWidth="1"/>
    <col min="8" max="9" width="13.42578125" style="165" customWidth="1"/>
    <col min="10" max="11" width="15.140625" style="165" customWidth="1"/>
    <col min="12" max="12" width="15.28515625" style="165" customWidth="1"/>
    <col min="13" max="13" width="14.85546875" style="165" customWidth="1"/>
    <col min="14" max="14" width="15.85546875" style="165" customWidth="1"/>
    <col min="15" max="15" width="15.42578125" style="165" customWidth="1"/>
    <col min="16" max="16" width="12" style="165" customWidth="1"/>
    <col min="17" max="17" width="13" style="165" customWidth="1"/>
    <col min="18" max="19" width="15.5703125" style="165" customWidth="1"/>
    <col min="20" max="27" width="17.28515625" style="165" customWidth="1"/>
    <col min="28" max="28" width="16.28515625" style="165" customWidth="1"/>
    <col min="29" max="29" width="13.28515625" style="165" customWidth="1"/>
    <col min="30" max="32" width="13.5703125" style="165" customWidth="1"/>
    <col min="33" max="33" width="14.28515625" style="165" customWidth="1"/>
    <col min="34" max="36" width="13.5703125" style="165" customWidth="1"/>
    <col min="37" max="16384" width="9.140625" style="165"/>
  </cols>
  <sheetData>
    <row r="1" spans="1:68" s="171" customFormat="1" ht="15.75" x14ac:dyDescent="0.25">
      <c r="A1" s="588" t="s">
        <v>508</v>
      </c>
      <c r="B1" s="255"/>
      <c r="C1" s="255"/>
    </row>
    <row r="2" spans="1:68" ht="15.75" x14ac:dyDescent="0.25">
      <c r="A2" s="164"/>
    </row>
    <row r="3" spans="1:68" ht="15.75" x14ac:dyDescent="0.25">
      <c r="A3" s="164"/>
    </row>
    <row r="4" spans="1:68" ht="15.75" x14ac:dyDescent="0.25">
      <c r="A4" s="164"/>
    </row>
    <row r="5" spans="1:68" ht="19.5" x14ac:dyDescent="0.35">
      <c r="A5" s="740" t="s">
        <v>404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166"/>
      <c r="AC5" s="166"/>
      <c r="AD5" s="166"/>
      <c r="AE5" s="166"/>
      <c r="AF5" s="166"/>
      <c r="AG5" s="166"/>
      <c r="AH5" s="166"/>
      <c r="AI5" s="166"/>
      <c r="AJ5" s="166"/>
      <c r="AK5" s="166"/>
    </row>
    <row r="6" spans="1:68" x14ac:dyDescent="0.25">
      <c r="A6" s="167"/>
    </row>
    <row r="7" spans="1:68" x14ac:dyDescent="0.25">
      <c r="A7" s="167"/>
    </row>
    <row r="8" spans="1:68" ht="15.75" x14ac:dyDescent="0.25">
      <c r="A8" s="168" t="s">
        <v>188</v>
      </c>
      <c r="AC8" s="741"/>
      <c r="AD8" s="741"/>
      <c r="AE8" s="741"/>
      <c r="AF8" s="741"/>
      <c r="AG8" s="741"/>
      <c r="AH8" s="741"/>
      <c r="AI8" s="741"/>
      <c r="AJ8" s="741"/>
    </row>
    <row r="9" spans="1:68" customFormat="1" ht="15.75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</row>
    <row r="10" spans="1:68" customFormat="1" ht="16.5" thickBot="1" x14ac:dyDescent="0.3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742" t="s">
        <v>0</v>
      </c>
      <c r="W10" s="742"/>
      <c r="X10" s="742"/>
      <c r="Y10" s="742"/>
      <c r="Z10" s="742"/>
      <c r="AA10" s="62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</row>
    <row r="11" spans="1:68" s="238" customFormat="1" ht="13.5" customHeight="1" thickBot="1" x14ac:dyDescent="0.25">
      <c r="A11" s="743" t="s">
        <v>106</v>
      </c>
      <c r="B11" s="623" t="s">
        <v>148</v>
      </c>
      <c r="C11" s="623" t="s">
        <v>148</v>
      </c>
      <c r="D11" s="623" t="s">
        <v>149</v>
      </c>
      <c r="E11" s="623" t="s">
        <v>149</v>
      </c>
      <c r="F11" s="623" t="s">
        <v>150</v>
      </c>
      <c r="G11" s="623" t="s">
        <v>150</v>
      </c>
      <c r="H11" s="623" t="s">
        <v>151</v>
      </c>
      <c r="I11" s="623" t="s">
        <v>151</v>
      </c>
      <c r="J11" s="623" t="s">
        <v>152</v>
      </c>
      <c r="K11" s="623" t="s">
        <v>152</v>
      </c>
      <c r="L11" s="623" t="s">
        <v>153</v>
      </c>
      <c r="M11" s="623" t="s">
        <v>153</v>
      </c>
      <c r="N11" s="623" t="s">
        <v>154</v>
      </c>
      <c r="O11" s="623" t="s">
        <v>154</v>
      </c>
      <c r="P11" s="623" t="s">
        <v>155</v>
      </c>
      <c r="Q11" s="623" t="s">
        <v>155</v>
      </c>
      <c r="R11" s="623" t="s">
        <v>189</v>
      </c>
      <c r="S11" s="623" t="s">
        <v>189</v>
      </c>
      <c r="T11" s="733" t="s">
        <v>239</v>
      </c>
      <c r="U11" s="733"/>
      <c r="V11" s="733"/>
      <c r="W11" s="733"/>
      <c r="X11" s="733"/>
      <c r="Y11" s="733"/>
      <c r="Z11" s="733"/>
      <c r="AA11" s="733"/>
      <c r="AB11" s="256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</row>
    <row r="12" spans="1:68" s="240" customFormat="1" ht="30" customHeight="1" thickBot="1" x14ac:dyDescent="0.3">
      <c r="A12" s="743"/>
      <c r="B12" s="726" t="s">
        <v>141</v>
      </c>
      <c r="C12" s="726"/>
      <c r="D12" s="726" t="s">
        <v>157</v>
      </c>
      <c r="E12" s="726"/>
      <c r="F12" s="726" t="s">
        <v>142</v>
      </c>
      <c r="G12" s="726"/>
      <c r="H12" s="726" t="s">
        <v>143</v>
      </c>
      <c r="I12" s="726"/>
      <c r="J12" s="726" t="s">
        <v>144</v>
      </c>
      <c r="K12" s="726"/>
      <c r="L12" s="726" t="s">
        <v>146</v>
      </c>
      <c r="M12" s="726"/>
      <c r="N12" s="726" t="s">
        <v>147</v>
      </c>
      <c r="O12" s="726"/>
      <c r="P12" s="726" t="s">
        <v>158</v>
      </c>
      <c r="Q12" s="726"/>
      <c r="R12" s="726" t="s">
        <v>145</v>
      </c>
      <c r="S12" s="726"/>
      <c r="T12" s="726" t="s">
        <v>159</v>
      </c>
      <c r="U12" s="726"/>
      <c r="V12" s="726"/>
      <c r="W12" s="726"/>
      <c r="X12" s="726"/>
      <c r="Y12" s="726"/>
      <c r="Z12" s="726"/>
      <c r="AA12" s="726"/>
      <c r="AB12" s="257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</row>
    <row r="13" spans="1:68" s="240" customFormat="1" ht="24" customHeight="1" thickBot="1" x14ac:dyDescent="0.3">
      <c r="A13" s="743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 t="s">
        <v>125</v>
      </c>
      <c r="U13" s="726"/>
      <c r="V13" s="726" t="s">
        <v>126</v>
      </c>
      <c r="W13" s="726"/>
      <c r="X13" s="724" t="s">
        <v>351</v>
      </c>
      <c r="Y13" s="725"/>
      <c r="Z13" s="726" t="s">
        <v>159</v>
      </c>
      <c r="AA13" s="726"/>
      <c r="AB13" s="257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</row>
    <row r="14" spans="1:68" s="240" customFormat="1" ht="38.25" customHeight="1" thickBot="1" x14ac:dyDescent="0.3">
      <c r="A14" s="743"/>
      <c r="B14" s="622" t="s">
        <v>79</v>
      </c>
      <c r="C14" s="622" t="s">
        <v>195</v>
      </c>
      <c r="D14" s="622" t="s">
        <v>79</v>
      </c>
      <c r="E14" s="622" t="s">
        <v>195</v>
      </c>
      <c r="F14" s="622" t="s">
        <v>79</v>
      </c>
      <c r="G14" s="622" t="s">
        <v>195</v>
      </c>
      <c r="H14" s="622" t="s">
        <v>79</v>
      </c>
      <c r="I14" s="622" t="s">
        <v>195</v>
      </c>
      <c r="J14" s="622" t="s">
        <v>79</v>
      </c>
      <c r="K14" s="622" t="s">
        <v>195</v>
      </c>
      <c r="L14" s="622" t="s">
        <v>79</v>
      </c>
      <c r="M14" s="622" t="s">
        <v>195</v>
      </c>
      <c r="N14" s="622" t="s">
        <v>79</v>
      </c>
      <c r="O14" s="622" t="s">
        <v>195</v>
      </c>
      <c r="P14" s="622" t="s">
        <v>79</v>
      </c>
      <c r="Q14" s="622" t="s">
        <v>195</v>
      </c>
      <c r="R14" s="622" t="s">
        <v>79</v>
      </c>
      <c r="S14" s="622" t="s">
        <v>195</v>
      </c>
      <c r="T14" s="622" t="s">
        <v>79</v>
      </c>
      <c r="U14" s="622" t="s">
        <v>195</v>
      </c>
      <c r="V14" s="622" t="s">
        <v>79</v>
      </c>
      <c r="W14" s="622" t="s">
        <v>195</v>
      </c>
      <c r="X14" s="622" t="s">
        <v>79</v>
      </c>
      <c r="Y14" s="622" t="s">
        <v>195</v>
      </c>
      <c r="Z14" s="622" t="s">
        <v>79</v>
      </c>
      <c r="AA14" s="622" t="s">
        <v>195</v>
      </c>
      <c r="AB14" s="257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</row>
    <row r="15" spans="1:68" s="108" customFormat="1" ht="39.950000000000003" customHeight="1" x14ac:dyDescent="0.25">
      <c r="A15" s="104" t="s">
        <v>190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</row>
    <row r="16" spans="1:68" s="108" customFormat="1" ht="57" customHeight="1" x14ac:dyDescent="0.25">
      <c r="A16" s="109" t="s">
        <v>191</v>
      </c>
      <c r="B16" s="110">
        <f>SUM('[1]7. sz. melléklet'!B43)</f>
        <v>1137458382</v>
      </c>
      <c r="C16" s="110">
        <f>SUM('[1]7. sz. melléklet'!C43)</f>
        <v>1214716346</v>
      </c>
      <c r="D16" s="110">
        <f>SUM('[1]7. sz. melléklet'!D43)</f>
        <v>166473117</v>
      </c>
      <c r="E16" s="110">
        <f>SUM('[1]7. sz. melléklet'!E43)</f>
        <v>183383281</v>
      </c>
      <c r="F16" s="110">
        <f>SUM('[1]7. sz. melléklet'!F43)</f>
        <v>588299013</v>
      </c>
      <c r="G16" s="110">
        <f>SUM('[1]7. sz. melléklet'!G43)</f>
        <v>596775271</v>
      </c>
      <c r="H16" s="110">
        <f>SUM('[1]7. sz. melléklet'!H43)</f>
        <v>0</v>
      </c>
      <c r="I16" s="110">
        <f>SUM('[1]7. sz. melléklet'!I43)</f>
        <v>0</v>
      </c>
      <c r="J16" s="110">
        <f>SUM('[1]7. sz. melléklet'!J43)</f>
        <v>0</v>
      </c>
      <c r="K16" s="110">
        <f>SUM('[1]7. sz. melléklet'!K43)</f>
        <v>9743713</v>
      </c>
      <c r="L16" s="110">
        <f>SUM('[1]7. sz. melléklet'!L43)</f>
        <v>3024400</v>
      </c>
      <c r="M16" s="110">
        <f>SUM('[1]7. sz. melléklet'!M43)</f>
        <v>30166543</v>
      </c>
      <c r="N16" s="110">
        <f>SUM('[1]7. sz. melléklet'!N43)</f>
        <v>8800000</v>
      </c>
      <c r="O16" s="110">
        <f>SUM('[1]7. sz. melléklet'!O43)</f>
        <v>18825612</v>
      </c>
      <c r="P16" s="110">
        <f>SUM('[1]7. sz. melléklet'!P43)</f>
        <v>0</v>
      </c>
      <c r="Q16" s="110">
        <f>SUM('[1]7. sz. melléklet'!Q43)</f>
        <v>0</v>
      </c>
      <c r="R16" s="110">
        <v>0</v>
      </c>
      <c r="S16" s="110">
        <v>0</v>
      </c>
      <c r="T16" s="110">
        <f>SUM(B16+D16+F16+H16+J16)</f>
        <v>1892230512</v>
      </c>
      <c r="U16" s="110">
        <f>SUM(C16+E16+G16+I16+K16)</f>
        <v>2004618611</v>
      </c>
      <c r="V16" s="110">
        <f>SUM(L16+N16+P16)</f>
        <v>11824400</v>
      </c>
      <c r="W16" s="110">
        <f>SUM(M16+O16+Q16+S16)</f>
        <v>48992155</v>
      </c>
      <c r="X16" s="110">
        <f>SUM(R16)</f>
        <v>0</v>
      </c>
      <c r="Y16" s="110">
        <v>0</v>
      </c>
      <c r="Z16" s="110">
        <f>SUM(T16+V16)</f>
        <v>1904054912</v>
      </c>
      <c r="AA16" s="110">
        <f>SUM(U16+W16)</f>
        <v>2053610766</v>
      </c>
      <c r="AB16" s="129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</row>
    <row r="17" spans="1:68" s="108" customFormat="1" ht="82.5" customHeight="1" x14ac:dyDescent="0.25">
      <c r="A17" s="104" t="s">
        <v>192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3"/>
      <c r="AA17" s="113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</row>
    <row r="18" spans="1:68" s="120" customFormat="1" ht="70.5" customHeight="1" thickBot="1" x14ac:dyDescent="0.3">
      <c r="A18" s="130" t="s">
        <v>193</v>
      </c>
      <c r="B18" s="110">
        <f>SUM('[1]6. sz. melléklet'!E173)</f>
        <v>71779501</v>
      </c>
      <c r="C18" s="110">
        <f>SUM('[1]6. sz. melléklet'!F173)</f>
        <v>62778248</v>
      </c>
      <c r="D18" s="110">
        <f>SUM('[1]6. sz. melléklet'!G173)</f>
        <v>13005672</v>
      </c>
      <c r="E18" s="110">
        <f>SUM('[1]6. sz. melléklet'!H173)</f>
        <v>8240882</v>
      </c>
      <c r="F18" s="110">
        <f>SUM('[1]6. sz. melléklet'!I173)</f>
        <v>426431082</v>
      </c>
      <c r="G18" s="110">
        <f>SUM('[1]6. sz. melléklet'!J173)</f>
        <v>809271698</v>
      </c>
      <c r="H18" s="110">
        <f>SUM('[1]6. sz. melléklet'!K173)</f>
        <v>59500000</v>
      </c>
      <c r="I18" s="110">
        <f>SUM('[1]6. sz. melléklet'!L173)</f>
        <v>60955000</v>
      </c>
      <c r="J18" s="110">
        <f>SUM('[1]6. sz. melléklet'!M173)</f>
        <v>3836974435</v>
      </c>
      <c r="K18" s="110">
        <f>SUM('[1]6. sz. melléklet'!N173)</f>
        <v>3949512885</v>
      </c>
      <c r="L18" s="110">
        <f>SUM('[1]6. sz. melléklet'!O173)</f>
        <v>1794603577</v>
      </c>
      <c r="M18" s="110">
        <f>SUM('[1]6. sz. melléklet'!P173)</f>
        <v>2162935545</v>
      </c>
      <c r="N18" s="110">
        <f>SUM('[1]6. sz. melléklet'!Q173)</f>
        <v>1082174584</v>
      </c>
      <c r="O18" s="110">
        <f>SUM('[1]6. sz. melléklet'!R173)</f>
        <v>1784916675</v>
      </c>
      <c r="P18" s="110">
        <f>SUM('[1]6. sz. melléklet'!S173)</f>
        <v>0</v>
      </c>
      <c r="Q18" s="110">
        <f>SUM('[1]6. sz. melléklet'!T173)</f>
        <v>234849789</v>
      </c>
      <c r="R18" s="110">
        <f>SUM('[1]6. sz. melléklet'!B168+'[1]6. sz. melléklet'!B171)</f>
        <v>281405843</v>
      </c>
      <c r="S18" s="110">
        <f>SUM('[1]6. sz. melléklet'!B168:B171)</f>
        <v>2611975843</v>
      </c>
      <c r="T18" s="110">
        <f>SUM(B18+D18+F18+H18+J18)</f>
        <v>4407690690</v>
      </c>
      <c r="U18" s="110">
        <f>SUM(C18+E18+G18+I18+K18)</f>
        <v>4890758713</v>
      </c>
      <c r="V18" s="110">
        <f>SUM(L18+N18+P18)</f>
        <v>2876778161</v>
      </c>
      <c r="W18" s="110">
        <f>SUM(M18+O18+Q18)</f>
        <v>4182702009</v>
      </c>
      <c r="X18" s="110">
        <f>SUM(R18)</f>
        <v>281405843</v>
      </c>
      <c r="Y18" s="110">
        <f>SUM(S18)</f>
        <v>2611975843</v>
      </c>
      <c r="Z18" s="110">
        <f>SUM(T18+V18+X18)</f>
        <v>7565874694</v>
      </c>
      <c r="AA18" s="110">
        <f>SUM(U18+W18+Y18)</f>
        <v>11685436565</v>
      </c>
      <c r="AB18" s="258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</row>
    <row r="19" spans="1:68" s="173" customFormat="1" ht="39.950000000000003" customHeight="1" thickTop="1" thickBot="1" x14ac:dyDescent="0.3">
      <c r="A19" s="259" t="s">
        <v>194</v>
      </c>
      <c r="B19" s="260">
        <f>SUM(B16+B18)</f>
        <v>1209237883</v>
      </c>
      <c r="C19" s="260">
        <f>SUM(C16+C18)</f>
        <v>1277494594</v>
      </c>
      <c r="D19" s="260">
        <f t="shared" ref="D19:U19" si="0">SUM(D16+D18)</f>
        <v>179478789</v>
      </c>
      <c r="E19" s="260">
        <f t="shared" si="0"/>
        <v>191624163</v>
      </c>
      <c r="F19" s="260">
        <f t="shared" si="0"/>
        <v>1014730095</v>
      </c>
      <c r="G19" s="260">
        <f t="shared" si="0"/>
        <v>1406046969</v>
      </c>
      <c r="H19" s="260">
        <f t="shared" si="0"/>
        <v>59500000</v>
      </c>
      <c r="I19" s="260">
        <f t="shared" si="0"/>
        <v>60955000</v>
      </c>
      <c r="J19" s="260">
        <f t="shared" si="0"/>
        <v>3836974435</v>
      </c>
      <c r="K19" s="260">
        <f t="shared" si="0"/>
        <v>3959256598</v>
      </c>
      <c r="L19" s="260">
        <f>SUM(L16+L18)</f>
        <v>1797627977</v>
      </c>
      <c r="M19" s="260">
        <f>SUM(M16+M18)</f>
        <v>2193102088</v>
      </c>
      <c r="N19" s="260">
        <f t="shared" si="0"/>
        <v>1090974584</v>
      </c>
      <c r="O19" s="260">
        <f t="shared" si="0"/>
        <v>1803742287</v>
      </c>
      <c r="P19" s="260">
        <f t="shared" si="0"/>
        <v>0</v>
      </c>
      <c r="Q19" s="260">
        <f t="shared" si="0"/>
        <v>234849789</v>
      </c>
      <c r="R19" s="260">
        <f t="shared" si="0"/>
        <v>281405843</v>
      </c>
      <c r="S19" s="260">
        <f t="shared" si="0"/>
        <v>2611975843</v>
      </c>
      <c r="T19" s="260">
        <f>SUM(T16+T18)</f>
        <v>6299921202</v>
      </c>
      <c r="U19" s="260">
        <f t="shared" si="0"/>
        <v>6895377324</v>
      </c>
      <c r="V19" s="260">
        <f>SUM(V16+V18)</f>
        <v>2888602561</v>
      </c>
      <c r="W19" s="260">
        <f t="shared" ref="W19:Y19" si="1">SUM(W16+W18)</f>
        <v>4231694164</v>
      </c>
      <c r="X19" s="260">
        <f t="shared" si="1"/>
        <v>281405843</v>
      </c>
      <c r="Y19" s="260">
        <f t="shared" si="1"/>
        <v>2611975843</v>
      </c>
      <c r="Z19" s="260">
        <f>SUM(Z16+Z18)</f>
        <v>9469929606</v>
      </c>
      <c r="AA19" s="260">
        <f>SUM(AA16+AA18)</f>
        <v>13739047331</v>
      </c>
      <c r="AB19" s="258"/>
      <c r="AC19" s="258"/>
      <c r="AD19" s="254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</row>
    <row r="20" spans="1:68" ht="71.25" customHeight="1" thickTop="1" x14ac:dyDescent="0.25">
      <c r="Z20" s="163"/>
      <c r="AA20" s="163"/>
      <c r="AC20" s="163"/>
    </row>
    <row r="21" spans="1:68" ht="39.75" customHeight="1" x14ac:dyDescent="0.25">
      <c r="Z21" s="163"/>
      <c r="AA21" s="163"/>
      <c r="AB21" s="163"/>
    </row>
    <row r="22" spans="1:68" x14ac:dyDescent="0.25">
      <c r="AA22" s="163"/>
    </row>
    <row r="23" spans="1:68" x14ac:dyDescent="0.25">
      <c r="AA23" s="163"/>
      <c r="AB23" s="163"/>
    </row>
  </sheetData>
  <sheetProtection formatCells="0" formatColumns="0" formatRows="0" insertColumns="0" insertRows="0" insertHyperlinks="0" deleteColumns="0" deleteRows="0" sort="0" autoFilter="0" pivotTables="0"/>
  <mergeCells count="19">
    <mergeCell ref="B12:C13"/>
    <mergeCell ref="D12:E13"/>
    <mergeCell ref="F12:G13"/>
    <mergeCell ref="H12:I13"/>
    <mergeCell ref="J12:K13"/>
    <mergeCell ref="L12:M13"/>
    <mergeCell ref="A5:AA5"/>
    <mergeCell ref="AC8:AJ8"/>
    <mergeCell ref="V10:Z10"/>
    <mergeCell ref="T11:AA11"/>
    <mergeCell ref="T12:AA12"/>
    <mergeCell ref="N12:O13"/>
    <mergeCell ref="P12:Q13"/>
    <mergeCell ref="R12:S13"/>
    <mergeCell ref="T13:U13"/>
    <mergeCell ref="V13:W13"/>
    <mergeCell ref="X13:Y13"/>
    <mergeCell ref="Z13:AA13"/>
    <mergeCell ref="A11:A14"/>
  </mergeCells>
  <pageMargins left="0.70866141732283472" right="0.70866141732283472" top="0.74803149606299213" bottom="0.74803149606299213" header="0.31496062992125984" footer="0.31496062992125984"/>
  <pageSetup paperSize="9" scale="3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879"/>
  <sheetViews>
    <sheetView view="pageBreakPreview" topLeftCell="S158" zoomScale="70" zoomScaleSheetLayoutView="70" workbookViewId="0">
      <selection activeCell="A171" sqref="A171"/>
    </sheetView>
  </sheetViews>
  <sheetFormatPr defaultRowHeight="15.75" thickBottom="1" x14ac:dyDescent="0.3"/>
  <cols>
    <col min="1" max="1" width="100" style="91" customWidth="1"/>
    <col min="2" max="2" width="27.85546875" style="91" customWidth="1"/>
    <col min="3" max="4" width="27.42578125" style="92" customWidth="1"/>
    <col min="5" max="20" width="22.85546875" style="84" customWidth="1"/>
    <col min="21" max="25" width="22.85546875" style="84" hidden="1" customWidth="1"/>
    <col min="26" max="32" width="22.85546875" style="350" customWidth="1"/>
    <col min="33" max="33" width="23.28515625" style="89" customWidth="1"/>
    <col min="34" max="35" width="22.7109375" style="84" customWidth="1"/>
    <col min="36" max="36" width="15.7109375" style="84" bestFit="1" customWidth="1"/>
    <col min="37" max="77" width="9.140625" style="84"/>
    <col min="78" max="16384" width="9.140625" style="90"/>
  </cols>
  <sheetData>
    <row r="1" spans="1:77" s="82" customFormat="1" ht="28.5" customHeight="1" x14ac:dyDescent="0.3">
      <c r="A1" s="353" t="s">
        <v>509</v>
      </c>
      <c r="B1" s="6"/>
      <c r="C1" s="6"/>
      <c r="D1" s="6"/>
      <c r="Z1" s="81"/>
      <c r="AA1" s="81"/>
      <c r="AB1" s="81"/>
      <c r="AC1" s="81"/>
      <c r="AD1" s="81"/>
      <c r="AE1" s="81"/>
      <c r="AF1" s="81"/>
      <c r="AG1" s="590"/>
    </row>
    <row r="2" spans="1:77" s="84" customFormat="1" ht="15" customHeight="1" x14ac:dyDescent="0.25">
      <c r="A2" s="83"/>
      <c r="B2" s="80"/>
      <c r="C2" s="78"/>
      <c r="D2" s="78"/>
      <c r="Z2" s="350"/>
      <c r="AA2" s="350"/>
      <c r="AB2" s="350"/>
      <c r="AC2" s="350"/>
      <c r="AD2" s="350"/>
      <c r="AE2" s="350"/>
      <c r="AF2" s="350"/>
      <c r="AG2" s="89"/>
    </row>
    <row r="3" spans="1:77" s="86" customFormat="1" ht="42" customHeight="1" x14ac:dyDescent="0.25">
      <c r="A3" s="783" t="s">
        <v>403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783"/>
      <c r="AB3" s="783"/>
      <c r="AC3" s="783"/>
      <c r="AD3" s="783"/>
      <c r="AE3" s="783"/>
      <c r="AF3" s="783"/>
      <c r="AG3" s="88"/>
    </row>
    <row r="4" spans="1:77" s="84" customFormat="1" ht="15" customHeight="1" x14ac:dyDescent="0.25">
      <c r="C4" s="78"/>
      <c r="D4" s="78"/>
      <c r="Z4" s="350"/>
      <c r="AA4" s="350"/>
      <c r="AB4" s="350"/>
      <c r="AC4" s="350"/>
      <c r="AD4" s="350"/>
      <c r="AE4" s="350"/>
      <c r="AF4" s="350"/>
      <c r="AG4" s="89"/>
    </row>
    <row r="5" spans="1:77" s="85" customFormat="1" ht="15.75" customHeight="1" thickBot="1" x14ac:dyDescent="0.3">
      <c r="D5" s="160" t="s">
        <v>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350"/>
      <c r="AA5" s="350"/>
      <c r="AB5" s="350"/>
      <c r="AC5" s="350"/>
      <c r="AD5" s="350"/>
      <c r="AE5" s="350"/>
      <c r="AF5" s="160"/>
      <c r="AG5" s="591" t="s">
        <v>0</v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</row>
    <row r="6" spans="1:77" s="49" customFormat="1" ht="43.5" customHeight="1" thickBot="1" x14ac:dyDescent="0.35">
      <c r="A6" s="784" t="s">
        <v>78</v>
      </c>
      <c r="B6" s="785"/>
      <c r="C6" s="758" t="s">
        <v>79</v>
      </c>
      <c r="D6" s="758" t="s">
        <v>195</v>
      </c>
      <c r="E6" s="778" t="s">
        <v>148</v>
      </c>
      <c r="F6" s="778"/>
      <c r="G6" s="778" t="s">
        <v>149</v>
      </c>
      <c r="H6" s="778"/>
      <c r="I6" s="778" t="s">
        <v>150</v>
      </c>
      <c r="J6" s="778"/>
      <c r="K6" s="778" t="s">
        <v>151</v>
      </c>
      <c r="L6" s="778"/>
      <c r="M6" s="778" t="s">
        <v>152</v>
      </c>
      <c r="N6" s="778"/>
      <c r="O6" s="778" t="s">
        <v>153</v>
      </c>
      <c r="P6" s="778"/>
      <c r="Q6" s="778" t="s">
        <v>154</v>
      </c>
      <c r="R6" s="778"/>
      <c r="S6" s="778" t="s">
        <v>155</v>
      </c>
      <c r="T6" s="778"/>
      <c r="U6" s="629"/>
      <c r="V6" s="629"/>
      <c r="W6" s="629"/>
      <c r="X6" s="629"/>
      <c r="Y6" s="629"/>
      <c r="Z6" s="778" t="s">
        <v>156</v>
      </c>
      <c r="AA6" s="778"/>
      <c r="AB6" s="778"/>
      <c r="AC6" s="778"/>
      <c r="AD6" s="778" t="s">
        <v>232</v>
      </c>
      <c r="AE6" s="778"/>
      <c r="AF6" s="778" t="s">
        <v>239</v>
      </c>
      <c r="AG6" s="77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</row>
    <row r="7" spans="1:77" s="49" customFormat="1" ht="30" customHeight="1" thickBot="1" x14ac:dyDescent="0.35">
      <c r="A7" s="786"/>
      <c r="B7" s="787"/>
      <c r="C7" s="759"/>
      <c r="D7" s="759"/>
      <c r="E7" s="782" t="s">
        <v>141</v>
      </c>
      <c r="F7" s="782"/>
      <c r="G7" s="758" t="s">
        <v>157</v>
      </c>
      <c r="H7" s="758"/>
      <c r="I7" s="758" t="s">
        <v>142</v>
      </c>
      <c r="J7" s="758"/>
      <c r="K7" s="758" t="s">
        <v>143</v>
      </c>
      <c r="L7" s="758"/>
      <c r="M7" s="758" t="s">
        <v>144</v>
      </c>
      <c r="N7" s="758"/>
      <c r="O7" s="758" t="s">
        <v>146</v>
      </c>
      <c r="P7" s="758"/>
      <c r="Q7" s="758" t="s">
        <v>147</v>
      </c>
      <c r="R7" s="758"/>
      <c r="S7" s="758" t="s">
        <v>158</v>
      </c>
      <c r="T7" s="758"/>
      <c r="U7" s="631"/>
      <c r="V7" s="631"/>
      <c r="W7" s="631"/>
      <c r="X7" s="631"/>
      <c r="Y7" s="631"/>
      <c r="Z7" s="758" t="s">
        <v>159</v>
      </c>
      <c r="AA7" s="758"/>
      <c r="AB7" s="758"/>
      <c r="AC7" s="758"/>
      <c r="AD7" s="758"/>
      <c r="AE7" s="758"/>
      <c r="AF7" s="758"/>
      <c r="AG7" s="75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</row>
    <row r="8" spans="1:77" s="49" customFormat="1" ht="26.25" customHeight="1" thickBot="1" x14ac:dyDescent="0.35">
      <c r="A8" s="786"/>
      <c r="B8" s="787"/>
      <c r="C8" s="759"/>
      <c r="D8" s="759"/>
      <c r="E8" s="782"/>
      <c r="F8" s="782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632"/>
      <c r="V8" s="632"/>
      <c r="W8" s="632"/>
      <c r="X8" s="632"/>
      <c r="Y8" s="632"/>
      <c r="Z8" s="759"/>
      <c r="AA8" s="759"/>
      <c r="AB8" s="759"/>
      <c r="AC8" s="759"/>
      <c r="AD8" s="759"/>
      <c r="AE8" s="759"/>
      <c r="AF8" s="759"/>
      <c r="AG8" s="759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</row>
    <row r="9" spans="1:77" s="49" customFormat="1" ht="55.5" customHeight="1" thickBot="1" x14ac:dyDescent="0.35">
      <c r="A9" s="786"/>
      <c r="B9" s="787"/>
      <c r="C9" s="759"/>
      <c r="D9" s="759"/>
      <c r="E9" s="758"/>
      <c r="F9" s="758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632"/>
      <c r="V9" s="632"/>
      <c r="W9" s="632"/>
      <c r="X9" s="632"/>
      <c r="Y9" s="632"/>
      <c r="Z9" s="779" t="s">
        <v>125</v>
      </c>
      <c r="AA9" s="779"/>
      <c r="AB9" s="779" t="s">
        <v>126</v>
      </c>
      <c r="AC9" s="779"/>
      <c r="AD9" s="779" t="s">
        <v>350</v>
      </c>
      <c r="AE9" s="779"/>
      <c r="AF9" s="779" t="s">
        <v>159</v>
      </c>
      <c r="AG9" s="780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</row>
    <row r="10" spans="1:77" s="49" customFormat="1" ht="66.75" customHeight="1" thickBot="1" x14ac:dyDescent="0.35">
      <c r="A10" s="786"/>
      <c r="B10" s="787"/>
      <c r="C10" s="759"/>
      <c r="D10" s="760"/>
      <c r="E10" s="630" t="s">
        <v>79</v>
      </c>
      <c r="F10" s="630" t="s">
        <v>195</v>
      </c>
      <c r="G10" s="630" t="s">
        <v>79</v>
      </c>
      <c r="H10" s="630" t="s">
        <v>195</v>
      </c>
      <c r="I10" s="630" t="s">
        <v>79</v>
      </c>
      <c r="J10" s="630" t="s">
        <v>195</v>
      </c>
      <c r="K10" s="630" t="s">
        <v>79</v>
      </c>
      <c r="L10" s="630" t="s">
        <v>195</v>
      </c>
      <c r="M10" s="630" t="s">
        <v>79</v>
      </c>
      <c r="N10" s="630" t="s">
        <v>195</v>
      </c>
      <c r="O10" s="630" t="s">
        <v>79</v>
      </c>
      <c r="P10" s="630" t="s">
        <v>195</v>
      </c>
      <c r="Q10" s="630" t="s">
        <v>79</v>
      </c>
      <c r="R10" s="630" t="s">
        <v>195</v>
      </c>
      <c r="S10" s="630" t="s">
        <v>79</v>
      </c>
      <c r="T10" s="630" t="s">
        <v>195</v>
      </c>
      <c r="U10" s="634"/>
      <c r="V10" s="634"/>
      <c r="W10" s="634"/>
      <c r="X10" s="634"/>
      <c r="Y10" s="634"/>
      <c r="Z10" s="630" t="s">
        <v>79</v>
      </c>
      <c r="AA10" s="630" t="s">
        <v>195</v>
      </c>
      <c r="AB10" s="630" t="s">
        <v>79</v>
      </c>
      <c r="AC10" s="630" t="s">
        <v>195</v>
      </c>
      <c r="AD10" s="630" t="s">
        <v>79</v>
      </c>
      <c r="AE10" s="630" t="s">
        <v>195</v>
      </c>
      <c r="AF10" s="630" t="s">
        <v>79</v>
      </c>
      <c r="AG10" s="630" t="s">
        <v>195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</row>
    <row r="11" spans="1:77" s="49" customFormat="1" ht="66.75" hidden="1" customHeight="1" thickBot="1" x14ac:dyDescent="0.35">
      <c r="A11" s="786"/>
      <c r="B11" s="787"/>
      <c r="C11" s="759"/>
      <c r="D11" s="631"/>
      <c r="E11" s="393" t="s">
        <v>79</v>
      </c>
      <c r="F11" s="393" t="s">
        <v>195</v>
      </c>
      <c r="G11" s="393" t="s">
        <v>79</v>
      </c>
      <c r="H11" s="393" t="s">
        <v>195</v>
      </c>
      <c r="I11" s="393" t="s">
        <v>79</v>
      </c>
      <c r="J11" s="393" t="s">
        <v>195</v>
      </c>
      <c r="K11" s="393" t="s">
        <v>79</v>
      </c>
      <c r="L11" s="393" t="s">
        <v>195</v>
      </c>
      <c r="M11" s="393" t="s">
        <v>79</v>
      </c>
      <c r="N11" s="393" t="s">
        <v>195</v>
      </c>
      <c r="O11" s="393" t="s">
        <v>79</v>
      </c>
      <c r="P11" s="393" t="s">
        <v>195</v>
      </c>
      <c r="Q11" s="393" t="s">
        <v>79</v>
      </c>
      <c r="R11" s="393" t="s">
        <v>195</v>
      </c>
      <c r="S11" s="393" t="s">
        <v>79</v>
      </c>
      <c r="T11" s="393" t="s">
        <v>195</v>
      </c>
      <c r="U11" s="393"/>
      <c r="V11" s="393"/>
      <c r="W11" s="393"/>
      <c r="X11" s="393"/>
      <c r="Y11" s="393"/>
      <c r="Z11" s="393" t="s">
        <v>79</v>
      </c>
      <c r="AA11" s="393" t="s">
        <v>195</v>
      </c>
      <c r="AB11" s="393" t="s">
        <v>79</v>
      </c>
      <c r="AC11" s="393" t="s">
        <v>195</v>
      </c>
      <c r="AD11" s="393"/>
      <c r="AE11" s="393"/>
      <c r="AF11" s="393" t="s">
        <v>79</v>
      </c>
      <c r="AG11" s="394" t="s">
        <v>195</v>
      </c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</row>
    <row r="12" spans="1:77" s="375" customFormat="1" ht="42" customHeight="1" thickBot="1" x14ac:dyDescent="0.3">
      <c r="A12" s="788" t="s">
        <v>453</v>
      </c>
      <c r="B12" s="789"/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  <c r="AA12" s="789"/>
      <c r="AB12" s="789"/>
      <c r="AC12" s="789"/>
      <c r="AD12" s="789"/>
      <c r="AE12" s="789"/>
      <c r="AF12" s="789"/>
      <c r="AG12" s="592"/>
      <c r="AH12" s="70"/>
      <c r="AI12" s="70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</row>
    <row r="13" spans="1:77" s="375" customFormat="1" ht="42" customHeight="1" thickBot="1" x14ac:dyDescent="0.3">
      <c r="A13" s="770" t="s">
        <v>454</v>
      </c>
      <c r="B13" s="771"/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2"/>
      <c r="AH13" s="70"/>
      <c r="AI13" s="70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1:77" s="375" customFormat="1" ht="29.25" customHeight="1" thickBot="1" x14ac:dyDescent="0.3">
      <c r="A14" s="625" t="s">
        <v>73</v>
      </c>
      <c r="B14" s="395"/>
      <c r="C14" s="459">
        <v>145740906</v>
      </c>
      <c r="D14" s="459">
        <f>SUM(B15:B24)</f>
        <v>176530686</v>
      </c>
      <c r="E14" s="460"/>
      <c r="F14" s="460"/>
      <c r="G14" s="460"/>
      <c r="H14" s="460"/>
      <c r="I14" s="460">
        <f>4000000+4489000+5000000+752000+24837000+11880000+19050000</f>
        <v>70008000</v>
      </c>
      <c r="J14" s="460">
        <f>SUM(I14)+23860000-4200000+732777</f>
        <v>90400777</v>
      </c>
      <c r="K14" s="460"/>
      <c r="L14" s="460"/>
      <c r="M14" s="460"/>
      <c r="N14" s="460"/>
      <c r="O14" s="460">
        <f>25243956+7488950+24000000</f>
        <v>56732906</v>
      </c>
      <c r="P14" s="460">
        <f>SUM(O14)+998631+3040380-3040380+26261639+1128329-24000000</f>
        <v>61121505</v>
      </c>
      <c r="Q14" s="460">
        <v>19000000</v>
      </c>
      <c r="R14" s="460">
        <f>SUM(Q14)+506764</f>
        <v>19506764</v>
      </c>
      <c r="S14" s="460"/>
      <c r="T14" s="460">
        <f>3040380+2461260</f>
        <v>5501640</v>
      </c>
      <c r="U14" s="460"/>
      <c r="V14" s="460"/>
      <c r="W14" s="460"/>
      <c r="X14" s="460"/>
      <c r="Y14" s="460"/>
      <c r="Z14" s="461">
        <f>SUM(E14+G14+I14+K14+M14)</f>
        <v>70008000</v>
      </c>
      <c r="AA14" s="461">
        <f>SUM(F14+H14+J14+L14+N14)</f>
        <v>90400777</v>
      </c>
      <c r="AB14" s="461">
        <f>SUM(O14+Q14+S14)</f>
        <v>75732906</v>
      </c>
      <c r="AC14" s="461">
        <f>SUM(P14+R14+T14)</f>
        <v>86129909</v>
      </c>
      <c r="AD14" s="461">
        <v>0</v>
      </c>
      <c r="AE14" s="461">
        <v>0</v>
      </c>
      <c r="AF14" s="461">
        <f>SUM(Z14+AB14+AD14)</f>
        <v>145740906</v>
      </c>
      <c r="AG14" s="461">
        <f>SUM(AA14+AC14+AE14)</f>
        <v>176530686</v>
      </c>
      <c r="AH14" s="70"/>
      <c r="AI14" s="70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</row>
    <row r="15" spans="1:77" s="375" customFormat="1" ht="39.75" customHeight="1" thickBot="1" x14ac:dyDescent="0.3">
      <c r="A15" s="627" t="s">
        <v>183</v>
      </c>
      <c r="B15" s="428">
        <f>4000000-2564907</f>
        <v>1435093</v>
      </c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1"/>
      <c r="AA15" s="461"/>
      <c r="AB15" s="461"/>
      <c r="AC15" s="461"/>
      <c r="AD15" s="461"/>
      <c r="AE15" s="461"/>
      <c r="AF15" s="461"/>
      <c r="AG15" s="461">
        <f t="shared" ref="AF15:AG63" si="0">SUM(AA15+AC15+AE15)</f>
        <v>0</v>
      </c>
      <c r="AH15" s="70"/>
      <c r="AI15" s="70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</row>
    <row r="16" spans="1:77" s="375" customFormat="1" ht="27.75" customHeight="1" thickBot="1" x14ac:dyDescent="0.3">
      <c r="A16" s="627" t="s">
        <v>401</v>
      </c>
      <c r="B16" s="428">
        <f>3556000+425000+508000+5000000</f>
        <v>9489000</v>
      </c>
      <c r="C16" s="459"/>
      <c r="D16" s="459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1"/>
      <c r="AA16" s="461"/>
      <c r="AB16" s="461"/>
      <c r="AC16" s="461"/>
      <c r="AD16" s="461"/>
      <c r="AE16" s="461"/>
      <c r="AF16" s="461"/>
      <c r="AG16" s="461">
        <f t="shared" si="0"/>
        <v>0</v>
      </c>
      <c r="AH16" s="70"/>
      <c r="AI16" s="70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</row>
    <row r="17" spans="1:129" s="60" customFormat="1" ht="27.75" customHeight="1" thickBot="1" x14ac:dyDescent="0.35">
      <c r="A17" s="627" t="s">
        <v>402</v>
      </c>
      <c r="B17" s="428">
        <f>500000+252000</f>
        <v>752000</v>
      </c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1"/>
      <c r="AA17" s="461"/>
      <c r="AB17" s="461"/>
      <c r="AC17" s="461"/>
      <c r="AD17" s="461"/>
      <c r="AE17" s="461"/>
      <c r="AF17" s="461"/>
      <c r="AG17" s="461">
        <f>SUM(AA17+AC17+AE17)</f>
        <v>0</v>
      </c>
      <c r="AH17" s="70"/>
      <c r="AI17" s="70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</row>
    <row r="18" spans="1:129" s="60" customFormat="1" ht="31.5" customHeight="1" thickBot="1" x14ac:dyDescent="0.35">
      <c r="A18" s="627" t="s">
        <v>332</v>
      </c>
      <c r="B18" s="428">
        <f>25243956+998631</f>
        <v>26242587</v>
      </c>
      <c r="C18" s="459"/>
      <c r="D18" s="459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1"/>
      <c r="AA18" s="461"/>
      <c r="AB18" s="461"/>
      <c r="AC18" s="461"/>
      <c r="AD18" s="461"/>
      <c r="AE18" s="461"/>
      <c r="AF18" s="461"/>
      <c r="AG18" s="461">
        <f t="shared" ref="AG18:AG24" si="1">SUM(AA18+AC18+AE18)</f>
        <v>0</v>
      </c>
      <c r="AH18" s="70"/>
      <c r="AI18" s="70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</row>
    <row r="19" spans="1:129" s="60" customFormat="1" ht="31.5" customHeight="1" thickBot="1" x14ac:dyDescent="0.35">
      <c r="A19" s="627" t="s">
        <v>432</v>
      </c>
      <c r="B19" s="428">
        <f>7000000+488950</f>
        <v>7488950</v>
      </c>
      <c r="C19" s="459"/>
      <c r="D19" s="459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1"/>
      <c r="AA19" s="461"/>
      <c r="AB19" s="461"/>
      <c r="AC19" s="461"/>
      <c r="AD19" s="461"/>
      <c r="AE19" s="461"/>
      <c r="AF19" s="461"/>
      <c r="AG19" s="461">
        <f t="shared" si="1"/>
        <v>0</v>
      </c>
      <c r="AH19" s="70"/>
      <c r="AI19" s="70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</row>
    <row r="20" spans="1:129" s="60" customFormat="1" ht="30.75" customHeight="1" thickBot="1" x14ac:dyDescent="0.35">
      <c r="A20" s="627" t="s">
        <v>412</v>
      </c>
      <c r="B20" s="428">
        <f>24837000+11880000</f>
        <v>36717000</v>
      </c>
      <c r="C20" s="459"/>
      <c r="D20" s="459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1"/>
      <c r="AA20" s="461"/>
      <c r="AB20" s="461"/>
      <c r="AC20" s="461"/>
      <c r="AD20" s="461"/>
      <c r="AE20" s="461"/>
      <c r="AF20" s="461"/>
      <c r="AG20" s="461">
        <f t="shared" si="1"/>
        <v>0</v>
      </c>
      <c r="AH20" s="70"/>
      <c r="AI20" s="70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</row>
    <row r="21" spans="1:129" s="375" customFormat="1" ht="33.75" customHeight="1" thickBot="1" x14ac:dyDescent="0.3">
      <c r="A21" s="329" t="s">
        <v>473</v>
      </c>
      <c r="B21" s="395">
        <f>24000000-23267223</f>
        <v>732777</v>
      </c>
      <c r="C21" s="462"/>
      <c r="D21" s="462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1"/>
      <c r="AA21" s="461"/>
      <c r="AB21" s="461"/>
      <c r="AC21" s="461"/>
      <c r="AD21" s="461"/>
      <c r="AE21" s="461"/>
      <c r="AF21" s="461"/>
      <c r="AG21" s="461">
        <f t="shared" si="1"/>
        <v>0</v>
      </c>
      <c r="AH21" s="70"/>
      <c r="AI21" s="70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</row>
    <row r="22" spans="1:129" s="375" customFormat="1" ht="33.75" customHeight="1" thickBot="1" x14ac:dyDescent="0.3">
      <c r="A22" s="329" t="s">
        <v>524</v>
      </c>
      <c r="B22" s="395">
        <f>3040380+2461260</f>
        <v>5501640</v>
      </c>
      <c r="C22" s="462"/>
      <c r="D22" s="462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1"/>
      <c r="AA22" s="461"/>
      <c r="AB22" s="461"/>
      <c r="AC22" s="461"/>
      <c r="AD22" s="461"/>
      <c r="AE22" s="461"/>
      <c r="AF22" s="461"/>
      <c r="AG22" s="461">
        <f t="shared" si="1"/>
        <v>0</v>
      </c>
      <c r="AH22" s="70"/>
      <c r="AI22" s="70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129" s="375" customFormat="1" ht="35.25" customHeight="1" thickBot="1" x14ac:dyDescent="0.3">
      <c r="A23" s="627" t="s">
        <v>431</v>
      </c>
      <c r="B23" s="395">
        <f>19050000+19000000+23860000</f>
        <v>61910000</v>
      </c>
      <c r="C23" s="462"/>
      <c r="D23" s="462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1">
        <f t="shared" si="1"/>
        <v>0</v>
      </c>
      <c r="AH23" s="420"/>
      <c r="AI23" s="420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</row>
    <row r="24" spans="1:129" s="375" customFormat="1" ht="35.25" customHeight="1" thickBot="1" x14ac:dyDescent="0.3">
      <c r="A24" s="627" t="s">
        <v>570</v>
      </c>
      <c r="B24" s="395">
        <v>26261639</v>
      </c>
      <c r="C24" s="462"/>
      <c r="D24" s="462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1">
        <f t="shared" si="1"/>
        <v>0</v>
      </c>
      <c r="AH24" s="420"/>
      <c r="AI24" s="420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</row>
    <row r="25" spans="1:129" s="375" customFormat="1" ht="35.25" customHeight="1" thickBot="1" x14ac:dyDescent="0.3">
      <c r="A25" s="625" t="s">
        <v>542</v>
      </c>
      <c r="B25" s="395"/>
      <c r="C25" s="462"/>
      <c r="D25" s="459">
        <f>SUM(B26:B27)</f>
        <v>36331825</v>
      </c>
      <c r="E25" s="460"/>
      <c r="F25" s="460"/>
      <c r="G25" s="460"/>
      <c r="H25" s="460"/>
      <c r="I25" s="460"/>
      <c r="J25" s="460">
        <v>681660</v>
      </c>
      <c r="K25" s="460"/>
      <c r="L25" s="460"/>
      <c r="M25" s="460"/>
      <c r="N25" s="460"/>
      <c r="O25" s="460"/>
      <c r="P25" s="460"/>
      <c r="Q25" s="460"/>
      <c r="R25" s="460">
        <f>36331825+19563292-19563292-681660</f>
        <v>35650165</v>
      </c>
      <c r="S25" s="460"/>
      <c r="T25" s="460"/>
      <c r="U25" s="460"/>
      <c r="V25" s="460"/>
      <c r="W25" s="460"/>
      <c r="X25" s="460"/>
      <c r="Y25" s="460"/>
      <c r="Z25" s="461">
        <f t="shared" ref="Z25:AA25" si="2">SUM(E25+G25+I25+K25+M25)</f>
        <v>0</v>
      </c>
      <c r="AA25" s="461">
        <f t="shared" si="2"/>
        <v>681660</v>
      </c>
      <c r="AB25" s="461">
        <f t="shared" ref="AB25:AC25" si="3">SUM(O25+Q25+S25)</f>
        <v>0</v>
      </c>
      <c r="AC25" s="461">
        <f t="shared" si="3"/>
        <v>35650165</v>
      </c>
      <c r="AD25" s="461">
        <v>0</v>
      </c>
      <c r="AE25" s="461">
        <v>0</v>
      </c>
      <c r="AF25" s="461">
        <f t="shared" ref="AF25:AG25" si="4">SUM(Z25+AB25+AD25)</f>
        <v>0</v>
      </c>
      <c r="AG25" s="461">
        <f t="shared" si="4"/>
        <v>36331825</v>
      </c>
      <c r="AH25" s="70"/>
      <c r="AI25" s="70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</row>
    <row r="26" spans="1:129" s="375" customFormat="1" ht="26.25" customHeight="1" thickBot="1" x14ac:dyDescent="0.3">
      <c r="A26" s="627" t="s">
        <v>102</v>
      </c>
      <c r="B26" s="395">
        <v>36331825</v>
      </c>
      <c r="C26" s="462"/>
      <c r="D26" s="462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20"/>
      <c r="AI26" s="420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</row>
    <row r="27" spans="1:129" s="375" customFormat="1" ht="26.25" customHeight="1" thickBot="1" x14ac:dyDescent="0.3">
      <c r="A27" s="627" t="s">
        <v>530</v>
      </c>
      <c r="B27" s="395">
        <f>19563292-19563292</f>
        <v>0</v>
      </c>
      <c r="C27" s="462"/>
      <c r="D27" s="462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20"/>
      <c r="AI27" s="420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</row>
    <row r="28" spans="1:129" s="375" customFormat="1" ht="35.25" customHeight="1" thickBot="1" x14ac:dyDescent="0.3">
      <c r="A28" s="625" t="s">
        <v>525</v>
      </c>
      <c r="B28" s="396"/>
      <c r="C28" s="459"/>
      <c r="D28" s="459">
        <v>3365500</v>
      </c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>
        <v>3365500</v>
      </c>
      <c r="Q28" s="460"/>
      <c r="R28" s="460"/>
      <c r="S28" s="460"/>
      <c r="T28" s="460"/>
      <c r="U28" s="460"/>
      <c r="V28" s="460"/>
      <c r="W28" s="460"/>
      <c r="X28" s="460"/>
      <c r="Y28" s="460"/>
      <c r="Z28" s="461">
        <f t="shared" ref="Z28:AA28" si="5">SUM(E28+G28+I28+K28+M28)</f>
        <v>0</v>
      </c>
      <c r="AA28" s="461">
        <f t="shared" si="5"/>
        <v>0</v>
      </c>
      <c r="AB28" s="461">
        <f t="shared" ref="AB28:AC28" si="6">SUM(O28+Q28+S28)</f>
        <v>0</v>
      </c>
      <c r="AC28" s="461">
        <f t="shared" si="6"/>
        <v>3365500</v>
      </c>
      <c r="AD28" s="461">
        <v>0</v>
      </c>
      <c r="AE28" s="461">
        <v>0</v>
      </c>
      <c r="AF28" s="461">
        <f t="shared" ref="AF28:AG37" si="7">SUM(Z28+AB28+AD28)</f>
        <v>0</v>
      </c>
      <c r="AG28" s="461">
        <f t="shared" si="7"/>
        <v>3365500</v>
      </c>
      <c r="AH28" s="70"/>
      <c r="AI28" s="70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</row>
    <row r="29" spans="1:129" s="54" customFormat="1" ht="40.5" customHeight="1" thickBot="1" x14ac:dyDescent="0.3">
      <c r="A29" s="69" t="s">
        <v>587</v>
      </c>
      <c r="B29" s="400"/>
      <c r="C29" s="463"/>
      <c r="D29" s="459">
        <v>12509500</v>
      </c>
      <c r="E29" s="464"/>
      <c r="F29" s="464"/>
      <c r="G29" s="464"/>
      <c r="H29" s="464"/>
      <c r="I29" s="464"/>
      <c r="J29" s="460">
        <v>5080000</v>
      </c>
      <c r="K29" s="465"/>
      <c r="L29" s="465"/>
      <c r="M29" s="465"/>
      <c r="N29" s="465"/>
      <c r="O29" s="464"/>
      <c r="P29" s="460">
        <v>7429500</v>
      </c>
      <c r="Q29" s="464"/>
      <c r="R29" s="464"/>
      <c r="S29" s="465"/>
      <c r="T29" s="465"/>
      <c r="U29" s="465"/>
      <c r="V29" s="465"/>
      <c r="W29" s="465"/>
      <c r="X29" s="465"/>
      <c r="Y29" s="465"/>
      <c r="Z29" s="465">
        <f>SUM(E29+G29+I29+K29+M29)</f>
        <v>0</v>
      </c>
      <c r="AA29" s="465">
        <f>SUM(F29+H29+J29+L29+N29)</f>
        <v>5080000</v>
      </c>
      <c r="AB29" s="465">
        <f>SUM(O29+Q29+S29)</f>
        <v>0</v>
      </c>
      <c r="AC29" s="465">
        <f>SUM(P29+R29+T29)</f>
        <v>7429500</v>
      </c>
      <c r="AD29" s="465">
        <v>0</v>
      </c>
      <c r="AE29" s="465">
        <v>0</v>
      </c>
      <c r="AF29" s="465">
        <f>SUM(Z29+AB29+AD29)</f>
        <v>0</v>
      </c>
      <c r="AG29" s="465">
        <f>SUM(AA29+AC29+AE29)</f>
        <v>12509500</v>
      </c>
      <c r="AH29" s="70"/>
      <c r="AI29" s="70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</row>
    <row r="30" spans="1:129" s="54" customFormat="1" ht="40.5" customHeight="1" thickBot="1" x14ac:dyDescent="0.3">
      <c r="A30" s="625" t="s">
        <v>315</v>
      </c>
      <c r="B30" s="396"/>
      <c r="C30" s="459">
        <v>454490745</v>
      </c>
      <c r="D30" s="459">
        <f>SUM(C30)+30100000+26276021+7397750+31501996</f>
        <v>549766512</v>
      </c>
      <c r="E30" s="461"/>
      <c r="F30" s="461"/>
      <c r="G30" s="461"/>
      <c r="H30" s="461"/>
      <c r="I30" s="460">
        <f>2862580+7356000</f>
        <v>10218580</v>
      </c>
      <c r="J30" s="460">
        <f>SUM(I30)+100000+1473200-7000000</f>
        <v>4791780</v>
      </c>
      <c r="K30" s="460"/>
      <c r="L30" s="460"/>
      <c r="M30" s="460"/>
      <c r="N30" s="460"/>
      <c r="O30" s="460"/>
      <c r="P30" s="460">
        <v>1310412</v>
      </c>
      <c r="Q30" s="460">
        <f>436874415+7397750</f>
        <v>444272165</v>
      </c>
      <c r="R30" s="460">
        <f>SUM(Q30)+30000000+24802821+7397750+37191584</f>
        <v>543664320</v>
      </c>
      <c r="S30" s="460"/>
      <c r="T30" s="460"/>
      <c r="U30" s="460"/>
      <c r="V30" s="460"/>
      <c r="W30" s="460"/>
      <c r="X30" s="460"/>
      <c r="Y30" s="460"/>
      <c r="Z30" s="461">
        <f t="shared" ref="Z30:AA37" si="8">SUM(E30+G30+I30+K30+M30)</f>
        <v>10218580</v>
      </c>
      <c r="AA30" s="461">
        <f t="shared" si="8"/>
        <v>4791780</v>
      </c>
      <c r="AB30" s="461">
        <f t="shared" ref="AB30:AC37" si="9">SUM(O30+Q30+S30)</f>
        <v>444272165</v>
      </c>
      <c r="AC30" s="461">
        <f t="shared" si="9"/>
        <v>544974732</v>
      </c>
      <c r="AD30" s="461">
        <v>0</v>
      </c>
      <c r="AE30" s="461">
        <v>0</v>
      </c>
      <c r="AF30" s="461">
        <f t="shared" si="7"/>
        <v>454490745</v>
      </c>
      <c r="AG30" s="461">
        <f t="shared" si="7"/>
        <v>549766512</v>
      </c>
      <c r="AH30" s="70"/>
      <c r="AI30" s="70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</row>
    <row r="31" spans="1:129" s="54" customFormat="1" ht="40.5" customHeight="1" thickBot="1" x14ac:dyDescent="0.3">
      <c r="A31" s="747" t="s">
        <v>81</v>
      </c>
      <c r="B31" s="748"/>
      <c r="C31" s="459">
        <v>455343572</v>
      </c>
      <c r="D31" s="459">
        <f>SUM(C31)+8435735</f>
        <v>463779307</v>
      </c>
      <c r="E31" s="460"/>
      <c r="F31" s="460"/>
      <c r="G31" s="460"/>
      <c r="H31" s="460"/>
      <c r="I31" s="460">
        <f>2451735+2476500+8976000+297750</f>
        <v>14201985</v>
      </c>
      <c r="J31" s="460">
        <f>SUM(I31)+8435735</f>
        <v>22637720</v>
      </c>
      <c r="K31" s="461"/>
      <c r="L31" s="461"/>
      <c r="M31" s="461"/>
      <c r="N31" s="460">
        <f>51721325</f>
        <v>51721325</v>
      </c>
      <c r="O31" s="460">
        <f>4826000+436315587</f>
        <v>441141587</v>
      </c>
      <c r="P31" s="460">
        <f>SUM(O31)-51721325-30300686</f>
        <v>359119576</v>
      </c>
      <c r="Q31" s="460"/>
      <c r="R31" s="460">
        <v>30300686</v>
      </c>
      <c r="S31" s="461"/>
      <c r="T31" s="461"/>
      <c r="U31" s="461"/>
      <c r="V31" s="461"/>
      <c r="W31" s="461"/>
      <c r="X31" s="461"/>
      <c r="Y31" s="461"/>
      <c r="Z31" s="461">
        <f t="shared" si="8"/>
        <v>14201985</v>
      </c>
      <c r="AA31" s="461">
        <f t="shared" si="8"/>
        <v>74359045</v>
      </c>
      <c r="AB31" s="461">
        <f t="shared" si="9"/>
        <v>441141587</v>
      </c>
      <c r="AC31" s="461">
        <f t="shared" si="9"/>
        <v>389420262</v>
      </c>
      <c r="AD31" s="461">
        <v>0</v>
      </c>
      <c r="AE31" s="461">
        <v>0</v>
      </c>
      <c r="AF31" s="461">
        <f t="shared" si="7"/>
        <v>455343572</v>
      </c>
      <c r="AG31" s="461">
        <f t="shared" si="7"/>
        <v>463779307</v>
      </c>
      <c r="AH31" s="70"/>
      <c r="AI31" s="70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</row>
    <row r="32" spans="1:129" s="54" customFormat="1" ht="40.5" customHeight="1" thickBot="1" x14ac:dyDescent="0.3">
      <c r="A32" s="52" t="s">
        <v>316</v>
      </c>
      <c r="B32" s="399"/>
      <c r="C32" s="459">
        <v>24950920</v>
      </c>
      <c r="D32" s="459">
        <f>SUM(C32)+4672512+4799286+1403714</f>
        <v>35826432</v>
      </c>
      <c r="E32" s="460"/>
      <c r="F32" s="460"/>
      <c r="G32" s="460"/>
      <c r="H32" s="460"/>
      <c r="I32" s="460">
        <f>625000+170000</f>
        <v>795000</v>
      </c>
      <c r="J32" s="460">
        <f>SUM(I32)+4672512+1250000+6159488</f>
        <v>12877000</v>
      </c>
      <c r="K32" s="461"/>
      <c r="L32" s="461"/>
      <c r="M32" s="461"/>
      <c r="N32" s="461"/>
      <c r="O32" s="460">
        <f>18030375+250000+5875545</f>
        <v>24155920</v>
      </c>
      <c r="P32" s="460">
        <f>SUM(O32)+3549286-6159488+1403714</f>
        <v>22949432</v>
      </c>
      <c r="Q32" s="460"/>
      <c r="R32" s="460"/>
      <c r="S32" s="461"/>
      <c r="T32" s="461"/>
      <c r="U32" s="461"/>
      <c r="V32" s="461"/>
      <c r="W32" s="461"/>
      <c r="X32" s="461"/>
      <c r="Y32" s="461"/>
      <c r="Z32" s="461">
        <f t="shared" si="8"/>
        <v>795000</v>
      </c>
      <c r="AA32" s="461">
        <f t="shared" si="8"/>
        <v>12877000</v>
      </c>
      <c r="AB32" s="461">
        <f t="shared" si="9"/>
        <v>24155920</v>
      </c>
      <c r="AC32" s="461">
        <f t="shared" si="9"/>
        <v>22949432</v>
      </c>
      <c r="AD32" s="461">
        <v>0</v>
      </c>
      <c r="AE32" s="461">
        <v>0</v>
      </c>
      <c r="AF32" s="461">
        <f t="shared" si="7"/>
        <v>24950920</v>
      </c>
      <c r="AG32" s="461">
        <f t="shared" si="7"/>
        <v>35826432</v>
      </c>
      <c r="AH32" s="70"/>
      <c r="AI32" s="70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</row>
    <row r="33" spans="1:77" s="54" customFormat="1" ht="40.5" customHeight="1" thickBot="1" x14ac:dyDescent="0.3">
      <c r="A33" s="69" t="s">
        <v>375</v>
      </c>
      <c r="B33" s="400"/>
      <c r="C33" s="463">
        <v>485620001</v>
      </c>
      <c r="D33" s="459">
        <f t="shared" ref="D33" si="10">SUM(C33)</f>
        <v>485620001</v>
      </c>
      <c r="E33" s="464"/>
      <c r="F33" s="464"/>
      <c r="G33" s="464"/>
      <c r="H33" s="464"/>
      <c r="I33" s="464">
        <f>5000000+12840000+365000</f>
        <v>18205000</v>
      </c>
      <c r="J33" s="460">
        <f t="shared" ref="J33" si="11">SUM(I33)</f>
        <v>18205000</v>
      </c>
      <c r="K33" s="465"/>
      <c r="L33" s="465"/>
      <c r="M33" s="465"/>
      <c r="N33" s="465"/>
      <c r="O33" s="464">
        <f>17780000+59984999+384650002+5000000</f>
        <v>467415001</v>
      </c>
      <c r="P33" s="460">
        <f t="shared" ref="P33" si="12">SUM(O33)</f>
        <v>467415001</v>
      </c>
      <c r="Q33" s="464"/>
      <c r="R33" s="464"/>
      <c r="S33" s="465"/>
      <c r="T33" s="465"/>
      <c r="U33" s="465"/>
      <c r="V33" s="465"/>
      <c r="W33" s="465"/>
      <c r="X33" s="465"/>
      <c r="Y33" s="465"/>
      <c r="Z33" s="465">
        <f t="shared" si="8"/>
        <v>18205000</v>
      </c>
      <c r="AA33" s="465">
        <f>SUM(F33+H33+J33+L33+N33)</f>
        <v>18205000</v>
      </c>
      <c r="AB33" s="465">
        <f t="shared" si="9"/>
        <v>467415001</v>
      </c>
      <c r="AC33" s="465">
        <f t="shared" si="9"/>
        <v>467415001</v>
      </c>
      <c r="AD33" s="465">
        <v>0</v>
      </c>
      <c r="AE33" s="465">
        <v>0</v>
      </c>
      <c r="AF33" s="465">
        <f t="shared" si="7"/>
        <v>485620001</v>
      </c>
      <c r="AG33" s="465">
        <f t="shared" si="7"/>
        <v>485620001</v>
      </c>
      <c r="AH33" s="70"/>
      <c r="AI33" s="70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</row>
    <row r="34" spans="1:77" s="54" customFormat="1" ht="43.5" customHeight="1" thickBot="1" x14ac:dyDescent="0.3">
      <c r="A34" s="69" t="s">
        <v>526</v>
      </c>
      <c r="B34" s="400"/>
      <c r="C34" s="463"/>
      <c r="D34" s="459">
        <v>250000000</v>
      </c>
      <c r="E34" s="464"/>
      <c r="F34" s="464"/>
      <c r="G34" s="464"/>
      <c r="H34" s="464"/>
      <c r="I34" s="464"/>
      <c r="J34" s="460">
        <v>484600</v>
      </c>
      <c r="K34" s="465"/>
      <c r="L34" s="465"/>
      <c r="M34" s="465"/>
      <c r="N34" s="465"/>
      <c r="O34" s="464"/>
      <c r="P34" s="460">
        <f>8991600+3620100</f>
        <v>12611700</v>
      </c>
      <c r="Q34" s="464"/>
      <c r="R34" s="464">
        <f>250000000-8991600-4104700</f>
        <v>236903700</v>
      </c>
      <c r="S34" s="465"/>
      <c r="T34" s="465"/>
      <c r="U34" s="465"/>
      <c r="V34" s="465"/>
      <c r="W34" s="465"/>
      <c r="X34" s="465"/>
      <c r="Y34" s="465"/>
      <c r="Z34" s="465">
        <f t="shared" si="8"/>
        <v>0</v>
      </c>
      <c r="AA34" s="465">
        <f>SUM(F34+H34+J34+L34+N34)</f>
        <v>484600</v>
      </c>
      <c r="AB34" s="465">
        <f t="shared" si="9"/>
        <v>0</v>
      </c>
      <c r="AC34" s="465">
        <f t="shared" si="9"/>
        <v>249515400</v>
      </c>
      <c r="AD34" s="465">
        <v>0</v>
      </c>
      <c r="AE34" s="465">
        <v>0</v>
      </c>
      <c r="AF34" s="465">
        <f t="shared" si="7"/>
        <v>0</v>
      </c>
      <c r="AG34" s="465">
        <f t="shared" si="7"/>
        <v>250000000</v>
      </c>
      <c r="AH34" s="70"/>
      <c r="AI34" s="70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</row>
    <row r="35" spans="1:77" s="54" customFormat="1" ht="43.5" customHeight="1" thickBot="1" x14ac:dyDescent="0.3">
      <c r="A35" s="69" t="s">
        <v>572</v>
      </c>
      <c r="B35" s="400"/>
      <c r="C35" s="463"/>
      <c r="D35" s="459">
        <v>5396539</v>
      </c>
      <c r="E35" s="464"/>
      <c r="F35" s="464"/>
      <c r="G35" s="464"/>
      <c r="H35" s="464"/>
      <c r="I35" s="464"/>
      <c r="J35" s="460">
        <v>5396539</v>
      </c>
      <c r="K35" s="465"/>
      <c r="L35" s="465"/>
      <c r="M35" s="465"/>
      <c r="N35" s="465"/>
      <c r="O35" s="464"/>
      <c r="P35" s="460"/>
      <c r="Q35" s="464"/>
      <c r="R35" s="464"/>
      <c r="S35" s="465"/>
      <c r="T35" s="465"/>
      <c r="U35" s="465"/>
      <c r="V35" s="465"/>
      <c r="W35" s="465"/>
      <c r="X35" s="465"/>
      <c r="Y35" s="465"/>
      <c r="Z35" s="465">
        <f t="shared" si="8"/>
        <v>0</v>
      </c>
      <c r="AA35" s="465">
        <f>SUM(F35+H35+J35+L35+N35)</f>
        <v>5396539</v>
      </c>
      <c r="AB35" s="465">
        <f t="shared" si="9"/>
        <v>0</v>
      </c>
      <c r="AC35" s="465">
        <f t="shared" si="9"/>
        <v>0</v>
      </c>
      <c r="AD35" s="465">
        <v>0</v>
      </c>
      <c r="AE35" s="465">
        <v>0</v>
      </c>
      <c r="AF35" s="465">
        <f t="shared" si="7"/>
        <v>0</v>
      </c>
      <c r="AG35" s="465">
        <f t="shared" si="7"/>
        <v>5396539</v>
      </c>
      <c r="AH35" s="70"/>
      <c r="AI35" s="70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</row>
    <row r="36" spans="1:77" s="446" customFormat="1" ht="40.5" customHeight="1" thickBot="1" x14ac:dyDescent="0.3">
      <c r="A36" s="69" t="s">
        <v>573</v>
      </c>
      <c r="B36" s="400"/>
      <c r="C36" s="463"/>
      <c r="D36" s="459">
        <v>1270000</v>
      </c>
      <c r="E36" s="464"/>
      <c r="F36" s="464"/>
      <c r="G36" s="464"/>
      <c r="H36" s="464"/>
      <c r="I36" s="464"/>
      <c r="J36" s="460"/>
      <c r="K36" s="465"/>
      <c r="L36" s="465"/>
      <c r="M36" s="465"/>
      <c r="N36" s="465"/>
      <c r="O36" s="464"/>
      <c r="P36" s="460">
        <v>1270000</v>
      </c>
      <c r="Q36" s="464"/>
      <c r="R36" s="464"/>
      <c r="S36" s="465"/>
      <c r="T36" s="465"/>
      <c r="U36" s="465"/>
      <c r="V36" s="465"/>
      <c r="W36" s="465"/>
      <c r="X36" s="465"/>
      <c r="Y36" s="465"/>
      <c r="Z36" s="465">
        <f t="shared" si="8"/>
        <v>0</v>
      </c>
      <c r="AA36" s="465">
        <f>SUM(F36+H36+J36+L36+N36)</f>
        <v>0</v>
      </c>
      <c r="AB36" s="465">
        <f t="shared" si="9"/>
        <v>0</v>
      </c>
      <c r="AC36" s="465">
        <f t="shared" si="9"/>
        <v>1270000</v>
      </c>
      <c r="AD36" s="465">
        <v>0</v>
      </c>
      <c r="AE36" s="465">
        <v>0</v>
      </c>
      <c r="AF36" s="465">
        <f t="shared" si="7"/>
        <v>0</v>
      </c>
      <c r="AG36" s="465">
        <f t="shared" si="7"/>
        <v>1270000</v>
      </c>
      <c r="AH36" s="70"/>
      <c r="AI36" s="70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</row>
    <row r="37" spans="1:77" s="446" customFormat="1" ht="40.5" customHeight="1" thickBot="1" x14ac:dyDescent="0.3">
      <c r="A37" s="69" t="s">
        <v>574</v>
      </c>
      <c r="B37" s="400"/>
      <c r="C37" s="463"/>
      <c r="D37" s="459">
        <v>1867800</v>
      </c>
      <c r="E37" s="464"/>
      <c r="F37" s="464"/>
      <c r="G37" s="464"/>
      <c r="H37" s="464"/>
      <c r="I37" s="464"/>
      <c r="J37" s="460">
        <v>210800</v>
      </c>
      <c r="K37" s="465"/>
      <c r="L37" s="465"/>
      <c r="M37" s="465"/>
      <c r="N37" s="465"/>
      <c r="O37" s="464"/>
      <c r="P37" s="460">
        <v>1657000</v>
      </c>
      <c r="Q37" s="464"/>
      <c r="R37" s="464"/>
      <c r="S37" s="465"/>
      <c r="T37" s="465"/>
      <c r="U37" s="465"/>
      <c r="V37" s="465"/>
      <c r="W37" s="465"/>
      <c r="X37" s="465"/>
      <c r="Y37" s="465"/>
      <c r="Z37" s="465">
        <f t="shared" si="8"/>
        <v>0</v>
      </c>
      <c r="AA37" s="465">
        <f>SUM(F37+H37+J37+L37+N37)</f>
        <v>210800</v>
      </c>
      <c r="AB37" s="465">
        <f t="shared" si="9"/>
        <v>0</v>
      </c>
      <c r="AC37" s="465">
        <f t="shared" si="9"/>
        <v>1657000</v>
      </c>
      <c r="AD37" s="465">
        <v>0</v>
      </c>
      <c r="AE37" s="465">
        <v>0</v>
      </c>
      <c r="AF37" s="465">
        <f t="shared" si="7"/>
        <v>0</v>
      </c>
      <c r="AG37" s="465">
        <f t="shared" si="7"/>
        <v>1867800</v>
      </c>
      <c r="AH37" s="70"/>
      <c r="AI37" s="70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</row>
    <row r="38" spans="1:77" s="54" customFormat="1" ht="45.75" customHeight="1" thickBot="1" x14ac:dyDescent="0.3">
      <c r="A38" s="770" t="s">
        <v>455</v>
      </c>
      <c r="B38" s="771"/>
      <c r="C38" s="771"/>
      <c r="D38" s="771"/>
      <c r="E38" s="771"/>
      <c r="F38" s="771"/>
      <c r="G38" s="771"/>
      <c r="H38" s="771"/>
      <c r="I38" s="771"/>
      <c r="J38" s="771"/>
      <c r="K38" s="771"/>
      <c r="L38" s="771"/>
      <c r="M38" s="771"/>
      <c r="N38" s="771"/>
      <c r="O38" s="771"/>
      <c r="P38" s="771"/>
      <c r="Q38" s="771"/>
      <c r="R38" s="771"/>
      <c r="S38" s="771"/>
      <c r="T38" s="771"/>
      <c r="U38" s="771"/>
      <c r="V38" s="771"/>
      <c r="W38" s="771"/>
      <c r="X38" s="771"/>
      <c r="Y38" s="771"/>
      <c r="Z38" s="771"/>
      <c r="AA38" s="771"/>
      <c r="AB38" s="771"/>
      <c r="AC38" s="771"/>
      <c r="AD38" s="771"/>
      <c r="AE38" s="771"/>
      <c r="AF38" s="771"/>
      <c r="AG38" s="772"/>
      <c r="AH38" s="448"/>
      <c r="AI38" s="448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447"/>
      <c r="BR38" s="447"/>
      <c r="BS38" s="447"/>
      <c r="BT38" s="447"/>
      <c r="BU38" s="447"/>
      <c r="BV38" s="447"/>
      <c r="BW38" s="447"/>
      <c r="BX38" s="447"/>
      <c r="BY38" s="447"/>
    </row>
    <row r="39" spans="1:77" s="64" customFormat="1" ht="31.5" customHeight="1" thickBot="1" x14ac:dyDescent="0.3">
      <c r="A39" s="52" t="s">
        <v>71</v>
      </c>
      <c r="B39" s="466"/>
      <c r="C39" s="467">
        <v>79830000</v>
      </c>
      <c r="D39" s="467">
        <f>SUM(C39)-4330000</f>
        <v>75500000</v>
      </c>
      <c r="E39" s="468"/>
      <c r="F39" s="468"/>
      <c r="G39" s="468"/>
      <c r="H39" s="468"/>
      <c r="I39" s="468">
        <v>79830000</v>
      </c>
      <c r="J39" s="468">
        <f>SUM(I39)-4330000</f>
        <v>75500000</v>
      </c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9">
        <f t="shared" ref="Z39:AA58" si="13">SUM(E39+G39+I39+K39+M39)</f>
        <v>79830000</v>
      </c>
      <c r="AA39" s="469">
        <f t="shared" si="13"/>
        <v>75500000</v>
      </c>
      <c r="AB39" s="469">
        <f t="shared" ref="AB39:AC58" si="14">SUM(O39+Q39+S39)</f>
        <v>0</v>
      </c>
      <c r="AC39" s="469">
        <f t="shared" si="14"/>
        <v>0</v>
      </c>
      <c r="AD39" s="469">
        <v>0</v>
      </c>
      <c r="AE39" s="469">
        <v>0</v>
      </c>
      <c r="AF39" s="469">
        <f t="shared" si="0"/>
        <v>79830000</v>
      </c>
      <c r="AG39" s="461">
        <f t="shared" si="0"/>
        <v>75500000</v>
      </c>
      <c r="AH39" s="70"/>
      <c r="AI39" s="70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</row>
    <row r="40" spans="1:77" s="375" customFormat="1" ht="26.25" customHeight="1" thickBot="1" x14ac:dyDescent="0.3">
      <c r="A40" s="627" t="s">
        <v>335</v>
      </c>
      <c r="B40" s="397">
        <f>76200000+630000-4330000</f>
        <v>72500000</v>
      </c>
      <c r="C40" s="462"/>
      <c r="D40" s="462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1"/>
      <c r="AA40" s="461"/>
      <c r="AB40" s="461"/>
      <c r="AC40" s="461"/>
      <c r="AD40" s="461"/>
      <c r="AE40" s="461"/>
      <c r="AF40" s="461"/>
      <c r="AG40" s="461">
        <f t="shared" si="0"/>
        <v>0</v>
      </c>
      <c r="AH40" s="70"/>
      <c r="AI40" s="70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</row>
    <row r="41" spans="1:77" s="375" customFormat="1" ht="26.25" customHeight="1" thickBot="1" x14ac:dyDescent="0.3">
      <c r="A41" s="627" t="s">
        <v>72</v>
      </c>
      <c r="B41" s="397">
        <v>3000000</v>
      </c>
      <c r="C41" s="462"/>
      <c r="D41" s="462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1"/>
      <c r="AA41" s="461"/>
      <c r="AB41" s="461"/>
      <c r="AC41" s="461"/>
      <c r="AD41" s="461"/>
      <c r="AE41" s="461"/>
      <c r="AF41" s="461"/>
      <c r="AG41" s="461">
        <f t="shared" si="0"/>
        <v>0</v>
      </c>
      <c r="AH41" s="70"/>
      <c r="AI41" s="70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</row>
    <row r="42" spans="1:77" s="473" customFormat="1" ht="39.75" customHeight="1" thickBot="1" x14ac:dyDescent="0.3">
      <c r="A42" s="625" t="s">
        <v>80</v>
      </c>
      <c r="B42" s="397"/>
      <c r="C42" s="459">
        <v>201268195</v>
      </c>
      <c r="D42" s="459">
        <f>SUM(B44:B48)</f>
        <v>178854320.90000001</v>
      </c>
      <c r="E42" s="460">
        <v>45181222</v>
      </c>
      <c r="F42" s="460">
        <f>SUM(E42)-5948157</f>
        <v>39233065</v>
      </c>
      <c r="G42" s="460">
        <f>7003089</f>
        <v>7003089</v>
      </c>
      <c r="H42" s="460">
        <f>SUM(G42)-2800000</f>
        <v>4203089</v>
      </c>
      <c r="I42" s="460">
        <v>96650523</v>
      </c>
      <c r="J42" s="460">
        <f>SUM(I42)+154899+3000000-17805000</f>
        <v>82000422</v>
      </c>
      <c r="K42" s="460"/>
      <c r="L42" s="460"/>
      <c r="M42" s="460">
        <v>52433361</v>
      </c>
      <c r="N42" s="460">
        <f>SUM(M42)+865384+119000</f>
        <v>53417745</v>
      </c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1">
        <f t="shared" ref="Z42:AA42" si="15">SUM(E42+G42+I42+K42+M42)</f>
        <v>201268195</v>
      </c>
      <c r="AA42" s="461">
        <f t="shared" si="15"/>
        <v>178854321</v>
      </c>
      <c r="AB42" s="461">
        <f t="shared" ref="AB42:AC42" si="16">SUM(O42+Q42+S42)</f>
        <v>0</v>
      </c>
      <c r="AC42" s="461">
        <f t="shared" si="16"/>
        <v>0</v>
      </c>
      <c r="AD42" s="461">
        <v>0</v>
      </c>
      <c r="AE42" s="461">
        <v>0</v>
      </c>
      <c r="AF42" s="461">
        <f>SUM(Z42+AB42+AD42)</f>
        <v>201268195</v>
      </c>
      <c r="AG42" s="461">
        <f>SUM(AA42+AC42+AE42)</f>
        <v>178854321</v>
      </c>
      <c r="AH42" s="419"/>
      <c r="AI42" s="419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</row>
    <row r="43" spans="1:77" s="473" customFormat="1" ht="21.75" customHeight="1" thickBot="1" x14ac:dyDescent="0.3">
      <c r="A43" s="627" t="s">
        <v>63</v>
      </c>
      <c r="B43" s="397"/>
      <c r="C43" s="459"/>
      <c r="D43" s="459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1"/>
      <c r="AA43" s="461"/>
      <c r="AB43" s="461"/>
      <c r="AC43" s="461"/>
      <c r="AD43" s="461"/>
      <c r="AE43" s="461"/>
      <c r="AF43" s="461"/>
      <c r="AG43" s="461">
        <f t="shared" ref="AG43:AG45" si="17">SUM(AA43+AC43+AE43)</f>
        <v>0</v>
      </c>
      <c r="AH43" s="419"/>
      <c r="AI43" s="419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</row>
    <row r="44" spans="1:77" s="473" customFormat="1" ht="32.25" customHeight="1" thickBot="1" x14ac:dyDescent="0.3">
      <c r="A44" s="627" t="s">
        <v>70</v>
      </c>
      <c r="B44" s="397">
        <f>(12385440+9632400+8670360+4334580)*1.155+10000000+1733000-8748157</f>
        <v>43436153.899999999</v>
      </c>
      <c r="C44" s="462"/>
      <c r="D44" s="462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1"/>
      <c r="AA44" s="461"/>
      <c r="AB44" s="461"/>
      <c r="AC44" s="461"/>
      <c r="AD44" s="461"/>
      <c r="AE44" s="461"/>
      <c r="AF44" s="461"/>
      <c r="AG44" s="461">
        <f t="shared" si="17"/>
        <v>0</v>
      </c>
      <c r="AH44" s="419"/>
      <c r="AI44" s="419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</row>
    <row r="45" spans="1:77" s="473" customFormat="1" ht="74.25" customHeight="1" thickBot="1" x14ac:dyDescent="0.3">
      <c r="A45" s="627" t="s">
        <v>436</v>
      </c>
      <c r="B45" s="397">
        <f>39285789+1020283+3000000-17805000+119000</f>
        <v>25620072</v>
      </c>
      <c r="C45" s="459"/>
      <c r="D45" s="459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1"/>
      <c r="AA45" s="461"/>
      <c r="AB45" s="461"/>
      <c r="AC45" s="461"/>
      <c r="AD45" s="461"/>
      <c r="AE45" s="461"/>
      <c r="AF45" s="461"/>
      <c r="AG45" s="461">
        <f t="shared" si="17"/>
        <v>0</v>
      </c>
      <c r="AH45" s="419"/>
      <c r="AI45" s="419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</row>
    <row r="46" spans="1:77" s="473" customFormat="1" ht="35.25" customHeight="1" thickBot="1" x14ac:dyDescent="0.3">
      <c r="A46" s="627" t="s">
        <v>437</v>
      </c>
      <c r="B46" s="397">
        <v>865384</v>
      </c>
      <c r="C46" s="463"/>
      <c r="D46" s="463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1"/>
      <c r="AA46" s="461"/>
      <c r="AB46" s="461"/>
      <c r="AC46" s="461"/>
      <c r="AD46" s="461"/>
      <c r="AE46" s="461"/>
      <c r="AF46" s="461"/>
      <c r="AG46" s="461"/>
      <c r="AH46" s="419"/>
      <c r="AI46" s="419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</row>
    <row r="47" spans="1:77" s="473" customFormat="1" ht="24" customHeight="1" thickBot="1" x14ac:dyDescent="0.3">
      <c r="A47" s="627" t="s">
        <v>438</v>
      </c>
      <c r="B47" s="397">
        <v>56499350</v>
      </c>
      <c r="C47" s="459"/>
      <c r="D47" s="459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  <c r="Y47" s="460"/>
      <c r="Z47" s="461"/>
      <c r="AA47" s="461"/>
      <c r="AB47" s="461"/>
      <c r="AC47" s="461"/>
      <c r="AD47" s="461"/>
      <c r="AE47" s="461"/>
      <c r="AF47" s="461"/>
      <c r="AG47" s="461">
        <f>SUM(AA47+AC47+AE47)</f>
        <v>0</v>
      </c>
      <c r="AH47" s="419"/>
      <c r="AI47" s="419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472"/>
      <c r="BR47" s="472"/>
      <c r="BS47" s="472"/>
      <c r="BT47" s="472"/>
      <c r="BU47" s="472"/>
      <c r="BV47" s="472"/>
      <c r="BW47" s="472"/>
      <c r="BX47" s="472"/>
      <c r="BY47" s="472"/>
    </row>
    <row r="48" spans="1:77" s="473" customFormat="1" ht="29.25" customHeight="1" thickBot="1" x14ac:dyDescent="0.3">
      <c r="A48" s="65" t="s">
        <v>409</v>
      </c>
      <c r="B48" s="470">
        <v>52433361</v>
      </c>
      <c r="C48" s="471"/>
      <c r="D48" s="462"/>
      <c r="E48" s="460"/>
      <c r="F48" s="460"/>
      <c r="G48" s="460"/>
      <c r="H48" s="460"/>
      <c r="I48" s="460"/>
      <c r="J48" s="460"/>
      <c r="K48" s="460"/>
      <c r="L48" s="460"/>
      <c r="M48" s="460"/>
      <c r="N48" s="460"/>
      <c r="O48" s="460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74"/>
      <c r="AI48" s="474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  <c r="BI48" s="472"/>
      <c r="BJ48" s="472"/>
      <c r="BK48" s="472"/>
      <c r="BL48" s="472"/>
      <c r="BM48" s="472"/>
      <c r="BN48" s="472"/>
      <c r="BO48" s="472"/>
      <c r="BP48" s="472"/>
      <c r="BQ48" s="472"/>
      <c r="BR48" s="472"/>
      <c r="BS48" s="472"/>
      <c r="BT48" s="472"/>
      <c r="BU48" s="472"/>
      <c r="BV48" s="472"/>
      <c r="BW48" s="472"/>
      <c r="BX48" s="472"/>
      <c r="BY48" s="472"/>
    </row>
    <row r="49" spans="1:77" s="478" customFormat="1" ht="45.75" customHeight="1" thickBot="1" x14ac:dyDescent="0.3">
      <c r="A49" s="749" t="s">
        <v>456</v>
      </c>
      <c r="B49" s="750"/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1"/>
      <c r="AH49" s="476"/>
      <c r="AI49" s="476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8"/>
      <c r="BF49" s="418"/>
      <c r="BG49" s="418"/>
      <c r="BH49" s="418"/>
      <c r="BI49" s="418"/>
      <c r="BJ49" s="418"/>
      <c r="BK49" s="418"/>
      <c r="BL49" s="418"/>
      <c r="BM49" s="418"/>
      <c r="BN49" s="418"/>
      <c r="BO49" s="418"/>
      <c r="BP49" s="418"/>
      <c r="BQ49" s="477"/>
      <c r="BR49" s="477"/>
      <c r="BS49" s="477"/>
      <c r="BT49" s="477"/>
      <c r="BU49" s="477"/>
      <c r="BV49" s="477"/>
      <c r="BW49" s="477"/>
      <c r="BX49" s="477"/>
      <c r="BY49" s="477"/>
    </row>
    <row r="50" spans="1:77" s="473" customFormat="1" ht="35.25" customHeight="1" thickBot="1" x14ac:dyDescent="0.3">
      <c r="A50" s="625" t="s">
        <v>74</v>
      </c>
      <c r="B50" s="397"/>
      <c r="C50" s="459">
        <v>2668524</v>
      </c>
      <c r="D50" s="459">
        <f>SUM(B51:B52)</f>
        <v>13336524</v>
      </c>
      <c r="E50" s="460"/>
      <c r="F50" s="460"/>
      <c r="G50" s="460"/>
      <c r="H50" s="460"/>
      <c r="I50" s="460">
        <f>2668524</f>
        <v>2668524</v>
      </c>
      <c r="J50" s="460">
        <f>SUM(I50)+762000</f>
        <v>3430524</v>
      </c>
      <c r="K50" s="460"/>
      <c r="L50" s="460"/>
      <c r="M50" s="460"/>
      <c r="N50" s="460"/>
      <c r="O50" s="460"/>
      <c r="P50" s="460">
        <v>9906000</v>
      </c>
      <c r="Q50" s="460"/>
      <c r="R50" s="460"/>
      <c r="S50" s="460"/>
      <c r="T50" s="460"/>
      <c r="U50" s="460"/>
      <c r="V50" s="460"/>
      <c r="W50" s="460"/>
      <c r="X50" s="460"/>
      <c r="Y50" s="460"/>
      <c r="Z50" s="461">
        <f t="shared" si="13"/>
        <v>2668524</v>
      </c>
      <c r="AA50" s="461">
        <f t="shared" si="13"/>
        <v>3430524</v>
      </c>
      <c r="AB50" s="461">
        <f t="shared" si="14"/>
        <v>0</v>
      </c>
      <c r="AC50" s="461">
        <f t="shared" si="14"/>
        <v>9906000</v>
      </c>
      <c r="AD50" s="461">
        <v>0</v>
      </c>
      <c r="AE50" s="461">
        <v>0</v>
      </c>
      <c r="AF50" s="461">
        <f t="shared" si="0"/>
        <v>2668524</v>
      </c>
      <c r="AG50" s="461">
        <f t="shared" si="0"/>
        <v>13336524</v>
      </c>
      <c r="AH50" s="419"/>
      <c r="AI50" s="419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/>
      <c r="BN50" s="472"/>
      <c r="BO50" s="472"/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</row>
    <row r="51" spans="1:77" s="473" customFormat="1" ht="35.25" customHeight="1" thickBot="1" x14ac:dyDescent="0.3">
      <c r="A51" s="627" t="s">
        <v>434</v>
      </c>
      <c r="B51" s="397">
        <f>2668524+762000</f>
        <v>3430524</v>
      </c>
      <c r="C51" s="459"/>
      <c r="D51" s="459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1"/>
      <c r="AA51" s="461"/>
      <c r="AB51" s="461"/>
      <c r="AC51" s="461"/>
      <c r="AD51" s="461"/>
      <c r="AE51" s="461"/>
      <c r="AF51" s="461"/>
      <c r="AG51" s="461">
        <f t="shared" ref="AG51" si="18">SUM(AA51+AC51+AE51)</f>
        <v>0</v>
      </c>
      <c r="AH51" s="419"/>
      <c r="AI51" s="419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  <c r="BI51" s="472"/>
      <c r="BJ51" s="472"/>
      <c r="BK51" s="472"/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</row>
    <row r="52" spans="1:77" s="473" customFormat="1" ht="36.75" customHeight="1" thickBot="1" x14ac:dyDescent="0.3">
      <c r="A52" s="627" t="s">
        <v>575</v>
      </c>
      <c r="B52" s="397">
        <v>9906000</v>
      </c>
      <c r="C52" s="459"/>
      <c r="D52" s="459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461"/>
      <c r="AA52" s="461"/>
      <c r="AB52" s="461"/>
      <c r="AC52" s="461"/>
      <c r="AD52" s="461"/>
      <c r="AE52" s="461"/>
      <c r="AF52" s="461"/>
      <c r="AG52" s="461">
        <f t="shared" si="0"/>
        <v>0</v>
      </c>
      <c r="AH52" s="419"/>
      <c r="AI52" s="419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472"/>
      <c r="BK52" s="472"/>
      <c r="BL52" s="472"/>
      <c r="BM52" s="472"/>
      <c r="BN52" s="472"/>
      <c r="BO52" s="472"/>
      <c r="BP52" s="472"/>
      <c r="BQ52" s="472"/>
      <c r="BR52" s="472"/>
      <c r="BS52" s="472"/>
      <c r="BT52" s="472"/>
      <c r="BU52" s="472"/>
      <c r="BV52" s="472"/>
      <c r="BW52" s="472"/>
      <c r="BX52" s="472"/>
      <c r="BY52" s="472"/>
    </row>
    <row r="53" spans="1:77" s="478" customFormat="1" ht="45.75" customHeight="1" thickBot="1" x14ac:dyDescent="0.3">
      <c r="A53" s="749" t="s">
        <v>457</v>
      </c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750"/>
      <c r="AB53" s="750"/>
      <c r="AC53" s="750"/>
      <c r="AD53" s="750"/>
      <c r="AE53" s="750"/>
      <c r="AF53" s="750"/>
      <c r="AG53" s="751"/>
      <c r="AH53" s="476"/>
      <c r="AI53" s="476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77"/>
      <c r="BR53" s="477"/>
      <c r="BS53" s="477"/>
      <c r="BT53" s="477"/>
      <c r="BU53" s="477"/>
      <c r="BV53" s="477"/>
      <c r="BW53" s="477"/>
      <c r="BX53" s="477"/>
      <c r="BY53" s="477"/>
    </row>
    <row r="54" spans="1:77" s="473" customFormat="1" ht="37.5" customHeight="1" thickBot="1" x14ac:dyDescent="0.3">
      <c r="A54" s="625" t="s">
        <v>95</v>
      </c>
      <c r="B54" s="397"/>
      <c r="C54" s="459">
        <v>20000000</v>
      </c>
      <c r="D54" s="459">
        <f>SUM(B55:B56)</f>
        <v>22317500</v>
      </c>
      <c r="E54" s="460"/>
      <c r="F54" s="460"/>
      <c r="G54" s="460"/>
      <c r="H54" s="460"/>
      <c r="I54" s="460"/>
      <c r="J54" s="460">
        <v>317500</v>
      </c>
      <c r="K54" s="460"/>
      <c r="L54" s="460"/>
      <c r="M54" s="460">
        <f>20000000</f>
        <v>20000000</v>
      </c>
      <c r="N54" s="460">
        <f>SUM(M54)+2000000</f>
        <v>22000000</v>
      </c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1">
        <f>SUM(E54+G54+I54+K54+M54)</f>
        <v>20000000</v>
      </c>
      <c r="AA54" s="461">
        <f>SUM(F54+H54+J54+L54+N54)</f>
        <v>22317500</v>
      </c>
      <c r="AB54" s="461">
        <f>SUM(O54+Q54+S54)</f>
        <v>0</v>
      </c>
      <c r="AC54" s="461">
        <f>SUM(P54+R54+T54)</f>
        <v>0</v>
      </c>
      <c r="AD54" s="461">
        <v>0</v>
      </c>
      <c r="AE54" s="461">
        <v>0</v>
      </c>
      <c r="AF54" s="461">
        <f>SUM(Z54+AB54+AD54)</f>
        <v>20000000</v>
      </c>
      <c r="AG54" s="461">
        <f>SUM(AA54+AC54+AE54)</f>
        <v>22317500</v>
      </c>
      <c r="AH54" s="419"/>
      <c r="AI54" s="419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  <c r="BI54" s="472"/>
      <c r="BJ54" s="472"/>
      <c r="BK54" s="472"/>
      <c r="BL54" s="472"/>
      <c r="BM54" s="472"/>
      <c r="BN54" s="472"/>
      <c r="BO54" s="472"/>
      <c r="BP54" s="472"/>
      <c r="BQ54" s="472"/>
      <c r="BR54" s="472"/>
      <c r="BS54" s="472"/>
      <c r="BT54" s="472"/>
      <c r="BU54" s="472"/>
      <c r="BV54" s="472"/>
      <c r="BW54" s="472"/>
      <c r="BX54" s="472"/>
      <c r="BY54" s="472"/>
    </row>
    <row r="55" spans="1:77" s="473" customFormat="1" ht="37.5" customHeight="1" thickBot="1" x14ac:dyDescent="0.3">
      <c r="A55" s="627" t="s">
        <v>400</v>
      </c>
      <c r="B55" s="397">
        <f>20000000+2000000</f>
        <v>22000000</v>
      </c>
      <c r="C55" s="459"/>
      <c r="D55" s="459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1"/>
      <c r="AA55" s="461"/>
      <c r="AB55" s="461"/>
      <c r="AC55" s="461"/>
      <c r="AD55" s="461"/>
      <c r="AE55" s="461"/>
      <c r="AF55" s="461"/>
      <c r="AG55" s="461"/>
      <c r="AH55" s="419"/>
      <c r="AI55" s="419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72"/>
      <c r="BE55" s="472"/>
      <c r="BF55" s="472"/>
      <c r="BG55" s="472"/>
      <c r="BH55" s="472"/>
      <c r="BI55" s="472"/>
      <c r="BJ55" s="472"/>
      <c r="BK55" s="472"/>
      <c r="BL55" s="472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/>
    </row>
    <row r="56" spans="1:77" s="473" customFormat="1" ht="37.5" customHeight="1" thickBot="1" x14ac:dyDescent="0.3">
      <c r="A56" s="627" t="s">
        <v>576</v>
      </c>
      <c r="B56" s="397">
        <v>317500</v>
      </c>
      <c r="C56" s="459"/>
      <c r="D56" s="459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1"/>
      <c r="AA56" s="461"/>
      <c r="AB56" s="461"/>
      <c r="AC56" s="461"/>
      <c r="AD56" s="461"/>
      <c r="AE56" s="461"/>
      <c r="AF56" s="461"/>
      <c r="AG56" s="461"/>
      <c r="AH56" s="419"/>
      <c r="AI56" s="419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72"/>
      <c r="BE56" s="472"/>
      <c r="BF56" s="472"/>
      <c r="BG56" s="472"/>
      <c r="BH56" s="472"/>
      <c r="BI56" s="472"/>
      <c r="BJ56" s="472"/>
      <c r="BK56" s="472"/>
      <c r="BL56" s="472"/>
      <c r="BM56" s="472"/>
      <c r="BN56" s="472"/>
      <c r="BO56" s="472"/>
      <c r="BP56" s="472"/>
      <c r="BQ56" s="472"/>
      <c r="BR56" s="472"/>
      <c r="BS56" s="472"/>
      <c r="BT56" s="472"/>
      <c r="BU56" s="472"/>
      <c r="BV56" s="472"/>
      <c r="BW56" s="472"/>
      <c r="BX56" s="472"/>
      <c r="BY56" s="472"/>
    </row>
    <row r="57" spans="1:77" s="478" customFormat="1" ht="45.75" customHeight="1" thickBot="1" x14ac:dyDescent="0.3">
      <c r="A57" s="749" t="s">
        <v>458</v>
      </c>
      <c r="B57" s="750"/>
      <c r="C57" s="750"/>
      <c r="D57" s="750"/>
      <c r="E57" s="750"/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0"/>
      <c r="U57" s="750"/>
      <c r="V57" s="750"/>
      <c r="W57" s="750"/>
      <c r="X57" s="750"/>
      <c r="Y57" s="750"/>
      <c r="Z57" s="750"/>
      <c r="AA57" s="750"/>
      <c r="AB57" s="750"/>
      <c r="AC57" s="750"/>
      <c r="AD57" s="750"/>
      <c r="AE57" s="750"/>
      <c r="AF57" s="750"/>
      <c r="AG57" s="751"/>
      <c r="AH57" s="476"/>
      <c r="AI57" s="476"/>
      <c r="AJ57" s="418"/>
      <c r="AK57" s="418"/>
      <c r="AL57" s="418"/>
      <c r="AM57" s="418"/>
      <c r="AN57" s="418"/>
      <c r="AO57" s="418"/>
      <c r="AP57" s="418"/>
      <c r="AQ57" s="418"/>
      <c r="AR57" s="418"/>
      <c r="AS57" s="418"/>
      <c r="AT57" s="418"/>
      <c r="AU57" s="418"/>
      <c r="AV57" s="418"/>
      <c r="AW57" s="418"/>
      <c r="AX57" s="418"/>
      <c r="AY57" s="418"/>
      <c r="AZ57" s="418"/>
      <c r="BA57" s="418"/>
      <c r="BB57" s="418"/>
      <c r="BC57" s="418"/>
      <c r="BD57" s="418"/>
      <c r="BE57" s="418"/>
      <c r="BF57" s="418"/>
      <c r="BG57" s="418"/>
      <c r="BH57" s="418"/>
      <c r="BI57" s="418"/>
      <c r="BJ57" s="418"/>
      <c r="BK57" s="418"/>
      <c r="BL57" s="418"/>
      <c r="BM57" s="418"/>
      <c r="BN57" s="418"/>
      <c r="BO57" s="418"/>
      <c r="BP57" s="418"/>
      <c r="BQ57" s="477"/>
      <c r="BR57" s="477"/>
      <c r="BS57" s="477"/>
      <c r="BT57" s="477"/>
      <c r="BU57" s="477"/>
      <c r="BV57" s="477"/>
      <c r="BW57" s="477"/>
      <c r="BX57" s="477"/>
      <c r="BY57" s="477"/>
    </row>
    <row r="58" spans="1:77" s="473" customFormat="1" ht="30.75" customHeight="1" thickBot="1" x14ac:dyDescent="0.3">
      <c r="A58" s="625" t="s">
        <v>345</v>
      </c>
      <c r="B58" s="397"/>
      <c r="C58" s="459">
        <v>4250000</v>
      </c>
      <c r="D58" s="459">
        <f>SUM(B60:B63)</f>
        <v>1050000</v>
      </c>
      <c r="E58" s="460">
        <f>1200000</f>
        <v>1200000</v>
      </c>
      <c r="F58" s="460">
        <f>SUM(E58)-1200000</f>
        <v>0</v>
      </c>
      <c r="G58" s="460"/>
      <c r="H58" s="460"/>
      <c r="I58" s="460">
        <f>50000+1000000+2000000</f>
        <v>3050000</v>
      </c>
      <c r="J58" s="460">
        <f>SUM(I58)-2000000</f>
        <v>1050000</v>
      </c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1">
        <f t="shared" si="13"/>
        <v>4250000</v>
      </c>
      <c r="AA58" s="461">
        <f t="shared" si="13"/>
        <v>1050000</v>
      </c>
      <c r="AB58" s="461">
        <f t="shared" si="14"/>
        <v>0</v>
      </c>
      <c r="AC58" s="461">
        <f t="shared" si="14"/>
        <v>0</v>
      </c>
      <c r="AD58" s="461">
        <v>0</v>
      </c>
      <c r="AE58" s="461">
        <v>0</v>
      </c>
      <c r="AF58" s="461">
        <f t="shared" si="0"/>
        <v>4250000</v>
      </c>
      <c r="AG58" s="461">
        <f t="shared" si="0"/>
        <v>1050000</v>
      </c>
      <c r="AH58" s="419"/>
      <c r="AI58" s="419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2"/>
      <c r="BE58" s="472"/>
      <c r="BF58" s="472"/>
      <c r="BG58" s="472"/>
      <c r="BH58" s="472"/>
      <c r="BI58" s="472"/>
      <c r="BJ58" s="472"/>
      <c r="BK58" s="472"/>
      <c r="BL58" s="472"/>
      <c r="BM58" s="472"/>
      <c r="BN58" s="472"/>
      <c r="BO58" s="472"/>
      <c r="BP58" s="472"/>
      <c r="BQ58" s="472"/>
      <c r="BR58" s="472"/>
      <c r="BS58" s="472"/>
      <c r="BT58" s="472"/>
      <c r="BU58" s="472"/>
      <c r="BV58" s="472"/>
      <c r="BW58" s="472"/>
      <c r="BX58" s="472"/>
      <c r="BY58" s="472"/>
    </row>
    <row r="59" spans="1:77" s="473" customFormat="1" ht="22.5" customHeight="1" thickBot="1" x14ac:dyDescent="0.3">
      <c r="A59" s="627" t="s">
        <v>63</v>
      </c>
      <c r="B59" s="397"/>
      <c r="C59" s="459"/>
      <c r="D59" s="459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1"/>
      <c r="AA59" s="461"/>
      <c r="AB59" s="461"/>
      <c r="AC59" s="461"/>
      <c r="AD59" s="461"/>
      <c r="AE59" s="461"/>
      <c r="AF59" s="461"/>
      <c r="AG59" s="461">
        <f t="shared" si="0"/>
        <v>0</v>
      </c>
      <c r="AH59" s="419"/>
      <c r="AI59" s="419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/>
      <c r="BH59" s="472"/>
      <c r="BI59" s="472"/>
      <c r="BJ59" s="472"/>
      <c r="BK59" s="472"/>
      <c r="BL59" s="472"/>
      <c r="BM59" s="472"/>
      <c r="BN59" s="472"/>
      <c r="BO59" s="472"/>
      <c r="BP59" s="472"/>
      <c r="BQ59" s="472"/>
      <c r="BR59" s="472"/>
      <c r="BS59" s="472"/>
      <c r="BT59" s="472"/>
      <c r="BU59" s="472"/>
      <c r="BV59" s="472"/>
      <c r="BW59" s="472"/>
      <c r="BX59" s="472"/>
      <c r="BY59" s="472"/>
    </row>
    <row r="60" spans="1:77" s="473" customFormat="1" ht="25.5" customHeight="1" thickBot="1" x14ac:dyDescent="0.3">
      <c r="A60" s="627" t="s">
        <v>75</v>
      </c>
      <c r="B60" s="397">
        <v>50000</v>
      </c>
      <c r="C60" s="459"/>
      <c r="D60" s="459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1"/>
      <c r="AA60" s="461"/>
      <c r="AB60" s="461"/>
      <c r="AC60" s="461"/>
      <c r="AD60" s="461"/>
      <c r="AE60" s="461"/>
      <c r="AF60" s="461"/>
      <c r="AG60" s="461">
        <f t="shared" si="0"/>
        <v>0</v>
      </c>
      <c r="AH60" s="419"/>
      <c r="AI60" s="419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  <c r="BI60" s="472"/>
      <c r="BJ60" s="472"/>
      <c r="BK60" s="472"/>
      <c r="BL60" s="472"/>
      <c r="BM60" s="472"/>
      <c r="BN60" s="472"/>
      <c r="BO60" s="472"/>
      <c r="BP60" s="472"/>
      <c r="BQ60" s="472"/>
      <c r="BR60" s="472"/>
      <c r="BS60" s="472"/>
      <c r="BT60" s="472"/>
      <c r="BU60" s="472"/>
      <c r="BV60" s="472"/>
      <c r="BW60" s="472"/>
      <c r="BX60" s="472"/>
      <c r="BY60" s="472"/>
    </row>
    <row r="61" spans="1:77" s="473" customFormat="1" ht="25.5" customHeight="1" thickBot="1" x14ac:dyDescent="0.3">
      <c r="A61" s="627" t="s">
        <v>76</v>
      </c>
      <c r="B61" s="397">
        <v>1000000</v>
      </c>
      <c r="C61" s="459"/>
      <c r="D61" s="459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1"/>
      <c r="AA61" s="461"/>
      <c r="AB61" s="461"/>
      <c r="AC61" s="461"/>
      <c r="AD61" s="461"/>
      <c r="AE61" s="461"/>
      <c r="AF61" s="461"/>
      <c r="AG61" s="461">
        <f t="shared" si="0"/>
        <v>0</v>
      </c>
      <c r="AH61" s="419"/>
      <c r="AI61" s="419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/>
      <c r="AV61" s="472"/>
      <c r="AW61" s="472"/>
      <c r="AX61" s="472"/>
      <c r="AY61" s="472"/>
      <c r="AZ61" s="472"/>
      <c r="BA61" s="472"/>
      <c r="BB61" s="472"/>
      <c r="BC61" s="472"/>
      <c r="BD61" s="472"/>
      <c r="BE61" s="472"/>
      <c r="BF61" s="472"/>
      <c r="BG61" s="472"/>
      <c r="BH61" s="472"/>
      <c r="BI61" s="472"/>
      <c r="BJ61" s="472"/>
      <c r="BK61" s="472"/>
      <c r="BL61" s="472"/>
      <c r="BM61" s="472"/>
      <c r="BN61" s="472"/>
      <c r="BO61" s="472"/>
      <c r="BP61" s="472"/>
      <c r="BQ61" s="472"/>
      <c r="BR61" s="472"/>
      <c r="BS61" s="472"/>
      <c r="BT61" s="472"/>
      <c r="BU61" s="472"/>
      <c r="BV61" s="472"/>
      <c r="BW61" s="472"/>
      <c r="BX61" s="472"/>
      <c r="BY61" s="472"/>
    </row>
    <row r="62" spans="1:77" s="473" customFormat="1" ht="25.5" customHeight="1" thickBot="1" x14ac:dyDescent="0.3">
      <c r="A62" s="627" t="s">
        <v>330</v>
      </c>
      <c r="B62" s="397">
        <f>1200000-1200000</f>
        <v>0</v>
      </c>
      <c r="C62" s="459"/>
      <c r="D62" s="459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1"/>
      <c r="AA62" s="461"/>
      <c r="AB62" s="461"/>
      <c r="AC62" s="461"/>
      <c r="AD62" s="461"/>
      <c r="AE62" s="461"/>
      <c r="AF62" s="461"/>
      <c r="AG62" s="461">
        <f t="shared" si="0"/>
        <v>0</v>
      </c>
      <c r="AH62" s="419"/>
      <c r="AI62" s="419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  <c r="BI62" s="472"/>
      <c r="BJ62" s="472"/>
      <c r="BK62" s="472"/>
      <c r="BL62" s="472"/>
      <c r="BM62" s="472"/>
      <c r="BN62" s="472"/>
      <c r="BO62" s="472"/>
      <c r="BP62" s="472"/>
      <c r="BQ62" s="472"/>
      <c r="BR62" s="472"/>
      <c r="BS62" s="472"/>
      <c r="BT62" s="472"/>
      <c r="BU62" s="472"/>
      <c r="BV62" s="472"/>
      <c r="BW62" s="472"/>
      <c r="BX62" s="472"/>
      <c r="BY62" s="472"/>
    </row>
    <row r="63" spans="1:77" s="473" customFormat="1" ht="25.5" customHeight="1" thickBot="1" x14ac:dyDescent="0.3">
      <c r="A63" s="627" t="s">
        <v>331</v>
      </c>
      <c r="B63" s="397">
        <f>2000000-2000000</f>
        <v>0</v>
      </c>
      <c r="C63" s="459"/>
      <c r="D63" s="459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1"/>
      <c r="AA63" s="461"/>
      <c r="AB63" s="461"/>
      <c r="AC63" s="461"/>
      <c r="AD63" s="461"/>
      <c r="AE63" s="461"/>
      <c r="AF63" s="461"/>
      <c r="AG63" s="461">
        <f t="shared" si="0"/>
        <v>0</v>
      </c>
      <c r="AH63" s="419"/>
      <c r="AI63" s="419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  <c r="BI63" s="472"/>
      <c r="BJ63" s="472"/>
      <c r="BK63" s="472"/>
      <c r="BL63" s="472"/>
      <c r="BM63" s="472"/>
      <c r="BN63" s="472"/>
      <c r="BO63" s="472"/>
      <c r="BP63" s="472"/>
      <c r="BQ63" s="472"/>
      <c r="BR63" s="472"/>
      <c r="BS63" s="472"/>
      <c r="BT63" s="472"/>
      <c r="BU63" s="472"/>
      <c r="BV63" s="472"/>
      <c r="BW63" s="472"/>
      <c r="BX63" s="472"/>
      <c r="BY63" s="472"/>
    </row>
    <row r="64" spans="1:77" s="480" customFormat="1" ht="46.5" customHeight="1" thickBot="1" x14ac:dyDescent="0.3">
      <c r="A64" s="72" t="s">
        <v>318</v>
      </c>
      <c r="B64" s="398"/>
      <c r="C64" s="459">
        <v>25536701</v>
      </c>
      <c r="D64" s="459">
        <f>SUM(C64)+4999995+2769570</f>
        <v>33306266</v>
      </c>
      <c r="E64" s="460">
        <v>11287200</v>
      </c>
      <c r="F64" s="460">
        <f>SUM(E64)+2400000</f>
        <v>13687200</v>
      </c>
      <c r="G64" s="460">
        <v>1749516</v>
      </c>
      <c r="H64" s="460">
        <f>SUM(G64)+369570</f>
        <v>2119086</v>
      </c>
      <c r="I64" s="460">
        <f>5000000</f>
        <v>5000000</v>
      </c>
      <c r="J64" s="460">
        <f>SUM(I64)+2500000</f>
        <v>7500000</v>
      </c>
      <c r="K64" s="461"/>
      <c r="L64" s="461"/>
      <c r="M64" s="461"/>
      <c r="N64" s="461"/>
      <c r="O64" s="460">
        <f>7499985</f>
        <v>7499985</v>
      </c>
      <c r="P64" s="460">
        <f>SUM(O64)+2499995</f>
        <v>9999980</v>
      </c>
      <c r="Q64" s="460"/>
      <c r="R64" s="460"/>
      <c r="S64" s="461"/>
      <c r="T64" s="461"/>
      <c r="U64" s="461"/>
      <c r="V64" s="461"/>
      <c r="W64" s="461"/>
      <c r="X64" s="461"/>
      <c r="Y64" s="461"/>
      <c r="Z64" s="461">
        <f>SUM(E64+G64+I64+K64+M64)</f>
        <v>18036716</v>
      </c>
      <c r="AA64" s="461">
        <f>SUM(F64+H64+J64+L64+N64)</f>
        <v>23306286</v>
      </c>
      <c r="AB64" s="461">
        <f>SUM(O64+Q64+S64)</f>
        <v>7499985</v>
      </c>
      <c r="AC64" s="461">
        <f>SUM(P64+R64+T64)</f>
        <v>9999980</v>
      </c>
      <c r="AD64" s="461">
        <v>0</v>
      </c>
      <c r="AE64" s="461">
        <v>0</v>
      </c>
      <c r="AF64" s="461">
        <f>SUM(Z64+AB64+AD64)</f>
        <v>25536701</v>
      </c>
      <c r="AG64" s="461">
        <f>SUM(AA64+AC64+AE64)</f>
        <v>33306266</v>
      </c>
      <c r="AH64" s="419"/>
      <c r="AI64" s="419"/>
      <c r="AJ64" s="479"/>
      <c r="AK64" s="479"/>
      <c r="AL64" s="479"/>
      <c r="AM64" s="479"/>
      <c r="AN64" s="479"/>
      <c r="AO64" s="479"/>
      <c r="AP64" s="479"/>
      <c r="AQ64" s="479"/>
      <c r="AR64" s="479"/>
      <c r="AS64" s="479"/>
      <c r="AT64" s="479"/>
      <c r="AU64" s="479"/>
      <c r="AV64" s="479"/>
      <c r="AW64" s="479"/>
      <c r="AX64" s="479"/>
      <c r="AY64" s="479"/>
      <c r="AZ64" s="479"/>
      <c r="BA64" s="479"/>
      <c r="BB64" s="479"/>
      <c r="BC64" s="479"/>
      <c r="BD64" s="479"/>
      <c r="BE64" s="479"/>
      <c r="BF64" s="479"/>
      <c r="BG64" s="479"/>
      <c r="BH64" s="479"/>
      <c r="BI64" s="479"/>
      <c r="BJ64" s="479"/>
      <c r="BK64" s="479"/>
      <c r="BL64" s="479"/>
      <c r="BM64" s="479"/>
      <c r="BN64" s="479"/>
      <c r="BO64" s="479"/>
      <c r="BP64" s="479"/>
      <c r="BQ64" s="479"/>
      <c r="BR64" s="479"/>
      <c r="BS64" s="479"/>
      <c r="BT64" s="479"/>
      <c r="BU64" s="479"/>
      <c r="BV64" s="479"/>
      <c r="BW64" s="479"/>
      <c r="BX64" s="479"/>
      <c r="BY64" s="479"/>
    </row>
    <row r="65" spans="1:77" s="482" customFormat="1" ht="66.75" customHeight="1" thickBot="1" x14ac:dyDescent="0.3">
      <c r="A65" s="749" t="s">
        <v>78</v>
      </c>
      <c r="B65" s="750"/>
      <c r="C65" s="755" t="s">
        <v>79</v>
      </c>
      <c r="D65" s="758" t="s">
        <v>195</v>
      </c>
      <c r="E65" s="629" t="s">
        <v>148</v>
      </c>
      <c r="F65" s="629" t="s">
        <v>148</v>
      </c>
      <c r="G65" s="629" t="s">
        <v>149</v>
      </c>
      <c r="H65" s="629" t="s">
        <v>149</v>
      </c>
      <c r="I65" s="629" t="s">
        <v>150</v>
      </c>
      <c r="J65" s="629" t="s">
        <v>150</v>
      </c>
      <c r="K65" s="629" t="s">
        <v>151</v>
      </c>
      <c r="L65" s="629" t="s">
        <v>151</v>
      </c>
      <c r="M65" s="629" t="s">
        <v>152</v>
      </c>
      <c r="N65" s="629" t="s">
        <v>152</v>
      </c>
      <c r="O65" s="629" t="s">
        <v>153</v>
      </c>
      <c r="P65" s="629" t="s">
        <v>153</v>
      </c>
      <c r="Q65" s="629" t="s">
        <v>154</v>
      </c>
      <c r="R65" s="629" t="s">
        <v>154</v>
      </c>
      <c r="S65" s="629" t="s">
        <v>155</v>
      </c>
      <c r="T65" s="629" t="s">
        <v>155</v>
      </c>
      <c r="U65" s="629"/>
      <c r="V65" s="629"/>
      <c r="W65" s="629"/>
      <c r="X65" s="629"/>
      <c r="Y65" s="629"/>
      <c r="Z65" s="761" t="s">
        <v>156</v>
      </c>
      <c r="AA65" s="762"/>
      <c r="AB65" s="762"/>
      <c r="AC65" s="763"/>
      <c r="AD65" s="761" t="s">
        <v>232</v>
      </c>
      <c r="AE65" s="763"/>
      <c r="AF65" s="761" t="s">
        <v>239</v>
      </c>
      <c r="AG65" s="763"/>
      <c r="AH65" s="419"/>
      <c r="AI65" s="419"/>
      <c r="AJ65" s="481"/>
      <c r="AK65" s="481"/>
      <c r="AL65" s="481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481"/>
      <c r="BD65" s="481"/>
      <c r="BE65" s="481"/>
      <c r="BF65" s="481"/>
      <c r="BG65" s="481"/>
      <c r="BH65" s="481"/>
      <c r="BI65" s="481"/>
      <c r="BJ65" s="481"/>
      <c r="BK65" s="481"/>
      <c r="BL65" s="481"/>
      <c r="BM65" s="481"/>
      <c r="BN65" s="481"/>
      <c r="BO65" s="481"/>
      <c r="BP65" s="481"/>
      <c r="BQ65" s="481"/>
      <c r="BR65" s="481"/>
      <c r="BS65" s="481"/>
      <c r="BT65" s="481"/>
      <c r="BU65" s="481"/>
      <c r="BV65" s="481"/>
      <c r="BW65" s="481"/>
      <c r="BX65" s="481"/>
      <c r="BY65" s="481"/>
    </row>
    <row r="66" spans="1:77" s="482" customFormat="1" ht="66.75" customHeight="1" thickBot="1" x14ac:dyDescent="0.3">
      <c r="A66" s="790"/>
      <c r="B66" s="791"/>
      <c r="C66" s="756"/>
      <c r="D66" s="759"/>
      <c r="E66" s="764" t="s">
        <v>141</v>
      </c>
      <c r="F66" s="765"/>
      <c r="G66" s="764" t="s">
        <v>157</v>
      </c>
      <c r="H66" s="765"/>
      <c r="I66" s="764" t="s">
        <v>142</v>
      </c>
      <c r="J66" s="765"/>
      <c r="K66" s="764" t="s">
        <v>143</v>
      </c>
      <c r="L66" s="765"/>
      <c r="M66" s="764" t="s">
        <v>144</v>
      </c>
      <c r="N66" s="765"/>
      <c r="O66" s="764" t="s">
        <v>146</v>
      </c>
      <c r="P66" s="765"/>
      <c r="Q66" s="764" t="s">
        <v>147</v>
      </c>
      <c r="R66" s="765"/>
      <c r="S66" s="764" t="s">
        <v>158</v>
      </c>
      <c r="T66" s="765"/>
      <c r="U66" s="631"/>
      <c r="V66" s="631"/>
      <c r="W66" s="631"/>
      <c r="X66" s="631"/>
      <c r="Y66" s="631"/>
      <c r="Z66" s="775" t="s">
        <v>159</v>
      </c>
      <c r="AA66" s="776"/>
      <c r="AB66" s="776"/>
      <c r="AC66" s="776"/>
      <c r="AD66" s="776"/>
      <c r="AE66" s="776"/>
      <c r="AF66" s="776"/>
      <c r="AG66" s="777"/>
      <c r="AH66" s="419"/>
      <c r="AI66" s="419"/>
      <c r="AJ66" s="481"/>
      <c r="AK66" s="481"/>
      <c r="AL66" s="481"/>
      <c r="AM66" s="481"/>
      <c r="AN66" s="481"/>
      <c r="AO66" s="481"/>
      <c r="AP66" s="481"/>
      <c r="AQ66" s="481"/>
      <c r="AR66" s="481"/>
      <c r="AS66" s="481"/>
      <c r="AT66" s="481"/>
      <c r="AU66" s="481"/>
      <c r="AV66" s="481"/>
      <c r="AW66" s="481"/>
      <c r="AX66" s="481"/>
      <c r="AY66" s="481"/>
      <c r="AZ66" s="481"/>
      <c r="BA66" s="481"/>
      <c r="BB66" s="481"/>
      <c r="BC66" s="481"/>
      <c r="BD66" s="481"/>
      <c r="BE66" s="481"/>
      <c r="BF66" s="481"/>
      <c r="BG66" s="481"/>
      <c r="BH66" s="481"/>
      <c r="BI66" s="481"/>
      <c r="BJ66" s="481"/>
      <c r="BK66" s="481"/>
      <c r="BL66" s="481"/>
      <c r="BM66" s="481"/>
      <c r="BN66" s="481"/>
      <c r="BO66" s="481"/>
      <c r="BP66" s="481"/>
      <c r="BQ66" s="481"/>
      <c r="BR66" s="481"/>
      <c r="BS66" s="481"/>
      <c r="BT66" s="481"/>
      <c r="BU66" s="481"/>
      <c r="BV66" s="481"/>
      <c r="BW66" s="481"/>
      <c r="BX66" s="481"/>
      <c r="BY66" s="481"/>
    </row>
    <row r="67" spans="1:77" s="482" customFormat="1" ht="66.75" customHeight="1" thickBot="1" x14ac:dyDescent="0.3">
      <c r="A67" s="790"/>
      <c r="B67" s="791"/>
      <c r="C67" s="756"/>
      <c r="D67" s="759"/>
      <c r="E67" s="766"/>
      <c r="F67" s="767"/>
      <c r="G67" s="766"/>
      <c r="H67" s="767"/>
      <c r="I67" s="766"/>
      <c r="J67" s="767"/>
      <c r="K67" s="766"/>
      <c r="L67" s="767"/>
      <c r="M67" s="766"/>
      <c r="N67" s="767"/>
      <c r="O67" s="766"/>
      <c r="P67" s="767"/>
      <c r="Q67" s="766"/>
      <c r="R67" s="767"/>
      <c r="S67" s="766"/>
      <c r="T67" s="767"/>
      <c r="U67" s="632"/>
      <c r="V67" s="632"/>
      <c r="W67" s="632"/>
      <c r="X67" s="632"/>
      <c r="Y67" s="632"/>
      <c r="Z67" s="764" t="s">
        <v>125</v>
      </c>
      <c r="AA67" s="765"/>
      <c r="AB67" s="764" t="s">
        <v>126</v>
      </c>
      <c r="AC67" s="765"/>
      <c r="AD67" s="764" t="s">
        <v>350</v>
      </c>
      <c r="AE67" s="765"/>
      <c r="AF67" s="764" t="s">
        <v>159</v>
      </c>
      <c r="AG67" s="765"/>
      <c r="AH67" s="419"/>
      <c r="AI67" s="419"/>
      <c r="AJ67" s="481"/>
      <c r="AK67" s="481"/>
      <c r="AL67" s="481"/>
      <c r="AM67" s="481"/>
      <c r="AN67" s="481"/>
      <c r="AO67" s="481"/>
      <c r="AP67" s="481"/>
      <c r="AQ67" s="481"/>
      <c r="AR67" s="481"/>
      <c r="AS67" s="481"/>
      <c r="AT67" s="481"/>
      <c r="AU67" s="481"/>
      <c r="AV67" s="481"/>
      <c r="AW67" s="481"/>
      <c r="AX67" s="481"/>
      <c r="AY67" s="481"/>
      <c r="AZ67" s="481"/>
      <c r="BA67" s="481"/>
      <c r="BB67" s="481"/>
      <c r="BC67" s="481"/>
      <c r="BD67" s="481"/>
      <c r="BE67" s="481"/>
      <c r="BF67" s="481"/>
      <c r="BG67" s="481"/>
      <c r="BH67" s="481"/>
      <c r="BI67" s="481"/>
      <c r="BJ67" s="481"/>
      <c r="BK67" s="481"/>
      <c r="BL67" s="481"/>
      <c r="BM67" s="481"/>
      <c r="BN67" s="481"/>
      <c r="BO67" s="481"/>
      <c r="BP67" s="481"/>
      <c r="BQ67" s="481"/>
      <c r="BR67" s="481"/>
      <c r="BS67" s="481"/>
      <c r="BT67" s="481"/>
      <c r="BU67" s="481"/>
      <c r="BV67" s="481"/>
      <c r="BW67" s="481"/>
      <c r="BX67" s="481"/>
      <c r="BY67" s="481"/>
    </row>
    <row r="68" spans="1:77" s="482" customFormat="1" ht="12" customHeight="1" thickBot="1" x14ac:dyDescent="0.3">
      <c r="A68" s="790"/>
      <c r="B68" s="791"/>
      <c r="C68" s="756"/>
      <c r="D68" s="759"/>
      <c r="E68" s="768"/>
      <c r="F68" s="769"/>
      <c r="G68" s="768"/>
      <c r="H68" s="769"/>
      <c r="I68" s="768"/>
      <c r="J68" s="769"/>
      <c r="K68" s="768"/>
      <c r="L68" s="769"/>
      <c r="M68" s="768"/>
      <c r="N68" s="769"/>
      <c r="O68" s="768"/>
      <c r="P68" s="769"/>
      <c r="Q68" s="768"/>
      <c r="R68" s="769"/>
      <c r="S68" s="768"/>
      <c r="T68" s="769"/>
      <c r="U68" s="634"/>
      <c r="V68" s="634"/>
      <c r="W68" s="634"/>
      <c r="X68" s="634"/>
      <c r="Y68" s="634"/>
      <c r="Z68" s="768"/>
      <c r="AA68" s="769"/>
      <c r="AB68" s="768"/>
      <c r="AC68" s="769"/>
      <c r="AD68" s="768"/>
      <c r="AE68" s="769"/>
      <c r="AF68" s="768"/>
      <c r="AG68" s="769"/>
      <c r="AH68" s="419"/>
      <c r="AI68" s="419"/>
      <c r="AJ68" s="481"/>
      <c r="AK68" s="481"/>
      <c r="AL68" s="481"/>
      <c r="AM68" s="481"/>
      <c r="AN68" s="481"/>
      <c r="AO68" s="481"/>
      <c r="AP68" s="481"/>
      <c r="AQ68" s="481"/>
      <c r="AR68" s="481"/>
      <c r="AS68" s="481"/>
      <c r="AT68" s="481"/>
      <c r="AU68" s="481"/>
      <c r="AV68" s="481"/>
      <c r="AW68" s="481"/>
      <c r="AX68" s="481"/>
      <c r="AY68" s="481"/>
      <c r="AZ68" s="481"/>
      <c r="BA68" s="481"/>
      <c r="BB68" s="481"/>
      <c r="BC68" s="481"/>
      <c r="BD68" s="481"/>
      <c r="BE68" s="481"/>
      <c r="BF68" s="481"/>
      <c r="BG68" s="481"/>
      <c r="BH68" s="481"/>
      <c r="BI68" s="481"/>
      <c r="BJ68" s="481"/>
      <c r="BK68" s="481"/>
      <c r="BL68" s="481"/>
      <c r="BM68" s="481"/>
      <c r="BN68" s="481"/>
      <c r="BO68" s="481"/>
      <c r="BP68" s="481"/>
      <c r="BQ68" s="481"/>
      <c r="BR68" s="481"/>
      <c r="BS68" s="481"/>
      <c r="BT68" s="481"/>
      <c r="BU68" s="481"/>
      <c r="BV68" s="481"/>
      <c r="BW68" s="481"/>
      <c r="BX68" s="481"/>
      <c r="BY68" s="481"/>
    </row>
    <row r="69" spans="1:77" s="49" customFormat="1" ht="66.75" customHeight="1" thickBot="1" x14ac:dyDescent="0.35">
      <c r="A69" s="792"/>
      <c r="B69" s="793"/>
      <c r="C69" s="757"/>
      <c r="D69" s="760"/>
      <c r="E69" s="630" t="s">
        <v>79</v>
      </c>
      <c r="F69" s="630" t="s">
        <v>195</v>
      </c>
      <c r="G69" s="630" t="s">
        <v>79</v>
      </c>
      <c r="H69" s="630" t="s">
        <v>195</v>
      </c>
      <c r="I69" s="630" t="s">
        <v>79</v>
      </c>
      <c r="J69" s="630" t="s">
        <v>195</v>
      </c>
      <c r="K69" s="630" t="s">
        <v>79</v>
      </c>
      <c r="L69" s="630" t="s">
        <v>195</v>
      </c>
      <c r="M69" s="630" t="s">
        <v>79</v>
      </c>
      <c r="N69" s="630" t="s">
        <v>195</v>
      </c>
      <c r="O69" s="630" t="s">
        <v>79</v>
      </c>
      <c r="P69" s="630" t="s">
        <v>195</v>
      </c>
      <c r="Q69" s="630" t="s">
        <v>79</v>
      </c>
      <c r="R69" s="630" t="s">
        <v>195</v>
      </c>
      <c r="S69" s="630" t="s">
        <v>79</v>
      </c>
      <c r="T69" s="630" t="s">
        <v>195</v>
      </c>
      <c r="U69" s="634"/>
      <c r="V69" s="634"/>
      <c r="W69" s="634"/>
      <c r="X69" s="634"/>
      <c r="Y69" s="634"/>
      <c r="Z69" s="630" t="s">
        <v>79</v>
      </c>
      <c r="AA69" s="630" t="s">
        <v>195</v>
      </c>
      <c r="AB69" s="630" t="s">
        <v>79</v>
      </c>
      <c r="AC69" s="630" t="s">
        <v>195</v>
      </c>
      <c r="AD69" s="630" t="s">
        <v>79</v>
      </c>
      <c r="AE69" s="630" t="s">
        <v>195</v>
      </c>
      <c r="AF69" s="630" t="s">
        <v>79</v>
      </c>
      <c r="AG69" s="630" t="s">
        <v>195</v>
      </c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</row>
    <row r="70" spans="1:77" s="484" customFormat="1" ht="33" customHeight="1" thickBot="1" x14ac:dyDescent="0.3">
      <c r="A70" s="442"/>
      <c r="B70" s="443"/>
      <c r="C70" s="449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44"/>
      <c r="AG70" s="451"/>
      <c r="AH70" s="419"/>
      <c r="AI70" s="419"/>
      <c r="AJ70" s="483"/>
      <c r="AK70" s="483"/>
      <c r="AL70" s="483"/>
      <c r="AM70" s="483"/>
      <c r="AN70" s="483"/>
      <c r="AO70" s="483"/>
      <c r="AP70" s="483"/>
      <c r="AQ70" s="483"/>
      <c r="AR70" s="483"/>
      <c r="AS70" s="483"/>
      <c r="AT70" s="483"/>
      <c r="AU70" s="483"/>
      <c r="AV70" s="483"/>
      <c r="AW70" s="483"/>
      <c r="AX70" s="483"/>
      <c r="AY70" s="483"/>
      <c r="AZ70" s="483"/>
      <c r="BA70" s="483"/>
      <c r="BB70" s="483"/>
      <c r="BC70" s="483"/>
      <c r="BD70" s="483"/>
      <c r="BE70" s="483"/>
      <c r="BF70" s="483"/>
      <c r="BG70" s="483"/>
      <c r="BH70" s="483"/>
      <c r="BI70" s="483"/>
      <c r="BJ70" s="483"/>
      <c r="BK70" s="483"/>
      <c r="BL70" s="483"/>
      <c r="BM70" s="483"/>
      <c r="BN70" s="483"/>
      <c r="BO70" s="483"/>
      <c r="BP70" s="483"/>
      <c r="BQ70" s="483"/>
      <c r="BR70" s="483"/>
      <c r="BS70" s="483"/>
      <c r="BT70" s="483"/>
      <c r="BU70" s="483"/>
      <c r="BV70" s="483"/>
      <c r="BW70" s="483"/>
      <c r="BX70" s="483"/>
      <c r="BY70" s="483"/>
    </row>
    <row r="71" spans="1:77" s="478" customFormat="1" ht="45.75" customHeight="1" thickBot="1" x14ac:dyDescent="0.3">
      <c r="A71" s="749" t="s">
        <v>459</v>
      </c>
      <c r="B71" s="750"/>
      <c r="C71" s="750"/>
      <c r="D71" s="750"/>
      <c r="E71" s="750"/>
      <c r="F71" s="750"/>
      <c r="G71" s="750"/>
      <c r="H71" s="750"/>
      <c r="I71" s="750"/>
      <c r="J71" s="750"/>
      <c r="K71" s="750"/>
      <c r="L71" s="750"/>
      <c r="M71" s="750"/>
      <c r="N71" s="750"/>
      <c r="O71" s="750"/>
      <c r="P71" s="750"/>
      <c r="Q71" s="750"/>
      <c r="R71" s="750"/>
      <c r="S71" s="750"/>
      <c r="T71" s="750"/>
      <c r="U71" s="750"/>
      <c r="V71" s="750"/>
      <c r="W71" s="750"/>
      <c r="X71" s="750"/>
      <c r="Y71" s="750"/>
      <c r="Z71" s="750"/>
      <c r="AA71" s="750"/>
      <c r="AB71" s="750"/>
      <c r="AC71" s="750"/>
      <c r="AD71" s="750"/>
      <c r="AE71" s="750"/>
      <c r="AF71" s="750"/>
      <c r="AG71" s="751"/>
      <c r="AH71" s="476"/>
      <c r="AI71" s="476"/>
      <c r="AJ71" s="418"/>
      <c r="AK71" s="418"/>
      <c r="AL71" s="418"/>
      <c r="AM71" s="418"/>
      <c r="AN71" s="418"/>
      <c r="AO71" s="418"/>
      <c r="AP71" s="418"/>
      <c r="AQ71" s="418"/>
      <c r="AR71" s="418"/>
      <c r="AS71" s="418"/>
      <c r="AT71" s="418"/>
      <c r="AU71" s="418"/>
      <c r="AV71" s="418"/>
      <c r="AW71" s="418"/>
      <c r="AX71" s="418"/>
      <c r="AY71" s="418"/>
      <c r="AZ71" s="418"/>
      <c r="BA71" s="418"/>
      <c r="BB71" s="418"/>
      <c r="BC71" s="418"/>
      <c r="BD71" s="418"/>
      <c r="BE71" s="418"/>
      <c r="BF71" s="418"/>
      <c r="BG71" s="418"/>
      <c r="BH71" s="418"/>
      <c r="BI71" s="418"/>
      <c r="BJ71" s="418"/>
      <c r="BK71" s="418"/>
      <c r="BL71" s="418"/>
      <c r="BM71" s="418"/>
      <c r="BN71" s="418"/>
      <c r="BO71" s="418"/>
      <c r="BP71" s="418"/>
      <c r="BQ71" s="477"/>
      <c r="BR71" s="477"/>
      <c r="BS71" s="477"/>
      <c r="BT71" s="477"/>
      <c r="BU71" s="477"/>
      <c r="BV71" s="477"/>
      <c r="BW71" s="477"/>
      <c r="BX71" s="477"/>
      <c r="BY71" s="477"/>
    </row>
    <row r="72" spans="1:77" s="478" customFormat="1" ht="72.75" customHeight="1" thickBot="1" x14ac:dyDescent="0.3">
      <c r="A72" s="747" t="s">
        <v>359</v>
      </c>
      <c r="B72" s="748"/>
      <c r="C72" s="459">
        <v>684354613</v>
      </c>
      <c r="D72" s="459">
        <f>SUM(C72)+462168733+35166303+183157650</f>
        <v>1364847299</v>
      </c>
      <c r="E72" s="461"/>
      <c r="F72" s="461"/>
      <c r="G72" s="461"/>
      <c r="H72" s="461"/>
      <c r="I72" s="460">
        <f>1854370</f>
        <v>1854370</v>
      </c>
      <c r="J72" s="460">
        <f>SUM(I72)+123143967+35166303+47535536</f>
        <v>207700176</v>
      </c>
      <c r="K72" s="461"/>
      <c r="L72" s="461"/>
      <c r="M72" s="461"/>
      <c r="N72" s="461"/>
      <c r="O72" s="460">
        <f>103267510+117064000+462168733</f>
        <v>682500243</v>
      </c>
      <c r="P72" s="460">
        <f>SUM(O72)+462168733-226287660+135622114</f>
        <v>1054003430</v>
      </c>
      <c r="Q72" s="460"/>
      <c r="R72" s="460">
        <v>103143693</v>
      </c>
      <c r="S72" s="461"/>
      <c r="T72" s="461"/>
      <c r="U72" s="461"/>
      <c r="V72" s="461"/>
      <c r="W72" s="461"/>
      <c r="X72" s="461"/>
      <c r="Y72" s="461"/>
      <c r="Z72" s="461">
        <f>SUM(E72+G72+I72+K72+M72)</f>
        <v>1854370</v>
      </c>
      <c r="AA72" s="461">
        <f>SUM(F72+H72+J72+L72+N72)</f>
        <v>207700176</v>
      </c>
      <c r="AB72" s="461">
        <f>SUM(O72+Q72+S72)</f>
        <v>682500243</v>
      </c>
      <c r="AC72" s="461">
        <f>SUM(P72+R72+T72)</f>
        <v>1157147123</v>
      </c>
      <c r="AD72" s="461">
        <v>0</v>
      </c>
      <c r="AE72" s="461">
        <v>0</v>
      </c>
      <c r="AF72" s="461">
        <f>SUM(Z72+AB72+AD72)</f>
        <v>684354613</v>
      </c>
      <c r="AG72" s="461">
        <f>SUM(AA72+AC72+AE72)</f>
        <v>1364847299</v>
      </c>
      <c r="AH72" s="419"/>
      <c r="AI72" s="419"/>
      <c r="AJ72" s="418"/>
      <c r="AK72" s="418"/>
      <c r="AL72" s="418"/>
      <c r="AM72" s="418"/>
      <c r="AN72" s="418"/>
      <c r="AO72" s="418"/>
      <c r="AP72" s="418"/>
      <c r="AQ72" s="418"/>
      <c r="AR72" s="418"/>
      <c r="AS72" s="418"/>
      <c r="AT72" s="418"/>
      <c r="AU72" s="418"/>
      <c r="AV72" s="418"/>
      <c r="AW72" s="418"/>
      <c r="AX72" s="418"/>
      <c r="AY72" s="418"/>
      <c r="AZ72" s="418"/>
      <c r="BA72" s="418"/>
      <c r="BB72" s="418"/>
      <c r="BC72" s="418"/>
      <c r="BD72" s="418"/>
      <c r="BE72" s="418"/>
      <c r="BF72" s="418"/>
      <c r="BG72" s="418"/>
      <c r="BH72" s="418"/>
      <c r="BI72" s="418"/>
      <c r="BJ72" s="418"/>
      <c r="BK72" s="418"/>
      <c r="BL72" s="418"/>
      <c r="BM72" s="418"/>
      <c r="BN72" s="418"/>
      <c r="BO72" s="418"/>
      <c r="BP72" s="418"/>
      <c r="BQ72" s="418"/>
      <c r="BR72" s="418"/>
      <c r="BS72" s="418"/>
      <c r="BT72" s="418"/>
      <c r="BU72" s="418"/>
      <c r="BV72" s="418"/>
      <c r="BW72" s="418"/>
      <c r="BX72" s="418"/>
      <c r="BY72" s="418"/>
    </row>
    <row r="73" spans="1:77" s="478" customFormat="1" ht="50.25" customHeight="1" thickBot="1" x14ac:dyDescent="0.3">
      <c r="A73" s="625" t="s">
        <v>417</v>
      </c>
      <c r="B73" s="626"/>
      <c r="C73" s="459">
        <v>9944521</v>
      </c>
      <c r="D73" s="459">
        <f>SUM(C73)+882961-842709</f>
        <v>9984773</v>
      </c>
      <c r="E73" s="460"/>
      <c r="F73" s="460">
        <v>431226</v>
      </c>
      <c r="G73" s="460"/>
      <c r="H73" s="460">
        <v>60156</v>
      </c>
      <c r="I73" s="460">
        <v>9944521</v>
      </c>
      <c r="J73" s="460">
        <f>SUM(I73)+3960-1297799</f>
        <v>8650682</v>
      </c>
      <c r="K73" s="461"/>
      <c r="L73" s="461"/>
      <c r="M73" s="461"/>
      <c r="N73" s="460">
        <f>879001+806417-842709</f>
        <v>842709</v>
      </c>
      <c r="O73" s="460"/>
      <c r="P73" s="460"/>
      <c r="Q73" s="460"/>
      <c r="R73" s="460"/>
      <c r="S73" s="461"/>
      <c r="T73" s="461"/>
      <c r="U73" s="461"/>
      <c r="V73" s="461"/>
      <c r="W73" s="461"/>
      <c r="X73" s="461"/>
      <c r="Y73" s="461"/>
      <c r="Z73" s="461">
        <f t="shared" ref="Z73:AA73" si="19">SUM(E73+G73+I73+K73+M73)</f>
        <v>9944521</v>
      </c>
      <c r="AA73" s="461">
        <f t="shared" si="19"/>
        <v>9984773</v>
      </c>
      <c r="AB73" s="461">
        <f t="shared" ref="AB73:AC73" si="20">SUM(O73+Q73+S73)</f>
        <v>0</v>
      </c>
      <c r="AC73" s="461">
        <f t="shared" si="20"/>
        <v>0</v>
      </c>
      <c r="AD73" s="461">
        <v>0</v>
      </c>
      <c r="AE73" s="461">
        <v>0</v>
      </c>
      <c r="AF73" s="461">
        <f t="shared" ref="AF73" si="21">SUM(Z73+AB73+AD73)</f>
        <v>9944521</v>
      </c>
      <c r="AG73" s="461">
        <f>SUM(AA73+AC73+AE73)</f>
        <v>9984773</v>
      </c>
      <c r="AH73" s="419"/>
      <c r="AI73" s="419"/>
      <c r="AJ73" s="418"/>
      <c r="AK73" s="418"/>
      <c r="AL73" s="418"/>
      <c r="AM73" s="418"/>
      <c r="AN73" s="418"/>
      <c r="AO73" s="418"/>
      <c r="AP73" s="418"/>
      <c r="AQ73" s="418"/>
      <c r="AR73" s="418"/>
      <c r="AS73" s="418"/>
      <c r="AT73" s="418"/>
      <c r="AU73" s="418"/>
      <c r="AV73" s="418"/>
      <c r="AW73" s="418"/>
      <c r="AX73" s="418"/>
      <c r="AY73" s="418"/>
      <c r="AZ73" s="418"/>
      <c r="BA73" s="418"/>
      <c r="BB73" s="418"/>
      <c r="BC73" s="418"/>
      <c r="BD73" s="418"/>
      <c r="BE73" s="418"/>
      <c r="BF73" s="418"/>
      <c r="BG73" s="418"/>
      <c r="BH73" s="418"/>
      <c r="BI73" s="418"/>
      <c r="BJ73" s="418"/>
      <c r="BK73" s="418"/>
      <c r="BL73" s="418"/>
      <c r="BM73" s="418"/>
      <c r="BN73" s="418"/>
      <c r="BO73" s="418"/>
      <c r="BP73" s="418"/>
      <c r="BQ73" s="418"/>
      <c r="BR73" s="418"/>
      <c r="BS73" s="418"/>
      <c r="BT73" s="418"/>
      <c r="BU73" s="418"/>
      <c r="BV73" s="418"/>
      <c r="BW73" s="418"/>
      <c r="BX73" s="418"/>
      <c r="BY73" s="418"/>
    </row>
    <row r="74" spans="1:77" s="478" customFormat="1" ht="45.75" customHeight="1" thickBot="1" x14ac:dyDescent="0.3">
      <c r="A74" s="770" t="s">
        <v>460</v>
      </c>
      <c r="B74" s="771"/>
      <c r="C74" s="771"/>
      <c r="D74" s="771"/>
      <c r="E74" s="771"/>
      <c r="F74" s="771"/>
      <c r="G74" s="771"/>
      <c r="H74" s="771"/>
      <c r="I74" s="771"/>
      <c r="J74" s="771"/>
      <c r="K74" s="771"/>
      <c r="L74" s="771"/>
      <c r="M74" s="771"/>
      <c r="N74" s="771"/>
      <c r="O74" s="771"/>
      <c r="P74" s="771"/>
      <c r="Q74" s="771"/>
      <c r="R74" s="771"/>
      <c r="S74" s="771"/>
      <c r="T74" s="771"/>
      <c r="U74" s="771"/>
      <c r="V74" s="771"/>
      <c r="W74" s="771"/>
      <c r="X74" s="771"/>
      <c r="Y74" s="771"/>
      <c r="Z74" s="771"/>
      <c r="AA74" s="771"/>
      <c r="AB74" s="771"/>
      <c r="AC74" s="771"/>
      <c r="AD74" s="771"/>
      <c r="AE74" s="771"/>
      <c r="AF74" s="771"/>
      <c r="AG74" s="772"/>
      <c r="AH74" s="476"/>
      <c r="AI74" s="476"/>
      <c r="AJ74" s="418"/>
      <c r="AK74" s="418"/>
      <c r="AL74" s="418"/>
      <c r="AM74" s="418"/>
      <c r="AN74" s="418"/>
      <c r="AO74" s="418"/>
      <c r="AP74" s="418"/>
      <c r="AQ74" s="418"/>
      <c r="AR74" s="418"/>
      <c r="AS74" s="418"/>
      <c r="AT74" s="418"/>
      <c r="AU74" s="418"/>
      <c r="AV74" s="418"/>
      <c r="AW74" s="418"/>
      <c r="AX74" s="418"/>
      <c r="AY74" s="418"/>
      <c r="AZ74" s="418"/>
      <c r="BA74" s="418"/>
      <c r="BB74" s="418"/>
      <c r="BC74" s="418"/>
      <c r="BD74" s="418"/>
      <c r="BE74" s="418"/>
      <c r="BF74" s="418"/>
      <c r="BG74" s="418"/>
      <c r="BH74" s="418"/>
      <c r="BI74" s="418"/>
      <c r="BJ74" s="418"/>
      <c r="BK74" s="418"/>
      <c r="BL74" s="418"/>
      <c r="BM74" s="418"/>
      <c r="BN74" s="418"/>
      <c r="BO74" s="418"/>
      <c r="BP74" s="418"/>
      <c r="BQ74" s="477"/>
      <c r="BR74" s="477"/>
      <c r="BS74" s="477"/>
      <c r="BT74" s="477"/>
      <c r="BU74" s="477"/>
      <c r="BV74" s="477"/>
      <c r="BW74" s="477"/>
      <c r="BX74" s="477"/>
      <c r="BY74" s="477"/>
    </row>
    <row r="75" spans="1:77" s="478" customFormat="1" ht="45.75" customHeight="1" thickBot="1" x14ac:dyDescent="0.3">
      <c r="A75" s="52" t="s">
        <v>67</v>
      </c>
      <c r="B75" s="593"/>
      <c r="C75" s="594">
        <v>30941000</v>
      </c>
      <c r="D75" s="594">
        <f>SUM(B76:B79)</f>
        <v>29481975</v>
      </c>
      <c r="E75" s="595">
        <v>219000</v>
      </c>
      <c r="F75" s="595">
        <f>SUM(E75)+15678</f>
        <v>234678</v>
      </c>
      <c r="G75" s="595">
        <v>33945</v>
      </c>
      <c r="H75" s="595">
        <f>SUM(G75)+14452</f>
        <v>48397</v>
      </c>
      <c r="I75" s="595">
        <v>30688055</v>
      </c>
      <c r="J75" s="595">
        <f>SUM(I75)+5265323+105000-736513+12990+314045-6450000</f>
        <v>29198900</v>
      </c>
      <c r="K75" s="596"/>
      <c r="L75" s="596"/>
      <c r="M75" s="596"/>
      <c r="N75" s="596"/>
      <c r="O75" s="596"/>
      <c r="P75" s="596"/>
      <c r="Q75" s="596"/>
      <c r="R75" s="596"/>
      <c r="S75" s="596"/>
      <c r="T75" s="596"/>
      <c r="U75" s="596"/>
      <c r="V75" s="596"/>
      <c r="W75" s="596"/>
      <c r="X75" s="596"/>
      <c r="Y75" s="596"/>
      <c r="Z75" s="469">
        <f t="shared" ref="Z75" si="22">SUM(E75+G75+I75+K75+M75)</f>
        <v>30941000</v>
      </c>
      <c r="AA75" s="469">
        <f>SUM(F75+H75+J75+L75+N75)</f>
        <v>29481975</v>
      </c>
      <c r="AB75" s="469">
        <f t="shared" ref="AB75:AC75" si="23">SUM(O75+Q75+S75)</f>
        <v>0</v>
      </c>
      <c r="AC75" s="469">
        <f t="shared" si="23"/>
        <v>0</v>
      </c>
      <c r="AD75" s="469">
        <v>0</v>
      </c>
      <c r="AE75" s="469">
        <v>0</v>
      </c>
      <c r="AF75" s="469">
        <f t="shared" ref="AF75:AG81" si="24">SUM(Z75+AB75+AD75)</f>
        <v>30941000</v>
      </c>
      <c r="AG75" s="461">
        <f t="shared" si="24"/>
        <v>29481975</v>
      </c>
      <c r="AH75" s="419"/>
      <c r="AI75" s="419"/>
      <c r="AJ75" s="418"/>
      <c r="AK75" s="418"/>
      <c r="AL75" s="418"/>
      <c r="AM75" s="418"/>
      <c r="AN75" s="418"/>
      <c r="AO75" s="418"/>
      <c r="AP75" s="418"/>
      <c r="AQ75" s="418"/>
      <c r="AR75" s="418"/>
      <c r="AS75" s="418"/>
      <c r="AT75" s="418"/>
      <c r="AU75" s="418"/>
      <c r="AV75" s="418"/>
      <c r="AW75" s="418"/>
      <c r="AX75" s="418"/>
      <c r="AY75" s="418"/>
      <c r="AZ75" s="418"/>
      <c r="BA75" s="418"/>
      <c r="BB75" s="418"/>
      <c r="BC75" s="418"/>
      <c r="BD75" s="418"/>
      <c r="BE75" s="418"/>
      <c r="BF75" s="418"/>
      <c r="BG75" s="418"/>
      <c r="BH75" s="418"/>
      <c r="BI75" s="418"/>
      <c r="BJ75" s="418"/>
      <c r="BK75" s="418"/>
      <c r="BL75" s="418"/>
      <c r="BM75" s="418"/>
      <c r="BN75" s="418"/>
      <c r="BO75" s="418"/>
      <c r="BP75" s="418"/>
      <c r="BQ75" s="418"/>
      <c r="BR75" s="418"/>
      <c r="BS75" s="418"/>
      <c r="BT75" s="418"/>
      <c r="BU75" s="418"/>
      <c r="BV75" s="418"/>
      <c r="BW75" s="418"/>
      <c r="BX75" s="418"/>
      <c r="BY75" s="418"/>
    </row>
    <row r="76" spans="1:77" s="473" customFormat="1" ht="28.5" customHeight="1" thickBot="1" x14ac:dyDescent="0.3">
      <c r="A76" s="627" t="s">
        <v>435</v>
      </c>
      <c r="B76" s="397">
        <f>2150000*12-6450000</f>
        <v>19350000</v>
      </c>
      <c r="C76" s="459"/>
      <c r="D76" s="459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1"/>
      <c r="AA76" s="461"/>
      <c r="AB76" s="461"/>
      <c r="AC76" s="461"/>
      <c r="AD76" s="461"/>
      <c r="AE76" s="461"/>
      <c r="AF76" s="461"/>
      <c r="AG76" s="461">
        <f t="shared" si="24"/>
        <v>0</v>
      </c>
      <c r="AH76" s="419"/>
      <c r="AI76" s="419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/>
      <c r="AV76" s="472"/>
      <c r="AW76" s="472"/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  <c r="BI76" s="472"/>
      <c r="BJ76" s="472"/>
      <c r="BK76" s="472"/>
      <c r="BL76" s="472"/>
      <c r="BM76" s="472"/>
      <c r="BN76" s="472"/>
      <c r="BO76" s="472"/>
      <c r="BP76" s="472"/>
      <c r="BQ76" s="472"/>
      <c r="BR76" s="472"/>
      <c r="BS76" s="472"/>
      <c r="BT76" s="472"/>
      <c r="BU76" s="472"/>
      <c r="BV76" s="472"/>
      <c r="BW76" s="472"/>
      <c r="BX76" s="472"/>
      <c r="BY76" s="472"/>
    </row>
    <row r="77" spans="1:77" s="473" customFormat="1" ht="30.75" customHeight="1" thickBot="1" x14ac:dyDescent="0.3">
      <c r="A77" s="627" t="s">
        <v>68</v>
      </c>
      <c r="B77" s="397">
        <f>300000+41000+12990</f>
        <v>353990</v>
      </c>
      <c r="C77" s="459"/>
      <c r="D77" s="459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1"/>
      <c r="AA77" s="461"/>
      <c r="AB77" s="461"/>
      <c r="AC77" s="461"/>
      <c r="AD77" s="461"/>
      <c r="AE77" s="461"/>
      <c r="AF77" s="461"/>
      <c r="AG77" s="461">
        <f t="shared" si="24"/>
        <v>0</v>
      </c>
      <c r="AH77" s="419"/>
      <c r="AI77" s="419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472"/>
      <c r="BC77" s="472"/>
      <c r="BD77" s="472"/>
      <c r="BE77" s="472"/>
      <c r="BF77" s="472"/>
      <c r="BG77" s="472"/>
      <c r="BH77" s="472"/>
      <c r="BI77" s="472"/>
      <c r="BJ77" s="472"/>
      <c r="BK77" s="472"/>
      <c r="BL77" s="472"/>
      <c r="BM77" s="472"/>
      <c r="BN77" s="472"/>
      <c r="BO77" s="472"/>
      <c r="BP77" s="472"/>
      <c r="BQ77" s="472"/>
      <c r="BR77" s="472"/>
      <c r="BS77" s="472"/>
      <c r="BT77" s="472"/>
      <c r="BU77" s="472"/>
      <c r="BV77" s="472"/>
      <c r="BW77" s="472"/>
      <c r="BX77" s="472"/>
      <c r="BY77" s="472"/>
    </row>
    <row r="78" spans="1:77" s="473" customFormat="1" ht="30.75" customHeight="1" thickBot="1" x14ac:dyDescent="0.3">
      <c r="A78" s="627" t="s">
        <v>543</v>
      </c>
      <c r="B78" s="397">
        <f>105000+5295453+314045</f>
        <v>5714498</v>
      </c>
      <c r="C78" s="459"/>
      <c r="D78" s="459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1"/>
      <c r="AA78" s="461"/>
      <c r="AB78" s="461"/>
      <c r="AC78" s="461"/>
      <c r="AD78" s="461"/>
      <c r="AE78" s="461"/>
      <c r="AF78" s="461"/>
      <c r="AG78" s="461"/>
      <c r="AH78" s="419"/>
      <c r="AI78" s="419"/>
      <c r="AJ78" s="472"/>
      <c r="AK78" s="472"/>
      <c r="AL78" s="472"/>
      <c r="AM78" s="472"/>
      <c r="AN78" s="472"/>
      <c r="AO78" s="472"/>
      <c r="AP78" s="472"/>
      <c r="AQ78" s="472"/>
      <c r="AR78" s="472"/>
      <c r="AS78" s="472"/>
      <c r="AT78" s="472"/>
      <c r="AU78" s="472"/>
      <c r="AV78" s="472"/>
      <c r="AW78" s="472"/>
      <c r="AX78" s="472"/>
      <c r="AY78" s="472"/>
      <c r="AZ78" s="472"/>
      <c r="BA78" s="472"/>
      <c r="BB78" s="472"/>
      <c r="BC78" s="472"/>
      <c r="BD78" s="472"/>
      <c r="BE78" s="472"/>
      <c r="BF78" s="472"/>
      <c r="BG78" s="472"/>
      <c r="BH78" s="472"/>
      <c r="BI78" s="472"/>
      <c r="BJ78" s="472"/>
      <c r="BK78" s="472"/>
      <c r="BL78" s="472"/>
      <c r="BM78" s="472"/>
      <c r="BN78" s="472"/>
      <c r="BO78" s="472"/>
      <c r="BP78" s="472"/>
      <c r="BQ78" s="472"/>
      <c r="BR78" s="472"/>
      <c r="BS78" s="472"/>
      <c r="BT78" s="472"/>
      <c r="BU78" s="472"/>
      <c r="BV78" s="472"/>
      <c r="BW78" s="472"/>
      <c r="BX78" s="472"/>
      <c r="BY78" s="472"/>
    </row>
    <row r="79" spans="1:77" s="473" customFormat="1" ht="48" customHeight="1" thickBot="1" x14ac:dyDescent="0.3">
      <c r="A79" s="627" t="s">
        <v>398</v>
      </c>
      <c r="B79" s="397">
        <f>400000*12-736513</f>
        <v>4063487</v>
      </c>
      <c r="C79" s="462"/>
      <c r="D79" s="462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1"/>
      <c r="AA79" s="461"/>
      <c r="AB79" s="461"/>
      <c r="AC79" s="461"/>
      <c r="AD79" s="461"/>
      <c r="AE79" s="461"/>
      <c r="AF79" s="461"/>
      <c r="AG79" s="461">
        <f t="shared" si="24"/>
        <v>0</v>
      </c>
      <c r="AH79" s="419"/>
      <c r="AI79" s="419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2"/>
      <c r="BN79" s="472"/>
      <c r="BO79" s="472"/>
      <c r="BP79" s="472"/>
      <c r="BQ79" s="472"/>
      <c r="BR79" s="472"/>
      <c r="BS79" s="472"/>
      <c r="BT79" s="472"/>
      <c r="BU79" s="472"/>
      <c r="BV79" s="472"/>
      <c r="BW79" s="472"/>
      <c r="BX79" s="472"/>
      <c r="BY79" s="472"/>
    </row>
    <row r="80" spans="1:77" s="478" customFormat="1" ht="45.75" customHeight="1" thickBot="1" x14ac:dyDescent="0.3">
      <c r="A80" s="749" t="s">
        <v>461</v>
      </c>
      <c r="B80" s="750"/>
      <c r="C80" s="750"/>
      <c r="D80" s="750"/>
      <c r="E80" s="750"/>
      <c r="F80" s="750"/>
      <c r="G80" s="750"/>
      <c r="H80" s="750"/>
      <c r="I80" s="750"/>
      <c r="J80" s="750"/>
      <c r="K80" s="750"/>
      <c r="L80" s="750"/>
      <c r="M80" s="750"/>
      <c r="N80" s="750"/>
      <c r="O80" s="750"/>
      <c r="P80" s="750"/>
      <c r="Q80" s="750"/>
      <c r="R80" s="750"/>
      <c r="S80" s="750"/>
      <c r="T80" s="750"/>
      <c r="U80" s="750"/>
      <c r="V80" s="750"/>
      <c r="W80" s="750"/>
      <c r="X80" s="750"/>
      <c r="Y80" s="750"/>
      <c r="Z80" s="750"/>
      <c r="AA80" s="750"/>
      <c r="AB80" s="750"/>
      <c r="AC80" s="750"/>
      <c r="AD80" s="750"/>
      <c r="AE80" s="750"/>
      <c r="AF80" s="750"/>
      <c r="AG80" s="751"/>
      <c r="AH80" s="476"/>
      <c r="AI80" s="476"/>
      <c r="AJ80" s="418"/>
      <c r="AK80" s="418"/>
      <c r="AL80" s="418"/>
      <c r="AM80" s="418"/>
      <c r="AN80" s="418"/>
      <c r="AO80" s="418"/>
      <c r="AP80" s="418"/>
      <c r="AQ80" s="418"/>
      <c r="AR80" s="418"/>
      <c r="AS80" s="418"/>
      <c r="AT80" s="418"/>
      <c r="AU80" s="418"/>
      <c r="AV80" s="418"/>
      <c r="AW80" s="418"/>
      <c r="AX80" s="418"/>
      <c r="AY80" s="418"/>
      <c r="AZ80" s="418"/>
      <c r="BA80" s="418"/>
      <c r="BB80" s="418"/>
      <c r="BC80" s="418"/>
      <c r="BD80" s="418"/>
      <c r="BE80" s="418"/>
      <c r="BF80" s="418"/>
      <c r="BG80" s="418"/>
      <c r="BH80" s="418"/>
      <c r="BI80" s="418"/>
      <c r="BJ80" s="418"/>
      <c r="BK80" s="418"/>
      <c r="BL80" s="418"/>
      <c r="BM80" s="418"/>
      <c r="BN80" s="418"/>
      <c r="BO80" s="418"/>
      <c r="BP80" s="418"/>
      <c r="BQ80" s="477"/>
      <c r="BR80" s="477"/>
      <c r="BS80" s="477"/>
      <c r="BT80" s="477"/>
      <c r="BU80" s="477"/>
      <c r="BV80" s="477"/>
      <c r="BW80" s="477"/>
      <c r="BX80" s="477"/>
      <c r="BY80" s="477"/>
    </row>
    <row r="81" spans="1:77" s="478" customFormat="1" ht="31.5" customHeight="1" thickBot="1" x14ac:dyDescent="0.3">
      <c r="A81" s="625" t="s">
        <v>433</v>
      </c>
      <c r="B81" s="398"/>
      <c r="C81" s="459">
        <v>987139284</v>
      </c>
      <c r="D81" s="459">
        <f>SUM(B83:B92)</f>
        <v>1178714583</v>
      </c>
      <c r="E81" s="461"/>
      <c r="F81" s="461"/>
      <c r="G81" s="461"/>
      <c r="H81" s="461"/>
      <c r="I81" s="460">
        <v>6080000</v>
      </c>
      <c r="J81" s="460">
        <f>SUM(I81)+1381760+1430528</f>
        <v>8892288</v>
      </c>
      <c r="K81" s="460">
        <f>25000000+5000000+25000000+2500000</f>
        <v>57500000</v>
      </c>
      <c r="L81" s="460">
        <f>SUM(K81)+1455000</f>
        <v>58955000</v>
      </c>
      <c r="M81" s="460">
        <f>753644954+168910630+1003700</f>
        <v>923559284</v>
      </c>
      <c r="N81" s="460">
        <f>SUM(M81)+99931695-29772034+33398221+93014618-9264489</f>
        <v>1110867295</v>
      </c>
      <c r="O81" s="460"/>
      <c r="P81" s="460"/>
      <c r="Q81" s="461"/>
      <c r="R81" s="461"/>
      <c r="S81" s="461"/>
      <c r="T81" s="461"/>
      <c r="U81" s="461"/>
      <c r="V81" s="461"/>
      <c r="W81" s="461"/>
      <c r="X81" s="461"/>
      <c r="Y81" s="461"/>
      <c r="Z81" s="461">
        <f t="shared" ref="Z81" si="25">SUM(E81+G81+I81+K81+M81)</f>
        <v>987139284</v>
      </c>
      <c r="AA81" s="461">
        <f>SUM(F81+H81+J81+L81+N81)</f>
        <v>1178714583</v>
      </c>
      <c r="AB81" s="461">
        <f t="shared" ref="AB81:AC81" si="26">SUM(O81+Q81+S81)</f>
        <v>0</v>
      </c>
      <c r="AC81" s="461">
        <f t="shared" si="26"/>
        <v>0</v>
      </c>
      <c r="AD81" s="461">
        <v>0</v>
      </c>
      <c r="AE81" s="461">
        <v>0</v>
      </c>
      <c r="AF81" s="461">
        <f t="shared" si="24"/>
        <v>987139284</v>
      </c>
      <c r="AG81" s="461">
        <f>SUM(AA81+AC81+AE81)</f>
        <v>1178714583</v>
      </c>
      <c r="AH81" s="419"/>
      <c r="AI81" s="419"/>
      <c r="AJ81" s="418"/>
      <c r="AK81" s="418"/>
      <c r="AL81" s="418"/>
      <c r="AM81" s="418"/>
      <c r="AN81" s="418"/>
      <c r="AO81" s="418"/>
      <c r="AP81" s="418"/>
      <c r="AQ81" s="418"/>
      <c r="AR81" s="418"/>
      <c r="AS81" s="418"/>
      <c r="AT81" s="418"/>
      <c r="AU81" s="418"/>
      <c r="AV81" s="418"/>
      <c r="AW81" s="418"/>
      <c r="AX81" s="418"/>
      <c r="AY81" s="418"/>
      <c r="AZ81" s="418"/>
      <c r="BA81" s="418"/>
      <c r="BB81" s="418"/>
      <c r="BC81" s="418"/>
      <c r="BD81" s="418"/>
      <c r="BE81" s="418"/>
      <c r="BF81" s="418"/>
      <c r="BG81" s="418"/>
      <c r="BH81" s="418"/>
      <c r="BI81" s="418"/>
      <c r="BJ81" s="418"/>
      <c r="BK81" s="418"/>
      <c r="BL81" s="418"/>
      <c r="BM81" s="418"/>
      <c r="BN81" s="418"/>
      <c r="BO81" s="418"/>
      <c r="BP81" s="418"/>
      <c r="BQ81" s="418"/>
      <c r="BR81" s="418"/>
      <c r="BS81" s="418"/>
      <c r="BT81" s="418"/>
      <c r="BU81" s="418"/>
      <c r="BV81" s="418"/>
      <c r="BW81" s="418"/>
      <c r="BX81" s="418"/>
      <c r="BY81" s="418"/>
    </row>
    <row r="82" spans="1:77" s="473" customFormat="1" ht="30" customHeight="1" thickBot="1" x14ac:dyDescent="0.3">
      <c r="A82" s="773" t="s">
        <v>87</v>
      </c>
      <c r="B82" s="774"/>
      <c r="C82" s="459"/>
      <c r="D82" s="459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1"/>
      <c r="AA82" s="461"/>
      <c r="AB82" s="461"/>
      <c r="AC82" s="461"/>
      <c r="AD82" s="461"/>
      <c r="AE82" s="461"/>
      <c r="AF82" s="461"/>
      <c r="AG82" s="461">
        <f t="shared" ref="AG82:AG100" si="27">SUM(AA82+AC82+AE82)</f>
        <v>0</v>
      </c>
      <c r="AH82" s="419"/>
      <c r="AI82" s="419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472"/>
      <c r="AW82" s="472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2"/>
      <c r="BI82" s="472"/>
      <c r="BJ82" s="472"/>
      <c r="BK82" s="472"/>
      <c r="BL82" s="472"/>
      <c r="BM82" s="472"/>
      <c r="BN82" s="472"/>
      <c r="BO82" s="472"/>
      <c r="BP82" s="472"/>
      <c r="BQ82" s="472"/>
      <c r="BR82" s="472"/>
      <c r="BS82" s="472"/>
      <c r="BT82" s="472"/>
      <c r="BU82" s="472"/>
      <c r="BV82" s="472"/>
      <c r="BW82" s="472"/>
      <c r="BX82" s="472"/>
      <c r="BY82" s="472"/>
    </row>
    <row r="83" spans="1:77" s="473" customFormat="1" ht="21" customHeight="1" thickBot="1" x14ac:dyDescent="0.3">
      <c r="A83" s="627" t="s">
        <v>88</v>
      </c>
      <c r="B83" s="397">
        <f>25000000-2619000</f>
        <v>22381000</v>
      </c>
      <c r="C83" s="459"/>
      <c r="D83" s="459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1"/>
      <c r="AA83" s="461"/>
      <c r="AB83" s="461"/>
      <c r="AC83" s="461"/>
      <c r="AD83" s="461"/>
      <c r="AE83" s="461"/>
      <c r="AF83" s="461"/>
      <c r="AG83" s="461">
        <f t="shared" si="27"/>
        <v>0</v>
      </c>
      <c r="AH83" s="419"/>
      <c r="AI83" s="419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72"/>
      <c r="BG83" s="472"/>
      <c r="BH83" s="472"/>
      <c r="BI83" s="472"/>
      <c r="BJ83" s="472"/>
      <c r="BK83" s="472"/>
      <c r="BL83" s="472"/>
      <c r="BM83" s="472"/>
      <c r="BN83" s="472"/>
      <c r="BO83" s="472"/>
      <c r="BP83" s="472"/>
      <c r="BQ83" s="472"/>
      <c r="BR83" s="472"/>
      <c r="BS83" s="472"/>
      <c r="BT83" s="472"/>
      <c r="BU83" s="472"/>
      <c r="BV83" s="472"/>
      <c r="BW83" s="472"/>
      <c r="BX83" s="472"/>
      <c r="BY83" s="472"/>
    </row>
    <row r="84" spans="1:77" s="473" customFormat="1" ht="21" customHeight="1" thickBot="1" x14ac:dyDescent="0.3">
      <c r="A84" s="627" t="s">
        <v>89</v>
      </c>
      <c r="B84" s="397">
        <f>5000000-640000</f>
        <v>4360000</v>
      </c>
      <c r="C84" s="459"/>
      <c r="D84" s="459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1"/>
      <c r="AA84" s="461"/>
      <c r="AB84" s="461"/>
      <c r="AC84" s="461"/>
      <c r="AD84" s="461"/>
      <c r="AE84" s="461"/>
      <c r="AF84" s="461"/>
      <c r="AG84" s="461">
        <f t="shared" si="27"/>
        <v>0</v>
      </c>
      <c r="AH84" s="419"/>
      <c r="AI84" s="419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472"/>
      <c r="BC84" s="472"/>
      <c r="BD84" s="472"/>
      <c r="BE84" s="472"/>
      <c r="BF84" s="472"/>
      <c r="BG84" s="472"/>
      <c r="BH84" s="472"/>
      <c r="BI84" s="472"/>
      <c r="BJ84" s="472"/>
      <c r="BK84" s="472"/>
      <c r="BL84" s="472"/>
      <c r="BM84" s="472"/>
      <c r="BN84" s="472"/>
      <c r="BO84" s="472"/>
      <c r="BP84" s="472"/>
      <c r="BQ84" s="472"/>
      <c r="BR84" s="472"/>
      <c r="BS84" s="472"/>
      <c r="BT84" s="472"/>
      <c r="BU84" s="472"/>
      <c r="BV84" s="472"/>
      <c r="BW84" s="472"/>
      <c r="BX84" s="472"/>
      <c r="BY84" s="472"/>
    </row>
    <row r="85" spans="1:77" s="473" customFormat="1" ht="21" customHeight="1" thickBot="1" x14ac:dyDescent="0.3">
      <c r="A85" s="627" t="s">
        <v>336</v>
      </c>
      <c r="B85" s="397">
        <f>25000000+2100000</f>
        <v>27100000</v>
      </c>
      <c r="C85" s="459"/>
      <c r="D85" s="459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1"/>
      <c r="AA85" s="461"/>
      <c r="AB85" s="461"/>
      <c r="AC85" s="461"/>
      <c r="AD85" s="461"/>
      <c r="AE85" s="461"/>
      <c r="AF85" s="461"/>
      <c r="AG85" s="461">
        <f t="shared" si="27"/>
        <v>0</v>
      </c>
      <c r="AH85" s="419"/>
      <c r="AI85" s="419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  <c r="BI85" s="472"/>
      <c r="BJ85" s="472"/>
      <c r="BK85" s="472"/>
      <c r="BL85" s="472"/>
      <c r="BM85" s="472"/>
      <c r="BN85" s="472"/>
      <c r="BO85" s="472"/>
      <c r="BP85" s="472"/>
      <c r="BQ85" s="472"/>
      <c r="BR85" s="472"/>
      <c r="BS85" s="472"/>
      <c r="BT85" s="472"/>
      <c r="BU85" s="472"/>
      <c r="BV85" s="472"/>
      <c r="BW85" s="472"/>
      <c r="BX85" s="472"/>
      <c r="BY85" s="472"/>
    </row>
    <row r="86" spans="1:77" s="473" customFormat="1" ht="21" customHeight="1" thickBot="1" x14ac:dyDescent="0.3">
      <c r="A86" s="627" t="s">
        <v>90</v>
      </c>
      <c r="B86" s="397">
        <f>4000000-1500000+2614000</f>
        <v>5114000</v>
      </c>
      <c r="C86" s="459"/>
      <c r="D86" s="459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1"/>
      <c r="AA86" s="461"/>
      <c r="AB86" s="461"/>
      <c r="AC86" s="461"/>
      <c r="AD86" s="461"/>
      <c r="AE86" s="461"/>
      <c r="AF86" s="461"/>
      <c r="AG86" s="461">
        <f t="shared" si="27"/>
        <v>0</v>
      </c>
      <c r="AH86" s="419"/>
      <c r="AI86" s="419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  <c r="BI86" s="472"/>
      <c r="BJ86" s="472"/>
      <c r="BK86" s="472"/>
      <c r="BL86" s="472"/>
      <c r="BM86" s="472"/>
      <c r="BN86" s="472"/>
      <c r="BO86" s="472"/>
      <c r="BP86" s="472"/>
      <c r="BQ86" s="472"/>
      <c r="BR86" s="472"/>
      <c r="BS86" s="472"/>
      <c r="BT86" s="472"/>
      <c r="BU86" s="472"/>
      <c r="BV86" s="472"/>
      <c r="BW86" s="472"/>
      <c r="BX86" s="472"/>
      <c r="BY86" s="472"/>
    </row>
    <row r="87" spans="1:77" s="473" customFormat="1" ht="38.25" thickBot="1" x14ac:dyDescent="0.3">
      <c r="A87" s="627" t="s">
        <v>93</v>
      </c>
      <c r="B87" s="397">
        <f>753644954+99931695-29772034+33398221+65033810-394078</f>
        <v>921842568</v>
      </c>
      <c r="C87" s="462"/>
      <c r="D87" s="462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1"/>
      <c r="AA87" s="461"/>
      <c r="AB87" s="461"/>
      <c r="AC87" s="461"/>
      <c r="AD87" s="461"/>
      <c r="AE87" s="461"/>
      <c r="AF87" s="461"/>
      <c r="AG87" s="461">
        <f t="shared" si="27"/>
        <v>0</v>
      </c>
      <c r="AH87" s="419"/>
      <c r="AI87" s="419"/>
      <c r="AJ87" s="472"/>
      <c r="AK87" s="472"/>
      <c r="AL87" s="472"/>
      <c r="AM87" s="472"/>
      <c r="AN87" s="472"/>
      <c r="AO87" s="472"/>
      <c r="AP87" s="472"/>
      <c r="AQ87" s="472"/>
      <c r="AR87" s="472"/>
      <c r="AS87" s="472"/>
      <c r="AT87" s="472"/>
      <c r="AU87" s="472"/>
      <c r="AV87" s="472"/>
      <c r="AW87" s="472"/>
      <c r="AX87" s="472"/>
      <c r="AY87" s="472"/>
      <c r="AZ87" s="472"/>
      <c r="BA87" s="472"/>
      <c r="BB87" s="472"/>
      <c r="BC87" s="472"/>
      <c r="BD87" s="472"/>
      <c r="BE87" s="472"/>
      <c r="BF87" s="472"/>
      <c r="BG87" s="472"/>
      <c r="BH87" s="472"/>
      <c r="BI87" s="472"/>
      <c r="BJ87" s="472"/>
      <c r="BK87" s="472"/>
      <c r="BL87" s="472"/>
      <c r="BM87" s="472"/>
      <c r="BN87" s="472"/>
      <c r="BO87" s="472"/>
      <c r="BP87" s="472"/>
      <c r="BQ87" s="472"/>
      <c r="BR87" s="472"/>
      <c r="BS87" s="472"/>
      <c r="BT87" s="472"/>
      <c r="BU87" s="472"/>
      <c r="BV87" s="472"/>
      <c r="BW87" s="472"/>
      <c r="BX87" s="472"/>
      <c r="BY87" s="472"/>
    </row>
    <row r="88" spans="1:77" s="473" customFormat="1" ht="38.25" thickBot="1" x14ac:dyDescent="0.3">
      <c r="A88" s="627" t="s">
        <v>94</v>
      </c>
      <c r="B88" s="397">
        <f>168910630+27980808-8870411</f>
        <v>188021027</v>
      </c>
      <c r="C88" s="462"/>
      <c r="D88" s="462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1"/>
      <c r="AA88" s="461"/>
      <c r="AB88" s="461"/>
      <c r="AC88" s="461"/>
      <c r="AD88" s="461"/>
      <c r="AE88" s="461"/>
      <c r="AF88" s="461"/>
      <c r="AG88" s="461">
        <f t="shared" si="27"/>
        <v>0</v>
      </c>
      <c r="AH88" s="419"/>
      <c r="AI88" s="419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472"/>
      <c r="BB88" s="472"/>
      <c r="BC88" s="472"/>
      <c r="BD88" s="472"/>
      <c r="BE88" s="472"/>
      <c r="BF88" s="472"/>
      <c r="BG88" s="472"/>
      <c r="BH88" s="472"/>
      <c r="BI88" s="472"/>
      <c r="BJ88" s="472"/>
      <c r="BK88" s="472"/>
      <c r="BL88" s="472"/>
      <c r="BM88" s="472"/>
      <c r="BN88" s="472"/>
      <c r="BO88" s="472"/>
      <c r="BP88" s="472"/>
      <c r="BQ88" s="472"/>
      <c r="BR88" s="472"/>
      <c r="BS88" s="472"/>
      <c r="BT88" s="472"/>
      <c r="BU88" s="472"/>
      <c r="BV88" s="472"/>
      <c r="BW88" s="472"/>
      <c r="BX88" s="472"/>
      <c r="BY88" s="472"/>
    </row>
    <row r="89" spans="1:77" s="473" customFormat="1" ht="27.75" customHeight="1" thickBot="1" x14ac:dyDescent="0.3">
      <c r="A89" s="627" t="s">
        <v>340</v>
      </c>
      <c r="B89" s="397">
        <v>1003700</v>
      </c>
      <c r="C89" s="462"/>
      <c r="D89" s="462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 s="460"/>
      <c r="V89" s="460"/>
      <c r="W89" s="460"/>
      <c r="X89" s="460"/>
      <c r="Y89" s="460"/>
      <c r="Z89" s="461"/>
      <c r="AA89" s="461"/>
      <c r="AB89" s="461"/>
      <c r="AC89" s="461"/>
      <c r="AD89" s="461"/>
      <c r="AE89" s="461"/>
      <c r="AF89" s="461"/>
      <c r="AG89" s="461">
        <f t="shared" si="27"/>
        <v>0</v>
      </c>
      <c r="AH89" s="419"/>
      <c r="AI89" s="419"/>
      <c r="AJ89" s="472"/>
      <c r="AK89" s="472"/>
      <c r="AL89" s="472"/>
      <c r="AM89" s="472"/>
      <c r="AN89" s="472"/>
      <c r="AO89" s="472"/>
      <c r="AP89" s="472"/>
      <c r="AQ89" s="472"/>
      <c r="AR89" s="472"/>
      <c r="AS89" s="472"/>
      <c r="AT89" s="472"/>
      <c r="AU89" s="472"/>
      <c r="AV89" s="472"/>
      <c r="AW89" s="472"/>
      <c r="AX89" s="472"/>
      <c r="AY89" s="472"/>
      <c r="AZ89" s="472"/>
      <c r="BA89" s="472"/>
      <c r="BB89" s="472"/>
      <c r="BC89" s="472"/>
      <c r="BD89" s="472"/>
      <c r="BE89" s="472"/>
      <c r="BF89" s="472"/>
      <c r="BG89" s="472"/>
      <c r="BH89" s="472"/>
      <c r="BI89" s="472"/>
      <c r="BJ89" s="472"/>
      <c r="BK89" s="472"/>
      <c r="BL89" s="472"/>
      <c r="BM89" s="472"/>
      <c r="BN89" s="472"/>
      <c r="BO89" s="472"/>
      <c r="BP89" s="472"/>
      <c r="BQ89" s="472"/>
      <c r="BR89" s="472"/>
      <c r="BS89" s="472"/>
      <c r="BT89" s="472"/>
      <c r="BU89" s="472"/>
      <c r="BV89" s="472"/>
      <c r="BW89" s="472"/>
      <c r="BX89" s="472"/>
      <c r="BY89" s="472"/>
    </row>
    <row r="90" spans="1:77" s="473" customFormat="1" ht="27" customHeight="1" thickBot="1" x14ac:dyDescent="0.3">
      <c r="A90" s="627" t="s">
        <v>83</v>
      </c>
      <c r="B90" s="397">
        <f>5080000+1381760+1430528</f>
        <v>7892288</v>
      </c>
      <c r="C90" s="462"/>
      <c r="D90" s="462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1"/>
      <c r="AA90" s="461"/>
      <c r="AB90" s="461"/>
      <c r="AC90" s="461"/>
      <c r="AD90" s="461"/>
      <c r="AE90" s="461"/>
      <c r="AF90" s="461"/>
      <c r="AG90" s="461">
        <f t="shared" si="27"/>
        <v>0</v>
      </c>
      <c r="AH90" s="419"/>
      <c r="AI90" s="419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2"/>
      <c r="BH90" s="472"/>
      <c r="BI90" s="472"/>
      <c r="BJ90" s="472"/>
      <c r="BK90" s="472"/>
      <c r="BL90" s="472"/>
      <c r="BM90" s="472"/>
      <c r="BN90" s="472"/>
      <c r="BO90" s="472"/>
      <c r="BP90" s="472"/>
      <c r="BQ90" s="472"/>
      <c r="BR90" s="472"/>
      <c r="BS90" s="472"/>
      <c r="BT90" s="472"/>
      <c r="BU90" s="472"/>
      <c r="BV90" s="472"/>
      <c r="BW90" s="472"/>
      <c r="BX90" s="472"/>
      <c r="BY90" s="472"/>
    </row>
    <row r="91" spans="1:77" s="473" customFormat="1" ht="29.25" customHeight="1" thickBot="1" x14ac:dyDescent="0.3">
      <c r="A91" s="627" t="s">
        <v>77</v>
      </c>
      <c r="B91" s="397">
        <f>500000+18694</f>
        <v>518694</v>
      </c>
      <c r="C91" s="462"/>
      <c r="D91" s="462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1"/>
      <c r="AA91" s="461"/>
      <c r="AB91" s="461"/>
      <c r="AC91" s="461"/>
      <c r="AD91" s="461"/>
      <c r="AE91" s="461"/>
      <c r="AF91" s="461"/>
      <c r="AG91" s="461">
        <f t="shared" si="27"/>
        <v>0</v>
      </c>
      <c r="AH91" s="419"/>
      <c r="AI91" s="419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  <c r="BI91" s="472"/>
      <c r="BJ91" s="472"/>
      <c r="BK91" s="472"/>
      <c r="BL91" s="472"/>
      <c r="BM91" s="472"/>
      <c r="BN91" s="472"/>
      <c r="BO91" s="472"/>
      <c r="BP91" s="472"/>
      <c r="BQ91" s="472"/>
      <c r="BR91" s="472"/>
      <c r="BS91" s="472"/>
      <c r="BT91" s="472"/>
      <c r="BU91" s="472"/>
      <c r="BV91" s="472"/>
      <c r="BW91" s="472"/>
      <c r="BX91" s="472"/>
      <c r="BY91" s="472"/>
    </row>
    <row r="92" spans="1:77" s="473" customFormat="1" ht="29.25" customHeight="1" thickBot="1" x14ac:dyDescent="0.3">
      <c r="A92" s="627" t="s">
        <v>344</v>
      </c>
      <c r="B92" s="397">
        <f>500000-18694</f>
        <v>481306</v>
      </c>
      <c r="C92" s="462"/>
      <c r="D92" s="462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0"/>
      <c r="U92" s="460"/>
      <c r="V92" s="460"/>
      <c r="W92" s="460"/>
      <c r="X92" s="460"/>
      <c r="Y92" s="460"/>
      <c r="Z92" s="461"/>
      <c r="AA92" s="461"/>
      <c r="AB92" s="461"/>
      <c r="AC92" s="461"/>
      <c r="AD92" s="461"/>
      <c r="AE92" s="461"/>
      <c r="AF92" s="461"/>
      <c r="AG92" s="461">
        <f t="shared" si="27"/>
        <v>0</v>
      </c>
      <c r="AH92" s="419"/>
      <c r="AI92" s="419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2"/>
      <c r="AU92" s="472"/>
      <c r="AV92" s="472"/>
      <c r="AW92" s="472"/>
      <c r="AX92" s="472"/>
      <c r="AY92" s="472"/>
      <c r="AZ92" s="472"/>
      <c r="BA92" s="472"/>
      <c r="BB92" s="472"/>
      <c r="BC92" s="472"/>
      <c r="BD92" s="472"/>
      <c r="BE92" s="472"/>
      <c r="BF92" s="472"/>
      <c r="BG92" s="472"/>
      <c r="BH92" s="472"/>
      <c r="BI92" s="472"/>
      <c r="BJ92" s="472"/>
      <c r="BK92" s="472"/>
      <c r="BL92" s="472"/>
      <c r="BM92" s="472"/>
      <c r="BN92" s="472"/>
      <c r="BO92" s="472"/>
      <c r="BP92" s="472"/>
      <c r="BQ92" s="472"/>
      <c r="BR92" s="472"/>
      <c r="BS92" s="472"/>
      <c r="BT92" s="472"/>
      <c r="BU92" s="472"/>
      <c r="BV92" s="472"/>
      <c r="BW92" s="472"/>
      <c r="BX92" s="472"/>
      <c r="BY92" s="472"/>
    </row>
    <row r="93" spans="1:77" s="480" customFormat="1" ht="30" customHeight="1" thickBot="1" x14ac:dyDescent="0.3">
      <c r="A93" s="445" t="s">
        <v>544</v>
      </c>
      <c r="B93" s="398"/>
      <c r="C93" s="459"/>
      <c r="D93" s="459">
        <f>4058622-4058622</f>
        <v>0</v>
      </c>
      <c r="E93" s="461"/>
      <c r="F93" s="461"/>
      <c r="G93" s="461"/>
      <c r="H93" s="461"/>
      <c r="I93" s="460"/>
      <c r="J93" s="460"/>
      <c r="K93" s="460"/>
      <c r="L93" s="460"/>
      <c r="M93" s="460"/>
      <c r="N93" s="460"/>
      <c r="O93" s="460"/>
      <c r="P93" s="460">
        <f>4058622-4058622</f>
        <v>0</v>
      </c>
      <c r="Q93" s="460"/>
      <c r="R93" s="460"/>
      <c r="S93" s="460"/>
      <c r="T93" s="460"/>
      <c r="U93" s="461"/>
      <c r="V93" s="461"/>
      <c r="W93" s="461"/>
      <c r="X93" s="461"/>
      <c r="Y93" s="461"/>
      <c r="Z93" s="461">
        <f>SUM(E93+G93+I93+K93+M93)</f>
        <v>0</v>
      </c>
      <c r="AA93" s="461">
        <f>SUM(F93+H93+J93+L93+N93)</f>
        <v>0</v>
      </c>
      <c r="AB93" s="461">
        <f>SUM(O93+Q93+S93)</f>
        <v>0</v>
      </c>
      <c r="AC93" s="461">
        <f>SUM(P93+R93+T93)</f>
        <v>0</v>
      </c>
      <c r="AD93" s="461">
        <v>0</v>
      </c>
      <c r="AE93" s="461">
        <v>0</v>
      </c>
      <c r="AF93" s="461">
        <f>SUM(Z93+AB93+AD93)</f>
        <v>0</v>
      </c>
      <c r="AG93" s="461">
        <f t="shared" si="27"/>
        <v>0</v>
      </c>
      <c r="AH93" s="419"/>
      <c r="AI93" s="419"/>
      <c r="AJ93" s="479"/>
      <c r="AK93" s="479"/>
      <c r="AL93" s="479"/>
      <c r="AM93" s="479"/>
      <c r="AN93" s="479"/>
      <c r="AO93" s="479"/>
      <c r="AP93" s="479"/>
      <c r="AQ93" s="479"/>
      <c r="AR93" s="479"/>
      <c r="AS93" s="479"/>
      <c r="AT93" s="479"/>
      <c r="AU93" s="479"/>
      <c r="AV93" s="479"/>
      <c r="AW93" s="479"/>
      <c r="AX93" s="479"/>
      <c r="AY93" s="479"/>
      <c r="AZ93" s="479"/>
      <c r="BA93" s="479"/>
      <c r="BB93" s="479"/>
      <c r="BC93" s="479"/>
      <c r="BD93" s="479"/>
      <c r="BE93" s="479"/>
      <c r="BF93" s="479"/>
      <c r="BG93" s="479"/>
      <c r="BH93" s="479"/>
      <c r="BI93" s="479"/>
      <c r="BJ93" s="479"/>
      <c r="BK93" s="479"/>
      <c r="BL93" s="479"/>
      <c r="BM93" s="479"/>
      <c r="BN93" s="479"/>
      <c r="BO93" s="479"/>
      <c r="BP93" s="479"/>
      <c r="BQ93" s="479"/>
      <c r="BR93" s="479"/>
      <c r="BS93" s="479"/>
      <c r="BT93" s="479"/>
      <c r="BU93" s="479"/>
      <c r="BV93" s="479"/>
      <c r="BW93" s="479"/>
      <c r="BX93" s="479"/>
      <c r="BY93" s="479"/>
    </row>
    <row r="94" spans="1:77" s="473" customFormat="1" ht="55.5" customHeight="1" thickBot="1" x14ac:dyDescent="0.3">
      <c r="A94" s="625" t="s">
        <v>527</v>
      </c>
      <c r="B94" s="398"/>
      <c r="C94" s="459"/>
      <c r="D94" s="459">
        <v>82000</v>
      </c>
      <c r="E94" s="460"/>
      <c r="F94" s="460"/>
      <c r="G94" s="460"/>
      <c r="H94" s="460"/>
      <c r="I94" s="460"/>
      <c r="J94" s="460">
        <v>82000</v>
      </c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1">
        <f t="shared" ref="Z94:AA100" si="28">SUM(E94+G94+I94+K94+M94)</f>
        <v>0</v>
      </c>
      <c r="AA94" s="461">
        <f t="shared" si="28"/>
        <v>82000</v>
      </c>
      <c r="AB94" s="461">
        <f t="shared" ref="AB94:AC100" si="29">SUM(O94+Q94+S94)</f>
        <v>0</v>
      </c>
      <c r="AC94" s="461">
        <f t="shared" si="29"/>
        <v>0</v>
      </c>
      <c r="AD94" s="461">
        <v>0</v>
      </c>
      <c r="AE94" s="461">
        <v>0</v>
      </c>
      <c r="AF94" s="461">
        <f t="shared" ref="AF94:AF100" si="30">SUM(Z94+AB94+AD94)</f>
        <v>0</v>
      </c>
      <c r="AG94" s="461">
        <f t="shared" si="27"/>
        <v>82000</v>
      </c>
      <c r="AH94" s="419"/>
      <c r="AI94" s="419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/>
      <c r="AV94" s="472"/>
      <c r="AW94" s="472"/>
      <c r="AX94" s="472"/>
      <c r="AY94" s="472"/>
      <c r="AZ94" s="472"/>
      <c r="BA94" s="472"/>
      <c r="BB94" s="472"/>
      <c r="BC94" s="472"/>
      <c r="BD94" s="472"/>
      <c r="BE94" s="472"/>
      <c r="BF94" s="472"/>
      <c r="BG94" s="472"/>
      <c r="BH94" s="472"/>
      <c r="BI94" s="472"/>
      <c r="BJ94" s="472"/>
      <c r="BK94" s="472"/>
      <c r="BL94" s="472"/>
      <c r="BM94" s="472"/>
      <c r="BN94" s="472"/>
      <c r="BO94" s="472"/>
      <c r="BP94" s="472"/>
      <c r="BQ94" s="472"/>
      <c r="BR94" s="472"/>
      <c r="BS94" s="472"/>
      <c r="BT94" s="472"/>
      <c r="BU94" s="472"/>
      <c r="BV94" s="472"/>
      <c r="BW94" s="472"/>
      <c r="BX94" s="472"/>
      <c r="BY94" s="472"/>
    </row>
    <row r="95" spans="1:77" s="480" customFormat="1" ht="30" customHeight="1" thickBot="1" x14ac:dyDescent="0.3">
      <c r="A95" s="445" t="s">
        <v>358</v>
      </c>
      <c r="B95" s="398"/>
      <c r="C95" s="459">
        <v>371670689</v>
      </c>
      <c r="D95" s="459">
        <f>SUM(C95)</f>
        <v>371670689</v>
      </c>
      <c r="E95" s="461"/>
      <c r="F95" s="461"/>
      <c r="G95" s="461"/>
      <c r="H95" s="461"/>
      <c r="I95" s="460">
        <f>5500000+6875000+508623</f>
        <v>12883623</v>
      </c>
      <c r="J95" s="460">
        <f>SUM(I95)+6644177</f>
        <v>19527800</v>
      </c>
      <c r="K95" s="460"/>
      <c r="L95" s="460"/>
      <c r="M95" s="460"/>
      <c r="N95" s="460"/>
      <c r="O95" s="460"/>
      <c r="P95" s="460"/>
      <c r="Q95" s="460">
        <f>354362066+4125000+300000</f>
        <v>358787066</v>
      </c>
      <c r="R95" s="460">
        <f>SUM(Q95)-6644177</f>
        <v>352142889</v>
      </c>
      <c r="S95" s="460"/>
      <c r="T95" s="460"/>
      <c r="U95" s="461"/>
      <c r="V95" s="461"/>
      <c r="W95" s="461"/>
      <c r="X95" s="461"/>
      <c r="Y95" s="461"/>
      <c r="Z95" s="461">
        <f t="shared" si="28"/>
        <v>12883623</v>
      </c>
      <c r="AA95" s="461">
        <f t="shared" si="28"/>
        <v>19527800</v>
      </c>
      <c r="AB95" s="461">
        <f t="shared" si="29"/>
        <v>358787066</v>
      </c>
      <c r="AC95" s="461">
        <f t="shared" si="29"/>
        <v>352142889</v>
      </c>
      <c r="AD95" s="461">
        <v>0</v>
      </c>
      <c r="AE95" s="461">
        <v>0</v>
      </c>
      <c r="AF95" s="461">
        <f t="shared" si="30"/>
        <v>371670689</v>
      </c>
      <c r="AG95" s="461">
        <f t="shared" si="27"/>
        <v>371670689</v>
      </c>
      <c r="AH95" s="419"/>
      <c r="AI95" s="419"/>
      <c r="AJ95" s="479"/>
      <c r="AK95" s="479"/>
      <c r="AL95" s="479"/>
      <c r="AM95" s="479"/>
      <c r="AN95" s="479"/>
      <c r="AO95" s="479"/>
      <c r="AP95" s="479"/>
      <c r="AQ95" s="479"/>
      <c r="AR95" s="479"/>
      <c r="AS95" s="479"/>
      <c r="AT95" s="479"/>
      <c r="AU95" s="479"/>
      <c r="AV95" s="479"/>
      <c r="AW95" s="479"/>
      <c r="AX95" s="479"/>
      <c r="AY95" s="479"/>
      <c r="AZ95" s="479"/>
      <c r="BA95" s="479"/>
      <c r="BB95" s="479"/>
      <c r="BC95" s="479"/>
      <c r="BD95" s="479"/>
      <c r="BE95" s="479"/>
      <c r="BF95" s="479"/>
      <c r="BG95" s="479"/>
      <c r="BH95" s="479"/>
      <c r="BI95" s="479"/>
      <c r="BJ95" s="479"/>
      <c r="BK95" s="479"/>
      <c r="BL95" s="479"/>
      <c r="BM95" s="479"/>
      <c r="BN95" s="479"/>
      <c r="BO95" s="479"/>
      <c r="BP95" s="479"/>
      <c r="BQ95" s="479"/>
      <c r="BR95" s="479"/>
      <c r="BS95" s="479"/>
      <c r="BT95" s="479"/>
      <c r="BU95" s="479"/>
      <c r="BV95" s="479"/>
      <c r="BW95" s="479"/>
      <c r="BX95" s="479"/>
      <c r="BY95" s="479"/>
    </row>
    <row r="96" spans="1:77" s="478" customFormat="1" ht="38.25" customHeight="1" thickBot="1" x14ac:dyDescent="0.3">
      <c r="A96" s="625" t="s">
        <v>577</v>
      </c>
      <c r="B96" s="398"/>
      <c r="C96" s="459"/>
      <c r="D96" s="459">
        <v>19506764</v>
      </c>
      <c r="E96" s="461"/>
      <c r="F96" s="461"/>
      <c r="G96" s="461"/>
      <c r="H96" s="461"/>
      <c r="I96" s="461"/>
      <c r="J96" s="461"/>
      <c r="K96" s="461"/>
      <c r="L96" s="461"/>
      <c r="M96" s="461"/>
      <c r="N96" s="461"/>
      <c r="O96" s="461"/>
      <c r="P96" s="460">
        <v>19506764</v>
      </c>
      <c r="Q96" s="461"/>
      <c r="R96" s="461"/>
      <c r="S96" s="461"/>
      <c r="T96" s="461"/>
      <c r="U96" s="461"/>
      <c r="V96" s="461"/>
      <c r="W96" s="461"/>
      <c r="X96" s="461"/>
      <c r="Y96" s="461"/>
      <c r="Z96" s="461">
        <f>SUM(E96+G96+I96+K96+M96)</f>
        <v>0</v>
      </c>
      <c r="AA96" s="461">
        <f>SUM(F96+H96+J96+L96+N96)</f>
        <v>0</v>
      </c>
      <c r="AB96" s="461">
        <f>SUM(O96+Q96+S96)</f>
        <v>0</v>
      </c>
      <c r="AC96" s="461">
        <f>SUM(P96+R96+T96)</f>
        <v>19506764</v>
      </c>
      <c r="AD96" s="461">
        <v>0</v>
      </c>
      <c r="AE96" s="461">
        <v>0</v>
      </c>
      <c r="AF96" s="461">
        <f>SUM(Z96+AB96+AD96)</f>
        <v>0</v>
      </c>
      <c r="AG96" s="461">
        <f>SUM(AA96+AC96+AE96)</f>
        <v>19506764</v>
      </c>
      <c r="AH96" s="419"/>
      <c r="AI96" s="419"/>
      <c r="AJ96" s="418"/>
      <c r="AK96" s="418"/>
      <c r="AL96" s="418"/>
      <c r="AM96" s="418"/>
      <c r="AN96" s="418"/>
      <c r="AO96" s="418"/>
      <c r="AP96" s="418"/>
      <c r="AQ96" s="418"/>
      <c r="AR96" s="418"/>
      <c r="AS96" s="418"/>
      <c r="AT96" s="418"/>
      <c r="AU96" s="418"/>
      <c r="AV96" s="418"/>
      <c r="AW96" s="418"/>
      <c r="AX96" s="418"/>
      <c r="AY96" s="418"/>
      <c r="AZ96" s="418"/>
      <c r="BA96" s="418"/>
      <c r="BB96" s="418"/>
      <c r="BC96" s="418"/>
      <c r="BD96" s="418"/>
      <c r="BE96" s="418"/>
      <c r="BF96" s="418"/>
      <c r="BG96" s="418"/>
      <c r="BH96" s="418"/>
      <c r="BI96" s="418"/>
      <c r="BJ96" s="418"/>
      <c r="BK96" s="418"/>
      <c r="BL96" s="418"/>
      <c r="BM96" s="418"/>
      <c r="BN96" s="418"/>
      <c r="BO96" s="418"/>
      <c r="BP96" s="418"/>
      <c r="BQ96" s="418"/>
      <c r="BR96" s="418"/>
      <c r="BS96" s="418"/>
      <c r="BT96" s="418"/>
      <c r="BU96" s="418"/>
      <c r="BV96" s="418"/>
      <c r="BW96" s="418"/>
      <c r="BX96" s="418"/>
      <c r="BY96" s="418"/>
    </row>
    <row r="97" spans="1:77" s="480" customFormat="1" ht="30" customHeight="1" thickBot="1" x14ac:dyDescent="0.3">
      <c r="A97" s="625" t="s">
        <v>578</v>
      </c>
      <c r="B97" s="399"/>
      <c r="C97" s="459"/>
      <c r="D97" s="459">
        <v>8763000</v>
      </c>
      <c r="E97" s="461"/>
      <c r="F97" s="461"/>
      <c r="G97" s="461"/>
      <c r="H97" s="461"/>
      <c r="I97" s="460"/>
      <c r="J97" s="460"/>
      <c r="K97" s="461"/>
      <c r="L97" s="461"/>
      <c r="M97" s="461"/>
      <c r="N97" s="461"/>
      <c r="O97" s="460"/>
      <c r="P97" s="460">
        <v>8763000</v>
      </c>
      <c r="Q97" s="460"/>
      <c r="R97" s="460"/>
      <c r="S97" s="461"/>
      <c r="T97" s="461"/>
      <c r="U97" s="461"/>
      <c r="V97" s="461"/>
      <c r="W97" s="461"/>
      <c r="X97" s="461"/>
      <c r="Y97" s="461"/>
      <c r="Z97" s="461">
        <f t="shared" ref="Z97:AA97" si="31">SUM(E97+G97+I97+K97+M97)</f>
        <v>0</v>
      </c>
      <c r="AA97" s="461">
        <f t="shared" si="31"/>
        <v>0</v>
      </c>
      <c r="AB97" s="461">
        <f t="shared" ref="AB97:AC97" si="32">SUM(O97+Q97+S97)</f>
        <v>0</v>
      </c>
      <c r="AC97" s="461">
        <f t="shared" si="32"/>
        <v>8763000</v>
      </c>
      <c r="AD97" s="461">
        <v>0</v>
      </c>
      <c r="AE97" s="461">
        <v>0</v>
      </c>
      <c r="AF97" s="461">
        <f t="shared" ref="AF97:AG97" si="33">SUM(Z97+AB97+AD97)</f>
        <v>0</v>
      </c>
      <c r="AG97" s="461">
        <f t="shared" si="33"/>
        <v>8763000</v>
      </c>
      <c r="AH97" s="419"/>
      <c r="AI97" s="419"/>
      <c r="AJ97" s="479"/>
      <c r="AK97" s="479"/>
      <c r="AL97" s="479"/>
      <c r="AM97" s="479"/>
      <c r="AN97" s="479"/>
      <c r="AO97" s="479"/>
      <c r="AP97" s="479"/>
      <c r="AQ97" s="479"/>
      <c r="AR97" s="479"/>
      <c r="AS97" s="479"/>
      <c r="AT97" s="479"/>
      <c r="AU97" s="479"/>
      <c r="AV97" s="479"/>
      <c r="AW97" s="479"/>
      <c r="AX97" s="479"/>
      <c r="AY97" s="479"/>
      <c r="AZ97" s="479"/>
      <c r="BA97" s="479"/>
      <c r="BB97" s="479"/>
      <c r="BC97" s="479"/>
      <c r="BD97" s="479"/>
      <c r="BE97" s="479"/>
      <c r="BF97" s="479"/>
      <c r="BG97" s="479"/>
      <c r="BH97" s="479"/>
      <c r="BI97" s="479"/>
      <c r="BJ97" s="479"/>
      <c r="BK97" s="479"/>
      <c r="BL97" s="479"/>
      <c r="BM97" s="479"/>
      <c r="BN97" s="479"/>
      <c r="BO97" s="479"/>
      <c r="BP97" s="479"/>
      <c r="BQ97" s="479"/>
      <c r="BR97" s="479"/>
      <c r="BS97" s="479"/>
      <c r="BT97" s="479"/>
      <c r="BU97" s="479"/>
      <c r="BV97" s="479"/>
      <c r="BW97" s="479"/>
      <c r="BX97" s="479"/>
      <c r="BY97" s="479"/>
    </row>
    <row r="98" spans="1:77" s="478" customFormat="1" ht="45.75" customHeight="1" thickBot="1" x14ac:dyDescent="0.3">
      <c r="A98" s="625" t="s">
        <v>82</v>
      </c>
      <c r="B98" s="399"/>
      <c r="C98" s="459">
        <v>197619506</v>
      </c>
      <c r="D98" s="459">
        <f>SUM(C98)+1145237+2689225</f>
        <v>201453968</v>
      </c>
      <c r="E98" s="461"/>
      <c r="F98" s="461"/>
      <c r="G98" s="461"/>
      <c r="H98" s="461"/>
      <c r="I98" s="460">
        <f>2689225+866928+1127000</f>
        <v>4683153</v>
      </c>
      <c r="J98" s="460">
        <f>SUM(I98)+1145237+2689225+50800</f>
        <v>8568415</v>
      </c>
      <c r="K98" s="461"/>
      <c r="L98" s="461"/>
      <c r="M98" s="461"/>
      <c r="N98" s="461"/>
      <c r="O98" s="460"/>
      <c r="P98" s="460"/>
      <c r="Q98" s="460">
        <f>190786353+2150000</f>
        <v>192936353</v>
      </c>
      <c r="R98" s="460">
        <f>SUM(Q98)-50800</f>
        <v>192885553</v>
      </c>
      <c r="S98" s="461"/>
      <c r="T98" s="461"/>
      <c r="U98" s="461"/>
      <c r="V98" s="461"/>
      <c r="W98" s="461"/>
      <c r="X98" s="461"/>
      <c r="Y98" s="461"/>
      <c r="Z98" s="461">
        <f t="shared" si="28"/>
        <v>4683153</v>
      </c>
      <c r="AA98" s="461">
        <f t="shared" si="28"/>
        <v>8568415</v>
      </c>
      <c r="AB98" s="461">
        <f t="shared" si="29"/>
        <v>192936353</v>
      </c>
      <c r="AC98" s="461">
        <f t="shared" si="29"/>
        <v>192885553</v>
      </c>
      <c r="AD98" s="461">
        <v>0</v>
      </c>
      <c r="AE98" s="461">
        <v>0</v>
      </c>
      <c r="AF98" s="461">
        <f t="shared" si="30"/>
        <v>197619506</v>
      </c>
      <c r="AG98" s="461">
        <f t="shared" si="27"/>
        <v>201453968</v>
      </c>
      <c r="AH98" s="476"/>
      <c r="AI98" s="476"/>
      <c r="AJ98" s="418"/>
      <c r="AK98" s="418"/>
      <c r="AL98" s="418"/>
      <c r="AM98" s="418"/>
      <c r="AN98" s="418"/>
      <c r="AO98" s="418"/>
      <c r="AP98" s="418"/>
      <c r="AQ98" s="418"/>
      <c r="AR98" s="418"/>
      <c r="AS98" s="418"/>
      <c r="AT98" s="418"/>
      <c r="AU98" s="418"/>
      <c r="AV98" s="418"/>
      <c r="AW98" s="418"/>
      <c r="AX98" s="418"/>
      <c r="AY98" s="418"/>
      <c r="AZ98" s="418"/>
      <c r="BA98" s="418"/>
      <c r="BB98" s="418"/>
      <c r="BC98" s="418"/>
      <c r="BD98" s="418"/>
      <c r="BE98" s="418"/>
      <c r="BF98" s="418"/>
      <c r="BG98" s="418"/>
      <c r="BH98" s="418"/>
      <c r="BI98" s="418"/>
      <c r="BJ98" s="418"/>
      <c r="BK98" s="418"/>
      <c r="BL98" s="418"/>
      <c r="BM98" s="418"/>
      <c r="BN98" s="418"/>
      <c r="BO98" s="418"/>
      <c r="BP98" s="418"/>
      <c r="BQ98" s="477"/>
      <c r="BR98" s="477"/>
      <c r="BS98" s="477"/>
      <c r="BT98" s="477"/>
      <c r="BU98" s="477"/>
      <c r="BV98" s="477"/>
      <c r="BW98" s="477"/>
      <c r="BX98" s="477"/>
      <c r="BY98" s="477"/>
    </row>
    <row r="99" spans="1:77" s="473" customFormat="1" ht="43.5" customHeight="1" thickBot="1" x14ac:dyDescent="0.3">
      <c r="A99" s="72" t="s">
        <v>474</v>
      </c>
      <c r="B99" s="398"/>
      <c r="C99" s="459">
        <v>17920500</v>
      </c>
      <c r="D99" s="459">
        <f>SUM(C99)+1000000</f>
        <v>18920500</v>
      </c>
      <c r="E99" s="461"/>
      <c r="F99" s="461"/>
      <c r="G99" s="461"/>
      <c r="H99" s="461"/>
      <c r="I99" s="460">
        <f>1700000+2095500+175000</f>
        <v>3970500</v>
      </c>
      <c r="J99" s="460">
        <f t="shared" ref="J99" si="34">SUM(I99)</f>
        <v>3970500</v>
      </c>
      <c r="K99" s="460"/>
      <c r="L99" s="460"/>
      <c r="M99" s="460"/>
      <c r="N99" s="460"/>
      <c r="O99" s="460">
        <f>8450000+1000000</f>
        <v>9450000</v>
      </c>
      <c r="P99" s="460">
        <f>SUM(O99)+1000000</f>
        <v>10450000</v>
      </c>
      <c r="Q99" s="460">
        <f>4500000</f>
        <v>4500000</v>
      </c>
      <c r="R99" s="460">
        <f t="shared" ref="R99" si="35">SUM(Q99)</f>
        <v>4500000</v>
      </c>
      <c r="S99" s="460"/>
      <c r="T99" s="460"/>
      <c r="U99" s="461"/>
      <c r="V99" s="461"/>
      <c r="W99" s="461"/>
      <c r="X99" s="461"/>
      <c r="Y99" s="461"/>
      <c r="Z99" s="461">
        <f t="shared" si="28"/>
        <v>3970500</v>
      </c>
      <c r="AA99" s="461">
        <f t="shared" si="28"/>
        <v>3970500</v>
      </c>
      <c r="AB99" s="461">
        <f t="shared" ref="AB99" si="36">SUM(O99+Q99+S99)</f>
        <v>13950000</v>
      </c>
      <c r="AC99" s="461">
        <f t="shared" ref="AC99" si="37">SUM(P99+R99+T99)</f>
        <v>14950000</v>
      </c>
      <c r="AD99" s="461">
        <v>0</v>
      </c>
      <c r="AE99" s="461">
        <v>0</v>
      </c>
      <c r="AF99" s="461">
        <f t="shared" ref="AF99:AG99" si="38">SUM(Z99+AB99+AD99)</f>
        <v>17920500</v>
      </c>
      <c r="AG99" s="461">
        <f t="shared" si="38"/>
        <v>18920500</v>
      </c>
      <c r="AH99" s="419"/>
      <c r="AI99" s="419"/>
      <c r="AJ99" s="472"/>
      <c r="AK99" s="472"/>
      <c r="AL99" s="472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2"/>
      <c r="BC99" s="472"/>
      <c r="BD99" s="472"/>
      <c r="BE99" s="472"/>
      <c r="BF99" s="472"/>
      <c r="BG99" s="472"/>
      <c r="BH99" s="472"/>
      <c r="BI99" s="472"/>
      <c r="BJ99" s="472"/>
      <c r="BK99" s="472"/>
      <c r="BL99" s="472"/>
      <c r="BM99" s="472"/>
      <c r="BN99" s="472"/>
      <c r="BO99" s="472"/>
      <c r="BP99" s="472"/>
      <c r="BQ99" s="472"/>
      <c r="BR99" s="472"/>
      <c r="BS99" s="472"/>
      <c r="BT99" s="472"/>
      <c r="BU99" s="472"/>
      <c r="BV99" s="472"/>
      <c r="BW99" s="472"/>
      <c r="BX99" s="472"/>
      <c r="BY99" s="472"/>
    </row>
    <row r="100" spans="1:77" s="473" customFormat="1" ht="30" customHeight="1" thickBot="1" x14ac:dyDescent="0.3">
      <c r="A100" s="72" t="s">
        <v>579</v>
      </c>
      <c r="B100" s="398"/>
      <c r="C100" s="459"/>
      <c r="D100" s="459">
        <v>4990000</v>
      </c>
      <c r="E100" s="461"/>
      <c r="F100" s="461"/>
      <c r="G100" s="461"/>
      <c r="H100" s="461"/>
      <c r="I100" s="460"/>
      <c r="J100" s="460">
        <v>4990000</v>
      </c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1"/>
      <c r="V100" s="461"/>
      <c r="W100" s="461"/>
      <c r="X100" s="461"/>
      <c r="Y100" s="461"/>
      <c r="Z100" s="461">
        <f t="shared" si="28"/>
        <v>0</v>
      </c>
      <c r="AA100" s="461">
        <f t="shared" si="28"/>
        <v>4990000</v>
      </c>
      <c r="AB100" s="461">
        <f t="shared" si="29"/>
        <v>0</v>
      </c>
      <c r="AC100" s="461">
        <f t="shared" si="29"/>
        <v>0</v>
      </c>
      <c r="AD100" s="461">
        <v>0</v>
      </c>
      <c r="AE100" s="461">
        <v>0</v>
      </c>
      <c r="AF100" s="461">
        <f t="shared" si="30"/>
        <v>0</v>
      </c>
      <c r="AG100" s="461">
        <f t="shared" si="27"/>
        <v>4990000</v>
      </c>
      <c r="AH100" s="419"/>
      <c r="AI100" s="419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/>
      <c r="AV100" s="472"/>
      <c r="AW100" s="472"/>
      <c r="AX100" s="472"/>
      <c r="AY100" s="472"/>
      <c r="AZ100" s="472"/>
      <c r="BA100" s="472"/>
      <c r="BB100" s="472"/>
      <c r="BC100" s="472"/>
      <c r="BD100" s="472"/>
      <c r="BE100" s="472"/>
      <c r="BF100" s="472"/>
      <c r="BG100" s="472"/>
      <c r="BH100" s="472"/>
      <c r="BI100" s="472"/>
      <c r="BJ100" s="472"/>
      <c r="BK100" s="472"/>
      <c r="BL100" s="472"/>
      <c r="BM100" s="472"/>
      <c r="BN100" s="472"/>
      <c r="BO100" s="472"/>
      <c r="BP100" s="472"/>
      <c r="BQ100" s="472"/>
      <c r="BR100" s="472"/>
      <c r="BS100" s="472"/>
      <c r="BT100" s="472"/>
      <c r="BU100" s="472"/>
      <c r="BV100" s="472"/>
      <c r="BW100" s="472"/>
      <c r="BX100" s="472"/>
      <c r="BY100" s="472"/>
    </row>
    <row r="101" spans="1:77" s="473" customFormat="1" ht="39.75" customHeight="1" thickBot="1" x14ac:dyDescent="0.3">
      <c r="A101" s="749" t="s">
        <v>462</v>
      </c>
      <c r="B101" s="750"/>
      <c r="C101" s="750"/>
      <c r="D101" s="750"/>
      <c r="E101" s="750"/>
      <c r="F101" s="750"/>
      <c r="G101" s="750"/>
      <c r="H101" s="750"/>
      <c r="I101" s="750"/>
      <c r="J101" s="750"/>
      <c r="K101" s="750"/>
      <c r="L101" s="750"/>
      <c r="M101" s="750"/>
      <c r="N101" s="750"/>
      <c r="O101" s="750"/>
      <c r="P101" s="750"/>
      <c r="Q101" s="750"/>
      <c r="R101" s="750"/>
      <c r="S101" s="750"/>
      <c r="T101" s="750"/>
      <c r="U101" s="750"/>
      <c r="V101" s="750"/>
      <c r="W101" s="750"/>
      <c r="X101" s="750"/>
      <c r="Y101" s="750"/>
      <c r="Z101" s="750"/>
      <c r="AA101" s="750"/>
      <c r="AB101" s="750"/>
      <c r="AC101" s="750"/>
      <c r="AD101" s="750"/>
      <c r="AE101" s="750"/>
      <c r="AF101" s="750"/>
      <c r="AG101" s="751"/>
      <c r="AH101" s="419"/>
      <c r="AI101" s="419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2"/>
      <c r="BA101" s="472"/>
      <c r="BB101" s="472"/>
      <c r="BC101" s="472"/>
      <c r="BD101" s="472"/>
      <c r="BE101" s="472"/>
      <c r="BF101" s="472"/>
      <c r="BG101" s="472"/>
      <c r="BH101" s="472"/>
      <c r="BI101" s="472"/>
      <c r="BJ101" s="472"/>
      <c r="BK101" s="472"/>
      <c r="BL101" s="472"/>
      <c r="BM101" s="472"/>
      <c r="BN101" s="472"/>
      <c r="BO101" s="472"/>
      <c r="BP101" s="472"/>
      <c r="BQ101" s="472"/>
      <c r="BR101" s="472"/>
      <c r="BS101" s="472"/>
      <c r="BT101" s="472"/>
      <c r="BU101" s="472"/>
      <c r="BV101" s="472"/>
      <c r="BW101" s="472"/>
      <c r="BX101" s="472"/>
      <c r="BY101" s="472"/>
    </row>
    <row r="102" spans="1:77" s="478" customFormat="1" ht="45" customHeight="1" thickBot="1" x14ac:dyDescent="0.3">
      <c r="A102" s="625" t="s">
        <v>91</v>
      </c>
      <c r="B102" s="398"/>
      <c r="C102" s="459">
        <v>6000000</v>
      </c>
      <c r="D102" s="459">
        <f>SUM(B103:B104)</f>
        <v>3250000</v>
      </c>
      <c r="E102" s="468"/>
      <c r="F102" s="468"/>
      <c r="G102" s="468"/>
      <c r="H102" s="468"/>
      <c r="I102" s="468"/>
      <c r="J102" s="468"/>
      <c r="K102" s="468">
        <f>2000000</f>
        <v>2000000</v>
      </c>
      <c r="L102" s="468">
        <f>SUM(K102)</f>
        <v>2000000</v>
      </c>
      <c r="M102" s="468">
        <f>4000000</f>
        <v>4000000</v>
      </c>
      <c r="N102" s="468">
        <f>SUM(M102)-2750000</f>
        <v>1250000</v>
      </c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  <c r="Y102" s="468"/>
      <c r="Z102" s="461">
        <f t="shared" ref="Z102:AA105" si="39">SUM(E102+G102+I102+K102+M102)</f>
        <v>6000000</v>
      </c>
      <c r="AA102" s="461">
        <f t="shared" si="39"/>
        <v>3250000</v>
      </c>
      <c r="AB102" s="461">
        <f t="shared" ref="AB102:AC105" si="40">SUM(O102+Q102+S102)</f>
        <v>0</v>
      </c>
      <c r="AC102" s="461">
        <f t="shared" si="40"/>
        <v>0</v>
      </c>
      <c r="AD102" s="461">
        <v>0</v>
      </c>
      <c r="AE102" s="461">
        <v>0</v>
      </c>
      <c r="AF102" s="461">
        <f t="shared" ref="AF102:AG110" si="41">SUM(Z102+AB102+AD102)</f>
        <v>6000000</v>
      </c>
      <c r="AG102" s="461">
        <f t="shared" si="41"/>
        <v>3250000</v>
      </c>
      <c r="AH102" s="419"/>
      <c r="AI102" s="419"/>
      <c r="AJ102" s="418"/>
      <c r="AK102" s="418"/>
      <c r="AL102" s="418"/>
      <c r="AM102" s="418"/>
      <c r="AN102" s="418"/>
      <c r="AO102" s="418"/>
      <c r="AP102" s="418"/>
      <c r="AQ102" s="418"/>
      <c r="AR102" s="418"/>
      <c r="AS102" s="418"/>
      <c r="AT102" s="418"/>
      <c r="AU102" s="418"/>
      <c r="AV102" s="418"/>
      <c r="AW102" s="418"/>
      <c r="AX102" s="418"/>
      <c r="AY102" s="418"/>
      <c r="AZ102" s="418"/>
      <c r="BA102" s="418"/>
      <c r="BB102" s="418"/>
      <c r="BC102" s="418"/>
      <c r="BD102" s="418"/>
      <c r="BE102" s="418"/>
      <c r="BF102" s="418"/>
      <c r="BG102" s="418"/>
      <c r="BH102" s="418"/>
      <c r="BI102" s="418"/>
      <c r="BJ102" s="418"/>
      <c r="BK102" s="418"/>
      <c r="BL102" s="418"/>
      <c r="BM102" s="418"/>
      <c r="BN102" s="418"/>
      <c r="BO102" s="418"/>
      <c r="BP102" s="418"/>
      <c r="BQ102" s="418"/>
      <c r="BR102" s="418"/>
      <c r="BS102" s="418"/>
      <c r="BT102" s="418"/>
      <c r="BU102" s="418"/>
      <c r="BV102" s="418"/>
      <c r="BW102" s="418"/>
      <c r="BX102" s="418"/>
      <c r="BY102" s="418"/>
    </row>
    <row r="103" spans="1:77" s="473" customFormat="1" ht="32.25" customHeight="1" thickBot="1" x14ac:dyDescent="0.3">
      <c r="A103" s="627" t="s">
        <v>92</v>
      </c>
      <c r="B103" s="397">
        <v>2000000</v>
      </c>
      <c r="C103" s="459"/>
      <c r="D103" s="459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1"/>
      <c r="AA103" s="461"/>
      <c r="AB103" s="461"/>
      <c r="AC103" s="461"/>
      <c r="AD103" s="461"/>
      <c r="AE103" s="461"/>
      <c r="AF103" s="461"/>
      <c r="AG103" s="461">
        <f t="shared" si="41"/>
        <v>0</v>
      </c>
      <c r="AH103" s="419"/>
      <c r="AI103" s="419"/>
      <c r="AJ103" s="472"/>
      <c r="AK103" s="472"/>
      <c r="AL103" s="472"/>
      <c r="AM103" s="472"/>
      <c r="AN103" s="472"/>
      <c r="AO103" s="472"/>
      <c r="AP103" s="472"/>
      <c r="AQ103" s="472"/>
      <c r="AR103" s="472"/>
      <c r="AS103" s="472"/>
      <c r="AT103" s="472"/>
      <c r="AU103" s="472"/>
      <c r="AV103" s="472"/>
      <c r="AW103" s="472"/>
      <c r="AX103" s="472"/>
      <c r="AY103" s="472"/>
      <c r="AZ103" s="472"/>
      <c r="BA103" s="472"/>
      <c r="BB103" s="472"/>
      <c r="BC103" s="472"/>
      <c r="BD103" s="472"/>
      <c r="BE103" s="472"/>
      <c r="BF103" s="472"/>
      <c r="BG103" s="472"/>
      <c r="BH103" s="472"/>
      <c r="BI103" s="472"/>
      <c r="BJ103" s="472"/>
      <c r="BK103" s="472"/>
      <c r="BL103" s="472"/>
      <c r="BM103" s="472"/>
      <c r="BN103" s="472"/>
      <c r="BO103" s="472"/>
      <c r="BP103" s="472"/>
      <c r="BQ103" s="472"/>
      <c r="BR103" s="472"/>
      <c r="BS103" s="472"/>
      <c r="BT103" s="472"/>
      <c r="BU103" s="472"/>
      <c r="BV103" s="472"/>
      <c r="BW103" s="472"/>
      <c r="BX103" s="472"/>
      <c r="BY103" s="472"/>
    </row>
    <row r="104" spans="1:77" s="473" customFormat="1" ht="32.25" customHeight="1" thickBot="1" x14ac:dyDescent="0.3">
      <c r="A104" s="627" t="s">
        <v>187</v>
      </c>
      <c r="B104" s="397">
        <f>4000000-2750000</f>
        <v>1250000</v>
      </c>
      <c r="C104" s="459"/>
      <c r="D104" s="459"/>
      <c r="E104" s="460"/>
      <c r="F104" s="46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60"/>
      <c r="R104" s="460"/>
      <c r="S104" s="460"/>
      <c r="T104" s="460"/>
      <c r="U104" s="460"/>
      <c r="V104" s="460"/>
      <c r="W104" s="460"/>
      <c r="X104" s="460"/>
      <c r="Y104" s="460"/>
      <c r="Z104" s="461"/>
      <c r="AA104" s="461"/>
      <c r="AB104" s="461"/>
      <c r="AC104" s="461"/>
      <c r="AD104" s="461"/>
      <c r="AE104" s="461"/>
      <c r="AF104" s="461"/>
      <c r="AG104" s="461">
        <f t="shared" si="41"/>
        <v>0</v>
      </c>
      <c r="AH104" s="419"/>
      <c r="AI104" s="419"/>
      <c r="AJ104" s="472"/>
      <c r="AK104" s="472"/>
      <c r="AL104" s="472"/>
      <c r="AM104" s="472"/>
      <c r="AN104" s="472"/>
      <c r="AO104" s="472"/>
      <c r="AP104" s="472"/>
      <c r="AQ104" s="472"/>
      <c r="AR104" s="472"/>
      <c r="AS104" s="472"/>
      <c r="AT104" s="472"/>
      <c r="AU104" s="472"/>
      <c r="AV104" s="472"/>
      <c r="AW104" s="472"/>
      <c r="AX104" s="472"/>
      <c r="AY104" s="472"/>
      <c r="AZ104" s="472"/>
      <c r="BA104" s="472"/>
      <c r="BB104" s="472"/>
      <c r="BC104" s="472"/>
      <c r="BD104" s="472"/>
      <c r="BE104" s="472"/>
      <c r="BF104" s="472"/>
      <c r="BG104" s="472"/>
      <c r="BH104" s="472"/>
      <c r="BI104" s="472"/>
      <c r="BJ104" s="472"/>
      <c r="BK104" s="472"/>
      <c r="BL104" s="472"/>
      <c r="BM104" s="472"/>
      <c r="BN104" s="472"/>
      <c r="BO104" s="472"/>
      <c r="BP104" s="472"/>
      <c r="BQ104" s="472"/>
      <c r="BR104" s="472"/>
      <c r="BS104" s="472"/>
      <c r="BT104" s="472"/>
      <c r="BU104" s="472"/>
      <c r="BV104" s="472"/>
      <c r="BW104" s="472"/>
      <c r="BX104" s="472"/>
      <c r="BY104" s="472"/>
    </row>
    <row r="105" spans="1:77" s="473" customFormat="1" ht="32.25" customHeight="1" thickBot="1" x14ac:dyDescent="0.3">
      <c r="A105" s="52" t="s">
        <v>346</v>
      </c>
      <c r="B105" s="399"/>
      <c r="C105" s="467">
        <v>14000000</v>
      </c>
      <c r="D105" s="459">
        <f>SUM(B106:B110)</f>
        <v>259148149</v>
      </c>
      <c r="E105" s="461"/>
      <c r="F105" s="461"/>
      <c r="G105" s="461"/>
      <c r="H105" s="461"/>
      <c r="I105" s="461"/>
      <c r="J105" s="461"/>
      <c r="K105" s="461"/>
      <c r="L105" s="461"/>
      <c r="M105" s="460">
        <f>14000000</f>
        <v>14000000</v>
      </c>
      <c r="N105" s="460">
        <f>SUM(M105)+14200000+2500000-900000</f>
        <v>29800000</v>
      </c>
      <c r="O105" s="461"/>
      <c r="P105" s="461"/>
      <c r="Q105" s="461"/>
      <c r="R105" s="461"/>
      <c r="S105" s="461"/>
      <c r="T105" s="461">
        <f>76200000+20000079+133148070</f>
        <v>229348149</v>
      </c>
      <c r="U105" s="461"/>
      <c r="V105" s="461"/>
      <c r="W105" s="461"/>
      <c r="X105" s="461"/>
      <c r="Y105" s="461"/>
      <c r="Z105" s="461">
        <f t="shared" si="39"/>
        <v>14000000</v>
      </c>
      <c r="AA105" s="461">
        <f t="shared" si="39"/>
        <v>29800000</v>
      </c>
      <c r="AB105" s="461">
        <f t="shared" si="40"/>
        <v>0</v>
      </c>
      <c r="AC105" s="461">
        <f t="shared" si="40"/>
        <v>229348149</v>
      </c>
      <c r="AD105" s="461">
        <v>0</v>
      </c>
      <c r="AE105" s="461">
        <v>0</v>
      </c>
      <c r="AF105" s="461">
        <f t="shared" si="41"/>
        <v>14000000</v>
      </c>
      <c r="AG105" s="461">
        <f t="shared" si="41"/>
        <v>259148149</v>
      </c>
      <c r="AH105" s="419"/>
      <c r="AI105" s="419"/>
      <c r="AJ105" s="472"/>
      <c r="AK105" s="472"/>
      <c r="AL105" s="472"/>
      <c r="AM105" s="472"/>
      <c r="AN105" s="472"/>
      <c r="AO105" s="472"/>
      <c r="AP105" s="472"/>
      <c r="AQ105" s="472"/>
      <c r="AR105" s="472"/>
      <c r="AS105" s="472"/>
      <c r="AT105" s="472"/>
      <c r="AU105" s="472"/>
      <c r="AV105" s="472"/>
      <c r="AW105" s="472"/>
      <c r="AX105" s="472"/>
      <c r="AY105" s="472"/>
      <c r="AZ105" s="472"/>
      <c r="BA105" s="472"/>
      <c r="BB105" s="472"/>
      <c r="BC105" s="472"/>
      <c r="BD105" s="472"/>
      <c r="BE105" s="472"/>
      <c r="BF105" s="472"/>
      <c r="BG105" s="472"/>
      <c r="BH105" s="472"/>
      <c r="BI105" s="472"/>
      <c r="BJ105" s="472"/>
      <c r="BK105" s="472"/>
      <c r="BL105" s="472"/>
      <c r="BM105" s="472"/>
      <c r="BN105" s="472"/>
      <c r="BO105" s="472"/>
      <c r="BP105" s="472"/>
      <c r="BQ105" s="472"/>
      <c r="BR105" s="472"/>
      <c r="BS105" s="472"/>
      <c r="BT105" s="472"/>
      <c r="BU105" s="472"/>
      <c r="BV105" s="472"/>
      <c r="BW105" s="472"/>
      <c r="BX105" s="472"/>
      <c r="BY105" s="472"/>
    </row>
    <row r="106" spans="1:77" s="478" customFormat="1" ht="45.75" customHeight="1" thickBot="1" x14ac:dyDescent="0.3">
      <c r="A106" s="627" t="s">
        <v>397</v>
      </c>
      <c r="B106" s="397">
        <f>8000000+14200000+2500000</f>
        <v>24700000</v>
      </c>
      <c r="C106" s="462"/>
      <c r="D106" s="462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0"/>
      <c r="S106" s="460"/>
      <c r="T106" s="460"/>
      <c r="U106" s="460"/>
      <c r="V106" s="460"/>
      <c r="W106" s="460"/>
      <c r="X106" s="460"/>
      <c r="Y106" s="460"/>
      <c r="Z106" s="461"/>
      <c r="AA106" s="461"/>
      <c r="AB106" s="461"/>
      <c r="AC106" s="461"/>
      <c r="AD106" s="461"/>
      <c r="AE106" s="461"/>
      <c r="AF106" s="461"/>
      <c r="AG106" s="461">
        <f t="shared" si="41"/>
        <v>0</v>
      </c>
      <c r="AH106" s="476"/>
      <c r="AI106" s="476"/>
      <c r="AJ106" s="418"/>
      <c r="AK106" s="418"/>
      <c r="AL106" s="418"/>
      <c r="AM106" s="418"/>
      <c r="AN106" s="418"/>
      <c r="AO106" s="418"/>
      <c r="AP106" s="418"/>
      <c r="AQ106" s="418"/>
      <c r="AR106" s="418"/>
      <c r="AS106" s="418"/>
      <c r="AT106" s="418"/>
      <c r="AU106" s="418"/>
      <c r="AV106" s="418"/>
      <c r="AW106" s="418"/>
      <c r="AX106" s="418"/>
      <c r="AY106" s="418"/>
      <c r="AZ106" s="418"/>
      <c r="BA106" s="418"/>
      <c r="BB106" s="418"/>
      <c r="BC106" s="418"/>
      <c r="BD106" s="418"/>
      <c r="BE106" s="418"/>
      <c r="BF106" s="418"/>
      <c r="BG106" s="418"/>
      <c r="BH106" s="418"/>
      <c r="BI106" s="418"/>
      <c r="BJ106" s="418"/>
      <c r="BK106" s="418"/>
      <c r="BL106" s="418"/>
      <c r="BM106" s="418"/>
      <c r="BN106" s="418"/>
      <c r="BO106" s="418"/>
      <c r="BP106" s="418"/>
      <c r="BQ106" s="477"/>
      <c r="BR106" s="477"/>
      <c r="BS106" s="477"/>
      <c r="BT106" s="477"/>
      <c r="BU106" s="477"/>
      <c r="BV106" s="477"/>
      <c r="BW106" s="477"/>
      <c r="BX106" s="477"/>
      <c r="BY106" s="477"/>
    </row>
    <row r="107" spans="1:77" s="473" customFormat="1" ht="27.75" customHeight="1" thickBot="1" x14ac:dyDescent="0.3">
      <c r="A107" s="625" t="s">
        <v>580</v>
      </c>
      <c r="B107" s="398">
        <v>76200000</v>
      </c>
      <c r="C107" s="462"/>
      <c r="D107" s="471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0"/>
      <c r="S107" s="460"/>
      <c r="T107" s="460"/>
      <c r="U107" s="460"/>
      <c r="V107" s="460"/>
      <c r="W107" s="460"/>
      <c r="X107" s="460"/>
      <c r="Y107" s="460"/>
      <c r="Z107" s="461"/>
      <c r="AA107" s="461"/>
      <c r="AB107" s="461"/>
      <c r="AC107" s="461"/>
      <c r="AD107" s="461"/>
      <c r="AE107" s="461"/>
      <c r="AF107" s="461"/>
      <c r="AG107" s="461"/>
      <c r="AH107" s="419"/>
      <c r="AI107" s="419"/>
      <c r="AJ107" s="472"/>
      <c r="AK107" s="472"/>
      <c r="AL107" s="472"/>
      <c r="AM107" s="472"/>
      <c r="AN107" s="472"/>
      <c r="AO107" s="472"/>
      <c r="AP107" s="472"/>
      <c r="AQ107" s="472"/>
      <c r="AR107" s="472"/>
      <c r="AS107" s="472"/>
      <c r="AT107" s="472"/>
      <c r="AU107" s="472"/>
      <c r="AV107" s="472"/>
      <c r="AW107" s="472"/>
      <c r="AX107" s="472"/>
      <c r="AY107" s="472"/>
      <c r="AZ107" s="472"/>
      <c r="BA107" s="472"/>
      <c r="BB107" s="472"/>
      <c r="BC107" s="472"/>
      <c r="BD107" s="472"/>
      <c r="BE107" s="472"/>
      <c r="BF107" s="472"/>
      <c r="BG107" s="472"/>
      <c r="BH107" s="472"/>
      <c r="BI107" s="472"/>
      <c r="BJ107" s="472"/>
      <c r="BK107" s="472"/>
      <c r="BL107" s="472"/>
      <c r="BM107" s="472"/>
      <c r="BN107" s="472"/>
      <c r="BO107" s="472"/>
      <c r="BP107" s="472"/>
      <c r="BQ107" s="472"/>
      <c r="BR107" s="472"/>
      <c r="BS107" s="472"/>
      <c r="BT107" s="472"/>
      <c r="BU107" s="472"/>
      <c r="BV107" s="472"/>
      <c r="BW107" s="472"/>
      <c r="BX107" s="472"/>
      <c r="BY107" s="472"/>
    </row>
    <row r="108" spans="1:77" s="473" customFormat="1" ht="39.75" customHeight="1" thickBot="1" x14ac:dyDescent="0.3">
      <c r="A108" s="627" t="s">
        <v>184</v>
      </c>
      <c r="B108" s="397">
        <f>6000000-900000</f>
        <v>5100000</v>
      </c>
      <c r="C108" s="462"/>
      <c r="D108" s="471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1"/>
      <c r="AA108" s="461"/>
      <c r="AB108" s="461"/>
      <c r="AC108" s="461"/>
      <c r="AD108" s="461"/>
      <c r="AE108" s="461"/>
      <c r="AF108" s="461"/>
      <c r="AG108" s="461">
        <f t="shared" ref="AG108" si="42">SUM(AA108+AC108+AE108)</f>
        <v>0</v>
      </c>
      <c r="AH108" s="419"/>
      <c r="AI108" s="419"/>
      <c r="AJ108" s="472"/>
      <c r="AK108" s="472"/>
      <c r="AL108" s="472"/>
      <c r="AM108" s="472"/>
      <c r="AN108" s="472"/>
      <c r="AO108" s="472"/>
      <c r="AP108" s="472"/>
      <c r="AQ108" s="472"/>
      <c r="AR108" s="472"/>
      <c r="AS108" s="472"/>
      <c r="AT108" s="472"/>
      <c r="AU108" s="472"/>
      <c r="AV108" s="472"/>
      <c r="AW108" s="472"/>
      <c r="AX108" s="472"/>
      <c r="AY108" s="472"/>
      <c r="AZ108" s="472"/>
      <c r="BA108" s="472"/>
      <c r="BB108" s="472"/>
      <c r="BC108" s="472"/>
      <c r="BD108" s="472"/>
      <c r="BE108" s="472"/>
      <c r="BF108" s="472"/>
      <c r="BG108" s="472"/>
      <c r="BH108" s="472"/>
      <c r="BI108" s="472"/>
      <c r="BJ108" s="472"/>
      <c r="BK108" s="472"/>
      <c r="BL108" s="472"/>
      <c r="BM108" s="472"/>
      <c r="BN108" s="472"/>
      <c r="BO108" s="472"/>
      <c r="BP108" s="472"/>
      <c r="BQ108" s="472"/>
      <c r="BR108" s="472"/>
      <c r="BS108" s="472"/>
      <c r="BT108" s="472"/>
      <c r="BU108" s="472"/>
      <c r="BV108" s="472"/>
      <c r="BW108" s="472"/>
      <c r="BX108" s="472"/>
      <c r="BY108" s="472"/>
    </row>
    <row r="109" spans="1:77" s="473" customFormat="1" ht="48" customHeight="1" thickBot="1" x14ac:dyDescent="0.3">
      <c r="A109" s="625" t="s">
        <v>581</v>
      </c>
      <c r="B109" s="398">
        <v>20000079</v>
      </c>
      <c r="C109" s="459"/>
      <c r="D109" s="463"/>
      <c r="E109" s="461"/>
      <c r="F109" s="461"/>
      <c r="G109" s="461"/>
      <c r="H109" s="461"/>
      <c r="I109" s="461"/>
      <c r="J109" s="461"/>
      <c r="K109" s="461"/>
      <c r="L109" s="461"/>
      <c r="M109" s="461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>
        <f t="shared" ref="AG109" si="43">SUM(AA109+AC109+AE109)</f>
        <v>0</v>
      </c>
      <c r="AH109" s="419"/>
      <c r="AI109" s="419"/>
      <c r="AJ109" s="472"/>
      <c r="AK109" s="472"/>
      <c r="AL109" s="472"/>
      <c r="AM109" s="472"/>
      <c r="AN109" s="472"/>
      <c r="AO109" s="472"/>
      <c r="AP109" s="472"/>
      <c r="AQ109" s="472"/>
      <c r="AR109" s="472"/>
      <c r="AS109" s="472"/>
      <c r="AT109" s="472"/>
      <c r="AU109" s="472"/>
      <c r="AV109" s="472"/>
      <c r="AW109" s="472"/>
      <c r="AX109" s="472"/>
      <c r="AY109" s="472"/>
      <c r="AZ109" s="472"/>
      <c r="BA109" s="472"/>
      <c r="BB109" s="472"/>
      <c r="BC109" s="472"/>
      <c r="BD109" s="472"/>
      <c r="BE109" s="472"/>
      <c r="BF109" s="472"/>
      <c r="BG109" s="472"/>
      <c r="BH109" s="472"/>
      <c r="BI109" s="472"/>
      <c r="BJ109" s="472"/>
      <c r="BK109" s="472"/>
      <c r="BL109" s="472"/>
      <c r="BM109" s="472"/>
      <c r="BN109" s="472"/>
      <c r="BO109" s="472"/>
      <c r="BP109" s="472"/>
      <c r="BQ109" s="472"/>
      <c r="BR109" s="472"/>
      <c r="BS109" s="472"/>
      <c r="BT109" s="472"/>
      <c r="BU109" s="472"/>
      <c r="BV109" s="472"/>
      <c r="BW109" s="472"/>
      <c r="BX109" s="472"/>
      <c r="BY109" s="472"/>
    </row>
    <row r="110" spans="1:77" s="482" customFormat="1" ht="66.75" customHeight="1" thickBot="1" x14ac:dyDescent="0.3">
      <c r="A110" s="625" t="s">
        <v>582</v>
      </c>
      <c r="B110" s="398">
        <v>133148070</v>
      </c>
      <c r="C110" s="459"/>
      <c r="D110" s="463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>
        <f t="shared" si="41"/>
        <v>0</v>
      </c>
      <c r="AH110" s="419"/>
      <c r="AI110" s="419"/>
      <c r="AJ110" s="481"/>
      <c r="AK110" s="481"/>
      <c r="AL110" s="481"/>
      <c r="AM110" s="481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1"/>
      <c r="BG110" s="481"/>
      <c r="BH110" s="481"/>
      <c r="BI110" s="481"/>
      <c r="BJ110" s="481"/>
      <c r="BK110" s="481"/>
      <c r="BL110" s="481"/>
      <c r="BM110" s="481"/>
      <c r="BN110" s="481"/>
      <c r="BO110" s="481"/>
      <c r="BP110" s="481"/>
      <c r="BQ110" s="481"/>
      <c r="BR110" s="481"/>
      <c r="BS110" s="481"/>
      <c r="BT110" s="481"/>
      <c r="BU110" s="481"/>
      <c r="BV110" s="481"/>
      <c r="BW110" s="481"/>
      <c r="BX110" s="481"/>
      <c r="BY110" s="481"/>
    </row>
    <row r="111" spans="1:77" s="482" customFormat="1" ht="66.75" customHeight="1" thickBot="1" x14ac:dyDescent="0.3">
      <c r="A111" s="749" t="s">
        <v>463</v>
      </c>
      <c r="B111" s="750"/>
      <c r="C111" s="750"/>
      <c r="D111" s="750"/>
      <c r="E111" s="750"/>
      <c r="F111" s="750"/>
      <c r="G111" s="750"/>
      <c r="H111" s="750"/>
      <c r="I111" s="750"/>
      <c r="J111" s="750"/>
      <c r="K111" s="750"/>
      <c r="L111" s="750"/>
      <c r="M111" s="750"/>
      <c r="N111" s="750"/>
      <c r="O111" s="750"/>
      <c r="P111" s="750"/>
      <c r="Q111" s="750"/>
      <c r="R111" s="750"/>
      <c r="S111" s="750"/>
      <c r="T111" s="750"/>
      <c r="U111" s="750"/>
      <c r="V111" s="750"/>
      <c r="W111" s="750"/>
      <c r="X111" s="750"/>
      <c r="Y111" s="750"/>
      <c r="Z111" s="750"/>
      <c r="AA111" s="750"/>
      <c r="AB111" s="750"/>
      <c r="AC111" s="750"/>
      <c r="AD111" s="750"/>
      <c r="AE111" s="750"/>
      <c r="AF111" s="750"/>
      <c r="AG111" s="751"/>
      <c r="AH111" s="419"/>
      <c r="AI111" s="419"/>
      <c r="AJ111" s="481"/>
      <c r="AK111" s="481"/>
      <c r="AL111" s="481"/>
      <c r="AM111" s="481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1"/>
      <c r="BG111" s="481"/>
      <c r="BH111" s="481"/>
      <c r="BI111" s="481"/>
      <c r="BJ111" s="481"/>
      <c r="BK111" s="481"/>
      <c r="BL111" s="481"/>
      <c r="BM111" s="481"/>
      <c r="BN111" s="481"/>
      <c r="BO111" s="481"/>
      <c r="BP111" s="481"/>
      <c r="BQ111" s="481"/>
      <c r="BR111" s="481"/>
      <c r="BS111" s="481"/>
      <c r="BT111" s="481"/>
      <c r="BU111" s="481"/>
      <c r="BV111" s="481"/>
      <c r="BW111" s="481"/>
      <c r="BX111" s="481"/>
      <c r="BY111" s="481"/>
    </row>
    <row r="112" spans="1:77" s="482" customFormat="1" ht="52.5" customHeight="1" thickBot="1" x14ac:dyDescent="0.3">
      <c r="A112" s="625" t="s">
        <v>348</v>
      </c>
      <c r="B112" s="397"/>
      <c r="C112" s="459">
        <v>1659458</v>
      </c>
      <c r="D112" s="459">
        <f>SUM(B113:B114)</f>
        <v>1290008</v>
      </c>
      <c r="E112" s="460"/>
      <c r="F112" s="460"/>
      <c r="G112" s="460"/>
      <c r="H112" s="460"/>
      <c r="I112" s="460"/>
      <c r="J112" s="460"/>
      <c r="K112" s="460"/>
      <c r="L112" s="460"/>
      <c r="M112" s="460">
        <f>1659458</f>
        <v>1659458</v>
      </c>
      <c r="N112" s="460">
        <f>SUM(M112)-400000+30550</f>
        <v>1290008</v>
      </c>
      <c r="O112" s="460"/>
      <c r="P112" s="460"/>
      <c r="Q112" s="460"/>
      <c r="R112" s="460"/>
      <c r="S112" s="460"/>
      <c r="T112" s="460"/>
      <c r="U112" s="460"/>
      <c r="V112" s="460"/>
      <c r="W112" s="460"/>
      <c r="X112" s="460"/>
      <c r="Y112" s="460"/>
      <c r="Z112" s="461">
        <f t="shared" ref="Z112:AA112" si="44">SUM(E112+G112+I112+K112+M112)</f>
        <v>1659458</v>
      </c>
      <c r="AA112" s="461">
        <f t="shared" si="44"/>
        <v>1290008</v>
      </c>
      <c r="AB112" s="461">
        <f t="shared" ref="AB112:AC112" si="45">SUM(O112+Q112+S112)</f>
        <v>0</v>
      </c>
      <c r="AC112" s="461">
        <f t="shared" si="45"/>
        <v>0</v>
      </c>
      <c r="AD112" s="461">
        <v>0</v>
      </c>
      <c r="AE112" s="461">
        <v>0</v>
      </c>
      <c r="AF112" s="461">
        <f t="shared" ref="AF112:AG114" si="46">SUM(Z112+AB112+AD112)</f>
        <v>1659458</v>
      </c>
      <c r="AG112" s="461">
        <f t="shared" si="46"/>
        <v>1290008</v>
      </c>
      <c r="AH112" s="419"/>
      <c r="AI112" s="419"/>
      <c r="AJ112" s="481"/>
      <c r="AK112" s="481"/>
      <c r="AL112" s="481"/>
      <c r="AM112" s="481"/>
      <c r="AN112" s="481"/>
      <c r="AO112" s="481"/>
      <c r="AP112" s="481"/>
      <c r="AQ112" s="481"/>
      <c r="AR112" s="481"/>
      <c r="AS112" s="481"/>
      <c r="AT112" s="481"/>
      <c r="AU112" s="481"/>
      <c r="AV112" s="481"/>
      <c r="AW112" s="481"/>
      <c r="AX112" s="481"/>
      <c r="AY112" s="481"/>
      <c r="AZ112" s="481"/>
      <c r="BA112" s="481"/>
      <c r="BB112" s="481"/>
      <c r="BC112" s="481"/>
      <c r="BD112" s="481"/>
      <c r="BE112" s="481"/>
      <c r="BF112" s="481"/>
      <c r="BG112" s="481"/>
      <c r="BH112" s="481"/>
      <c r="BI112" s="481"/>
      <c r="BJ112" s="481"/>
      <c r="BK112" s="481"/>
      <c r="BL112" s="481"/>
      <c r="BM112" s="481"/>
      <c r="BN112" s="481"/>
      <c r="BO112" s="481"/>
      <c r="BP112" s="481"/>
      <c r="BQ112" s="481"/>
      <c r="BR112" s="481"/>
      <c r="BS112" s="481"/>
      <c r="BT112" s="481"/>
      <c r="BU112" s="481"/>
      <c r="BV112" s="481"/>
      <c r="BW112" s="481"/>
      <c r="BX112" s="481"/>
      <c r="BY112" s="481"/>
    </row>
    <row r="113" spans="1:77" s="482" customFormat="1" ht="16.5" customHeight="1" thickBot="1" x14ac:dyDescent="0.3">
      <c r="A113" s="329" t="s">
        <v>349</v>
      </c>
      <c r="B113" s="429">
        <f>210600*0.5*12*1.155-400000+30550</f>
        <v>1090008</v>
      </c>
      <c r="C113" s="462"/>
      <c r="D113" s="462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0"/>
      <c r="S113" s="460"/>
      <c r="T113" s="460"/>
      <c r="U113" s="460"/>
      <c r="V113" s="460"/>
      <c r="W113" s="460"/>
      <c r="X113" s="460"/>
      <c r="Y113" s="460"/>
      <c r="Z113" s="461"/>
      <c r="AA113" s="461"/>
      <c r="AB113" s="461"/>
      <c r="AC113" s="461"/>
      <c r="AD113" s="461"/>
      <c r="AE113" s="461"/>
      <c r="AF113" s="461"/>
      <c r="AG113" s="461">
        <f t="shared" si="46"/>
        <v>0</v>
      </c>
      <c r="AH113" s="419"/>
      <c r="AI113" s="419"/>
      <c r="AJ113" s="481"/>
      <c r="AK113" s="481"/>
      <c r="AL113" s="481"/>
      <c r="AM113" s="481"/>
      <c r="AN113" s="481"/>
      <c r="AO113" s="481"/>
      <c r="AP113" s="481"/>
      <c r="AQ113" s="481"/>
      <c r="AR113" s="481"/>
      <c r="AS113" s="481"/>
      <c r="AT113" s="481"/>
      <c r="AU113" s="481"/>
      <c r="AV113" s="481"/>
      <c r="AW113" s="481"/>
      <c r="AX113" s="481"/>
      <c r="AY113" s="481"/>
      <c r="AZ113" s="481"/>
      <c r="BA113" s="481"/>
      <c r="BB113" s="481"/>
      <c r="BC113" s="481"/>
      <c r="BD113" s="481"/>
      <c r="BE113" s="481"/>
      <c r="BF113" s="481"/>
      <c r="BG113" s="481"/>
      <c r="BH113" s="481"/>
      <c r="BI113" s="481"/>
      <c r="BJ113" s="481"/>
      <c r="BK113" s="481"/>
      <c r="BL113" s="481"/>
      <c r="BM113" s="481"/>
      <c r="BN113" s="481"/>
      <c r="BO113" s="481"/>
      <c r="BP113" s="481"/>
      <c r="BQ113" s="481"/>
      <c r="BR113" s="481"/>
      <c r="BS113" s="481"/>
      <c r="BT113" s="481"/>
      <c r="BU113" s="481"/>
      <c r="BV113" s="481"/>
      <c r="BW113" s="481"/>
      <c r="BX113" s="481"/>
      <c r="BY113" s="481"/>
    </row>
    <row r="114" spans="1:77" s="49" customFormat="1" ht="66.75" customHeight="1" thickBot="1" x14ac:dyDescent="0.35">
      <c r="A114" s="329" t="s">
        <v>413</v>
      </c>
      <c r="B114" s="429">
        <v>200000</v>
      </c>
      <c r="C114" s="462"/>
      <c r="D114" s="462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1"/>
      <c r="AA114" s="461"/>
      <c r="AB114" s="461"/>
      <c r="AC114" s="461"/>
      <c r="AD114" s="461"/>
      <c r="AE114" s="461"/>
      <c r="AF114" s="461"/>
      <c r="AG114" s="461">
        <f t="shared" si="46"/>
        <v>0</v>
      </c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</row>
    <row r="115" spans="1:77" s="484" customFormat="1" ht="30" customHeight="1" thickBot="1" x14ac:dyDescent="0.3">
      <c r="A115" s="752" t="s">
        <v>78</v>
      </c>
      <c r="B115" s="752"/>
      <c r="C115" s="755" t="s">
        <v>79</v>
      </c>
      <c r="D115" s="758" t="s">
        <v>195</v>
      </c>
      <c r="E115" s="629" t="s">
        <v>148</v>
      </c>
      <c r="F115" s="629" t="s">
        <v>148</v>
      </c>
      <c r="G115" s="629" t="s">
        <v>149</v>
      </c>
      <c r="H115" s="629" t="s">
        <v>149</v>
      </c>
      <c r="I115" s="629" t="s">
        <v>150</v>
      </c>
      <c r="J115" s="629" t="s">
        <v>150</v>
      </c>
      <c r="K115" s="629" t="s">
        <v>151</v>
      </c>
      <c r="L115" s="629" t="s">
        <v>151</v>
      </c>
      <c r="M115" s="629" t="s">
        <v>152</v>
      </c>
      <c r="N115" s="629" t="s">
        <v>152</v>
      </c>
      <c r="O115" s="629" t="s">
        <v>153</v>
      </c>
      <c r="P115" s="629" t="s">
        <v>153</v>
      </c>
      <c r="Q115" s="629" t="s">
        <v>154</v>
      </c>
      <c r="R115" s="629" t="s">
        <v>154</v>
      </c>
      <c r="S115" s="629" t="s">
        <v>155</v>
      </c>
      <c r="T115" s="629" t="s">
        <v>155</v>
      </c>
      <c r="U115" s="629"/>
      <c r="V115" s="629"/>
      <c r="W115" s="629"/>
      <c r="X115" s="629"/>
      <c r="Y115" s="629"/>
      <c r="Z115" s="761" t="s">
        <v>156</v>
      </c>
      <c r="AA115" s="762"/>
      <c r="AB115" s="762"/>
      <c r="AC115" s="763"/>
      <c r="AD115" s="761" t="s">
        <v>232</v>
      </c>
      <c r="AE115" s="763"/>
      <c r="AF115" s="761" t="s">
        <v>239</v>
      </c>
      <c r="AG115" s="763"/>
      <c r="AH115" s="419"/>
      <c r="AI115" s="419"/>
      <c r="AJ115" s="483"/>
      <c r="AK115" s="483"/>
      <c r="AL115" s="483"/>
      <c r="AM115" s="483"/>
      <c r="AN115" s="483"/>
      <c r="AO115" s="483"/>
      <c r="AP115" s="483"/>
      <c r="AQ115" s="483"/>
      <c r="AR115" s="483"/>
      <c r="AS115" s="483"/>
      <c r="AT115" s="483"/>
      <c r="AU115" s="483"/>
      <c r="AV115" s="483"/>
      <c r="AW115" s="483"/>
      <c r="AX115" s="483"/>
      <c r="AY115" s="483"/>
      <c r="AZ115" s="483"/>
      <c r="BA115" s="483"/>
      <c r="BB115" s="483"/>
      <c r="BC115" s="483"/>
      <c r="BD115" s="483"/>
      <c r="BE115" s="483"/>
      <c r="BF115" s="483"/>
      <c r="BG115" s="483"/>
      <c r="BH115" s="483"/>
      <c r="BI115" s="483"/>
      <c r="BJ115" s="483"/>
      <c r="BK115" s="483"/>
      <c r="BL115" s="483"/>
      <c r="BM115" s="483"/>
      <c r="BN115" s="483"/>
      <c r="BO115" s="483"/>
      <c r="BP115" s="483"/>
      <c r="BQ115" s="483"/>
      <c r="BR115" s="483"/>
      <c r="BS115" s="483"/>
      <c r="BT115" s="483"/>
      <c r="BU115" s="483"/>
      <c r="BV115" s="483"/>
      <c r="BW115" s="483"/>
      <c r="BX115" s="483"/>
      <c r="BY115" s="483"/>
    </row>
    <row r="116" spans="1:77" s="478" customFormat="1" ht="45.75" customHeight="1" thickBot="1" x14ac:dyDescent="0.3">
      <c r="A116" s="753"/>
      <c r="B116" s="753"/>
      <c r="C116" s="756"/>
      <c r="D116" s="759"/>
      <c r="E116" s="764" t="s">
        <v>141</v>
      </c>
      <c r="F116" s="765"/>
      <c r="G116" s="764" t="s">
        <v>157</v>
      </c>
      <c r="H116" s="765"/>
      <c r="I116" s="764" t="s">
        <v>142</v>
      </c>
      <c r="J116" s="765"/>
      <c r="K116" s="764" t="s">
        <v>143</v>
      </c>
      <c r="L116" s="765"/>
      <c r="M116" s="764" t="s">
        <v>144</v>
      </c>
      <c r="N116" s="765"/>
      <c r="O116" s="764" t="s">
        <v>146</v>
      </c>
      <c r="P116" s="765"/>
      <c r="Q116" s="764" t="s">
        <v>147</v>
      </c>
      <c r="R116" s="765"/>
      <c r="S116" s="764" t="s">
        <v>158</v>
      </c>
      <c r="T116" s="765"/>
      <c r="U116" s="631"/>
      <c r="V116" s="631"/>
      <c r="W116" s="631"/>
      <c r="X116" s="631"/>
      <c r="Y116" s="631"/>
      <c r="Z116" s="775" t="s">
        <v>159</v>
      </c>
      <c r="AA116" s="776"/>
      <c r="AB116" s="776"/>
      <c r="AC116" s="776"/>
      <c r="AD116" s="776"/>
      <c r="AE116" s="776"/>
      <c r="AF116" s="776"/>
      <c r="AG116" s="777"/>
      <c r="AH116" s="476"/>
      <c r="AI116" s="476"/>
      <c r="AJ116" s="418"/>
      <c r="AK116" s="418"/>
      <c r="AL116" s="418"/>
      <c r="AM116" s="418"/>
      <c r="AN116" s="418"/>
      <c r="AO116" s="418"/>
      <c r="AP116" s="418"/>
      <c r="AQ116" s="418"/>
      <c r="AR116" s="418"/>
      <c r="AS116" s="418"/>
      <c r="AT116" s="418"/>
      <c r="AU116" s="418"/>
      <c r="AV116" s="418"/>
      <c r="AW116" s="418"/>
      <c r="AX116" s="418"/>
      <c r="AY116" s="418"/>
      <c r="AZ116" s="418"/>
      <c r="BA116" s="418"/>
      <c r="BB116" s="418"/>
      <c r="BC116" s="418"/>
      <c r="BD116" s="418"/>
      <c r="BE116" s="418"/>
      <c r="BF116" s="418"/>
      <c r="BG116" s="418"/>
      <c r="BH116" s="418"/>
      <c r="BI116" s="418"/>
      <c r="BJ116" s="418"/>
      <c r="BK116" s="418"/>
      <c r="BL116" s="418"/>
      <c r="BM116" s="418"/>
      <c r="BN116" s="418"/>
      <c r="BO116" s="418"/>
      <c r="BP116" s="418"/>
      <c r="BQ116" s="477"/>
      <c r="BR116" s="477"/>
      <c r="BS116" s="477"/>
      <c r="BT116" s="477"/>
      <c r="BU116" s="477"/>
      <c r="BV116" s="477"/>
      <c r="BW116" s="477"/>
      <c r="BX116" s="477"/>
      <c r="BY116" s="477"/>
    </row>
    <row r="117" spans="1:77" s="478" customFormat="1" ht="39" customHeight="1" thickBot="1" x14ac:dyDescent="0.3">
      <c r="A117" s="753"/>
      <c r="B117" s="753"/>
      <c r="C117" s="756"/>
      <c r="D117" s="759"/>
      <c r="E117" s="766"/>
      <c r="F117" s="767"/>
      <c r="G117" s="766"/>
      <c r="H117" s="767"/>
      <c r="I117" s="766"/>
      <c r="J117" s="767"/>
      <c r="K117" s="766"/>
      <c r="L117" s="767"/>
      <c r="M117" s="766"/>
      <c r="N117" s="767"/>
      <c r="O117" s="766"/>
      <c r="P117" s="767"/>
      <c r="Q117" s="766"/>
      <c r="R117" s="767"/>
      <c r="S117" s="766"/>
      <c r="T117" s="767"/>
      <c r="U117" s="632"/>
      <c r="V117" s="632"/>
      <c r="W117" s="632"/>
      <c r="X117" s="632"/>
      <c r="Y117" s="632"/>
      <c r="Z117" s="764" t="s">
        <v>125</v>
      </c>
      <c r="AA117" s="765"/>
      <c r="AB117" s="764" t="s">
        <v>126</v>
      </c>
      <c r="AC117" s="765"/>
      <c r="AD117" s="764" t="s">
        <v>350</v>
      </c>
      <c r="AE117" s="765"/>
      <c r="AF117" s="764" t="s">
        <v>159</v>
      </c>
      <c r="AG117" s="765"/>
      <c r="AH117" s="419"/>
      <c r="AI117" s="419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418"/>
      <c r="AT117" s="418"/>
      <c r="AU117" s="418"/>
      <c r="AV117" s="418"/>
      <c r="AW117" s="418"/>
      <c r="AX117" s="418"/>
      <c r="AY117" s="418"/>
      <c r="AZ117" s="418"/>
      <c r="BA117" s="418"/>
      <c r="BB117" s="418"/>
      <c r="BC117" s="418"/>
      <c r="BD117" s="418"/>
      <c r="BE117" s="418"/>
      <c r="BF117" s="418"/>
      <c r="BG117" s="418"/>
      <c r="BH117" s="418"/>
      <c r="BI117" s="418"/>
      <c r="BJ117" s="418"/>
      <c r="BK117" s="418"/>
      <c r="BL117" s="418"/>
      <c r="BM117" s="418"/>
      <c r="BN117" s="418"/>
      <c r="BO117" s="418"/>
      <c r="BP117" s="418"/>
      <c r="BQ117" s="418"/>
      <c r="BR117" s="418"/>
      <c r="BS117" s="418"/>
      <c r="BT117" s="418"/>
      <c r="BU117" s="418"/>
      <c r="BV117" s="418"/>
      <c r="BW117" s="418"/>
      <c r="BX117" s="418"/>
      <c r="BY117" s="418"/>
    </row>
    <row r="118" spans="1:77" s="473" customFormat="1" ht="51" customHeight="1" thickBot="1" x14ac:dyDescent="0.3">
      <c r="A118" s="753"/>
      <c r="B118" s="753"/>
      <c r="C118" s="756"/>
      <c r="D118" s="759"/>
      <c r="E118" s="768"/>
      <c r="F118" s="769"/>
      <c r="G118" s="768"/>
      <c r="H118" s="769"/>
      <c r="I118" s="768"/>
      <c r="J118" s="769"/>
      <c r="K118" s="768"/>
      <c r="L118" s="769"/>
      <c r="M118" s="768"/>
      <c r="N118" s="769"/>
      <c r="O118" s="768"/>
      <c r="P118" s="769"/>
      <c r="Q118" s="768"/>
      <c r="R118" s="769"/>
      <c r="S118" s="768"/>
      <c r="T118" s="769"/>
      <c r="U118" s="634"/>
      <c r="V118" s="634"/>
      <c r="W118" s="634"/>
      <c r="X118" s="634"/>
      <c r="Y118" s="634"/>
      <c r="Z118" s="768"/>
      <c r="AA118" s="769"/>
      <c r="AB118" s="768"/>
      <c r="AC118" s="769"/>
      <c r="AD118" s="768"/>
      <c r="AE118" s="769"/>
      <c r="AF118" s="768"/>
      <c r="AG118" s="769"/>
      <c r="AH118" s="419"/>
      <c r="AI118" s="419"/>
      <c r="AJ118" s="472"/>
      <c r="AK118" s="472"/>
      <c r="AL118" s="472"/>
      <c r="AM118" s="472"/>
      <c r="AN118" s="472"/>
      <c r="AO118" s="472"/>
      <c r="AP118" s="472"/>
      <c r="AQ118" s="472"/>
      <c r="AR118" s="472"/>
      <c r="AS118" s="472"/>
      <c r="AT118" s="472"/>
      <c r="AU118" s="472"/>
      <c r="AV118" s="472"/>
      <c r="AW118" s="472"/>
      <c r="AX118" s="472"/>
      <c r="AY118" s="472"/>
      <c r="AZ118" s="472"/>
      <c r="BA118" s="472"/>
      <c r="BB118" s="472"/>
      <c r="BC118" s="472"/>
      <c r="BD118" s="472"/>
      <c r="BE118" s="472"/>
      <c r="BF118" s="472"/>
      <c r="BG118" s="472"/>
      <c r="BH118" s="472"/>
      <c r="BI118" s="472"/>
      <c r="BJ118" s="472"/>
      <c r="BK118" s="472"/>
      <c r="BL118" s="472"/>
      <c r="BM118" s="472"/>
      <c r="BN118" s="472"/>
      <c r="BO118" s="472"/>
      <c r="BP118" s="472"/>
      <c r="BQ118" s="472"/>
      <c r="BR118" s="472"/>
      <c r="BS118" s="472"/>
      <c r="BT118" s="472"/>
      <c r="BU118" s="472"/>
      <c r="BV118" s="472"/>
      <c r="BW118" s="472"/>
      <c r="BX118" s="472"/>
      <c r="BY118" s="472"/>
    </row>
    <row r="119" spans="1:77" s="473" customFormat="1" ht="32.25" customHeight="1" thickBot="1" x14ac:dyDescent="0.3">
      <c r="A119" s="754"/>
      <c r="B119" s="754"/>
      <c r="C119" s="757"/>
      <c r="D119" s="760"/>
      <c r="E119" s="630" t="s">
        <v>79</v>
      </c>
      <c r="F119" s="630" t="s">
        <v>195</v>
      </c>
      <c r="G119" s="630" t="s">
        <v>79</v>
      </c>
      <c r="H119" s="630" t="s">
        <v>195</v>
      </c>
      <c r="I119" s="630" t="s">
        <v>79</v>
      </c>
      <c r="J119" s="630" t="s">
        <v>195</v>
      </c>
      <c r="K119" s="630" t="s">
        <v>79</v>
      </c>
      <c r="L119" s="630" t="s">
        <v>195</v>
      </c>
      <c r="M119" s="630" t="s">
        <v>79</v>
      </c>
      <c r="N119" s="630" t="s">
        <v>195</v>
      </c>
      <c r="O119" s="630" t="s">
        <v>79</v>
      </c>
      <c r="P119" s="630" t="s">
        <v>195</v>
      </c>
      <c r="Q119" s="630" t="s">
        <v>79</v>
      </c>
      <c r="R119" s="630" t="s">
        <v>195</v>
      </c>
      <c r="S119" s="630" t="s">
        <v>79</v>
      </c>
      <c r="T119" s="630" t="s">
        <v>195</v>
      </c>
      <c r="U119" s="634"/>
      <c r="V119" s="634"/>
      <c r="W119" s="634"/>
      <c r="X119" s="634"/>
      <c r="Y119" s="634"/>
      <c r="Z119" s="630" t="s">
        <v>79</v>
      </c>
      <c r="AA119" s="630" t="s">
        <v>195</v>
      </c>
      <c r="AB119" s="630" t="s">
        <v>79</v>
      </c>
      <c r="AC119" s="630" t="s">
        <v>195</v>
      </c>
      <c r="AD119" s="630" t="s">
        <v>79</v>
      </c>
      <c r="AE119" s="630" t="s">
        <v>195</v>
      </c>
      <c r="AF119" s="630" t="s">
        <v>79</v>
      </c>
      <c r="AG119" s="630" t="s">
        <v>195</v>
      </c>
      <c r="AH119" s="474"/>
      <c r="AI119" s="474"/>
      <c r="AJ119" s="472"/>
      <c r="AK119" s="472"/>
      <c r="AL119" s="472"/>
      <c r="AM119" s="472"/>
      <c r="AN119" s="472"/>
      <c r="AO119" s="472"/>
      <c r="AP119" s="472"/>
      <c r="AQ119" s="472"/>
      <c r="AR119" s="472"/>
      <c r="AS119" s="472"/>
      <c r="AT119" s="472"/>
      <c r="AU119" s="472"/>
      <c r="AV119" s="472"/>
      <c r="AW119" s="472"/>
      <c r="AX119" s="472"/>
      <c r="AY119" s="472"/>
      <c r="AZ119" s="472"/>
      <c r="BA119" s="472"/>
      <c r="BB119" s="472"/>
      <c r="BC119" s="472"/>
      <c r="BD119" s="472"/>
      <c r="BE119" s="472"/>
      <c r="BF119" s="472"/>
      <c r="BG119" s="472"/>
      <c r="BH119" s="472"/>
      <c r="BI119" s="472"/>
      <c r="BJ119" s="472"/>
      <c r="BK119" s="472"/>
      <c r="BL119" s="472"/>
      <c r="BM119" s="472"/>
      <c r="BN119" s="472"/>
      <c r="BO119" s="472"/>
      <c r="BP119" s="472"/>
      <c r="BQ119" s="472"/>
      <c r="BR119" s="472"/>
      <c r="BS119" s="472"/>
      <c r="BT119" s="472"/>
      <c r="BU119" s="472"/>
      <c r="BV119" s="472"/>
      <c r="BW119" s="472"/>
      <c r="BX119" s="472"/>
      <c r="BY119" s="472"/>
    </row>
    <row r="120" spans="1:77" s="473" customFormat="1" ht="28.5" customHeight="1" thickBot="1" x14ac:dyDescent="0.3">
      <c r="A120" s="442"/>
      <c r="B120" s="443"/>
      <c r="C120" s="449"/>
      <c r="D120" s="450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0"/>
      <c r="Q120" s="450"/>
      <c r="R120" s="450"/>
      <c r="S120" s="450"/>
      <c r="T120" s="450"/>
      <c r="U120" s="450"/>
      <c r="V120" s="450"/>
      <c r="W120" s="450"/>
      <c r="X120" s="450"/>
      <c r="Y120" s="450"/>
      <c r="Z120" s="450"/>
      <c r="AA120" s="450"/>
      <c r="AB120" s="450"/>
      <c r="AC120" s="450"/>
      <c r="AD120" s="450"/>
      <c r="AE120" s="450"/>
      <c r="AF120" s="444"/>
      <c r="AG120" s="451"/>
      <c r="AH120" s="419"/>
      <c r="AI120" s="419"/>
      <c r="AJ120" s="472"/>
      <c r="AK120" s="472"/>
      <c r="AL120" s="472"/>
      <c r="AM120" s="472"/>
      <c r="AN120" s="472"/>
      <c r="AO120" s="472"/>
      <c r="AP120" s="472"/>
      <c r="AQ120" s="472"/>
      <c r="AR120" s="472"/>
      <c r="AS120" s="472"/>
      <c r="AT120" s="472"/>
      <c r="AU120" s="472"/>
      <c r="AV120" s="472"/>
      <c r="AW120" s="472"/>
      <c r="AX120" s="472"/>
      <c r="AY120" s="472"/>
      <c r="AZ120" s="472"/>
      <c r="BA120" s="472"/>
      <c r="BB120" s="472"/>
      <c r="BC120" s="472"/>
      <c r="BD120" s="472"/>
      <c r="BE120" s="472"/>
      <c r="BF120" s="472"/>
      <c r="BG120" s="472"/>
      <c r="BH120" s="472"/>
      <c r="BI120" s="472"/>
      <c r="BJ120" s="472"/>
      <c r="BK120" s="472"/>
      <c r="BL120" s="472"/>
      <c r="BM120" s="472"/>
      <c r="BN120" s="472"/>
      <c r="BO120" s="472"/>
      <c r="BP120" s="472"/>
      <c r="BQ120" s="472"/>
      <c r="BR120" s="472"/>
      <c r="BS120" s="472"/>
      <c r="BT120" s="472"/>
      <c r="BU120" s="472"/>
      <c r="BV120" s="472"/>
      <c r="BW120" s="472"/>
      <c r="BX120" s="472"/>
      <c r="BY120" s="472"/>
    </row>
    <row r="121" spans="1:77" s="473" customFormat="1" ht="45" customHeight="1" thickBot="1" x14ac:dyDescent="0.3">
      <c r="A121" s="749" t="s">
        <v>464</v>
      </c>
      <c r="B121" s="750"/>
      <c r="C121" s="750"/>
      <c r="D121" s="750"/>
      <c r="E121" s="750"/>
      <c r="F121" s="750"/>
      <c r="G121" s="750"/>
      <c r="H121" s="750"/>
      <c r="I121" s="750"/>
      <c r="J121" s="750"/>
      <c r="K121" s="750"/>
      <c r="L121" s="750"/>
      <c r="M121" s="750"/>
      <c r="N121" s="750"/>
      <c r="O121" s="750"/>
      <c r="P121" s="750"/>
      <c r="Q121" s="750"/>
      <c r="R121" s="750"/>
      <c r="S121" s="750"/>
      <c r="T121" s="750"/>
      <c r="U121" s="750"/>
      <c r="V121" s="750"/>
      <c r="W121" s="750"/>
      <c r="X121" s="750"/>
      <c r="Y121" s="750"/>
      <c r="Z121" s="750"/>
      <c r="AA121" s="750"/>
      <c r="AB121" s="750"/>
      <c r="AC121" s="750"/>
      <c r="AD121" s="750"/>
      <c r="AE121" s="750"/>
      <c r="AF121" s="750"/>
      <c r="AG121" s="751"/>
      <c r="AH121" s="419"/>
      <c r="AI121" s="419"/>
      <c r="AJ121" s="472"/>
      <c r="AK121" s="472"/>
      <c r="AL121" s="472"/>
      <c r="AM121" s="472"/>
      <c r="AN121" s="472"/>
      <c r="AO121" s="472"/>
      <c r="AP121" s="472"/>
      <c r="AQ121" s="472"/>
      <c r="AR121" s="472"/>
      <c r="AS121" s="472"/>
      <c r="AT121" s="472"/>
      <c r="AU121" s="472"/>
      <c r="AV121" s="472"/>
      <c r="AW121" s="472"/>
      <c r="AX121" s="472"/>
      <c r="AY121" s="472"/>
      <c r="AZ121" s="472"/>
      <c r="BA121" s="472"/>
      <c r="BB121" s="472"/>
      <c r="BC121" s="472"/>
      <c r="BD121" s="472"/>
      <c r="BE121" s="472"/>
      <c r="BF121" s="472"/>
      <c r="BG121" s="472"/>
      <c r="BH121" s="472"/>
      <c r="BI121" s="472"/>
      <c r="BJ121" s="472"/>
      <c r="BK121" s="472"/>
      <c r="BL121" s="472"/>
      <c r="BM121" s="472"/>
      <c r="BN121" s="472"/>
      <c r="BO121" s="472"/>
      <c r="BP121" s="472"/>
      <c r="BQ121" s="472"/>
      <c r="BR121" s="472"/>
      <c r="BS121" s="472"/>
      <c r="BT121" s="472"/>
      <c r="BU121" s="472"/>
      <c r="BV121" s="472"/>
      <c r="BW121" s="472"/>
      <c r="BX121" s="472"/>
      <c r="BY121" s="472"/>
    </row>
    <row r="122" spans="1:77" s="473" customFormat="1" ht="45" customHeight="1" thickBot="1" x14ac:dyDescent="0.3">
      <c r="A122" s="625" t="s">
        <v>347</v>
      </c>
      <c r="B122" s="398"/>
      <c r="C122" s="459">
        <v>47586847</v>
      </c>
      <c r="D122" s="459">
        <f>SUM(B123:B130)</f>
        <v>58654347</v>
      </c>
      <c r="E122" s="460">
        <v>6745975</v>
      </c>
      <c r="F122" s="460">
        <f>SUM(E122)-500000-1200000</f>
        <v>5045975</v>
      </c>
      <c r="G122" s="460">
        <v>1865226</v>
      </c>
      <c r="H122" s="460">
        <f>SUM(G122)-900000</f>
        <v>965226</v>
      </c>
      <c r="I122" s="460">
        <v>11516648</v>
      </c>
      <c r="J122" s="460">
        <f>SUM(I122)+667500-5500000</f>
        <v>6684148</v>
      </c>
      <c r="K122" s="461"/>
      <c r="L122" s="461"/>
      <c r="M122" s="460">
        <f>2000000+25458998</f>
        <v>27458998</v>
      </c>
      <c r="N122" s="460">
        <f>SUM(M122)+500000+18000000</f>
        <v>45958998</v>
      </c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>
        <f t="shared" ref="Z122" si="47">SUM(E122+G122+I122+K122+M122)</f>
        <v>47586847</v>
      </c>
      <c r="AA122" s="461">
        <f t="shared" ref="AA122" si="48">SUM(F122+H122+J122+L122+N122)</f>
        <v>58654347</v>
      </c>
      <c r="AB122" s="461">
        <f t="shared" ref="AB122:AC122" si="49">SUM(O122+Q122+S122)</f>
        <v>0</v>
      </c>
      <c r="AC122" s="461">
        <f t="shared" si="49"/>
        <v>0</v>
      </c>
      <c r="AD122" s="461">
        <v>0</v>
      </c>
      <c r="AE122" s="461">
        <v>0</v>
      </c>
      <c r="AF122" s="461">
        <f t="shared" ref="AF122:AG122" si="50">SUM(Z122+AB122+AD122)</f>
        <v>47586847</v>
      </c>
      <c r="AG122" s="461">
        <f t="shared" si="50"/>
        <v>58654347</v>
      </c>
      <c r="AH122" s="419"/>
      <c r="AI122" s="419"/>
      <c r="AJ122" s="472"/>
      <c r="AK122" s="472"/>
      <c r="AL122" s="472"/>
      <c r="AM122" s="472"/>
      <c r="AN122" s="472"/>
      <c r="AO122" s="472"/>
      <c r="AP122" s="472"/>
      <c r="AQ122" s="472"/>
      <c r="AR122" s="472"/>
      <c r="AS122" s="472"/>
      <c r="AT122" s="472"/>
      <c r="AU122" s="472"/>
      <c r="AV122" s="472"/>
      <c r="AW122" s="472"/>
      <c r="AX122" s="472"/>
      <c r="AY122" s="472"/>
      <c r="AZ122" s="472"/>
      <c r="BA122" s="472"/>
      <c r="BB122" s="472"/>
      <c r="BC122" s="472"/>
      <c r="BD122" s="472"/>
      <c r="BE122" s="472"/>
      <c r="BF122" s="472"/>
      <c r="BG122" s="472"/>
      <c r="BH122" s="472"/>
      <c r="BI122" s="472"/>
      <c r="BJ122" s="472"/>
      <c r="BK122" s="472"/>
      <c r="BL122" s="472"/>
      <c r="BM122" s="472"/>
      <c r="BN122" s="472"/>
      <c r="BO122" s="472"/>
      <c r="BP122" s="472"/>
      <c r="BQ122" s="472"/>
      <c r="BR122" s="472"/>
      <c r="BS122" s="472"/>
      <c r="BT122" s="472"/>
      <c r="BU122" s="472"/>
      <c r="BV122" s="472"/>
      <c r="BW122" s="472"/>
      <c r="BX122" s="472"/>
      <c r="BY122" s="472"/>
    </row>
    <row r="123" spans="1:77" s="473" customFormat="1" ht="45" customHeight="1" thickBot="1" x14ac:dyDescent="0.3">
      <c r="A123" s="627" t="s">
        <v>334</v>
      </c>
      <c r="B123" s="397">
        <f>8762000+667500-7600000</f>
        <v>1829500</v>
      </c>
      <c r="C123" s="462"/>
      <c r="D123" s="462"/>
      <c r="E123" s="460"/>
      <c r="F123" s="460"/>
      <c r="G123" s="460"/>
      <c r="H123" s="460"/>
      <c r="I123" s="460"/>
      <c r="J123" s="460"/>
      <c r="K123" s="460"/>
      <c r="L123" s="460"/>
      <c r="M123" s="460"/>
      <c r="N123" s="460"/>
      <c r="O123" s="460"/>
      <c r="P123" s="460"/>
      <c r="Q123" s="460"/>
      <c r="R123" s="460"/>
      <c r="S123" s="460"/>
      <c r="T123" s="460"/>
      <c r="U123" s="460"/>
      <c r="V123" s="460"/>
      <c r="W123" s="460"/>
      <c r="X123" s="460"/>
      <c r="Y123" s="460"/>
      <c r="Z123" s="461"/>
      <c r="AA123" s="461"/>
      <c r="AB123" s="461"/>
      <c r="AC123" s="461"/>
      <c r="AD123" s="461"/>
      <c r="AE123" s="461"/>
      <c r="AF123" s="461"/>
      <c r="AG123" s="461">
        <f t="shared" ref="AG123:AG137" si="51">SUM(AA123+AC123+AE123)</f>
        <v>0</v>
      </c>
      <c r="AH123" s="419"/>
      <c r="AI123" s="419"/>
      <c r="AJ123" s="472"/>
      <c r="AK123" s="472"/>
      <c r="AL123" s="472"/>
      <c r="AM123" s="472"/>
      <c r="AN123" s="472"/>
      <c r="AO123" s="472"/>
      <c r="AP123" s="472"/>
      <c r="AQ123" s="472"/>
      <c r="AR123" s="472"/>
      <c r="AS123" s="472"/>
      <c r="AT123" s="472"/>
      <c r="AU123" s="472"/>
      <c r="AV123" s="472"/>
      <c r="AW123" s="472"/>
      <c r="AX123" s="472"/>
      <c r="AY123" s="472"/>
      <c r="AZ123" s="472"/>
      <c r="BA123" s="472"/>
      <c r="BB123" s="472"/>
      <c r="BC123" s="472"/>
      <c r="BD123" s="472"/>
      <c r="BE123" s="472"/>
      <c r="BF123" s="472"/>
      <c r="BG123" s="472"/>
      <c r="BH123" s="472"/>
      <c r="BI123" s="472"/>
      <c r="BJ123" s="472"/>
      <c r="BK123" s="472"/>
      <c r="BL123" s="472"/>
      <c r="BM123" s="472"/>
      <c r="BN123" s="472"/>
      <c r="BO123" s="472"/>
      <c r="BP123" s="472"/>
      <c r="BQ123" s="472"/>
      <c r="BR123" s="472"/>
      <c r="BS123" s="472"/>
      <c r="BT123" s="472"/>
      <c r="BU123" s="472"/>
      <c r="BV123" s="472"/>
      <c r="BW123" s="472"/>
      <c r="BX123" s="472"/>
      <c r="BY123" s="472"/>
    </row>
    <row r="124" spans="1:77" s="473" customFormat="1" ht="30" customHeight="1" thickBot="1" x14ac:dyDescent="0.3">
      <c r="A124" s="627" t="s">
        <v>399</v>
      </c>
      <c r="B124" s="397">
        <v>2000000</v>
      </c>
      <c r="C124" s="462"/>
      <c r="D124" s="471"/>
      <c r="E124" s="460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/>
      <c r="U124" s="460"/>
      <c r="V124" s="460"/>
      <c r="W124" s="460"/>
      <c r="X124" s="460"/>
      <c r="Y124" s="460"/>
      <c r="Z124" s="461"/>
      <c r="AA124" s="461"/>
      <c r="AB124" s="461"/>
      <c r="AC124" s="461"/>
      <c r="AD124" s="461"/>
      <c r="AE124" s="461"/>
      <c r="AF124" s="461"/>
      <c r="AG124" s="461">
        <f t="shared" si="51"/>
        <v>0</v>
      </c>
      <c r="AH124" s="474"/>
      <c r="AI124" s="474"/>
      <c r="AJ124" s="472"/>
      <c r="AK124" s="472"/>
      <c r="AL124" s="472"/>
      <c r="AM124" s="472"/>
      <c r="AN124" s="472"/>
      <c r="AO124" s="472"/>
      <c r="AP124" s="472"/>
      <c r="AQ124" s="472"/>
      <c r="AR124" s="472"/>
      <c r="AS124" s="472"/>
      <c r="AT124" s="472"/>
      <c r="AU124" s="472"/>
      <c r="AV124" s="472"/>
      <c r="AW124" s="472"/>
      <c r="AX124" s="472"/>
      <c r="AY124" s="472"/>
      <c r="AZ124" s="472"/>
      <c r="BA124" s="472"/>
      <c r="BB124" s="472"/>
      <c r="BC124" s="472"/>
      <c r="BD124" s="472"/>
      <c r="BE124" s="472"/>
      <c r="BF124" s="472"/>
      <c r="BG124" s="472"/>
      <c r="BH124" s="472"/>
      <c r="BI124" s="472"/>
      <c r="BJ124" s="472"/>
      <c r="BK124" s="472"/>
      <c r="BL124" s="472"/>
      <c r="BM124" s="472"/>
      <c r="BN124" s="472"/>
      <c r="BO124" s="472"/>
      <c r="BP124" s="472"/>
      <c r="BQ124" s="472"/>
      <c r="BR124" s="472"/>
      <c r="BS124" s="472"/>
      <c r="BT124" s="472"/>
      <c r="BU124" s="472"/>
      <c r="BV124" s="472"/>
      <c r="BW124" s="472"/>
      <c r="BX124" s="472"/>
      <c r="BY124" s="472"/>
    </row>
    <row r="125" spans="1:77" s="473" customFormat="1" ht="32.25" customHeight="1" thickBot="1" x14ac:dyDescent="0.3">
      <c r="A125" s="627" t="s">
        <v>86</v>
      </c>
      <c r="B125" s="397">
        <v>872649</v>
      </c>
      <c r="C125" s="462"/>
      <c r="D125" s="462"/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460"/>
      <c r="V125" s="460"/>
      <c r="W125" s="460"/>
      <c r="X125" s="460"/>
      <c r="Y125" s="460"/>
      <c r="Z125" s="461"/>
      <c r="AA125" s="461"/>
      <c r="AB125" s="461"/>
      <c r="AC125" s="461"/>
      <c r="AD125" s="461"/>
      <c r="AE125" s="461"/>
      <c r="AF125" s="461"/>
      <c r="AG125" s="461">
        <f t="shared" si="51"/>
        <v>0</v>
      </c>
      <c r="AH125" s="474"/>
      <c r="AI125" s="474"/>
      <c r="AJ125" s="472"/>
      <c r="AK125" s="472"/>
      <c r="AL125" s="472"/>
      <c r="AM125" s="472"/>
      <c r="AN125" s="472"/>
      <c r="AO125" s="472"/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2"/>
      <c r="BB125" s="472"/>
      <c r="BC125" s="472"/>
      <c r="BD125" s="472"/>
      <c r="BE125" s="472"/>
      <c r="BF125" s="472"/>
      <c r="BG125" s="472"/>
      <c r="BH125" s="472"/>
      <c r="BI125" s="472"/>
      <c r="BJ125" s="472"/>
      <c r="BK125" s="472"/>
      <c r="BL125" s="472"/>
      <c r="BM125" s="472"/>
      <c r="BN125" s="472"/>
      <c r="BO125" s="472"/>
      <c r="BP125" s="472"/>
      <c r="BQ125" s="472"/>
      <c r="BR125" s="472"/>
      <c r="BS125" s="472"/>
      <c r="BT125" s="472"/>
      <c r="BU125" s="472"/>
      <c r="BV125" s="472"/>
      <c r="BW125" s="472"/>
      <c r="BX125" s="472"/>
      <c r="BY125" s="472"/>
    </row>
    <row r="126" spans="1:77" s="473" customFormat="1" ht="32.25" customHeight="1" thickBot="1" x14ac:dyDescent="0.3">
      <c r="A126" s="63" t="s">
        <v>368</v>
      </c>
      <c r="B126" s="466">
        <f>2000000+2000000</f>
        <v>4000000</v>
      </c>
      <c r="C126" s="486"/>
      <c r="D126" s="462"/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460"/>
      <c r="X126" s="460"/>
      <c r="Y126" s="460"/>
      <c r="Z126" s="461"/>
      <c r="AA126" s="461"/>
      <c r="AB126" s="461"/>
      <c r="AC126" s="461"/>
      <c r="AD126" s="461"/>
      <c r="AE126" s="461"/>
      <c r="AF126" s="461"/>
      <c r="AG126" s="461">
        <f t="shared" si="51"/>
        <v>0</v>
      </c>
      <c r="AH126" s="474"/>
      <c r="AI126" s="474"/>
      <c r="AJ126" s="472"/>
      <c r="AK126" s="472"/>
      <c r="AL126" s="472"/>
      <c r="AM126" s="472"/>
      <c r="AN126" s="472"/>
      <c r="AO126" s="472"/>
      <c r="AP126" s="472"/>
      <c r="AQ126" s="472"/>
      <c r="AR126" s="472"/>
      <c r="AS126" s="472"/>
      <c r="AT126" s="472"/>
      <c r="AU126" s="472"/>
      <c r="AV126" s="472"/>
      <c r="AW126" s="472"/>
      <c r="AX126" s="472"/>
      <c r="AY126" s="472"/>
      <c r="AZ126" s="472"/>
      <c r="BA126" s="472"/>
      <c r="BB126" s="472"/>
      <c r="BC126" s="472"/>
      <c r="BD126" s="472"/>
      <c r="BE126" s="472"/>
      <c r="BF126" s="472"/>
      <c r="BG126" s="472"/>
      <c r="BH126" s="472"/>
      <c r="BI126" s="472"/>
      <c r="BJ126" s="472"/>
      <c r="BK126" s="472"/>
      <c r="BL126" s="472"/>
      <c r="BM126" s="472"/>
      <c r="BN126" s="472"/>
      <c r="BO126" s="472"/>
      <c r="BP126" s="472"/>
      <c r="BQ126" s="472"/>
      <c r="BR126" s="472"/>
      <c r="BS126" s="472"/>
      <c r="BT126" s="472"/>
      <c r="BU126" s="472"/>
      <c r="BV126" s="472"/>
      <c r="BW126" s="472"/>
      <c r="BX126" s="472"/>
      <c r="BY126" s="472"/>
    </row>
    <row r="127" spans="1:77" s="473" customFormat="1" ht="30" customHeight="1" thickBot="1" x14ac:dyDescent="0.3">
      <c r="A127" s="627" t="s">
        <v>84</v>
      </c>
      <c r="B127" s="487">
        <f>3750000</f>
        <v>3750000</v>
      </c>
      <c r="C127" s="462"/>
      <c r="D127" s="462"/>
      <c r="E127" s="460"/>
      <c r="F127" s="460"/>
      <c r="G127" s="460"/>
      <c r="H127" s="460"/>
      <c r="I127" s="460"/>
      <c r="J127" s="460"/>
      <c r="K127" s="460"/>
      <c r="L127" s="460"/>
      <c r="M127" s="460"/>
      <c r="N127" s="460"/>
      <c r="O127" s="460"/>
      <c r="P127" s="460"/>
      <c r="Q127" s="460"/>
      <c r="R127" s="460"/>
      <c r="S127" s="460"/>
      <c r="T127" s="460"/>
      <c r="U127" s="460"/>
      <c r="V127" s="460"/>
      <c r="W127" s="460"/>
      <c r="X127" s="460"/>
      <c r="Y127" s="460"/>
      <c r="Z127" s="461"/>
      <c r="AA127" s="461"/>
      <c r="AB127" s="461"/>
      <c r="AC127" s="461"/>
      <c r="AD127" s="461"/>
      <c r="AE127" s="461"/>
      <c r="AF127" s="461"/>
      <c r="AG127" s="461">
        <f t="shared" si="51"/>
        <v>0</v>
      </c>
      <c r="AH127" s="474"/>
      <c r="AI127" s="474"/>
      <c r="AJ127" s="472"/>
      <c r="AK127" s="472"/>
      <c r="AL127" s="472"/>
      <c r="AM127" s="472"/>
      <c r="AN127" s="472"/>
      <c r="AO127" s="472"/>
      <c r="AP127" s="472"/>
      <c r="AQ127" s="472"/>
      <c r="AR127" s="472"/>
      <c r="AS127" s="472"/>
      <c r="AT127" s="472"/>
      <c r="AU127" s="472"/>
      <c r="AV127" s="472"/>
      <c r="AW127" s="472"/>
      <c r="AX127" s="472"/>
      <c r="AY127" s="472"/>
      <c r="AZ127" s="472"/>
      <c r="BA127" s="472"/>
      <c r="BB127" s="472"/>
      <c r="BC127" s="472"/>
      <c r="BD127" s="472"/>
      <c r="BE127" s="472"/>
      <c r="BF127" s="472"/>
      <c r="BG127" s="472"/>
      <c r="BH127" s="472"/>
      <c r="BI127" s="472"/>
      <c r="BJ127" s="472"/>
      <c r="BK127" s="472"/>
      <c r="BL127" s="472"/>
      <c r="BM127" s="472"/>
      <c r="BN127" s="472"/>
      <c r="BO127" s="472"/>
      <c r="BP127" s="472"/>
      <c r="BQ127" s="472"/>
      <c r="BR127" s="472"/>
      <c r="BS127" s="472"/>
      <c r="BT127" s="472"/>
      <c r="BU127" s="472"/>
      <c r="BV127" s="472"/>
      <c r="BW127" s="472"/>
      <c r="BX127" s="472"/>
      <c r="BY127" s="472"/>
    </row>
    <row r="128" spans="1:77" s="473" customFormat="1" ht="30" customHeight="1" thickBot="1" x14ac:dyDescent="0.3">
      <c r="A128" s="329" t="s">
        <v>85</v>
      </c>
      <c r="B128" s="487">
        <f>2743200</f>
        <v>2743200</v>
      </c>
      <c r="C128" s="462"/>
      <c r="D128" s="462"/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  <c r="R128" s="460"/>
      <c r="S128" s="460"/>
      <c r="T128" s="460"/>
      <c r="U128" s="460"/>
      <c r="V128" s="460"/>
      <c r="W128" s="460"/>
      <c r="X128" s="460"/>
      <c r="Y128" s="460"/>
      <c r="Z128" s="461"/>
      <c r="AA128" s="461"/>
      <c r="AB128" s="461"/>
      <c r="AC128" s="461"/>
      <c r="AD128" s="461"/>
      <c r="AE128" s="461"/>
      <c r="AF128" s="461"/>
      <c r="AG128" s="461">
        <f t="shared" si="51"/>
        <v>0</v>
      </c>
      <c r="AH128" s="474"/>
      <c r="AI128" s="474"/>
      <c r="AJ128" s="472"/>
      <c r="AK128" s="472"/>
      <c r="AL128" s="472"/>
      <c r="AM128" s="472"/>
      <c r="AN128" s="472"/>
      <c r="AO128" s="472"/>
      <c r="AP128" s="472"/>
      <c r="AQ128" s="472"/>
      <c r="AR128" s="472"/>
      <c r="AS128" s="472"/>
      <c r="AT128" s="472"/>
      <c r="AU128" s="472"/>
      <c r="AV128" s="472"/>
      <c r="AW128" s="472"/>
      <c r="AX128" s="472"/>
      <c r="AY128" s="472"/>
      <c r="AZ128" s="472"/>
      <c r="BA128" s="472"/>
      <c r="BB128" s="472"/>
      <c r="BC128" s="472"/>
      <c r="BD128" s="472"/>
      <c r="BE128" s="472"/>
      <c r="BF128" s="472"/>
      <c r="BG128" s="472"/>
      <c r="BH128" s="472"/>
      <c r="BI128" s="472"/>
      <c r="BJ128" s="472"/>
      <c r="BK128" s="472"/>
      <c r="BL128" s="472"/>
      <c r="BM128" s="472"/>
      <c r="BN128" s="472"/>
      <c r="BO128" s="472"/>
      <c r="BP128" s="472"/>
      <c r="BQ128" s="472"/>
      <c r="BR128" s="472"/>
      <c r="BS128" s="472"/>
      <c r="BT128" s="472"/>
      <c r="BU128" s="472"/>
      <c r="BV128" s="472"/>
      <c r="BW128" s="472"/>
      <c r="BX128" s="472"/>
      <c r="BY128" s="472"/>
    </row>
    <row r="129" spans="1:77" s="473" customFormat="1" ht="30" customHeight="1" thickBot="1" x14ac:dyDescent="0.3">
      <c r="A129" s="63" t="s">
        <v>446</v>
      </c>
      <c r="B129" s="466">
        <v>14316998</v>
      </c>
      <c r="C129" s="462"/>
      <c r="D129" s="462"/>
      <c r="E129" s="460"/>
      <c r="F129" s="460"/>
      <c r="G129" s="460"/>
      <c r="H129" s="460"/>
      <c r="I129" s="460"/>
      <c r="J129" s="460"/>
      <c r="K129" s="460"/>
      <c r="L129" s="460"/>
      <c r="M129" s="460"/>
      <c r="N129" s="460"/>
      <c r="O129" s="460"/>
      <c r="P129" s="460"/>
      <c r="Q129" s="460"/>
      <c r="R129" s="460"/>
      <c r="S129" s="460"/>
      <c r="T129" s="460"/>
      <c r="U129" s="460"/>
      <c r="V129" s="460"/>
      <c r="W129" s="460"/>
      <c r="X129" s="460"/>
      <c r="Y129" s="460"/>
      <c r="Z129" s="461"/>
      <c r="AA129" s="461"/>
      <c r="AB129" s="461"/>
      <c r="AC129" s="461"/>
      <c r="AD129" s="461"/>
      <c r="AE129" s="461"/>
      <c r="AF129" s="461"/>
      <c r="AG129" s="461">
        <f t="shared" si="51"/>
        <v>0</v>
      </c>
      <c r="AH129" s="474"/>
      <c r="AI129" s="474"/>
      <c r="AJ129" s="472"/>
      <c r="AK129" s="472"/>
      <c r="AL129" s="472"/>
      <c r="AM129" s="472"/>
      <c r="AN129" s="472"/>
      <c r="AO129" s="472"/>
      <c r="AP129" s="472"/>
      <c r="AQ129" s="472"/>
      <c r="AR129" s="472"/>
      <c r="AS129" s="472"/>
      <c r="AT129" s="472"/>
      <c r="AU129" s="472"/>
      <c r="AV129" s="472"/>
      <c r="AW129" s="472"/>
      <c r="AX129" s="472"/>
      <c r="AY129" s="472"/>
      <c r="AZ129" s="472"/>
      <c r="BA129" s="472"/>
      <c r="BB129" s="472"/>
      <c r="BC129" s="472"/>
      <c r="BD129" s="472"/>
      <c r="BE129" s="472"/>
      <c r="BF129" s="472"/>
      <c r="BG129" s="472"/>
      <c r="BH129" s="472"/>
      <c r="BI129" s="472"/>
      <c r="BJ129" s="472"/>
      <c r="BK129" s="472"/>
      <c r="BL129" s="472"/>
      <c r="BM129" s="472"/>
      <c r="BN129" s="472"/>
      <c r="BO129" s="472"/>
      <c r="BP129" s="472"/>
      <c r="BQ129" s="472"/>
      <c r="BR129" s="472"/>
      <c r="BS129" s="472"/>
      <c r="BT129" s="472"/>
      <c r="BU129" s="472"/>
      <c r="BV129" s="472"/>
      <c r="BW129" s="472"/>
      <c r="BX129" s="472"/>
      <c r="BY129" s="472"/>
    </row>
    <row r="130" spans="1:77" s="478" customFormat="1" ht="38.25" customHeight="1" thickBot="1" x14ac:dyDescent="0.3">
      <c r="A130" s="63" t="s">
        <v>447</v>
      </c>
      <c r="B130" s="466">
        <f>11142000+18000000</f>
        <v>29142000</v>
      </c>
      <c r="C130" s="462"/>
      <c r="D130" s="462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  <c r="R130" s="460"/>
      <c r="S130" s="460"/>
      <c r="T130" s="460"/>
      <c r="U130" s="460"/>
      <c r="V130" s="460"/>
      <c r="W130" s="460"/>
      <c r="X130" s="460"/>
      <c r="Y130" s="460"/>
      <c r="Z130" s="461"/>
      <c r="AA130" s="461"/>
      <c r="AB130" s="461"/>
      <c r="AC130" s="461"/>
      <c r="AD130" s="461"/>
      <c r="AE130" s="461"/>
      <c r="AF130" s="461"/>
      <c r="AG130" s="461">
        <f t="shared" si="51"/>
        <v>0</v>
      </c>
      <c r="AH130" s="474"/>
      <c r="AI130" s="474"/>
      <c r="AJ130" s="472"/>
      <c r="AK130" s="472"/>
      <c r="AL130" s="472"/>
      <c r="AM130" s="418"/>
      <c r="AN130" s="418"/>
      <c r="AO130" s="418"/>
      <c r="AP130" s="418"/>
      <c r="AQ130" s="418"/>
      <c r="AR130" s="418"/>
      <c r="AS130" s="418"/>
      <c r="AT130" s="418"/>
      <c r="AU130" s="418"/>
      <c r="AV130" s="418"/>
      <c r="AW130" s="418"/>
      <c r="AX130" s="418"/>
      <c r="AY130" s="418"/>
      <c r="AZ130" s="418"/>
      <c r="BA130" s="418"/>
      <c r="BB130" s="418"/>
      <c r="BC130" s="418"/>
      <c r="BD130" s="418"/>
      <c r="BE130" s="418"/>
      <c r="BF130" s="418"/>
      <c r="BG130" s="418"/>
      <c r="BH130" s="418"/>
      <c r="BI130" s="418"/>
      <c r="BJ130" s="418"/>
      <c r="BK130" s="418"/>
      <c r="BL130" s="418"/>
      <c r="BM130" s="418"/>
      <c r="BN130" s="418"/>
      <c r="BO130" s="418"/>
      <c r="BP130" s="418"/>
      <c r="BQ130" s="418"/>
      <c r="BR130" s="418"/>
      <c r="BS130" s="418"/>
      <c r="BT130" s="418"/>
      <c r="BU130" s="418"/>
      <c r="BV130" s="418"/>
      <c r="BW130" s="418"/>
      <c r="BX130" s="418"/>
      <c r="BY130" s="418"/>
    </row>
    <row r="131" spans="1:77" s="480" customFormat="1" ht="52.5" customHeight="1" thickBot="1" x14ac:dyDescent="0.35">
      <c r="A131" s="597" t="s">
        <v>528</v>
      </c>
      <c r="B131" s="466"/>
      <c r="C131" s="462"/>
      <c r="D131" s="459">
        <f>SUM(B132:B133)</f>
        <v>18868263</v>
      </c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0"/>
      <c r="Q131" s="460"/>
      <c r="R131" s="460">
        <v>18868263</v>
      </c>
      <c r="S131" s="460"/>
      <c r="T131" s="460"/>
      <c r="U131" s="460"/>
      <c r="V131" s="460"/>
      <c r="W131" s="460"/>
      <c r="X131" s="460"/>
      <c r="Y131" s="460"/>
      <c r="Z131" s="461">
        <f t="shared" ref="Z131:AA137" si="52">SUM(E131+G131+I131+K131+M131)</f>
        <v>0</v>
      </c>
      <c r="AA131" s="461">
        <f t="shared" si="52"/>
        <v>0</v>
      </c>
      <c r="AB131" s="461">
        <f t="shared" ref="AB131:AC138" si="53">SUM(O131+Q131+S131)</f>
        <v>0</v>
      </c>
      <c r="AC131" s="461">
        <f t="shared" si="53"/>
        <v>18868263</v>
      </c>
      <c r="AD131" s="461">
        <v>0</v>
      </c>
      <c r="AE131" s="461">
        <v>0</v>
      </c>
      <c r="AF131" s="461">
        <f t="shared" ref="AF131:AG140" si="54">SUM(Z131+AB131+AD131)</f>
        <v>0</v>
      </c>
      <c r="AG131" s="461">
        <f t="shared" si="51"/>
        <v>18868263</v>
      </c>
      <c r="AH131" s="419"/>
      <c r="AI131" s="419"/>
      <c r="AJ131" s="479"/>
      <c r="AK131" s="479"/>
      <c r="AL131" s="479"/>
      <c r="AM131" s="479"/>
      <c r="AN131" s="479"/>
      <c r="AO131" s="479"/>
      <c r="AP131" s="479"/>
      <c r="AQ131" s="479"/>
      <c r="AR131" s="479"/>
      <c r="AS131" s="479"/>
      <c r="AT131" s="479"/>
      <c r="AU131" s="479"/>
      <c r="AV131" s="479"/>
      <c r="AW131" s="479"/>
      <c r="AX131" s="479"/>
      <c r="AY131" s="479"/>
      <c r="AZ131" s="479"/>
      <c r="BA131" s="479"/>
      <c r="BB131" s="479"/>
      <c r="BC131" s="479"/>
      <c r="BD131" s="479"/>
      <c r="BE131" s="479"/>
      <c r="BF131" s="479"/>
      <c r="BG131" s="479"/>
      <c r="BH131" s="479"/>
      <c r="BI131" s="479"/>
      <c r="BJ131" s="479"/>
      <c r="BK131" s="479"/>
      <c r="BL131" s="479"/>
      <c r="BM131" s="479"/>
      <c r="BN131" s="479"/>
      <c r="BO131" s="479"/>
      <c r="BP131" s="479"/>
      <c r="BQ131" s="479"/>
      <c r="BR131" s="479"/>
      <c r="BS131" s="479"/>
      <c r="BT131" s="479"/>
      <c r="BU131" s="479"/>
      <c r="BV131" s="479"/>
      <c r="BW131" s="479"/>
      <c r="BX131" s="479"/>
      <c r="BY131" s="479"/>
    </row>
    <row r="132" spans="1:77" s="478" customFormat="1" ht="45.75" customHeight="1" thickBot="1" x14ac:dyDescent="0.35">
      <c r="A132" s="598" t="s">
        <v>529</v>
      </c>
      <c r="B132" s="466">
        <v>15000000</v>
      </c>
      <c r="C132" s="462"/>
      <c r="D132" s="462"/>
      <c r="E132" s="460"/>
      <c r="F132" s="460"/>
      <c r="G132" s="460"/>
      <c r="H132" s="460"/>
      <c r="I132" s="460"/>
      <c r="J132" s="460"/>
      <c r="K132" s="460"/>
      <c r="L132" s="460"/>
      <c r="M132" s="460"/>
      <c r="N132" s="460"/>
      <c r="O132" s="460"/>
      <c r="P132" s="460"/>
      <c r="Q132" s="460"/>
      <c r="R132" s="460"/>
      <c r="S132" s="460"/>
      <c r="T132" s="460"/>
      <c r="U132" s="460"/>
      <c r="V132" s="460"/>
      <c r="W132" s="460"/>
      <c r="X132" s="460"/>
      <c r="Y132" s="460"/>
      <c r="Z132" s="461"/>
      <c r="AA132" s="461"/>
      <c r="AB132" s="461"/>
      <c r="AC132" s="461"/>
      <c r="AD132" s="461"/>
      <c r="AE132" s="461"/>
      <c r="AF132" s="461"/>
      <c r="AG132" s="461">
        <f t="shared" si="51"/>
        <v>0</v>
      </c>
      <c r="AH132" s="476"/>
      <c r="AI132" s="476"/>
      <c r="AJ132" s="418"/>
      <c r="AK132" s="418"/>
      <c r="AL132" s="418"/>
      <c r="AM132" s="418"/>
      <c r="AN132" s="418"/>
      <c r="AO132" s="418"/>
      <c r="AP132" s="418"/>
      <c r="AQ132" s="418"/>
      <c r="AR132" s="418"/>
      <c r="AS132" s="418"/>
      <c r="AT132" s="418"/>
      <c r="AU132" s="418"/>
      <c r="AV132" s="418"/>
      <c r="AW132" s="418"/>
      <c r="AX132" s="418"/>
      <c r="AY132" s="418"/>
      <c r="AZ132" s="418"/>
      <c r="BA132" s="418"/>
      <c r="BB132" s="418"/>
      <c r="BC132" s="418"/>
      <c r="BD132" s="418"/>
      <c r="BE132" s="418"/>
      <c r="BF132" s="418"/>
      <c r="BG132" s="418"/>
      <c r="BH132" s="418"/>
      <c r="BI132" s="418"/>
      <c r="BJ132" s="418"/>
      <c r="BK132" s="418"/>
      <c r="BL132" s="418"/>
      <c r="BM132" s="418"/>
      <c r="BN132" s="418"/>
      <c r="BO132" s="418"/>
      <c r="BP132" s="418"/>
      <c r="BQ132" s="477"/>
      <c r="BR132" s="477"/>
      <c r="BS132" s="477"/>
      <c r="BT132" s="477"/>
      <c r="BU132" s="477"/>
      <c r="BV132" s="477"/>
      <c r="BW132" s="477"/>
      <c r="BX132" s="477"/>
      <c r="BY132" s="477"/>
    </row>
    <row r="133" spans="1:77" s="478" customFormat="1" ht="40.5" customHeight="1" thickBot="1" x14ac:dyDescent="0.35">
      <c r="A133" s="598" t="s">
        <v>530</v>
      </c>
      <c r="B133" s="466">
        <v>3868263</v>
      </c>
      <c r="C133" s="462"/>
      <c r="D133" s="462"/>
      <c r="E133" s="460"/>
      <c r="F133" s="460"/>
      <c r="G133" s="460"/>
      <c r="H133" s="460"/>
      <c r="I133" s="460"/>
      <c r="J133" s="460"/>
      <c r="K133" s="460"/>
      <c r="L133" s="460"/>
      <c r="M133" s="460"/>
      <c r="N133" s="460"/>
      <c r="O133" s="460"/>
      <c r="P133" s="460"/>
      <c r="Q133" s="460"/>
      <c r="R133" s="460"/>
      <c r="S133" s="460"/>
      <c r="T133" s="460"/>
      <c r="U133" s="460"/>
      <c r="V133" s="460"/>
      <c r="W133" s="460"/>
      <c r="X133" s="460"/>
      <c r="Y133" s="460"/>
      <c r="Z133" s="461"/>
      <c r="AA133" s="461"/>
      <c r="AB133" s="461"/>
      <c r="AC133" s="461"/>
      <c r="AD133" s="461"/>
      <c r="AE133" s="461"/>
      <c r="AF133" s="461"/>
      <c r="AG133" s="461">
        <f t="shared" si="51"/>
        <v>0</v>
      </c>
      <c r="AH133" s="419"/>
      <c r="AI133" s="419"/>
      <c r="AJ133" s="418"/>
      <c r="AK133" s="418"/>
      <c r="AL133" s="418"/>
      <c r="AM133" s="418"/>
      <c r="AN133" s="418"/>
      <c r="AO133" s="418"/>
      <c r="AP133" s="418"/>
      <c r="AQ133" s="418"/>
      <c r="AR133" s="418"/>
      <c r="AS133" s="418"/>
      <c r="AT133" s="418"/>
      <c r="AU133" s="418"/>
      <c r="AV133" s="418"/>
      <c r="AW133" s="418"/>
      <c r="AX133" s="418"/>
      <c r="AY133" s="418"/>
      <c r="AZ133" s="418"/>
      <c r="BA133" s="418"/>
      <c r="BB133" s="418"/>
      <c r="BC133" s="418"/>
      <c r="BD133" s="418"/>
      <c r="BE133" s="418"/>
      <c r="BF133" s="418"/>
      <c r="BG133" s="418"/>
      <c r="BH133" s="418"/>
      <c r="BI133" s="418"/>
      <c r="BJ133" s="418"/>
      <c r="BK133" s="418"/>
      <c r="BL133" s="418"/>
      <c r="BM133" s="418"/>
      <c r="BN133" s="418"/>
      <c r="BO133" s="418"/>
      <c r="BP133" s="418"/>
      <c r="BQ133" s="418"/>
      <c r="BR133" s="418"/>
      <c r="BS133" s="418"/>
      <c r="BT133" s="418"/>
      <c r="BU133" s="418"/>
      <c r="BV133" s="418"/>
      <c r="BW133" s="418"/>
      <c r="BX133" s="418"/>
      <c r="BY133" s="418"/>
    </row>
    <row r="134" spans="1:77" s="478" customFormat="1" ht="40.5" hidden="1" customHeight="1" thickBot="1" x14ac:dyDescent="0.35">
      <c r="A134" s="597" t="s">
        <v>531</v>
      </c>
      <c r="B134" s="466">
        <v>3850440</v>
      </c>
      <c r="C134" s="459"/>
      <c r="D134" s="459">
        <v>3850440</v>
      </c>
      <c r="E134" s="460"/>
      <c r="F134" s="460"/>
      <c r="G134" s="460"/>
      <c r="H134" s="460"/>
      <c r="I134" s="460"/>
      <c r="J134" s="460">
        <v>3125040</v>
      </c>
      <c r="K134" s="460"/>
      <c r="L134" s="460"/>
      <c r="M134" s="460"/>
      <c r="N134" s="460"/>
      <c r="O134" s="460"/>
      <c r="P134" s="460">
        <v>725400</v>
      </c>
      <c r="Q134" s="460"/>
      <c r="R134" s="460"/>
      <c r="S134" s="460"/>
      <c r="T134" s="460"/>
      <c r="U134" s="460"/>
      <c r="V134" s="460"/>
      <c r="W134" s="460"/>
      <c r="X134" s="460"/>
      <c r="Y134" s="460"/>
      <c r="Z134" s="461">
        <f t="shared" si="52"/>
        <v>0</v>
      </c>
      <c r="AA134" s="461">
        <f t="shared" si="52"/>
        <v>3125040</v>
      </c>
      <c r="AB134" s="461">
        <f t="shared" si="53"/>
        <v>0</v>
      </c>
      <c r="AC134" s="461">
        <f t="shared" si="53"/>
        <v>725400</v>
      </c>
      <c r="AD134" s="461">
        <v>0</v>
      </c>
      <c r="AE134" s="461">
        <v>0</v>
      </c>
      <c r="AF134" s="461">
        <f t="shared" si="54"/>
        <v>0</v>
      </c>
      <c r="AG134" s="461">
        <f t="shared" si="51"/>
        <v>3850440</v>
      </c>
      <c r="AH134" s="419"/>
      <c r="AI134" s="419"/>
      <c r="AJ134" s="418"/>
      <c r="AK134" s="418"/>
      <c r="AL134" s="418"/>
      <c r="AM134" s="418"/>
      <c r="AN134" s="418"/>
      <c r="AO134" s="418"/>
      <c r="AP134" s="418"/>
      <c r="AQ134" s="418"/>
      <c r="AR134" s="418"/>
      <c r="AS134" s="418"/>
      <c r="AT134" s="418"/>
      <c r="AU134" s="418"/>
      <c r="AV134" s="418"/>
      <c r="AW134" s="418"/>
      <c r="AX134" s="418"/>
      <c r="AY134" s="418"/>
      <c r="AZ134" s="418"/>
      <c r="BA134" s="418"/>
      <c r="BB134" s="418"/>
      <c r="BC134" s="418"/>
      <c r="BD134" s="418"/>
      <c r="BE134" s="418"/>
      <c r="BF134" s="418"/>
      <c r="BG134" s="418"/>
      <c r="BH134" s="418"/>
      <c r="BI134" s="418"/>
      <c r="BJ134" s="418"/>
      <c r="BK134" s="418"/>
      <c r="BL134" s="418"/>
      <c r="BM134" s="418"/>
      <c r="BN134" s="418"/>
      <c r="BO134" s="418"/>
      <c r="BP134" s="418"/>
      <c r="BQ134" s="418"/>
      <c r="BR134" s="418"/>
      <c r="BS134" s="418"/>
      <c r="BT134" s="418"/>
      <c r="BU134" s="418"/>
      <c r="BV134" s="418"/>
      <c r="BW134" s="418"/>
      <c r="BX134" s="418"/>
      <c r="BY134" s="418"/>
    </row>
    <row r="135" spans="1:77" s="478" customFormat="1" ht="38.25" customHeight="1" thickBot="1" x14ac:dyDescent="0.35">
      <c r="A135" s="597" t="s">
        <v>583</v>
      </c>
      <c r="B135" s="466">
        <v>1500000</v>
      </c>
      <c r="C135" s="459"/>
      <c r="D135" s="459">
        <v>1500000</v>
      </c>
      <c r="E135" s="460"/>
      <c r="F135" s="460"/>
      <c r="G135" s="460"/>
      <c r="H135" s="460"/>
      <c r="I135" s="460"/>
      <c r="J135" s="460">
        <v>1500000</v>
      </c>
      <c r="K135" s="460"/>
      <c r="L135" s="460"/>
      <c r="M135" s="460"/>
      <c r="N135" s="460"/>
      <c r="O135" s="460"/>
      <c r="P135" s="460"/>
      <c r="Q135" s="460"/>
      <c r="R135" s="460"/>
      <c r="S135" s="460"/>
      <c r="T135" s="460"/>
      <c r="U135" s="460"/>
      <c r="V135" s="460"/>
      <c r="W135" s="460"/>
      <c r="X135" s="460"/>
      <c r="Y135" s="460"/>
      <c r="Z135" s="461">
        <f t="shared" si="52"/>
        <v>0</v>
      </c>
      <c r="AA135" s="461">
        <f t="shared" si="52"/>
        <v>1500000</v>
      </c>
      <c r="AB135" s="461">
        <f t="shared" si="53"/>
        <v>0</v>
      </c>
      <c r="AC135" s="461">
        <f t="shared" si="53"/>
        <v>0</v>
      </c>
      <c r="AD135" s="461">
        <v>0</v>
      </c>
      <c r="AE135" s="461">
        <v>0</v>
      </c>
      <c r="AF135" s="461">
        <f t="shared" si="54"/>
        <v>0</v>
      </c>
      <c r="AG135" s="461">
        <f t="shared" si="54"/>
        <v>1500000</v>
      </c>
      <c r="AH135" s="419"/>
      <c r="AI135" s="419"/>
      <c r="AJ135" s="418"/>
      <c r="AK135" s="418"/>
      <c r="AL135" s="418"/>
      <c r="AM135" s="418"/>
      <c r="AN135" s="418"/>
      <c r="AO135" s="418"/>
      <c r="AP135" s="418"/>
      <c r="AQ135" s="418"/>
      <c r="AR135" s="418"/>
      <c r="AS135" s="418"/>
      <c r="AT135" s="418"/>
      <c r="AU135" s="418"/>
      <c r="AV135" s="418"/>
      <c r="AW135" s="418"/>
      <c r="AX135" s="418"/>
      <c r="AY135" s="418"/>
      <c r="AZ135" s="418"/>
      <c r="BA135" s="418"/>
      <c r="BB135" s="418"/>
      <c r="BC135" s="418"/>
      <c r="BD135" s="418"/>
      <c r="BE135" s="418"/>
      <c r="BF135" s="418"/>
      <c r="BG135" s="418"/>
      <c r="BH135" s="418"/>
      <c r="BI135" s="418"/>
      <c r="BJ135" s="418"/>
      <c r="BK135" s="418"/>
      <c r="BL135" s="418"/>
      <c r="BM135" s="418"/>
      <c r="BN135" s="418"/>
      <c r="BO135" s="418"/>
      <c r="BP135" s="418"/>
      <c r="BQ135" s="418"/>
      <c r="BR135" s="418"/>
      <c r="BS135" s="418"/>
      <c r="BT135" s="418"/>
      <c r="BU135" s="418"/>
      <c r="BV135" s="418"/>
      <c r="BW135" s="418"/>
      <c r="BX135" s="418"/>
      <c r="BY135" s="418"/>
    </row>
    <row r="136" spans="1:77" s="473" customFormat="1" ht="30.75" hidden="1" customHeight="1" thickBot="1" x14ac:dyDescent="0.3">
      <c r="A136" s="52" t="s">
        <v>317</v>
      </c>
      <c r="B136" s="399"/>
      <c r="C136" s="459">
        <v>38307322</v>
      </c>
      <c r="D136" s="459">
        <f>SUM(C136)+1250000</f>
        <v>39557322</v>
      </c>
      <c r="E136" s="460">
        <v>3896104</v>
      </c>
      <c r="F136" s="460">
        <f>SUM(E136)</f>
        <v>3896104</v>
      </c>
      <c r="G136" s="460">
        <v>603896</v>
      </c>
      <c r="H136" s="460">
        <f>SUM(G136)</f>
        <v>603896</v>
      </c>
      <c r="I136" s="460">
        <f>1250000+154000+3990000+24386822+3926678</f>
        <v>33707500</v>
      </c>
      <c r="J136" s="460">
        <f>SUM(I136)+1250000</f>
        <v>34957500</v>
      </c>
      <c r="K136" s="461"/>
      <c r="L136" s="461"/>
      <c r="M136" s="460"/>
      <c r="N136" s="460"/>
      <c r="O136" s="460">
        <f>99822</f>
        <v>99822</v>
      </c>
      <c r="P136" s="460">
        <f>SUM(O136)</f>
        <v>99822</v>
      </c>
      <c r="Q136" s="460"/>
      <c r="R136" s="460"/>
      <c r="S136" s="461"/>
      <c r="T136" s="461"/>
      <c r="U136" s="461"/>
      <c r="V136" s="461"/>
      <c r="W136" s="461"/>
      <c r="X136" s="461"/>
      <c r="Y136" s="461"/>
      <c r="Z136" s="461">
        <f t="shared" si="52"/>
        <v>38207500</v>
      </c>
      <c r="AA136" s="461">
        <f t="shared" si="52"/>
        <v>39457500</v>
      </c>
      <c r="AB136" s="461">
        <f t="shared" si="53"/>
        <v>99822</v>
      </c>
      <c r="AC136" s="461">
        <f t="shared" si="53"/>
        <v>99822</v>
      </c>
      <c r="AD136" s="461">
        <v>0</v>
      </c>
      <c r="AE136" s="461">
        <v>0</v>
      </c>
      <c r="AF136" s="461">
        <f t="shared" si="54"/>
        <v>38307322</v>
      </c>
      <c r="AG136" s="461">
        <f t="shared" si="51"/>
        <v>39557322</v>
      </c>
      <c r="AH136" s="419"/>
      <c r="AI136" s="419"/>
      <c r="AJ136" s="472"/>
      <c r="AK136" s="472"/>
      <c r="AL136" s="472"/>
      <c r="AM136" s="472"/>
      <c r="AN136" s="472"/>
      <c r="AO136" s="472"/>
      <c r="AP136" s="472"/>
      <c r="AQ136" s="472"/>
      <c r="AR136" s="472"/>
      <c r="AS136" s="472"/>
      <c r="AT136" s="472"/>
      <c r="AU136" s="472"/>
      <c r="AV136" s="472"/>
      <c r="AW136" s="472"/>
      <c r="AX136" s="472"/>
      <c r="AY136" s="472"/>
      <c r="AZ136" s="472"/>
      <c r="BA136" s="472"/>
      <c r="BB136" s="472"/>
      <c r="BC136" s="472"/>
      <c r="BD136" s="472"/>
      <c r="BE136" s="472"/>
      <c r="BF136" s="472"/>
      <c r="BG136" s="472"/>
      <c r="BH136" s="472"/>
      <c r="BI136" s="472"/>
      <c r="BJ136" s="472"/>
      <c r="BK136" s="472"/>
      <c r="BL136" s="472"/>
      <c r="BM136" s="472"/>
      <c r="BN136" s="472"/>
      <c r="BO136" s="472"/>
      <c r="BP136" s="472"/>
      <c r="BQ136" s="472"/>
      <c r="BR136" s="472"/>
      <c r="BS136" s="472"/>
      <c r="BT136" s="472"/>
      <c r="BU136" s="472"/>
      <c r="BV136" s="472"/>
      <c r="BW136" s="472"/>
      <c r="BX136" s="472"/>
      <c r="BY136" s="472"/>
    </row>
    <row r="137" spans="1:77" s="473" customFormat="1" ht="40.5" hidden="1" customHeight="1" thickBot="1" x14ac:dyDescent="0.3">
      <c r="A137" s="69" t="s">
        <v>360</v>
      </c>
      <c r="B137" s="401"/>
      <c r="C137" s="459">
        <v>65824000</v>
      </c>
      <c r="D137" s="459">
        <f>SUM(C137)+150800+61289960</f>
        <v>127264760</v>
      </c>
      <c r="E137" s="460"/>
      <c r="F137" s="460"/>
      <c r="G137" s="460"/>
      <c r="H137" s="460"/>
      <c r="I137" s="460">
        <f>1360000+1700000+85000</f>
        <v>3145000</v>
      </c>
      <c r="J137" s="460">
        <f>SUM(I137)+150800</f>
        <v>3295800</v>
      </c>
      <c r="K137" s="461"/>
      <c r="L137" s="461"/>
      <c r="M137" s="461"/>
      <c r="N137" s="461"/>
      <c r="O137" s="460"/>
      <c r="P137" s="460"/>
      <c r="Q137" s="460">
        <f>61999000+680000</f>
        <v>62679000</v>
      </c>
      <c r="R137" s="460">
        <f>SUM(Q137)+61289960</f>
        <v>123968960</v>
      </c>
      <c r="S137" s="461"/>
      <c r="T137" s="461"/>
      <c r="U137" s="461"/>
      <c r="V137" s="461"/>
      <c r="W137" s="461"/>
      <c r="X137" s="461"/>
      <c r="Y137" s="461"/>
      <c r="Z137" s="461">
        <f t="shared" si="52"/>
        <v>3145000</v>
      </c>
      <c r="AA137" s="461">
        <f>SUM(F137+H137+J137+L137+N137)</f>
        <v>3295800</v>
      </c>
      <c r="AB137" s="461">
        <f t="shared" si="53"/>
        <v>62679000</v>
      </c>
      <c r="AC137" s="461">
        <f t="shared" si="53"/>
        <v>123968960</v>
      </c>
      <c r="AD137" s="461">
        <v>0</v>
      </c>
      <c r="AE137" s="461">
        <v>0</v>
      </c>
      <c r="AF137" s="461">
        <f t="shared" si="54"/>
        <v>65824000</v>
      </c>
      <c r="AG137" s="461">
        <f t="shared" si="51"/>
        <v>127264760</v>
      </c>
      <c r="AH137" s="419"/>
      <c r="AI137" s="419"/>
      <c r="AJ137" s="472"/>
      <c r="AK137" s="472"/>
      <c r="AL137" s="472"/>
      <c r="AM137" s="472"/>
      <c r="AN137" s="472"/>
      <c r="AO137" s="472"/>
      <c r="AP137" s="472"/>
      <c r="AQ137" s="472"/>
      <c r="AR137" s="472"/>
      <c r="AS137" s="472"/>
      <c r="AT137" s="472"/>
      <c r="AU137" s="472"/>
      <c r="AV137" s="472"/>
      <c r="AW137" s="472"/>
      <c r="AX137" s="472"/>
      <c r="AY137" s="472"/>
      <c r="AZ137" s="472"/>
      <c r="BA137" s="472"/>
      <c r="BB137" s="472"/>
      <c r="BC137" s="472"/>
      <c r="BD137" s="472"/>
      <c r="BE137" s="472"/>
      <c r="BF137" s="472"/>
      <c r="BG137" s="472"/>
      <c r="BH137" s="472"/>
      <c r="BI137" s="472"/>
      <c r="BJ137" s="472"/>
      <c r="BK137" s="472"/>
      <c r="BL137" s="472"/>
      <c r="BM137" s="472"/>
      <c r="BN137" s="472"/>
      <c r="BO137" s="472"/>
      <c r="BP137" s="472"/>
      <c r="BQ137" s="472"/>
      <c r="BR137" s="472"/>
      <c r="BS137" s="472"/>
      <c r="BT137" s="472"/>
      <c r="BU137" s="472"/>
      <c r="BV137" s="472"/>
      <c r="BW137" s="472"/>
      <c r="BX137" s="472"/>
      <c r="BY137" s="472"/>
    </row>
    <row r="138" spans="1:77" s="473" customFormat="1" ht="30.75" hidden="1" customHeight="1" thickBot="1" x14ac:dyDescent="0.3">
      <c r="A138" s="69" t="s">
        <v>584</v>
      </c>
      <c r="B138" s="401"/>
      <c r="C138" s="459"/>
      <c r="D138" s="459">
        <v>5000000</v>
      </c>
      <c r="E138" s="460"/>
      <c r="F138" s="460"/>
      <c r="G138" s="460"/>
      <c r="H138" s="460"/>
      <c r="I138" s="460"/>
      <c r="J138" s="460">
        <v>5000000</v>
      </c>
      <c r="K138" s="461"/>
      <c r="L138" s="461"/>
      <c r="M138" s="461"/>
      <c r="N138" s="461"/>
      <c r="O138" s="460"/>
      <c r="P138" s="460"/>
      <c r="Q138" s="460"/>
      <c r="R138" s="460"/>
      <c r="S138" s="461"/>
      <c r="T138" s="461"/>
      <c r="U138" s="461"/>
      <c r="V138" s="461"/>
      <c r="W138" s="461"/>
      <c r="X138" s="461"/>
      <c r="Y138" s="461"/>
      <c r="Z138" s="461">
        <f t="shared" ref="Z138" si="55">SUM(E138+G138+I138+K138+M138)</f>
        <v>0</v>
      </c>
      <c r="AA138" s="461">
        <f>SUM(F138+H138+J138+L138+N138)</f>
        <v>5000000</v>
      </c>
      <c r="AB138" s="461">
        <f t="shared" si="53"/>
        <v>0</v>
      </c>
      <c r="AC138" s="461">
        <f t="shared" si="53"/>
        <v>0</v>
      </c>
      <c r="AD138" s="461">
        <v>0</v>
      </c>
      <c r="AE138" s="461">
        <v>0</v>
      </c>
      <c r="AF138" s="461">
        <f t="shared" si="54"/>
        <v>0</v>
      </c>
      <c r="AG138" s="461">
        <f t="shared" si="54"/>
        <v>5000000</v>
      </c>
      <c r="AH138" s="419"/>
      <c r="AI138" s="419"/>
      <c r="AJ138" s="472"/>
      <c r="AK138" s="472"/>
      <c r="AL138" s="472"/>
      <c r="AM138" s="472"/>
      <c r="AN138" s="472"/>
      <c r="AO138" s="472"/>
      <c r="AP138" s="472"/>
      <c r="AQ138" s="472"/>
      <c r="AR138" s="472"/>
      <c r="AS138" s="472"/>
      <c r="AT138" s="472"/>
      <c r="AU138" s="472"/>
      <c r="AV138" s="472"/>
      <c r="AW138" s="472"/>
      <c r="AX138" s="472"/>
      <c r="AY138" s="472"/>
      <c r="AZ138" s="472"/>
      <c r="BA138" s="472"/>
      <c r="BB138" s="472"/>
      <c r="BC138" s="472"/>
      <c r="BD138" s="472"/>
      <c r="BE138" s="472"/>
      <c r="BF138" s="472"/>
      <c r="BG138" s="472"/>
      <c r="BH138" s="472"/>
      <c r="BI138" s="472"/>
      <c r="BJ138" s="472"/>
      <c r="BK138" s="472"/>
      <c r="BL138" s="472"/>
      <c r="BM138" s="472"/>
      <c r="BN138" s="472"/>
      <c r="BO138" s="472"/>
      <c r="BP138" s="472"/>
      <c r="BQ138" s="472"/>
      <c r="BR138" s="472"/>
      <c r="BS138" s="472"/>
      <c r="BT138" s="472"/>
      <c r="BU138" s="472"/>
      <c r="BV138" s="472"/>
      <c r="BW138" s="472"/>
      <c r="BX138" s="472"/>
      <c r="BY138" s="472"/>
    </row>
    <row r="139" spans="1:77" s="473" customFormat="1" ht="30.75" hidden="1" customHeight="1" thickBot="1" x14ac:dyDescent="0.3">
      <c r="A139" s="749" t="s">
        <v>465</v>
      </c>
      <c r="B139" s="750"/>
      <c r="C139" s="750"/>
      <c r="D139" s="750"/>
      <c r="E139" s="750"/>
      <c r="F139" s="750"/>
      <c r="G139" s="750"/>
      <c r="H139" s="750"/>
      <c r="I139" s="750"/>
      <c r="J139" s="750"/>
      <c r="K139" s="750"/>
      <c r="L139" s="750"/>
      <c r="M139" s="750"/>
      <c r="N139" s="750"/>
      <c r="O139" s="750"/>
      <c r="P139" s="750"/>
      <c r="Q139" s="750"/>
      <c r="R139" s="750"/>
      <c r="S139" s="750"/>
      <c r="T139" s="750"/>
      <c r="U139" s="750"/>
      <c r="V139" s="750"/>
      <c r="W139" s="750"/>
      <c r="X139" s="750"/>
      <c r="Y139" s="750"/>
      <c r="Z139" s="750"/>
      <c r="AA139" s="750"/>
      <c r="AB139" s="750"/>
      <c r="AC139" s="750"/>
      <c r="AD139" s="750"/>
      <c r="AE139" s="750"/>
      <c r="AF139" s="750"/>
      <c r="AG139" s="751"/>
      <c r="AH139" s="419"/>
      <c r="AI139" s="419"/>
      <c r="AJ139" s="472"/>
      <c r="AK139" s="472"/>
      <c r="AL139" s="472"/>
      <c r="AM139" s="472"/>
      <c r="AN139" s="472"/>
      <c r="AO139" s="472"/>
      <c r="AP139" s="472"/>
      <c r="AQ139" s="472"/>
      <c r="AR139" s="472"/>
      <c r="AS139" s="472"/>
      <c r="AT139" s="472"/>
      <c r="AU139" s="472"/>
      <c r="AV139" s="472"/>
      <c r="AW139" s="472"/>
      <c r="AX139" s="472"/>
      <c r="AY139" s="472"/>
      <c r="AZ139" s="472"/>
      <c r="BA139" s="472"/>
      <c r="BB139" s="472"/>
      <c r="BC139" s="472"/>
      <c r="BD139" s="472"/>
      <c r="BE139" s="472"/>
      <c r="BF139" s="472"/>
      <c r="BG139" s="472"/>
      <c r="BH139" s="472"/>
      <c r="BI139" s="472"/>
      <c r="BJ139" s="472"/>
      <c r="BK139" s="472"/>
      <c r="BL139" s="472"/>
      <c r="BM139" s="472"/>
      <c r="BN139" s="472"/>
      <c r="BO139" s="472"/>
      <c r="BP139" s="472"/>
      <c r="BQ139" s="472"/>
      <c r="BR139" s="472"/>
      <c r="BS139" s="472"/>
      <c r="BT139" s="472"/>
      <c r="BU139" s="472"/>
      <c r="BV139" s="472"/>
      <c r="BW139" s="472"/>
      <c r="BX139" s="472"/>
      <c r="BY139" s="472"/>
    </row>
    <row r="140" spans="1:77" s="478" customFormat="1" ht="36.75" customHeight="1" thickBot="1" x14ac:dyDescent="0.3">
      <c r="A140" s="625" t="s">
        <v>367</v>
      </c>
      <c r="B140" s="398"/>
      <c r="C140" s="459">
        <v>72272170</v>
      </c>
      <c r="D140" s="459">
        <f>SUM(C140)+21948500</f>
        <v>94220670</v>
      </c>
      <c r="E140" s="461"/>
      <c r="F140" s="461"/>
      <c r="G140" s="461"/>
      <c r="H140" s="461"/>
      <c r="I140" s="460">
        <v>2974000</v>
      </c>
      <c r="J140" s="460">
        <f>SUM(I140)</f>
        <v>2974000</v>
      </c>
      <c r="K140" s="461"/>
      <c r="L140" s="461"/>
      <c r="M140" s="461"/>
      <c r="N140" s="461"/>
      <c r="O140" s="460">
        <v>69298170</v>
      </c>
      <c r="P140" s="460">
        <f>SUM(O140)</f>
        <v>69298170</v>
      </c>
      <c r="Q140" s="460"/>
      <c r="R140" s="460">
        <v>21948500</v>
      </c>
      <c r="S140" s="461"/>
      <c r="T140" s="461"/>
      <c r="U140" s="461"/>
      <c r="V140" s="461"/>
      <c r="W140" s="461"/>
      <c r="X140" s="461"/>
      <c r="Y140" s="461"/>
      <c r="Z140" s="461">
        <f t="shared" ref="Z140:AA147" si="56">SUM(E140+G140+I140+K140+M140)</f>
        <v>2974000</v>
      </c>
      <c r="AA140" s="461">
        <f t="shared" si="56"/>
        <v>2974000</v>
      </c>
      <c r="AB140" s="461">
        <f t="shared" ref="AB140:AC147" si="57">SUM(O140+Q140+S140)</f>
        <v>69298170</v>
      </c>
      <c r="AC140" s="461">
        <f t="shared" si="57"/>
        <v>91246670</v>
      </c>
      <c r="AD140" s="461">
        <v>0</v>
      </c>
      <c r="AE140" s="461">
        <v>0</v>
      </c>
      <c r="AF140" s="461">
        <f t="shared" ref="AF140:AG149" si="58">SUM(Z140+AB140+AD140)</f>
        <v>72272170</v>
      </c>
      <c r="AG140" s="461">
        <f t="shared" si="54"/>
        <v>94220670</v>
      </c>
      <c r="AH140" s="419"/>
      <c r="AI140" s="419"/>
      <c r="AJ140" s="418"/>
      <c r="AK140" s="418"/>
      <c r="AL140" s="418"/>
      <c r="AM140" s="418"/>
      <c r="AN140" s="418"/>
      <c r="AO140" s="418"/>
      <c r="AP140" s="418"/>
      <c r="AQ140" s="418"/>
      <c r="AR140" s="418"/>
      <c r="AS140" s="418"/>
      <c r="AT140" s="418"/>
      <c r="AU140" s="418"/>
      <c r="AV140" s="418"/>
      <c r="AW140" s="418"/>
      <c r="AX140" s="418"/>
      <c r="AY140" s="418"/>
      <c r="AZ140" s="418"/>
      <c r="BA140" s="418"/>
      <c r="BB140" s="418"/>
      <c r="BC140" s="418"/>
      <c r="BD140" s="418"/>
      <c r="BE140" s="418"/>
      <c r="BF140" s="418"/>
      <c r="BG140" s="418"/>
      <c r="BH140" s="418"/>
      <c r="BI140" s="418"/>
      <c r="BJ140" s="418"/>
      <c r="BK140" s="418"/>
      <c r="BL140" s="418"/>
      <c r="BM140" s="418"/>
      <c r="BN140" s="418"/>
      <c r="BO140" s="418"/>
      <c r="BP140" s="418"/>
      <c r="BQ140" s="418"/>
      <c r="BR140" s="418"/>
      <c r="BS140" s="418"/>
      <c r="BT140" s="418"/>
      <c r="BU140" s="418"/>
      <c r="BV140" s="418"/>
      <c r="BW140" s="418"/>
      <c r="BX140" s="418"/>
      <c r="BY140" s="418"/>
    </row>
    <row r="141" spans="1:77" s="484" customFormat="1" ht="30" customHeight="1" thickBot="1" x14ac:dyDescent="0.3">
      <c r="A141" s="625" t="s">
        <v>342</v>
      </c>
      <c r="B141" s="398"/>
      <c r="C141" s="459">
        <v>0</v>
      </c>
      <c r="D141" s="459"/>
      <c r="E141" s="461"/>
      <c r="F141" s="461"/>
      <c r="G141" s="461"/>
      <c r="H141" s="461"/>
      <c r="I141" s="461"/>
      <c r="J141" s="461"/>
      <c r="K141" s="461"/>
      <c r="L141" s="461"/>
      <c r="M141" s="461"/>
      <c r="N141" s="461"/>
      <c r="O141" s="460"/>
      <c r="P141" s="460"/>
      <c r="Q141" s="460"/>
      <c r="R141" s="460"/>
      <c r="S141" s="461"/>
      <c r="T141" s="461"/>
      <c r="U141" s="461"/>
      <c r="V141" s="461"/>
      <c r="W141" s="461"/>
      <c r="X141" s="461"/>
      <c r="Y141" s="461"/>
      <c r="Z141" s="461">
        <f t="shared" si="56"/>
        <v>0</v>
      </c>
      <c r="AA141" s="461">
        <f t="shared" si="56"/>
        <v>0</v>
      </c>
      <c r="AB141" s="461">
        <f t="shared" si="57"/>
        <v>0</v>
      </c>
      <c r="AC141" s="461">
        <f t="shared" si="57"/>
        <v>0</v>
      </c>
      <c r="AD141" s="461">
        <v>0</v>
      </c>
      <c r="AE141" s="461">
        <v>0</v>
      </c>
      <c r="AF141" s="461">
        <f t="shared" si="58"/>
        <v>0</v>
      </c>
      <c r="AG141" s="461">
        <f t="shared" ref="AG141:AG146" si="59">SUM(Z141:AF141)</f>
        <v>0</v>
      </c>
      <c r="AH141" s="419"/>
      <c r="AI141" s="419"/>
      <c r="AJ141" s="483"/>
      <c r="AK141" s="483"/>
      <c r="AL141" s="483"/>
      <c r="AM141" s="483"/>
      <c r="AN141" s="483"/>
      <c r="AO141" s="483"/>
      <c r="AP141" s="483"/>
      <c r="AQ141" s="483"/>
      <c r="AR141" s="483"/>
      <c r="AS141" s="483"/>
      <c r="AT141" s="483"/>
      <c r="AU141" s="483"/>
      <c r="AV141" s="483"/>
      <c r="AW141" s="483"/>
      <c r="AX141" s="483"/>
      <c r="AY141" s="483"/>
      <c r="AZ141" s="483"/>
      <c r="BA141" s="483"/>
      <c r="BB141" s="483"/>
      <c r="BC141" s="483"/>
      <c r="BD141" s="483"/>
      <c r="BE141" s="483"/>
      <c r="BF141" s="483"/>
      <c r="BG141" s="483"/>
      <c r="BH141" s="483"/>
      <c r="BI141" s="483"/>
      <c r="BJ141" s="483"/>
      <c r="BK141" s="483"/>
      <c r="BL141" s="483"/>
      <c r="BM141" s="483"/>
      <c r="BN141" s="483"/>
      <c r="BO141" s="483"/>
      <c r="BP141" s="483"/>
      <c r="BQ141" s="483"/>
      <c r="BR141" s="483"/>
      <c r="BS141" s="483"/>
      <c r="BT141" s="483"/>
      <c r="BU141" s="483"/>
      <c r="BV141" s="483"/>
      <c r="BW141" s="483"/>
      <c r="BX141" s="483"/>
      <c r="BY141" s="483"/>
    </row>
    <row r="142" spans="1:77" s="484" customFormat="1" ht="30" customHeight="1" thickBot="1" x14ac:dyDescent="0.3">
      <c r="A142" s="747" t="s">
        <v>353</v>
      </c>
      <c r="B142" s="748"/>
      <c r="C142" s="459">
        <v>0</v>
      </c>
      <c r="D142" s="459">
        <f>5029365+73820052-730800+33635003+10311568</f>
        <v>122065188</v>
      </c>
      <c r="E142" s="461"/>
      <c r="F142" s="461"/>
      <c r="G142" s="461"/>
      <c r="H142" s="461"/>
      <c r="I142" s="461"/>
      <c r="J142" s="460">
        <f>139224+73100+55800</f>
        <v>268124</v>
      </c>
      <c r="K142" s="461"/>
      <c r="L142" s="461"/>
      <c r="M142" s="461"/>
      <c r="N142" s="461"/>
      <c r="O142" s="460"/>
      <c r="P142" s="460">
        <f>9357230+750884+10255768</f>
        <v>20363882</v>
      </c>
      <c r="Q142" s="460"/>
      <c r="R142" s="460">
        <f>4890141+63732022+32811019</f>
        <v>101433182</v>
      </c>
      <c r="S142" s="461"/>
      <c r="T142" s="461"/>
      <c r="U142" s="461"/>
      <c r="V142" s="461"/>
      <c r="W142" s="461"/>
      <c r="X142" s="461"/>
      <c r="Y142" s="461"/>
      <c r="Z142" s="461">
        <f t="shared" si="56"/>
        <v>0</v>
      </c>
      <c r="AA142" s="461">
        <f t="shared" si="56"/>
        <v>268124</v>
      </c>
      <c r="AB142" s="461">
        <f t="shared" si="57"/>
        <v>0</v>
      </c>
      <c r="AC142" s="461">
        <f t="shared" si="57"/>
        <v>121797064</v>
      </c>
      <c r="AD142" s="461">
        <v>0</v>
      </c>
      <c r="AE142" s="461">
        <v>0</v>
      </c>
      <c r="AF142" s="461">
        <f t="shared" si="58"/>
        <v>0</v>
      </c>
      <c r="AG142" s="461">
        <f t="shared" si="59"/>
        <v>122065188</v>
      </c>
      <c r="AH142" s="419"/>
      <c r="AI142" s="419"/>
      <c r="AJ142" s="483"/>
      <c r="AK142" s="483"/>
      <c r="AL142" s="483"/>
      <c r="AM142" s="483"/>
      <c r="AN142" s="483"/>
      <c r="AO142" s="483"/>
      <c r="AP142" s="483"/>
      <c r="AQ142" s="483"/>
      <c r="AR142" s="483"/>
      <c r="AS142" s="483"/>
      <c r="AT142" s="483"/>
      <c r="AU142" s="483"/>
      <c r="AV142" s="483"/>
      <c r="AW142" s="483"/>
      <c r="AX142" s="483"/>
      <c r="AY142" s="483"/>
      <c r="AZ142" s="483"/>
      <c r="BA142" s="483"/>
      <c r="BB142" s="483"/>
      <c r="BC142" s="483"/>
      <c r="BD142" s="483"/>
      <c r="BE142" s="483"/>
      <c r="BF142" s="483"/>
      <c r="BG142" s="483"/>
      <c r="BH142" s="483"/>
      <c r="BI142" s="483"/>
      <c r="BJ142" s="483"/>
      <c r="BK142" s="483"/>
      <c r="BL142" s="483"/>
      <c r="BM142" s="483"/>
      <c r="BN142" s="483"/>
      <c r="BO142" s="483"/>
      <c r="BP142" s="483"/>
      <c r="BQ142" s="483"/>
      <c r="BR142" s="483"/>
      <c r="BS142" s="483"/>
      <c r="BT142" s="483"/>
      <c r="BU142" s="483"/>
      <c r="BV142" s="483"/>
      <c r="BW142" s="483"/>
      <c r="BX142" s="483"/>
      <c r="BY142" s="483"/>
    </row>
    <row r="143" spans="1:77" s="484" customFormat="1" ht="30" customHeight="1" thickBot="1" x14ac:dyDescent="0.3">
      <c r="A143" s="627"/>
      <c r="B143" s="397"/>
      <c r="C143" s="462"/>
      <c r="D143" s="462"/>
      <c r="E143" s="460"/>
      <c r="F143" s="460"/>
      <c r="G143" s="460"/>
      <c r="H143" s="460"/>
      <c r="I143" s="460"/>
      <c r="J143" s="460"/>
      <c r="K143" s="460"/>
      <c r="L143" s="460"/>
      <c r="M143" s="460"/>
      <c r="N143" s="460"/>
      <c r="O143" s="460"/>
      <c r="P143" s="460"/>
      <c r="Q143" s="460"/>
      <c r="R143" s="460"/>
      <c r="S143" s="460"/>
      <c r="T143" s="460"/>
      <c r="U143" s="460"/>
      <c r="V143" s="460"/>
      <c r="W143" s="460"/>
      <c r="X143" s="460"/>
      <c r="Y143" s="460"/>
      <c r="Z143" s="461">
        <f t="shared" si="56"/>
        <v>0</v>
      </c>
      <c r="AA143" s="461">
        <f t="shared" si="56"/>
        <v>0</v>
      </c>
      <c r="AB143" s="461">
        <f t="shared" si="57"/>
        <v>0</v>
      </c>
      <c r="AC143" s="461">
        <f t="shared" si="57"/>
        <v>0</v>
      </c>
      <c r="AD143" s="461">
        <v>0</v>
      </c>
      <c r="AE143" s="461">
        <v>0</v>
      </c>
      <c r="AF143" s="461">
        <f t="shared" si="58"/>
        <v>0</v>
      </c>
      <c r="AG143" s="461">
        <f t="shared" si="59"/>
        <v>0</v>
      </c>
      <c r="AH143" s="419"/>
      <c r="AI143" s="419"/>
      <c r="AJ143" s="483"/>
      <c r="AK143" s="483"/>
      <c r="AL143" s="483"/>
      <c r="AM143" s="483"/>
      <c r="AN143" s="483"/>
      <c r="AO143" s="483"/>
      <c r="AP143" s="483"/>
      <c r="AQ143" s="483"/>
      <c r="AR143" s="483"/>
      <c r="AS143" s="483"/>
      <c r="AT143" s="483"/>
      <c r="AU143" s="483"/>
      <c r="AV143" s="483"/>
      <c r="AW143" s="483"/>
      <c r="AX143" s="483"/>
      <c r="AY143" s="483"/>
      <c r="AZ143" s="483"/>
      <c r="BA143" s="483"/>
      <c r="BB143" s="483"/>
      <c r="BC143" s="483"/>
      <c r="BD143" s="483"/>
      <c r="BE143" s="483"/>
      <c r="BF143" s="483"/>
      <c r="BG143" s="483"/>
      <c r="BH143" s="483"/>
      <c r="BI143" s="483"/>
      <c r="BJ143" s="483"/>
      <c r="BK143" s="483"/>
      <c r="BL143" s="483"/>
      <c r="BM143" s="483"/>
      <c r="BN143" s="483"/>
      <c r="BO143" s="483"/>
      <c r="BP143" s="483"/>
      <c r="BQ143" s="483"/>
      <c r="BR143" s="483"/>
      <c r="BS143" s="483"/>
      <c r="BT143" s="483"/>
      <c r="BU143" s="483"/>
      <c r="BV143" s="483"/>
      <c r="BW143" s="483"/>
      <c r="BX143" s="483"/>
      <c r="BY143" s="483"/>
    </row>
    <row r="144" spans="1:77" s="496" customFormat="1" ht="41.25" customHeight="1" thickBot="1" x14ac:dyDescent="0.3">
      <c r="A144" s="627"/>
      <c r="B144" s="397"/>
      <c r="C144" s="462"/>
      <c r="D144" s="462"/>
      <c r="E144" s="460"/>
      <c r="F144" s="460"/>
      <c r="G144" s="460"/>
      <c r="H144" s="460"/>
      <c r="I144" s="460"/>
      <c r="J144" s="460"/>
      <c r="K144" s="460"/>
      <c r="L144" s="460"/>
      <c r="M144" s="460"/>
      <c r="N144" s="460"/>
      <c r="O144" s="460"/>
      <c r="P144" s="460"/>
      <c r="Q144" s="460"/>
      <c r="R144" s="460"/>
      <c r="S144" s="460"/>
      <c r="T144" s="460"/>
      <c r="U144" s="460"/>
      <c r="V144" s="460"/>
      <c r="W144" s="460"/>
      <c r="X144" s="460"/>
      <c r="Y144" s="460"/>
      <c r="Z144" s="461">
        <f t="shared" si="56"/>
        <v>0</v>
      </c>
      <c r="AA144" s="461">
        <f t="shared" si="56"/>
        <v>0</v>
      </c>
      <c r="AB144" s="461">
        <f t="shared" si="57"/>
        <v>0</v>
      </c>
      <c r="AC144" s="461">
        <f t="shared" si="57"/>
        <v>0</v>
      </c>
      <c r="AD144" s="461">
        <v>0</v>
      </c>
      <c r="AE144" s="461">
        <v>0</v>
      </c>
      <c r="AF144" s="461">
        <f t="shared" si="58"/>
        <v>0</v>
      </c>
      <c r="AG144" s="461">
        <f t="shared" si="59"/>
        <v>0</v>
      </c>
      <c r="AH144" s="494"/>
      <c r="AI144" s="494"/>
      <c r="AJ144" s="495"/>
      <c r="AK144" s="495"/>
      <c r="AL144" s="495"/>
      <c r="AM144" s="495"/>
      <c r="AN144" s="495"/>
      <c r="AO144" s="495"/>
      <c r="AP144" s="495"/>
      <c r="AQ144" s="495"/>
      <c r="AR144" s="495"/>
      <c r="AS144" s="495"/>
      <c r="AT144" s="495"/>
      <c r="AU144" s="495"/>
      <c r="AV144" s="495"/>
      <c r="AW144" s="495"/>
      <c r="AX144" s="495"/>
      <c r="AY144" s="495"/>
      <c r="AZ144" s="495"/>
      <c r="BA144" s="495"/>
      <c r="BB144" s="495"/>
      <c r="BC144" s="495"/>
      <c r="BD144" s="495"/>
      <c r="BE144" s="495"/>
      <c r="BF144" s="495"/>
      <c r="BG144" s="495"/>
      <c r="BH144" s="495"/>
      <c r="BI144" s="495"/>
      <c r="BJ144" s="495"/>
      <c r="BK144" s="495"/>
      <c r="BL144" s="495"/>
      <c r="BM144" s="495"/>
      <c r="BN144" s="495"/>
      <c r="BO144" s="495"/>
      <c r="BP144" s="495"/>
      <c r="BQ144" s="495"/>
      <c r="BR144" s="495"/>
      <c r="BS144" s="495"/>
      <c r="BT144" s="495"/>
      <c r="BU144" s="495"/>
      <c r="BV144" s="495"/>
      <c r="BW144" s="495"/>
      <c r="BX144" s="495"/>
      <c r="BY144" s="495"/>
    </row>
    <row r="145" spans="1:77" s="500" customFormat="1" ht="26.25" hidden="1" customHeight="1" thickBot="1" x14ac:dyDescent="0.3">
      <c r="A145" s="627"/>
      <c r="B145" s="397"/>
      <c r="C145" s="462"/>
      <c r="D145" s="462"/>
      <c r="E145" s="460"/>
      <c r="F145" s="460"/>
      <c r="G145" s="460"/>
      <c r="H145" s="460"/>
      <c r="I145" s="460"/>
      <c r="J145" s="460"/>
      <c r="K145" s="460"/>
      <c r="L145" s="460"/>
      <c r="M145" s="460"/>
      <c r="N145" s="460"/>
      <c r="O145" s="460"/>
      <c r="P145" s="460"/>
      <c r="Q145" s="460"/>
      <c r="R145" s="460"/>
      <c r="S145" s="460"/>
      <c r="T145" s="460"/>
      <c r="U145" s="460"/>
      <c r="V145" s="460"/>
      <c r="W145" s="460"/>
      <c r="X145" s="460"/>
      <c r="Y145" s="460"/>
      <c r="Z145" s="461">
        <f t="shared" si="56"/>
        <v>0</v>
      </c>
      <c r="AA145" s="461">
        <f t="shared" si="56"/>
        <v>0</v>
      </c>
      <c r="AB145" s="461">
        <f t="shared" si="57"/>
        <v>0</v>
      </c>
      <c r="AC145" s="461">
        <f t="shared" si="57"/>
        <v>0</v>
      </c>
      <c r="AD145" s="461">
        <v>0</v>
      </c>
      <c r="AE145" s="461">
        <v>0</v>
      </c>
      <c r="AF145" s="461">
        <f t="shared" si="58"/>
        <v>0</v>
      </c>
      <c r="AG145" s="461">
        <f t="shared" si="59"/>
        <v>0</v>
      </c>
      <c r="AH145" s="419"/>
      <c r="AI145" s="419"/>
      <c r="AJ145" s="499"/>
      <c r="AK145" s="499"/>
      <c r="AL145" s="499"/>
      <c r="AM145" s="499"/>
      <c r="AN145" s="499"/>
      <c r="AO145" s="499"/>
      <c r="AP145" s="499"/>
      <c r="AQ145" s="499"/>
      <c r="AR145" s="499"/>
      <c r="AS145" s="499"/>
      <c r="AT145" s="499"/>
      <c r="AU145" s="499"/>
      <c r="AV145" s="499"/>
      <c r="AW145" s="499"/>
      <c r="AX145" s="499"/>
      <c r="AY145" s="499"/>
      <c r="AZ145" s="499"/>
      <c r="BA145" s="499"/>
      <c r="BB145" s="499"/>
      <c r="BC145" s="499"/>
      <c r="BD145" s="499"/>
      <c r="BE145" s="499"/>
      <c r="BF145" s="499"/>
      <c r="BG145" s="499"/>
      <c r="BH145" s="499"/>
      <c r="BI145" s="499"/>
      <c r="BJ145" s="499"/>
      <c r="BK145" s="499"/>
      <c r="BL145" s="499"/>
      <c r="BM145" s="499"/>
      <c r="BN145" s="499"/>
      <c r="BO145" s="499"/>
      <c r="BP145" s="499"/>
      <c r="BQ145" s="499"/>
      <c r="BR145" s="499"/>
      <c r="BS145" s="499"/>
      <c r="BT145" s="499"/>
      <c r="BU145" s="499"/>
      <c r="BV145" s="499"/>
      <c r="BW145" s="499"/>
      <c r="BX145" s="499"/>
      <c r="BY145" s="499"/>
    </row>
    <row r="146" spans="1:77" s="520" customFormat="1" ht="26.25" customHeight="1" x14ac:dyDescent="0.25">
      <c r="A146" s="627"/>
      <c r="B146" s="397"/>
      <c r="C146" s="462"/>
      <c r="D146" s="462"/>
      <c r="E146" s="460"/>
      <c r="F146" s="460"/>
      <c r="G146" s="460"/>
      <c r="H146" s="460"/>
      <c r="I146" s="460"/>
      <c r="J146" s="460"/>
      <c r="K146" s="460"/>
      <c r="L146" s="460"/>
      <c r="M146" s="460"/>
      <c r="N146" s="460"/>
      <c r="O146" s="460"/>
      <c r="P146" s="460"/>
      <c r="Q146" s="460"/>
      <c r="R146" s="460"/>
      <c r="S146" s="460"/>
      <c r="T146" s="460"/>
      <c r="U146" s="460"/>
      <c r="V146" s="460"/>
      <c r="W146" s="460"/>
      <c r="X146" s="460"/>
      <c r="Y146" s="460"/>
      <c r="Z146" s="461">
        <f t="shared" si="56"/>
        <v>0</v>
      </c>
      <c r="AA146" s="461">
        <f t="shared" si="56"/>
        <v>0</v>
      </c>
      <c r="AB146" s="461">
        <f t="shared" si="57"/>
        <v>0</v>
      </c>
      <c r="AC146" s="461">
        <f t="shared" si="57"/>
        <v>0</v>
      </c>
      <c r="AD146" s="461">
        <v>0</v>
      </c>
      <c r="AE146" s="461">
        <v>0</v>
      </c>
      <c r="AF146" s="461">
        <f t="shared" si="58"/>
        <v>0</v>
      </c>
      <c r="AG146" s="461">
        <f t="shared" si="59"/>
        <v>0</v>
      </c>
      <c r="AH146" s="419"/>
      <c r="AI146" s="419"/>
      <c r="AJ146" s="499"/>
      <c r="AK146" s="499"/>
      <c r="AL146" s="499"/>
      <c r="AM146" s="499"/>
      <c r="AN146" s="499"/>
      <c r="AO146" s="499"/>
      <c r="AP146" s="499"/>
      <c r="AQ146" s="499"/>
      <c r="AR146" s="499"/>
      <c r="AS146" s="499"/>
      <c r="AT146" s="499"/>
      <c r="AU146" s="499"/>
      <c r="AV146" s="499"/>
      <c r="AW146" s="499"/>
      <c r="AX146" s="499"/>
      <c r="AY146" s="499"/>
      <c r="AZ146" s="499"/>
      <c r="BA146" s="499"/>
      <c r="BB146" s="499"/>
      <c r="BC146" s="499"/>
      <c r="BD146" s="499"/>
      <c r="BE146" s="499"/>
      <c r="BF146" s="499"/>
      <c r="BG146" s="499"/>
      <c r="BH146" s="499"/>
      <c r="BI146" s="499"/>
      <c r="BJ146" s="499"/>
      <c r="BK146" s="499"/>
      <c r="BL146" s="499"/>
      <c r="BM146" s="499"/>
      <c r="BN146" s="499"/>
      <c r="BO146" s="499"/>
      <c r="BP146" s="499"/>
      <c r="BQ146" s="499"/>
      <c r="BR146" s="499"/>
      <c r="BS146" s="499"/>
      <c r="BT146" s="499"/>
      <c r="BU146" s="499"/>
      <c r="BV146" s="499"/>
      <c r="BW146" s="499"/>
      <c r="BX146" s="499"/>
      <c r="BY146" s="499"/>
    </row>
    <row r="147" spans="1:77" s="515" customFormat="1" ht="42" customHeight="1" thickBot="1" x14ac:dyDescent="0.3">
      <c r="A147" s="52" t="s">
        <v>337</v>
      </c>
      <c r="B147" s="399"/>
      <c r="C147" s="459">
        <v>36309943</v>
      </c>
      <c r="D147" s="459">
        <f>SUM(B148:B149)+100000</f>
        <v>17619971</v>
      </c>
      <c r="E147" s="461"/>
      <c r="F147" s="461"/>
      <c r="G147" s="461"/>
      <c r="H147" s="461"/>
      <c r="I147" s="461"/>
      <c r="J147" s="460">
        <f>730800+100000+2242800+495300</f>
        <v>3568900</v>
      </c>
      <c r="K147" s="461"/>
      <c r="L147" s="461"/>
      <c r="M147" s="461"/>
      <c r="N147" s="461"/>
      <c r="O147" s="460">
        <v>36309943</v>
      </c>
      <c r="P147" s="460">
        <f>SUM(O147)-2242800-19520772-495300</f>
        <v>14051071</v>
      </c>
      <c r="Q147" s="460"/>
      <c r="R147" s="460"/>
      <c r="S147" s="461"/>
      <c r="T147" s="461"/>
      <c r="U147" s="461"/>
      <c r="V147" s="461"/>
      <c r="W147" s="461"/>
      <c r="X147" s="461"/>
      <c r="Y147" s="461"/>
      <c r="Z147" s="461">
        <f t="shared" si="56"/>
        <v>0</v>
      </c>
      <c r="AA147" s="461">
        <f>SUM(F147+H147+J147+L147+N147)</f>
        <v>3568900</v>
      </c>
      <c r="AB147" s="461">
        <f t="shared" si="57"/>
        <v>36309943</v>
      </c>
      <c r="AC147" s="461">
        <f>SUM(P147+R147+T147)</f>
        <v>14051071</v>
      </c>
      <c r="AD147" s="461">
        <v>0</v>
      </c>
      <c r="AE147" s="461">
        <v>0</v>
      </c>
      <c r="AF147" s="461">
        <f t="shared" si="58"/>
        <v>36309943</v>
      </c>
      <c r="AG147" s="461">
        <f t="shared" si="58"/>
        <v>17619971</v>
      </c>
      <c r="AH147" s="419"/>
      <c r="AI147" s="419"/>
      <c r="AJ147" s="483"/>
      <c r="AK147" s="483"/>
      <c r="AL147" s="483"/>
      <c r="AM147" s="483"/>
      <c r="AN147" s="483"/>
      <c r="AO147" s="483"/>
      <c r="AP147" s="483"/>
      <c r="AQ147" s="483"/>
      <c r="AR147" s="483"/>
      <c r="AS147" s="483"/>
      <c r="AT147" s="483"/>
      <c r="AU147" s="483"/>
      <c r="AV147" s="483"/>
      <c r="AW147" s="483"/>
      <c r="AX147" s="483"/>
      <c r="AY147" s="483"/>
      <c r="AZ147" s="483"/>
      <c r="BA147" s="483"/>
      <c r="BB147" s="483"/>
      <c r="BC147" s="483"/>
      <c r="BD147" s="483"/>
      <c r="BE147" s="483"/>
      <c r="BF147" s="483"/>
      <c r="BG147" s="483"/>
      <c r="BH147" s="483"/>
      <c r="BI147" s="483"/>
      <c r="BJ147" s="483"/>
      <c r="BK147" s="483"/>
      <c r="BL147" s="483"/>
      <c r="BM147" s="483"/>
      <c r="BN147" s="483"/>
      <c r="BO147" s="483"/>
      <c r="BP147" s="483"/>
      <c r="BQ147" s="483"/>
      <c r="BR147" s="483"/>
      <c r="BS147" s="483"/>
      <c r="BT147" s="483"/>
      <c r="BU147" s="483"/>
      <c r="BV147" s="483"/>
      <c r="BW147" s="483"/>
      <c r="BX147" s="483"/>
      <c r="BY147" s="483"/>
    </row>
    <row r="148" spans="1:77" s="484" customFormat="1" ht="52.5" customHeight="1" thickBot="1" x14ac:dyDescent="0.3">
      <c r="A148" s="71" t="s">
        <v>102</v>
      </c>
      <c r="B148" s="397">
        <v>17519971</v>
      </c>
      <c r="C148" s="462"/>
      <c r="D148" s="462"/>
      <c r="E148" s="460"/>
      <c r="F148" s="460"/>
      <c r="G148" s="460"/>
      <c r="H148" s="460"/>
      <c r="I148" s="460"/>
      <c r="J148" s="460"/>
      <c r="K148" s="460"/>
      <c r="L148" s="460"/>
      <c r="M148" s="460"/>
      <c r="N148" s="460"/>
      <c r="O148" s="460"/>
      <c r="P148" s="460"/>
      <c r="Q148" s="460"/>
      <c r="R148" s="460"/>
      <c r="S148" s="460"/>
      <c r="T148" s="460"/>
      <c r="U148" s="460"/>
      <c r="V148" s="460"/>
      <c r="W148" s="460"/>
      <c r="X148" s="460"/>
      <c r="Y148" s="460"/>
      <c r="Z148" s="461"/>
      <c r="AA148" s="461"/>
      <c r="AB148" s="461"/>
      <c r="AC148" s="461"/>
      <c r="AD148" s="461"/>
      <c r="AE148" s="461"/>
      <c r="AF148" s="461"/>
      <c r="AG148" s="461">
        <f t="shared" si="58"/>
        <v>0</v>
      </c>
      <c r="AH148" s="419"/>
      <c r="AI148" s="419"/>
      <c r="AJ148" s="483"/>
      <c r="AK148" s="483"/>
      <c r="AL148" s="483"/>
      <c r="AM148" s="483"/>
      <c r="AN148" s="483"/>
      <c r="AO148" s="483"/>
      <c r="AP148" s="483"/>
      <c r="AQ148" s="483"/>
      <c r="AR148" s="483"/>
      <c r="AS148" s="483"/>
      <c r="AT148" s="483"/>
      <c r="AU148" s="483"/>
      <c r="AV148" s="483"/>
      <c r="AW148" s="483"/>
      <c r="AX148" s="483"/>
      <c r="AY148" s="483"/>
      <c r="AZ148" s="483"/>
      <c r="BA148" s="483"/>
      <c r="BB148" s="483"/>
      <c r="BC148" s="483"/>
      <c r="BD148" s="483"/>
      <c r="BE148" s="483"/>
      <c r="BF148" s="483"/>
      <c r="BG148" s="483"/>
      <c r="BH148" s="483"/>
      <c r="BI148" s="483"/>
      <c r="BJ148" s="483"/>
      <c r="BK148" s="483"/>
      <c r="BL148" s="483"/>
      <c r="BM148" s="483"/>
      <c r="BN148" s="483"/>
      <c r="BO148" s="483"/>
      <c r="BP148" s="483"/>
      <c r="BQ148" s="483"/>
      <c r="BR148" s="483"/>
      <c r="BS148" s="483"/>
      <c r="BT148" s="483"/>
      <c r="BU148" s="483"/>
      <c r="BV148" s="483"/>
      <c r="BW148" s="483"/>
      <c r="BX148" s="483"/>
      <c r="BY148" s="483"/>
    </row>
    <row r="149" spans="1:77" s="484" customFormat="1" ht="52.5" hidden="1" customHeight="1" thickBot="1" x14ac:dyDescent="0.3">
      <c r="A149" s="225" t="s">
        <v>338</v>
      </c>
      <c r="B149" s="397">
        <f>18789972+730800-19520772</f>
        <v>0</v>
      </c>
      <c r="C149" s="462"/>
      <c r="D149" s="462"/>
      <c r="E149" s="460"/>
      <c r="F149" s="460"/>
      <c r="G149" s="460"/>
      <c r="H149" s="460"/>
      <c r="I149" s="460"/>
      <c r="J149" s="460"/>
      <c r="K149" s="460"/>
      <c r="L149" s="460"/>
      <c r="M149" s="460"/>
      <c r="N149" s="460"/>
      <c r="O149" s="460"/>
      <c r="P149" s="460"/>
      <c r="Q149" s="460"/>
      <c r="R149" s="460"/>
      <c r="S149" s="460"/>
      <c r="T149" s="460"/>
      <c r="U149" s="460"/>
      <c r="V149" s="460"/>
      <c r="W149" s="460"/>
      <c r="X149" s="460"/>
      <c r="Y149" s="460"/>
      <c r="Z149" s="461"/>
      <c r="AA149" s="461"/>
      <c r="AB149" s="461"/>
      <c r="AC149" s="461"/>
      <c r="AD149" s="461"/>
      <c r="AE149" s="461"/>
      <c r="AF149" s="461"/>
      <c r="AG149" s="461">
        <f t="shared" si="58"/>
        <v>0</v>
      </c>
      <c r="AH149" s="419"/>
      <c r="AI149" s="419"/>
      <c r="AJ149" s="483"/>
      <c r="AK149" s="483"/>
      <c r="AL149" s="483"/>
      <c r="AM149" s="483"/>
      <c r="AN149" s="483"/>
      <c r="AO149" s="483"/>
      <c r="AP149" s="483"/>
      <c r="AQ149" s="483"/>
      <c r="AR149" s="483"/>
      <c r="AS149" s="483"/>
      <c r="AT149" s="483"/>
      <c r="AU149" s="483"/>
      <c r="AV149" s="483"/>
      <c r="AW149" s="483"/>
      <c r="AX149" s="483"/>
      <c r="AY149" s="483"/>
      <c r="AZ149" s="483"/>
      <c r="BA149" s="483"/>
      <c r="BB149" s="483"/>
      <c r="BC149" s="483"/>
      <c r="BD149" s="483"/>
      <c r="BE149" s="483"/>
      <c r="BF149" s="483"/>
      <c r="BG149" s="483"/>
      <c r="BH149" s="483"/>
      <c r="BI149" s="483"/>
      <c r="BJ149" s="483"/>
      <c r="BK149" s="483"/>
      <c r="BL149" s="483"/>
      <c r="BM149" s="483"/>
      <c r="BN149" s="483"/>
      <c r="BO149" s="483"/>
      <c r="BP149" s="483"/>
      <c r="BQ149" s="483"/>
      <c r="BR149" s="483"/>
      <c r="BS149" s="483"/>
      <c r="BT149" s="483"/>
      <c r="BU149" s="483"/>
      <c r="BV149" s="483"/>
      <c r="BW149" s="483"/>
      <c r="BX149" s="483"/>
      <c r="BY149" s="483"/>
    </row>
    <row r="150" spans="1:77" s="473" customFormat="1" ht="39.75" customHeight="1" thickBot="1" x14ac:dyDescent="0.3">
      <c r="A150" s="457"/>
      <c r="B150" s="458"/>
      <c r="C150" s="488"/>
      <c r="D150" s="488"/>
      <c r="E150" s="489"/>
      <c r="F150" s="489"/>
      <c r="G150" s="489"/>
      <c r="H150" s="489"/>
      <c r="I150" s="489"/>
      <c r="J150" s="489"/>
      <c r="K150" s="489"/>
      <c r="L150" s="489"/>
      <c r="M150" s="489"/>
      <c r="N150" s="489"/>
      <c r="O150" s="489"/>
      <c r="P150" s="489"/>
      <c r="Q150" s="489"/>
      <c r="R150" s="489"/>
      <c r="S150" s="489"/>
      <c r="T150" s="489"/>
      <c r="U150" s="489"/>
      <c r="V150" s="489"/>
      <c r="W150" s="489"/>
      <c r="X150" s="489"/>
      <c r="Y150" s="489"/>
      <c r="Z150" s="490"/>
      <c r="AA150" s="490"/>
      <c r="AB150" s="490"/>
      <c r="AC150" s="490"/>
      <c r="AD150" s="490"/>
      <c r="AE150" s="490"/>
      <c r="AF150" s="491"/>
      <c r="AG150" s="485"/>
      <c r="AH150" s="419"/>
      <c r="AI150" s="419"/>
      <c r="AJ150" s="472"/>
      <c r="AK150" s="472"/>
      <c r="AL150" s="472"/>
      <c r="AM150" s="472"/>
      <c r="AN150" s="472"/>
      <c r="AO150" s="472"/>
      <c r="AP150" s="472"/>
      <c r="AQ150" s="472"/>
      <c r="AR150" s="472"/>
      <c r="AS150" s="472"/>
      <c r="AT150" s="472"/>
      <c r="AU150" s="472"/>
      <c r="AV150" s="472"/>
      <c r="AW150" s="472"/>
      <c r="AX150" s="472"/>
      <c r="AY150" s="472"/>
      <c r="AZ150" s="472"/>
      <c r="BA150" s="472"/>
      <c r="BB150" s="472"/>
      <c r="BC150" s="472"/>
      <c r="BD150" s="472"/>
      <c r="BE150" s="472"/>
      <c r="BF150" s="472"/>
      <c r="BG150" s="472"/>
      <c r="BH150" s="472"/>
      <c r="BI150" s="472"/>
      <c r="BJ150" s="472"/>
      <c r="BK150" s="472"/>
      <c r="BL150" s="472"/>
      <c r="BM150" s="472"/>
      <c r="BN150" s="472"/>
      <c r="BO150" s="472"/>
      <c r="BP150" s="472"/>
      <c r="BQ150" s="472"/>
      <c r="BR150" s="472"/>
      <c r="BS150" s="472"/>
      <c r="BT150" s="472"/>
      <c r="BU150" s="472"/>
      <c r="BV150" s="472"/>
      <c r="BW150" s="472"/>
      <c r="BX150" s="472"/>
      <c r="BY150" s="472"/>
    </row>
    <row r="151" spans="1:77" s="473" customFormat="1" ht="39.75" customHeight="1" thickBot="1" x14ac:dyDescent="0.3">
      <c r="A151" s="95" t="s">
        <v>466</v>
      </c>
      <c r="B151" s="492"/>
      <c r="C151" s="493">
        <f t="shared" ref="C151:T151" si="60">SUM(C14:C149)</f>
        <v>4481249417</v>
      </c>
      <c r="D151" s="493">
        <f t="shared" si="60"/>
        <v>6307333381.8999996</v>
      </c>
      <c r="E151" s="405">
        <f t="shared" si="60"/>
        <v>68529501</v>
      </c>
      <c r="F151" s="405">
        <f t="shared" si="60"/>
        <v>62528248</v>
      </c>
      <c r="G151" s="405">
        <f t="shared" si="60"/>
        <v>11255672</v>
      </c>
      <c r="H151" s="405">
        <f t="shared" si="60"/>
        <v>7999850</v>
      </c>
      <c r="I151" s="405">
        <f t="shared" si="60"/>
        <v>422074982</v>
      </c>
      <c r="J151" s="405">
        <f>SUM(J14:J149)</f>
        <v>683518595</v>
      </c>
      <c r="K151" s="405">
        <f t="shared" si="60"/>
        <v>59500000</v>
      </c>
      <c r="L151" s="405">
        <f t="shared" si="60"/>
        <v>60955000</v>
      </c>
      <c r="M151" s="405">
        <f t="shared" si="60"/>
        <v>1043111101</v>
      </c>
      <c r="N151" s="405">
        <f t="shared" si="60"/>
        <v>1317148080</v>
      </c>
      <c r="O151" s="405">
        <f t="shared" si="60"/>
        <v>1794603577</v>
      </c>
      <c r="P151" s="405">
        <f t="shared" si="60"/>
        <v>2155417145</v>
      </c>
      <c r="Q151" s="405">
        <f t="shared" si="60"/>
        <v>1082174584</v>
      </c>
      <c r="R151" s="405">
        <f t="shared" si="60"/>
        <v>1784916675</v>
      </c>
      <c r="S151" s="405">
        <f t="shared" si="60"/>
        <v>0</v>
      </c>
      <c r="T151" s="405">
        <f t="shared" si="60"/>
        <v>234849789</v>
      </c>
      <c r="U151" s="405"/>
      <c r="V151" s="405"/>
      <c r="W151" s="405"/>
      <c r="X151" s="405"/>
      <c r="Y151" s="405"/>
      <c r="Z151" s="405">
        <f t="shared" ref="Z151:AG151" si="61">SUM(Z14:Z149)</f>
        <v>1604471256</v>
      </c>
      <c r="AA151" s="405">
        <f t="shared" si="61"/>
        <v>2132149773</v>
      </c>
      <c r="AB151" s="405">
        <f t="shared" si="61"/>
        <v>2876778161</v>
      </c>
      <c r="AC151" s="405">
        <f t="shared" si="61"/>
        <v>4175183609</v>
      </c>
      <c r="AD151" s="405">
        <f t="shared" si="61"/>
        <v>0</v>
      </c>
      <c r="AE151" s="405">
        <f t="shared" si="61"/>
        <v>0</v>
      </c>
      <c r="AF151" s="405">
        <f t="shared" si="61"/>
        <v>4481249417</v>
      </c>
      <c r="AG151" s="405">
        <f t="shared" si="61"/>
        <v>6307333382</v>
      </c>
      <c r="AH151" s="419"/>
      <c r="AI151" s="419"/>
      <c r="AJ151" s="472"/>
      <c r="AK151" s="472"/>
      <c r="AL151" s="472"/>
      <c r="AM151" s="472"/>
      <c r="AN151" s="472"/>
      <c r="AO151" s="472"/>
      <c r="AP151" s="472"/>
      <c r="AQ151" s="472"/>
      <c r="AR151" s="472"/>
      <c r="AS151" s="472"/>
      <c r="AT151" s="472"/>
      <c r="AU151" s="472"/>
      <c r="AV151" s="472"/>
      <c r="AW151" s="472"/>
      <c r="AX151" s="472"/>
      <c r="AY151" s="472"/>
      <c r="AZ151" s="472"/>
      <c r="BA151" s="472"/>
      <c r="BB151" s="472"/>
      <c r="BC151" s="472"/>
      <c r="BD151" s="472"/>
      <c r="BE151" s="472"/>
      <c r="BF151" s="472"/>
      <c r="BG151" s="472"/>
      <c r="BH151" s="472"/>
      <c r="BI151" s="472"/>
      <c r="BJ151" s="472"/>
      <c r="BK151" s="472"/>
      <c r="BL151" s="472"/>
      <c r="BM151" s="472"/>
      <c r="BN151" s="472"/>
      <c r="BO151" s="472"/>
      <c r="BP151" s="472"/>
      <c r="BQ151" s="472"/>
      <c r="BR151" s="472"/>
      <c r="BS151" s="472"/>
      <c r="BT151" s="472"/>
      <c r="BU151" s="472"/>
      <c r="BV151" s="472"/>
      <c r="BW151" s="472"/>
      <c r="BX151" s="472"/>
      <c r="BY151" s="472"/>
    </row>
    <row r="152" spans="1:77" s="478" customFormat="1" ht="42" customHeight="1" thickBot="1" x14ac:dyDescent="0.3">
      <c r="A152" s="55"/>
      <c r="B152" s="497"/>
      <c r="C152" s="498"/>
      <c r="D152" s="498"/>
      <c r="E152" s="475"/>
      <c r="F152" s="475"/>
      <c r="G152" s="475"/>
      <c r="H152" s="475"/>
      <c r="I152" s="475"/>
      <c r="J152" s="475"/>
      <c r="K152" s="475"/>
      <c r="L152" s="475"/>
      <c r="M152" s="475"/>
      <c r="N152" s="475"/>
      <c r="O152" s="475"/>
      <c r="P152" s="475"/>
      <c r="Q152" s="475"/>
      <c r="R152" s="475"/>
      <c r="S152" s="475"/>
      <c r="T152" s="475"/>
      <c r="U152" s="475"/>
      <c r="V152" s="475"/>
      <c r="W152" s="475"/>
      <c r="X152" s="475"/>
      <c r="Y152" s="475"/>
      <c r="Z152" s="475"/>
      <c r="AA152" s="475"/>
      <c r="AB152" s="475"/>
      <c r="AC152" s="475"/>
      <c r="AD152" s="475"/>
      <c r="AE152" s="475"/>
      <c r="AF152" s="475"/>
      <c r="AG152" s="475"/>
      <c r="AH152" s="419"/>
      <c r="AI152" s="419"/>
      <c r="AJ152" s="418"/>
      <c r="AK152" s="418"/>
      <c r="AL152" s="418"/>
      <c r="AM152" s="418"/>
      <c r="AN152" s="418"/>
      <c r="AO152" s="418"/>
      <c r="AP152" s="418"/>
      <c r="AQ152" s="418"/>
      <c r="AR152" s="418"/>
      <c r="AS152" s="418"/>
      <c r="AT152" s="418"/>
      <c r="AU152" s="418"/>
      <c r="AV152" s="418"/>
      <c r="AW152" s="418"/>
      <c r="AX152" s="418"/>
      <c r="AY152" s="418"/>
      <c r="AZ152" s="418"/>
      <c r="BA152" s="418"/>
      <c r="BB152" s="418"/>
      <c r="BC152" s="418"/>
      <c r="BD152" s="418"/>
      <c r="BE152" s="418"/>
      <c r="BF152" s="418"/>
      <c r="BG152" s="418"/>
      <c r="BH152" s="418"/>
      <c r="BI152" s="418"/>
      <c r="BJ152" s="418"/>
      <c r="BK152" s="418"/>
      <c r="BL152" s="418"/>
      <c r="BM152" s="418"/>
      <c r="BN152" s="418"/>
      <c r="BO152" s="418"/>
      <c r="BP152" s="418"/>
      <c r="BQ152" s="418"/>
      <c r="BR152" s="418"/>
      <c r="BS152" s="418"/>
      <c r="BT152" s="418"/>
      <c r="BU152" s="418"/>
      <c r="BV152" s="418"/>
      <c r="BW152" s="418"/>
      <c r="BX152" s="418"/>
      <c r="BY152" s="418"/>
    </row>
    <row r="153" spans="1:77" s="478" customFormat="1" ht="35.25" customHeight="1" thickBot="1" x14ac:dyDescent="0.3">
      <c r="A153" s="55"/>
      <c r="B153" s="497"/>
      <c r="C153" s="516"/>
      <c r="D153" s="516"/>
      <c r="E153" s="517"/>
      <c r="F153" s="517"/>
      <c r="G153" s="517"/>
      <c r="H153" s="517"/>
      <c r="I153" s="517"/>
      <c r="J153" s="517"/>
      <c r="K153" s="517"/>
      <c r="L153" s="517"/>
      <c r="M153" s="517"/>
      <c r="N153" s="517"/>
      <c r="O153" s="517"/>
      <c r="P153" s="517"/>
      <c r="Q153" s="517"/>
      <c r="R153" s="517"/>
      <c r="S153" s="517"/>
      <c r="T153" s="517"/>
      <c r="U153" s="517"/>
      <c r="V153" s="517"/>
      <c r="W153" s="517"/>
      <c r="X153" s="517"/>
      <c r="Y153" s="517"/>
      <c r="Z153" s="517"/>
      <c r="AA153" s="517"/>
      <c r="AB153" s="517"/>
      <c r="AC153" s="517"/>
      <c r="AD153" s="517"/>
      <c r="AE153" s="517"/>
      <c r="AF153" s="518"/>
      <c r="AG153" s="519"/>
      <c r="AH153" s="419"/>
      <c r="AI153" s="419"/>
      <c r="AJ153" s="418"/>
      <c r="AK153" s="418"/>
      <c r="AL153" s="418"/>
      <c r="AM153" s="418"/>
      <c r="AN153" s="418"/>
      <c r="AO153" s="418"/>
      <c r="AP153" s="418"/>
      <c r="AQ153" s="418"/>
      <c r="AR153" s="418"/>
      <c r="AS153" s="418"/>
      <c r="AT153" s="418"/>
      <c r="AU153" s="418"/>
      <c r="AV153" s="418"/>
      <c r="AW153" s="418"/>
      <c r="AX153" s="418"/>
      <c r="AY153" s="418"/>
      <c r="AZ153" s="418"/>
      <c r="BA153" s="418"/>
      <c r="BB153" s="418"/>
      <c r="BC153" s="418"/>
      <c r="BD153" s="418"/>
      <c r="BE153" s="418"/>
      <c r="BF153" s="418"/>
      <c r="BG153" s="418"/>
      <c r="BH153" s="418"/>
      <c r="BI153" s="418"/>
      <c r="BJ153" s="418"/>
      <c r="BK153" s="418"/>
      <c r="BL153" s="418"/>
      <c r="BM153" s="418"/>
      <c r="BN153" s="418"/>
      <c r="BO153" s="418"/>
      <c r="BP153" s="418"/>
      <c r="BQ153" s="418"/>
      <c r="BR153" s="418"/>
      <c r="BS153" s="418"/>
      <c r="BT153" s="418"/>
      <c r="BU153" s="418"/>
      <c r="BV153" s="418"/>
      <c r="BW153" s="418"/>
      <c r="BX153" s="418"/>
      <c r="BY153" s="418"/>
    </row>
    <row r="154" spans="1:77" s="502" customFormat="1" ht="39" customHeight="1" thickBot="1" x14ac:dyDescent="0.3">
      <c r="A154" s="744" t="s">
        <v>467</v>
      </c>
      <c r="B154" s="745"/>
      <c r="C154" s="745"/>
      <c r="D154" s="745"/>
      <c r="E154" s="745"/>
      <c r="F154" s="745"/>
      <c r="G154" s="745"/>
      <c r="H154" s="745"/>
      <c r="I154" s="745"/>
      <c r="J154" s="745"/>
      <c r="K154" s="745"/>
      <c r="L154" s="745"/>
      <c r="M154" s="745"/>
      <c r="N154" s="745"/>
      <c r="O154" s="745"/>
      <c r="P154" s="745"/>
      <c r="Q154" s="745"/>
      <c r="R154" s="745"/>
      <c r="S154" s="745"/>
      <c r="T154" s="745"/>
      <c r="U154" s="745"/>
      <c r="V154" s="745"/>
      <c r="W154" s="745"/>
      <c r="X154" s="745"/>
      <c r="Y154" s="745"/>
      <c r="Z154" s="745"/>
      <c r="AA154" s="745"/>
      <c r="AB154" s="745"/>
      <c r="AC154" s="745"/>
      <c r="AD154" s="745"/>
      <c r="AE154" s="745"/>
      <c r="AF154" s="746"/>
      <c r="AG154" s="514"/>
      <c r="AH154" s="494"/>
      <c r="AI154" s="494"/>
      <c r="AJ154" s="501"/>
      <c r="AK154" s="501"/>
      <c r="AL154" s="501"/>
      <c r="AM154" s="501"/>
      <c r="AN154" s="501"/>
      <c r="AO154" s="501"/>
      <c r="AP154" s="501"/>
      <c r="AQ154" s="501"/>
      <c r="AR154" s="501"/>
      <c r="AS154" s="501"/>
      <c r="AT154" s="501"/>
      <c r="AU154" s="501"/>
      <c r="AV154" s="501"/>
      <c r="AW154" s="501"/>
      <c r="AX154" s="501"/>
      <c r="AY154" s="501"/>
      <c r="AZ154" s="501"/>
      <c r="BA154" s="501"/>
      <c r="BB154" s="501"/>
      <c r="BC154" s="501"/>
      <c r="BD154" s="501"/>
      <c r="BE154" s="501"/>
      <c r="BF154" s="501"/>
      <c r="BG154" s="501"/>
      <c r="BH154" s="501"/>
      <c r="BI154" s="501"/>
      <c r="BJ154" s="501"/>
      <c r="BK154" s="501"/>
      <c r="BL154" s="501"/>
      <c r="BM154" s="501"/>
      <c r="BN154" s="501"/>
      <c r="BO154" s="501"/>
      <c r="BP154" s="501"/>
      <c r="BQ154" s="501"/>
      <c r="BR154" s="501"/>
      <c r="BS154" s="501"/>
      <c r="BT154" s="501"/>
      <c r="BU154" s="501"/>
      <c r="BV154" s="501"/>
      <c r="BW154" s="501"/>
      <c r="BX154" s="501"/>
      <c r="BY154" s="501"/>
    </row>
    <row r="155" spans="1:77" s="502" customFormat="1" ht="39" customHeight="1" thickBot="1" x14ac:dyDescent="0.3">
      <c r="A155" s="747" t="s">
        <v>341</v>
      </c>
      <c r="B155" s="748"/>
      <c r="C155" s="459">
        <v>4356100</v>
      </c>
      <c r="D155" s="459">
        <f>SUM(C155)+17687764+7518400+100000+1195345241+11858030</f>
        <v>1236865535</v>
      </c>
      <c r="E155" s="460"/>
      <c r="F155" s="460"/>
      <c r="G155" s="460"/>
      <c r="H155" s="460"/>
      <c r="I155" s="460">
        <v>4356100</v>
      </c>
      <c r="J155" s="460">
        <f>SUM(I155)+17687764+100000+87242241+11858030</f>
        <v>121244135</v>
      </c>
      <c r="K155" s="460"/>
      <c r="L155" s="460"/>
      <c r="M155" s="460"/>
      <c r="N155" s="460">
        <f>3000+1108100000</f>
        <v>1108103000</v>
      </c>
      <c r="O155" s="460"/>
      <c r="P155" s="460">
        <f>7518400</f>
        <v>7518400</v>
      </c>
      <c r="Q155" s="460"/>
      <c r="R155" s="460"/>
      <c r="S155" s="460"/>
      <c r="T155" s="460"/>
      <c r="U155" s="460"/>
      <c r="V155" s="460"/>
      <c r="W155" s="460"/>
      <c r="X155" s="460"/>
      <c r="Y155" s="460"/>
      <c r="Z155" s="461">
        <f t="shared" ref="Z155:AA161" si="62">SUM(E155+G155+I155+K155+M155)</f>
        <v>4356100</v>
      </c>
      <c r="AA155" s="461">
        <f t="shared" si="62"/>
        <v>1229347135</v>
      </c>
      <c r="AB155" s="461">
        <f t="shared" ref="AB155:AC161" si="63">SUM(O155+Q155+S155)</f>
        <v>0</v>
      </c>
      <c r="AC155" s="461">
        <f t="shared" si="63"/>
        <v>7518400</v>
      </c>
      <c r="AD155" s="461">
        <v>0</v>
      </c>
      <c r="AE155" s="461">
        <v>0</v>
      </c>
      <c r="AF155" s="461">
        <f t="shared" ref="AF155:AG161" si="64">SUM(Z155+AB155+AD155)</f>
        <v>4356100</v>
      </c>
      <c r="AG155" s="461">
        <f t="shared" si="64"/>
        <v>1236865535</v>
      </c>
      <c r="AH155" s="494"/>
      <c r="AI155" s="494"/>
      <c r="AJ155" s="501"/>
      <c r="AK155" s="501"/>
      <c r="AL155" s="501"/>
      <c r="AM155" s="501"/>
      <c r="AN155" s="501"/>
      <c r="AO155" s="501"/>
      <c r="AP155" s="501"/>
      <c r="AQ155" s="501"/>
      <c r="AR155" s="501"/>
      <c r="AS155" s="501"/>
      <c r="AT155" s="501"/>
      <c r="AU155" s="501"/>
      <c r="AV155" s="501"/>
      <c r="AW155" s="501"/>
      <c r="AX155" s="501"/>
      <c r="AY155" s="501"/>
      <c r="AZ155" s="501"/>
      <c r="BA155" s="501"/>
      <c r="BB155" s="501"/>
      <c r="BC155" s="501"/>
      <c r="BD155" s="501"/>
      <c r="BE155" s="501"/>
      <c r="BF155" s="501"/>
      <c r="BG155" s="501"/>
      <c r="BH155" s="501"/>
      <c r="BI155" s="501"/>
      <c r="BJ155" s="501"/>
      <c r="BK155" s="501"/>
      <c r="BL155" s="501"/>
      <c r="BM155" s="501"/>
      <c r="BN155" s="501"/>
      <c r="BO155" s="501"/>
      <c r="BP155" s="501"/>
      <c r="BQ155" s="501"/>
      <c r="BR155" s="501"/>
      <c r="BS155" s="501"/>
      <c r="BT155" s="501"/>
      <c r="BU155" s="501"/>
      <c r="BV155" s="501"/>
      <c r="BW155" s="501"/>
      <c r="BX155" s="501"/>
      <c r="BY155" s="501"/>
    </row>
    <row r="156" spans="1:77" s="504" customFormat="1" ht="38.25" customHeight="1" thickBot="1" x14ac:dyDescent="0.3">
      <c r="A156" s="747" t="s">
        <v>327</v>
      </c>
      <c r="B156" s="748"/>
      <c r="C156" s="459"/>
      <c r="D156" s="459"/>
      <c r="E156" s="460"/>
      <c r="F156" s="460"/>
      <c r="G156" s="460"/>
      <c r="H156" s="460"/>
      <c r="I156" s="460"/>
      <c r="J156" s="460"/>
      <c r="K156" s="460"/>
      <c r="L156" s="460"/>
      <c r="M156" s="460"/>
      <c r="N156" s="460"/>
      <c r="O156" s="460"/>
      <c r="P156" s="460"/>
      <c r="Q156" s="460"/>
      <c r="R156" s="460"/>
      <c r="S156" s="460"/>
      <c r="T156" s="460"/>
      <c r="U156" s="460"/>
      <c r="V156" s="460"/>
      <c r="W156" s="460"/>
      <c r="X156" s="460"/>
      <c r="Y156" s="460"/>
      <c r="Z156" s="461">
        <f t="shared" si="62"/>
        <v>0</v>
      </c>
      <c r="AA156" s="461">
        <f t="shared" si="62"/>
        <v>0</v>
      </c>
      <c r="AB156" s="461">
        <f t="shared" si="63"/>
        <v>0</v>
      </c>
      <c r="AC156" s="461">
        <f t="shared" si="63"/>
        <v>0</v>
      </c>
      <c r="AD156" s="461">
        <v>0</v>
      </c>
      <c r="AE156" s="461">
        <v>0</v>
      </c>
      <c r="AF156" s="461">
        <f t="shared" si="64"/>
        <v>0</v>
      </c>
      <c r="AG156" s="461">
        <f t="shared" si="64"/>
        <v>0</v>
      </c>
      <c r="AH156" s="419"/>
      <c r="AI156" s="419"/>
      <c r="AJ156" s="483"/>
      <c r="AK156" s="483"/>
      <c r="AL156" s="483"/>
      <c r="AM156" s="483"/>
      <c r="AN156" s="483"/>
      <c r="AO156" s="483"/>
      <c r="AP156" s="483"/>
      <c r="AQ156" s="483"/>
      <c r="AR156" s="483"/>
      <c r="AS156" s="483"/>
      <c r="AT156" s="483"/>
      <c r="AU156" s="483"/>
      <c r="AV156" s="483"/>
      <c r="AW156" s="483"/>
      <c r="AX156" s="483"/>
      <c r="AY156" s="483"/>
      <c r="AZ156" s="483"/>
      <c r="BA156" s="483"/>
      <c r="BB156" s="483"/>
      <c r="BC156" s="483"/>
      <c r="BD156" s="483"/>
      <c r="BE156" s="483"/>
      <c r="BF156" s="483"/>
      <c r="BG156" s="483"/>
      <c r="BH156" s="483"/>
      <c r="BI156" s="483"/>
      <c r="BJ156" s="483"/>
      <c r="BK156" s="483"/>
      <c r="BL156" s="483"/>
      <c r="BM156" s="483"/>
      <c r="BN156" s="483"/>
      <c r="BO156" s="483"/>
      <c r="BP156" s="483"/>
      <c r="BQ156" s="483"/>
      <c r="BR156" s="483"/>
      <c r="BS156" s="483"/>
      <c r="BT156" s="483"/>
      <c r="BU156" s="483"/>
      <c r="BV156" s="483"/>
      <c r="BW156" s="483"/>
      <c r="BX156" s="483"/>
      <c r="BY156" s="483"/>
    </row>
    <row r="157" spans="1:77" s="504" customFormat="1" ht="38.25" customHeight="1" thickBot="1" x14ac:dyDescent="0.3">
      <c r="A157" s="625" t="s">
        <v>96</v>
      </c>
      <c r="B157" s="398"/>
      <c r="C157" s="459">
        <v>180000000</v>
      </c>
      <c r="D157" s="459">
        <f>SUM(B158)</f>
        <v>153100000</v>
      </c>
      <c r="E157" s="460"/>
      <c r="F157" s="460"/>
      <c r="G157" s="460"/>
      <c r="H157" s="460"/>
      <c r="I157" s="460"/>
      <c r="J157" s="460"/>
      <c r="K157" s="460"/>
      <c r="L157" s="460"/>
      <c r="M157" s="460">
        <f>180000000</f>
        <v>180000000</v>
      </c>
      <c r="N157" s="460">
        <f>SUM(M157)-26900000</f>
        <v>153100000</v>
      </c>
      <c r="O157" s="460"/>
      <c r="P157" s="460"/>
      <c r="Q157" s="460"/>
      <c r="R157" s="460"/>
      <c r="S157" s="460"/>
      <c r="T157" s="460"/>
      <c r="U157" s="460"/>
      <c r="V157" s="460"/>
      <c r="W157" s="460"/>
      <c r="X157" s="460"/>
      <c r="Y157" s="460"/>
      <c r="Z157" s="461">
        <f t="shared" si="62"/>
        <v>180000000</v>
      </c>
      <c r="AA157" s="461">
        <f t="shared" si="62"/>
        <v>153100000</v>
      </c>
      <c r="AB157" s="461">
        <f t="shared" si="63"/>
        <v>0</v>
      </c>
      <c r="AC157" s="461">
        <f t="shared" si="63"/>
        <v>0</v>
      </c>
      <c r="AD157" s="461">
        <v>0</v>
      </c>
      <c r="AE157" s="461">
        <v>0</v>
      </c>
      <c r="AF157" s="461">
        <f t="shared" si="64"/>
        <v>180000000</v>
      </c>
      <c r="AG157" s="461">
        <f t="shared" si="64"/>
        <v>153100000</v>
      </c>
      <c r="AH157" s="419"/>
      <c r="AI157" s="419"/>
      <c r="AJ157" s="483"/>
      <c r="AK157" s="483"/>
      <c r="AL157" s="483"/>
      <c r="AM157" s="483"/>
      <c r="AN157" s="483"/>
      <c r="AO157" s="483"/>
      <c r="AP157" s="483"/>
      <c r="AQ157" s="483"/>
      <c r="AR157" s="483"/>
      <c r="AS157" s="483"/>
      <c r="AT157" s="483"/>
      <c r="AU157" s="483"/>
      <c r="AV157" s="483"/>
      <c r="AW157" s="483"/>
      <c r="AX157" s="483"/>
      <c r="AY157" s="483"/>
      <c r="AZ157" s="483"/>
      <c r="BA157" s="483"/>
      <c r="BB157" s="483"/>
      <c r="BC157" s="483"/>
      <c r="BD157" s="483"/>
      <c r="BE157" s="483"/>
      <c r="BF157" s="483"/>
      <c r="BG157" s="483"/>
      <c r="BH157" s="483"/>
      <c r="BI157" s="483"/>
      <c r="BJ157" s="483"/>
      <c r="BK157" s="483"/>
      <c r="BL157" s="483"/>
      <c r="BM157" s="483"/>
      <c r="BN157" s="483"/>
      <c r="BO157" s="483"/>
      <c r="BP157" s="483"/>
      <c r="BQ157" s="483"/>
      <c r="BR157" s="483"/>
      <c r="BS157" s="483"/>
      <c r="BT157" s="483"/>
      <c r="BU157" s="483"/>
      <c r="BV157" s="483"/>
      <c r="BW157" s="483"/>
      <c r="BX157" s="483"/>
      <c r="BY157" s="483"/>
    </row>
    <row r="158" spans="1:77" s="506" customFormat="1" ht="38.25" customHeight="1" thickBot="1" x14ac:dyDescent="0.3">
      <c r="A158" s="627" t="s">
        <v>333</v>
      </c>
      <c r="B158" s="397">
        <f>180000000-26900000</f>
        <v>153100000</v>
      </c>
      <c r="C158" s="462"/>
      <c r="D158" s="459"/>
      <c r="E158" s="460"/>
      <c r="F158" s="460"/>
      <c r="G158" s="460"/>
      <c r="H158" s="460"/>
      <c r="I158" s="460"/>
      <c r="J158" s="460"/>
      <c r="K158" s="460"/>
      <c r="L158" s="460"/>
      <c r="M158" s="460"/>
      <c r="N158" s="460"/>
      <c r="O158" s="460"/>
      <c r="P158" s="460"/>
      <c r="Q158" s="460"/>
      <c r="R158" s="460"/>
      <c r="S158" s="460"/>
      <c r="T158" s="460"/>
      <c r="U158" s="460"/>
      <c r="V158" s="460"/>
      <c r="W158" s="460"/>
      <c r="X158" s="460"/>
      <c r="Y158" s="460"/>
      <c r="Z158" s="461"/>
      <c r="AA158" s="461"/>
      <c r="AB158" s="461"/>
      <c r="AC158" s="461"/>
      <c r="AD158" s="461"/>
      <c r="AE158" s="461"/>
      <c r="AF158" s="461"/>
      <c r="AG158" s="461">
        <f t="shared" si="64"/>
        <v>0</v>
      </c>
      <c r="AH158" s="419"/>
      <c r="AI158" s="419"/>
      <c r="AJ158" s="479"/>
      <c r="AK158" s="479"/>
      <c r="AL158" s="479"/>
      <c r="AM158" s="479"/>
      <c r="AN158" s="479"/>
      <c r="AO158" s="479"/>
      <c r="AP158" s="479"/>
      <c r="AQ158" s="479"/>
      <c r="AR158" s="479"/>
      <c r="AS158" s="479"/>
      <c r="AT158" s="479"/>
      <c r="AU158" s="479"/>
      <c r="AV158" s="479"/>
      <c r="AW158" s="479"/>
      <c r="AX158" s="479"/>
      <c r="AY158" s="479"/>
      <c r="AZ158" s="479"/>
      <c r="BA158" s="479"/>
      <c r="BB158" s="479"/>
      <c r="BC158" s="479"/>
      <c r="BD158" s="479"/>
      <c r="BE158" s="479"/>
      <c r="BF158" s="479"/>
      <c r="BG158" s="479"/>
      <c r="BH158" s="479"/>
      <c r="BI158" s="479"/>
      <c r="BJ158" s="479"/>
      <c r="BK158" s="479"/>
      <c r="BL158" s="479"/>
      <c r="BM158" s="479"/>
      <c r="BN158" s="479"/>
      <c r="BO158" s="479"/>
      <c r="BP158" s="479"/>
      <c r="BQ158" s="479"/>
      <c r="BR158" s="479"/>
      <c r="BS158" s="479"/>
      <c r="BT158" s="479"/>
      <c r="BU158" s="479"/>
      <c r="BV158" s="479"/>
      <c r="BW158" s="479"/>
      <c r="BX158" s="479"/>
      <c r="BY158" s="479"/>
    </row>
    <row r="159" spans="1:77" s="484" customFormat="1" ht="47.25" customHeight="1" thickBot="1" x14ac:dyDescent="0.3">
      <c r="A159" s="52" t="s">
        <v>585</v>
      </c>
      <c r="B159" s="399"/>
      <c r="C159" s="459"/>
      <c r="D159" s="459">
        <v>5000000</v>
      </c>
      <c r="E159" s="465"/>
      <c r="F159" s="465"/>
      <c r="G159" s="465"/>
      <c r="H159" s="465"/>
      <c r="I159" s="465"/>
      <c r="J159" s="465"/>
      <c r="K159" s="465"/>
      <c r="L159" s="465"/>
      <c r="M159" s="464"/>
      <c r="N159" s="464">
        <v>5000000</v>
      </c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5"/>
      <c r="Z159" s="461">
        <f t="shared" ref="Z159:AA159" si="65">SUM(E159+G159+I159+K159+M159)</f>
        <v>0</v>
      </c>
      <c r="AA159" s="461">
        <f t="shared" si="65"/>
        <v>5000000</v>
      </c>
      <c r="AB159" s="461">
        <f t="shared" ref="AB159:AC159" si="66">SUM(O159+Q159+S159)</f>
        <v>0</v>
      </c>
      <c r="AC159" s="461">
        <f t="shared" si="66"/>
        <v>0</v>
      </c>
      <c r="AD159" s="461">
        <v>0</v>
      </c>
      <c r="AE159" s="461">
        <v>0</v>
      </c>
      <c r="AF159" s="461">
        <f t="shared" ref="AF159" si="67">SUM(Z159+AB159+AD159)</f>
        <v>0</v>
      </c>
      <c r="AG159" s="461">
        <f t="shared" si="64"/>
        <v>5000000</v>
      </c>
      <c r="AH159" s="419"/>
      <c r="AI159" s="419"/>
      <c r="AJ159" s="483"/>
      <c r="AK159" s="483"/>
      <c r="AL159" s="483"/>
      <c r="AM159" s="483"/>
      <c r="AN159" s="483"/>
      <c r="AO159" s="483"/>
      <c r="AP159" s="483"/>
      <c r="AQ159" s="483"/>
      <c r="AR159" s="483"/>
      <c r="AS159" s="483"/>
      <c r="AT159" s="483"/>
      <c r="AU159" s="483"/>
      <c r="AV159" s="483"/>
      <c r="AW159" s="483"/>
      <c r="AX159" s="483"/>
      <c r="AY159" s="483"/>
      <c r="AZ159" s="483"/>
      <c r="BA159" s="483"/>
      <c r="BB159" s="483"/>
      <c r="BC159" s="483"/>
      <c r="BD159" s="483"/>
      <c r="BE159" s="483"/>
      <c r="BF159" s="483"/>
      <c r="BG159" s="483"/>
      <c r="BH159" s="483"/>
      <c r="BI159" s="483"/>
      <c r="BJ159" s="483"/>
      <c r="BK159" s="483"/>
      <c r="BL159" s="483"/>
      <c r="BM159" s="483"/>
      <c r="BN159" s="483"/>
      <c r="BO159" s="483"/>
      <c r="BP159" s="483"/>
      <c r="BQ159" s="483"/>
      <c r="BR159" s="483"/>
      <c r="BS159" s="483"/>
      <c r="BT159" s="483"/>
      <c r="BU159" s="483"/>
      <c r="BV159" s="483"/>
      <c r="BW159" s="483"/>
      <c r="BX159" s="483"/>
      <c r="BY159" s="483"/>
    </row>
    <row r="160" spans="1:77" s="504" customFormat="1" ht="38.25" customHeight="1" thickBot="1" x14ac:dyDescent="0.3">
      <c r="A160" s="52" t="s">
        <v>502</v>
      </c>
      <c r="B160" s="399"/>
      <c r="C160" s="459">
        <v>5000000</v>
      </c>
      <c r="D160" s="459">
        <f>SUM(C160)</f>
        <v>5000000</v>
      </c>
      <c r="E160" s="460">
        <v>3250000</v>
      </c>
      <c r="F160" s="460">
        <f>SUM(E160)-3000000</f>
        <v>250000</v>
      </c>
      <c r="G160" s="460">
        <v>1750000</v>
      </c>
      <c r="H160" s="460">
        <f>SUM(G160)-1526862+17894</f>
        <v>241032</v>
      </c>
      <c r="I160" s="460"/>
      <c r="J160" s="460">
        <f>4526862-17894</f>
        <v>4508968</v>
      </c>
      <c r="K160" s="461"/>
      <c r="L160" s="461"/>
      <c r="M160" s="461"/>
      <c r="N160" s="461"/>
      <c r="O160" s="461"/>
      <c r="P160" s="461"/>
      <c r="Q160" s="461"/>
      <c r="R160" s="461"/>
      <c r="S160" s="461"/>
      <c r="T160" s="461"/>
      <c r="U160" s="461"/>
      <c r="V160" s="461"/>
      <c r="W160" s="461"/>
      <c r="X160" s="461"/>
      <c r="Y160" s="461"/>
      <c r="Z160" s="461">
        <f t="shared" si="62"/>
        <v>5000000</v>
      </c>
      <c r="AA160" s="461">
        <f t="shared" si="62"/>
        <v>5000000</v>
      </c>
      <c r="AB160" s="461">
        <f t="shared" si="63"/>
        <v>0</v>
      </c>
      <c r="AC160" s="461">
        <f t="shared" si="63"/>
        <v>0</v>
      </c>
      <c r="AD160" s="461">
        <v>0</v>
      </c>
      <c r="AE160" s="461">
        <v>0</v>
      </c>
      <c r="AF160" s="461">
        <f t="shared" si="64"/>
        <v>5000000</v>
      </c>
      <c r="AG160" s="461">
        <f t="shared" si="64"/>
        <v>5000000</v>
      </c>
      <c r="AH160" s="419"/>
      <c r="AI160" s="419"/>
      <c r="AJ160" s="483"/>
      <c r="AK160" s="483"/>
      <c r="AL160" s="483"/>
      <c r="AM160" s="483"/>
      <c r="AN160" s="483"/>
      <c r="AO160" s="483"/>
      <c r="AP160" s="483"/>
      <c r="AQ160" s="483"/>
      <c r="AR160" s="483"/>
      <c r="AS160" s="483"/>
      <c r="AT160" s="483"/>
      <c r="AU160" s="483"/>
      <c r="AV160" s="483"/>
      <c r="AW160" s="483"/>
      <c r="AX160" s="483"/>
      <c r="AY160" s="483"/>
      <c r="AZ160" s="483"/>
      <c r="BA160" s="483"/>
      <c r="BB160" s="483"/>
      <c r="BC160" s="483"/>
      <c r="BD160" s="483"/>
      <c r="BE160" s="483"/>
      <c r="BF160" s="483"/>
      <c r="BG160" s="483"/>
      <c r="BH160" s="483"/>
      <c r="BI160" s="483"/>
      <c r="BJ160" s="483"/>
      <c r="BK160" s="483"/>
      <c r="BL160" s="483"/>
      <c r="BM160" s="483"/>
      <c r="BN160" s="483"/>
      <c r="BO160" s="483"/>
      <c r="BP160" s="483"/>
      <c r="BQ160" s="483"/>
      <c r="BR160" s="483"/>
      <c r="BS160" s="483"/>
      <c r="BT160" s="483"/>
      <c r="BU160" s="483"/>
      <c r="BV160" s="483"/>
      <c r="BW160" s="483"/>
      <c r="BX160" s="483"/>
      <c r="BY160" s="483"/>
    </row>
    <row r="161" spans="1:77" s="504" customFormat="1" ht="38.25" customHeight="1" thickBot="1" x14ac:dyDescent="0.3">
      <c r="A161" s="52" t="s">
        <v>97</v>
      </c>
      <c r="B161" s="399"/>
      <c r="C161" s="459">
        <v>5000000</v>
      </c>
      <c r="D161" s="459">
        <f>SUM(C161)-5000000</f>
        <v>0</v>
      </c>
      <c r="E161" s="465"/>
      <c r="F161" s="465"/>
      <c r="G161" s="465"/>
      <c r="H161" s="465"/>
      <c r="I161" s="465"/>
      <c r="J161" s="465"/>
      <c r="K161" s="465"/>
      <c r="L161" s="465"/>
      <c r="M161" s="464">
        <v>5000000</v>
      </c>
      <c r="N161" s="464">
        <f>SUM(M161)-5000000</f>
        <v>0</v>
      </c>
      <c r="O161" s="465"/>
      <c r="P161" s="465"/>
      <c r="Q161" s="465"/>
      <c r="R161" s="465"/>
      <c r="S161" s="465"/>
      <c r="T161" s="465"/>
      <c r="U161" s="465"/>
      <c r="V161" s="465"/>
      <c r="W161" s="465"/>
      <c r="X161" s="465"/>
      <c r="Y161" s="465"/>
      <c r="Z161" s="461">
        <f t="shared" si="62"/>
        <v>5000000</v>
      </c>
      <c r="AA161" s="461">
        <f t="shared" si="62"/>
        <v>0</v>
      </c>
      <c r="AB161" s="461">
        <f t="shared" si="63"/>
        <v>0</v>
      </c>
      <c r="AC161" s="461">
        <f t="shared" si="63"/>
        <v>0</v>
      </c>
      <c r="AD161" s="461">
        <v>0</v>
      </c>
      <c r="AE161" s="461">
        <v>0</v>
      </c>
      <c r="AF161" s="461">
        <f t="shared" si="64"/>
        <v>5000000</v>
      </c>
      <c r="AG161" s="461">
        <f t="shared" si="64"/>
        <v>0</v>
      </c>
      <c r="AH161" s="419"/>
      <c r="AI161" s="419"/>
      <c r="AJ161" s="483"/>
      <c r="AK161" s="483"/>
      <c r="AL161" s="483"/>
      <c r="AM161" s="483"/>
      <c r="AN161" s="483"/>
      <c r="AO161" s="483"/>
      <c r="AP161" s="483"/>
      <c r="AQ161" s="483"/>
      <c r="AR161" s="483"/>
      <c r="AS161" s="483"/>
      <c r="AT161" s="483"/>
      <c r="AU161" s="483"/>
      <c r="AV161" s="483"/>
      <c r="AW161" s="483"/>
      <c r="AX161" s="483"/>
      <c r="AY161" s="483"/>
      <c r="AZ161" s="483"/>
      <c r="BA161" s="483"/>
      <c r="BB161" s="483"/>
      <c r="BC161" s="483"/>
      <c r="BD161" s="483"/>
      <c r="BE161" s="483"/>
      <c r="BF161" s="483"/>
      <c r="BG161" s="483"/>
      <c r="BH161" s="483"/>
      <c r="BI161" s="483"/>
      <c r="BJ161" s="483"/>
      <c r="BK161" s="483"/>
      <c r="BL161" s="483"/>
      <c r="BM161" s="483"/>
      <c r="BN161" s="483"/>
      <c r="BO161" s="483"/>
      <c r="BP161" s="483"/>
      <c r="BQ161" s="483"/>
      <c r="BR161" s="483"/>
      <c r="BS161" s="483"/>
      <c r="BT161" s="483"/>
      <c r="BU161" s="483"/>
      <c r="BV161" s="483"/>
      <c r="BW161" s="483"/>
      <c r="BX161" s="483"/>
      <c r="BY161" s="483"/>
    </row>
    <row r="162" spans="1:77" s="504" customFormat="1" ht="38.25" customHeight="1" thickBot="1" x14ac:dyDescent="0.3">
      <c r="A162" s="95" t="s">
        <v>468</v>
      </c>
      <c r="B162" s="403"/>
      <c r="C162" s="493">
        <f t="shared" ref="C162:AG162" si="68">SUM(C155:C161)</f>
        <v>194356100</v>
      </c>
      <c r="D162" s="493">
        <f t="shared" si="68"/>
        <v>1399965535</v>
      </c>
      <c r="E162" s="493">
        <f t="shared" si="68"/>
        <v>3250000</v>
      </c>
      <c r="F162" s="493">
        <f t="shared" si="68"/>
        <v>250000</v>
      </c>
      <c r="G162" s="493">
        <f t="shared" si="68"/>
        <v>1750000</v>
      </c>
      <c r="H162" s="493">
        <f t="shared" si="68"/>
        <v>241032</v>
      </c>
      <c r="I162" s="493">
        <f t="shared" si="68"/>
        <v>4356100</v>
      </c>
      <c r="J162" s="493">
        <f>SUM(J155:J161)</f>
        <v>125753103</v>
      </c>
      <c r="K162" s="493">
        <f t="shared" si="68"/>
        <v>0</v>
      </c>
      <c r="L162" s="493">
        <f t="shared" si="68"/>
        <v>0</v>
      </c>
      <c r="M162" s="493">
        <f t="shared" si="68"/>
        <v>185000000</v>
      </c>
      <c r="N162" s="493">
        <f t="shared" si="68"/>
        <v>1266203000</v>
      </c>
      <c r="O162" s="493">
        <f t="shared" si="68"/>
        <v>0</v>
      </c>
      <c r="P162" s="493">
        <f t="shared" si="68"/>
        <v>7518400</v>
      </c>
      <c r="Q162" s="493">
        <f t="shared" si="68"/>
        <v>0</v>
      </c>
      <c r="R162" s="493">
        <f t="shared" si="68"/>
        <v>0</v>
      </c>
      <c r="S162" s="493">
        <f t="shared" si="68"/>
        <v>0</v>
      </c>
      <c r="T162" s="493">
        <f t="shared" si="68"/>
        <v>0</v>
      </c>
      <c r="U162" s="493">
        <f t="shared" si="68"/>
        <v>0</v>
      </c>
      <c r="V162" s="493">
        <f t="shared" si="68"/>
        <v>0</v>
      </c>
      <c r="W162" s="493">
        <f t="shared" si="68"/>
        <v>0</v>
      </c>
      <c r="X162" s="493">
        <f t="shared" si="68"/>
        <v>0</v>
      </c>
      <c r="Y162" s="493">
        <f t="shared" si="68"/>
        <v>0</v>
      </c>
      <c r="Z162" s="493">
        <f t="shared" si="68"/>
        <v>194356100</v>
      </c>
      <c r="AA162" s="493">
        <f t="shared" si="68"/>
        <v>1392447135</v>
      </c>
      <c r="AB162" s="493">
        <f t="shared" si="68"/>
        <v>0</v>
      </c>
      <c r="AC162" s="493">
        <f t="shared" si="68"/>
        <v>7518400</v>
      </c>
      <c r="AD162" s="493">
        <f t="shared" si="68"/>
        <v>0</v>
      </c>
      <c r="AE162" s="493">
        <f t="shared" si="68"/>
        <v>0</v>
      </c>
      <c r="AF162" s="493">
        <f t="shared" si="68"/>
        <v>194356100</v>
      </c>
      <c r="AG162" s="493">
        <f t="shared" si="68"/>
        <v>1399965535</v>
      </c>
      <c r="AH162" s="419"/>
      <c r="AI162" s="419"/>
      <c r="AJ162" s="483"/>
      <c r="AK162" s="483"/>
      <c r="AL162" s="483"/>
      <c r="AM162" s="483"/>
      <c r="AN162" s="483"/>
      <c r="AO162" s="483"/>
      <c r="AP162" s="483"/>
      <c r="AQ162" s="483"/>
      <c r="AR162" s="483"/>
      <c r="AS162" s="483"/>
      <c r="AT162" s="483"/>
      <c r="AU162" s="483"/>
      <c r="AV162" s="483"/>
      <c r="AW162" s="483"/>
      <c r="AX162" s="483"/>
      <c r="AY162" s="483"/>
      <c r="AZ162" s="483"/>
      <c r="BA162" s="483"/>
      <c r="BB162" s="483"/>
      <c r="BC162" s="483"/>
      <c r="BD162" s="483"/>
      <c r="BE162" s="483"/>
      <c r="BF162" s="483"/>
      <c r="BG162" s="483"/>
      <c r="BH162" s="483"/>
      <c r="BI162" s="483"/>
      <c r="BJ162" s="483"/>
      <c r="BK162" s="483"/>
      <c r="BL162" s="483"/>
      <c r="BM162" s="483"/>
      <c r="BN162" s="483"/>
      <c r="BO162" s="483"/>
      <c r="BP162" s="483"/>
      <c r="BQ162" s="483"/>
      <c r="BR162" s="483"/>
      <c r="BS162" s="483"/>
      <c r="BT162" s="483"/>
      <c r="BU162" s="483"/>
      <c r="BV162" s="483"/>
      <c r="BW162" s="483"/>
      <c r="BX162" s="483"/>
      <c r="BY162" s="483"/>
    </row>
    <row r="163" spans="1:77" s="506" customFormat="1" ht="38.25" customHeight="1" thickBot="1" x14ac:dyDescent="0.3">
      <c r="A163" s="95" t="s">
        <v>469</v>
      </c>
      <c r="B163" s="403"/>
      <c r="C163" s="493">
        <f>SUM(C151+C162)</f>
        <v>4675605517</v>
      </c>
      <c r="D163" s="493">
        <f>SUM(D151+D162)</f>
        <v>7707298916.8999996</v>
      </c>
      <c r="E163" s="405">
        <f t="shared" ref="E163:T163" si="69">SUM(E162+E151)</f>
        <v>71779501</v>
      </c>
      <c r="F163" s="405">
        <f t="shared" si="69"/>
        <v>62778248</v>
      </c>
      <c r="G163" s="405">
        <f t="shared" si="69"/>
        <v>13005672</v>
      </c>
      <c r="H163" s="405">
        <f t="shared" si="69"/>
        <v>8240882</v>
      </c>
      <c r="I163" s="405">
        <f t="shared" si="69"/>
        <v>426431082</v>
      </c>
      <c r="J163" s="405">
        <f t="shared" si="69"/>
        <v>809271698</v>
      </c>
      <c r="K163" s="405">
        <f t="shared" si="69"/>
        <v>59500000</v>
      </c>
      <c r="L163" s="405">
        <f t="shared" si="69"/>
        <v>60955000</v>
      </c>
      <c r="M163" s="405">
        <f t="shared" si="69"/>
        <v>1228111101</v>
      </c>
      <c r="N163" s="405">
        <f t="shared" si="69"/>
        <v>2583351080</v>
      </c>
      <c r="O163" s="405">
        <f t="shared" si="69"/>
        <v>1794603577</v>
      </c>
      <c r="P163" s="405">
        <f t="shared" si="69"/>
        <v>2162935545</v>
      </c>
      <c r="Q163" s="405">
        <f t="shared" si="69"/>
        <v>1082174584</v>
      </c>
      <c r="R163" s="405">
        <f t="shared" si="69"/>
        <v>1784916675</v>
      </c>
      <c r="S163" s="405">
        <f t="shared" si="69"/>
        <v>0</v>
      </c>
      <c r="T163" s="405">
        <f t="shared" si="69"/>
        <v>234849789</v>
      </c>
      <c r="U163" s="405"/>
      <c r="V163" s="405"/>
      <c r="W163" s="405"/>
      <c r="X163" s="405"/>
      <c r="Y163" s="405"/>
      <c r="Z163" s="405">
        <f t="shared" ref="Z163:AG163" si="70">SUM(Z162+Z151)</f>
        <v>1798827356</v>
      </c>
      <c r="AA163" s="405">
        <f t="shared" si="70"/>
        <v>3524596908</v>
      </c>
      <c r="AB163" s="405">
        <f t="shared" si="70"/>
        <v>2876778161</v>
      </c>
      <c r="AC163" s="405">
        <f>SUM(AC162+AC151)</f>
        <v>4182702009</v>
      </c>
      <c r="AD163" s="405">
        <f t="shared" si="70"/>
        <v>0</v>
      </c>
      <c r="AE163" s="405">
        <f t="shared" si="70"/>
        <v>0</v>
      </c>
      <c r="AF163" s="405">
        <f t="shared" si="70"/>
        <v>4675605517</v>
      </c>
      <c r="AG163" s="405">
        <f t="shared" si="70"/>
        <v>7707298917</v>
      </c>
      <c r="AH163" s="419"/>
      <c r="AI163" s="419"/>
      <c r="AJ163" s="479"/>
      <c r="AK163" s="479"/>
      <c r="AL163" s="479"/>
      <c r="AM163" s="479"/>
      <c r="AN163" s="479"/>
      <c r="AO163" s="479"/>
      <c r="AP163" s="479"/>
      <c r="AQ163" s="479"/>
      <c r="AR163" s="479"/>
      <c r="AS163" s="479"/>
      <c r="AT163" s="479"/>
      <c r="AU163" s="479"/>
      <c r="AV163" s="479"/>
      <c r="AW163" s="479"/>
      <c r="AX163" s="479"/>
      <c r="AY163" s="479"/>
      <c r="AZ163" s="479"/>
      <c r="BA163" s="479"/>
      <c r="BB163" s="479"/>
      <c r="BC163" s="479"/>
      <c r="BD163" s="479"/>
      <c r="BE163" s="479"/>
      <c r="BF163" s="479"/>
      <c r="BG163" s="479"/>
      <c r="BH163" s="479"/>
      <c r="BI163" s="479"/>
      <c r="BJ163" s="479"/>
      <c r="BK163" s="479"/>
      <c r="BL163" s="479"/>
      <c r="BM163" s="479"/>
      <c r="BN163" s="479"/>
      <c r="BO163" s="479"/>
      <c r="BP163" s="479"/>
      <c r="BQ163" s="479"/>
      <c r="BR163" s="479"/>
      <c r="BS163" s="479"/>
      <c r="BT163" s="479"/>
      <c r="BU163" s="479"/>
      <c r="BV163" s="479"/>
      <c r="BW163" s="479"/>
      <c r="BX163" s="479"/>
      <c r="BY163" s="479"/>
    </row>
    <row r="164" spans="1:77" s="510" customFormat="1" ht="33" customHeight="1" x14ac:dyDescent="0.25">
      <c r="A164" s="339" t="s">
        <v>98</v>
      </c>
      <c r="B164" s="430">
        <f>SUM('[1]8. sz. melléklet'!D9)</f>
        <v>18845455</v>
      </c>
      <c r="C164" s="503"/>
      <c r="D164" s="468"/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  <c r="O164" s="468"/>
      <c r="P164" s="468"/>
      <c r="Q164" s="468"/>
      <c r="R164" s="468"/>
      <c r="S164" s="468"/>
      <c r="T164" s="468"/>
      <c r="U164" s="468"/>
      <c r="V164" s="468"/>
      <c r="W164" s="468"/>
      <c r="X164" s="468"/>
      <c r="Y164" s="468"/>
      <c r="Z164" s="461"/>
      <c r="AA164" s="461"/>
      <c r="AB164" s="461"/>
      <c r="AC164" s="461"/>
      <c r="AD164" s="461"/>
      <c r="AE164" s="461"/>
      <c r="AF164" s="461"/>
      <c r="AG164" s="461">
        <f t="shared" ref="AG164:AG165" si="71">SUM(AA164+AC164+AE164)</f>
        <v>0</v>
      </c>
      <c r="AH164" s="419"/>
      <c r="AI164" s="419"/>
      <c r="AJ164" s="509"/>
      <c r="AK164" s="508"/>
      <c r="AL164" s="508"/>
      <c r="AM164" s="508"/>
      <c r="AN164" s="508"/>
      <c r="AO164" s="508"/>
      <c r="AP164" s="508"/>
      <c r="AQ164" s="508"/>
      <c r="AR164" s="508"/>
      <c r="AS164" s="508"/>
      <c r="AT164" s="508"/>
      <c r="AU164" s="508"/>
      <c r="AV164" s="508"/>
      <c r="AW164" s="508"/>
      <c r="AX164" s="508"/>
      <c r="AY164" s="508"/>
      <c r="AZ164" s="508"/>
      <c r="BA164" s="508"/>
      <c r="BB164" s="508"/>
      <c r="BC164" s="508"/>
      <c r="BD164" s="508"/>
      <c r="BE164" s="508"/>
      <c r="BF164" s="508"/>
      <c r="BG164" s="508"/>
      <c r="BH164" s="508"/>
      <c r="BI164" s="508"/>
      <c r="BJ164" s="508"/>
      <c r="BK164" s="508"/>
      <c r="BL164" s="508"/>
      <c r="BM164" s="508"/>
      <c r="BN164" s="508"/>
      <c r="BO164" s="508"/>
      <c r="BP164" s="508"/>
      <c r="BQ164" s="508"/>
      <c r="BR164" s="508"/>
      <c r="BS164" s="508"/>
      <c r="BT164" s="508"/>
      <c r="BU164" s="508"/>
      <c r="BV164" s="508"/>
      <c r="BW164" s="508"/>
      <c r="BX164" s="508"/>
      <c r="BY164" s="508"/>
    </row>
    <row r="165" spans="1:77" s="472" customFormat="1" ht="37.5" customHeight="1" thickBot="1" x14ac:dyDescent="0.3">
      <c r="A165" s="58" t="s">
        <v>99</v>
      </c>
      <c r="B165" s="431">
        <f>SUM('[1]8. sz. melléklet'!D10)</f>
        <v>1347316350</v>
      </c>
      <c r="C165" s="505"/>
      <c r="D165" s="464"/>
      <c r="E165" s="464"/>
      <c r="F165" s="464"/>
      <c r="G165" s="464"/>
      <c r="H165" s="464"/>
      <c r="I165" s="464"/>
      <c r="J165" s="464"/>
      <c r="K165" s="464"/>
      <c r="L165" s="464"/>
      <c r="M165" s="464"/>
      <c r="N165" s="464"/>
      <c r="O165" s="464"/>
      <c r="P165" s="464"/>
      <c r="Q165" s="464"/>
      <c r="R165" s="464"/>
      <c r="S165" s="464"/>
      <c r="T165" s="464"/>
      <c r="U165" s="464"/>
      <c r="V165" s="464"/>
      <c r="W165" s="464"/>
      <c r="X165" s="464"/>
      <c r="Y165" s="464"/>
      <c r="Z165" s="461"/>
      <c r="AA165" s="461"/>
      <c r="AB165" s="461"/>
      <c r="AC165" s="461"/>
      <c r="AD165" s="461"/>
      <c r="AE165" s="461"/>
      <c r="AF165" s="461"/>
      <c r="AG165" s="461">
        <f t="shared" si="71"/>
        <v>0</v>
      </c>
      <c r="AH165" s="419"/>
      <c r="AI165" s="419"/>
      <c r="AJ165" s="474">
        <f>SUM(AG164-'[2]3. sz. melléklet'!X75)</f>
        <v>-10162289509</v>
      </c>
    </row>
    <row r="166" spans="1:77" s="513" customFormat="1" ht="25.5" customHeight="1" thickBot="1" x14ac:dyDescent="0.3">
      <c r="A166" s="95" t="s">
        <v>470</v>
      </c>
      <c r="B166" s="403"/>
      <c r="C166" s="493">
        <v>2608863334</v>
      </c>
      <c r="D166" s="405">
        <f>SUM(B164:B165)</f>
        <v>1366161805</v>
      </c>
      <c r="E166" s="405">
        <f>SUM(E164:E165)</f>
        <v>0</v>
      </c>
      <c r="F166" s="405">
        <f t="shared" ref="F166:Y166" si="72">SUM(F164:F165)</f>
        <v>0</v>
      </c>
      <c r="G166" s="405">
        <f t="shared" si="72"/>
        <v>0</v>
      </c>
      <c r="H166" s="405">
        <f t="shared" si="72"/>
        <v>0</v>
      </c>
      <c r="I166" s="405">
        <f t="shared" si="72"/>
        <v>0</v>
      </c>
      <c r="J166" s="405">
        <f t="shared" si="72"/>
        <v>0</v>
      </c>
      <c r="K166" s="405">
        <f t="shared" si="72"/>
        <v>0</v>
      </c>
      <c r="L166" s="405">
        <f t="shared" si="72"/>
        <v>0</v>
      </c>
      <c r="M166" s="405">
        <f>SUM(C166)</f>
        <v>2608863334</v>
      </c>
      <c r="N166" s="405">
        <f>SUM(D166)</f>
        <v>1366161805</v>
      </c>
      <c r="O166" s="405">
        <f t="shared" si="72"/>
        <v>0</v>
      </c>
      <c r="P166" s="405">
        <f t="shared" si="72"/>
        <v>0</v>
      </c>
      <c r="Q166" s="405">
        <f t="shared" si="72"/>
        <v>0</v>
      </c>
      <c r="R166" s="405">
        <f t="shared" si="72"/>
        <v>0</v>
      </c>
      <c r="S166" s="405">
        <f t="shared" si="72"/>
        <v>0</v>
      </c>
      <c r="T166" s="405">
        <f t="shared" si="72"/>
        <v>0</v>
      </c>
      <c r="U166" s="405">
        <f t="shared" si="72"/>
        <v>0</v>
      </c>
      <c r="V166" s="405">
        <f t="shared" si="72"/>
        <v>0</v>
      </c>
      <c r="W166" s="405">
        <f t="shared" si="72"/>
        <v>0</v>
      </c>
      <c r="X166" s="405">
        <f>SUM(X164:X165)</f>
        <v>0</v>
      </c>
      <c r="Y166" s="405">
        <f t="shared" si="72"/>
        <v>0</v>
      </c>
      <c r="Z166" s="405">
        <f>SUM(M166)</f>
        <v>2608863334</v>
      </c>
      <c r="AA166" s="405">
        <f>SUM(N166)</f>
        <v>1366161805</v>
      </c>
      <c r="AB166" s="405">
        <f>SUM(O166:S166)</f>
        <v>0</v>
      </c>
      <c r="AC166" s="405">
        <f>SUM(P166:T166)</f>
        <v>0</v>
      </c>
      <c r="AD166" s="405">
        <v>0</v>
      </c>
      <c r="AE166" s="405">
        <v>0</v>
      </c>
      <c r="AF166" s="405">
        <f>SUM(Z166)+AB166+AD166</f>
        <v>2608863334</v>
      </c>
      <c r="AG166" s="405">
        <f>SUM(AA166)+AC166+AE166</f>
        <v>1366161805</v>
      </c>
      <c r="AH166" s="419"/>
      <c r="AI166" s="419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1:77" s="513" customFormat="1" ht="33" customHeight="1" thickBot="1" x14ac:dyDescent="0.3">
      <c r="A167" s="340" t="s">
        <v>103</v>
      </c>
      <c r="B167" s="432">
        <f>SUM('[1]4. sz. melléklet'!T44)</f>
        <v>1510979809</v>
      </c>
      <c r="C167" s="507"/>
      <c r="D167" s="468"/>
      <c r="E167" s="468"/>
      <c r="F167" s="468"/>
      <c r="G167" s="468"/>
      <c r="H167" s="468"/>
      <c r="I167" s="468"/>
      <c r="J167" s="468"/>
      <c r="K167" s="468"/>
      <c r="L167" s="468"/>
      <c r="M167" s="468"/>
      <c r="N167" s="468"/>
      <c r="O167" s="468"/>
      <c r="P167" s="468"/>
      <c r="Q167" s="468"/>
      <c r="R167" s="468"/>
      <c r="S167" s="468"/>
      <c r="T167" s="468"/>
      <c r="U167" s="468"/>
      <c r="V167" s="468"/>
      <c r="W167" s="468"/>
      <c r="X167" s="468"/>
      <c r="Y167" s="468"/>
      <c r="Z167" s="469"/>
      <c r="AA167" s="469"/>
      <c r="AB167" s="469"/>
      <c r="AC167" s="469"/>
      <c r="AD167" s="469"/>
      <c r="AE167" s="469"/>
      <c r="AF167" s="469"/>
      <c r="AG167" s="469">
        <f t="shared" ref="AG167:AG171" si="73">SUM(AA167:AC167)</f>
        <v>0</v>
      </c>
      <c r="AH167" s="419"/>
      <c r="AI167" s="419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1:77" s="513" customFormat="1" ht="33" customHeight="1" thickBot="1" x14ac:dyDescent="0.3">
      <c r="A168" s="627" t="s">
        <v>391</v>
      </c>
      <c r="B168" s="397">
        <v>81405843</v>
      </c>
      <c r="C168" s="462"/>
      <c r="D168" s="460"/>
      <c r="E168" s="460"/>
      <c r="F168" s="460"/>
      <c r="G168" s="460"/>
      <c r="H168" s="460"/>
      <c r="I168" s="460"/>
      <c r="J168" s="460"/>
      <c r="K168" s="460"/>
      <c r="L168" s="460"/>
      <c r="M168" s="460"/>
      <c r="N168" s="460"/>
      <c r="O168" s="460"/>
      <c r="P168" s="460"/>
      <c r="Q168" s="460"/>
      <c r="R168" s="460"/>
      <c r="S168" s="460"/>
      <c r="T168" s="460"/>
      <c r="U168" s="460"/>
      <c r="V168" s="460"/>
      <c r="W168" s="460"/>
      <c r="X168" s="460"/>
      <c r="Y168" s="460"/>
      <c r="Z168" s="461"/>
      <c r="AA168" s="461"/>
      <c r="AB168" s="461"/>
      <c r="AC168" s="461"/>
      <c r="AD168" s="461"/>
      <c r="AE168" s="461"/>
      <c r="AF168" s="461"/>
      <c r="AG168" s="461">
        <f t="shared" si="73"/>
        <v>0</v>
      </c>
      <c r="AH168" s="419"/>
      <c r="AI168" s="419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1:77" s="513" customFormat="1" ht="33" customHeight="1" thickBot="1" x14ac:dyDescent="0.3">
      <c r="A169" s="58" t="s">
        <v>532</v>
      </c>
      <c r="B169" s="431">
        <f>1415559600-1989600+917000000</f>
        <v>2330570000</v>
      </c>
      <c r="C169" s="505"/>
      <c r="D169" s="464"/>
      <c r="E169" s="464"/>
      <c r="F169" s="464"/>
      <c r="G169" s="464"/>
      <c r="H169" s="464"/>
      <c r="I169" s="464"/>
      <c r="J169" s="464"/>
      <c r="K169" s="464"/>
      <c r="L169" s="464"/>
      <c r="M169" s="464"/>
      <c r="N169" s="464"/>
      <c r="O169" s="464"/>
      <c r="P169" s="464"/>
      <c r="Q169" s="464"/>
      <c r="R169" s="464"/>
      <c r="S169" s="464"/>
      <c r="T169" s="464"/>
      <c r="U169" s="464"/>
      <c r="V169" s="464"/>
      <c r="W169" s="464"/>
      <c r="X169" s="464"/>
      <c r="Y169" s="464"/>
      <c r="Z169" s="465"/>
      <c r="AA169" s="465"/>
      <c r="AB169" s="465"/>
      <c r="AC169" s="465"/>
      <c r="AD169" s="465"/>
      <c r="AE169" s="465"/>
      <c r="AF169" s="465"/>
      <c r="AG169" s="461">
        <f t="shared" si="73"/>
        <v>0</v>
      </c>
      <c r="AH169" s="419"/>
      <c r="AI169" s="419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1:77" s="513" customFormat="1" ht="33" customHeight="1" thickBot="1" x14ac:dyDescent="0.3">
      <c r="A170" s="58" t="s">
        <v>586</v>
      </c>
      <c r="B170" s="431">
        <f>5000000-5000000</f>
        <v>0</v>
      </c>
      <c r="C170" s="505"/>
      <c r="D170" s="464"/>
      <c r="E170" s="464"/>
      <c r="F170" s="464"/>
      <c r="G170" s="464"/>
      <c r="H170" s="464"/>
      <c r="I170" s="464"/>
      <c r="J170" s="464"/>
      <c r="K170" s="464"/>
      <c r="L170" s="464"/>
      <c r="M170" s="464"/>
      <c r="N170" s="464"/>
      <c r="O170" s="464"/>
      <c r="P170" s="464"/>
      <c r="Q170" s="464"/>
      <c r="R170" s="464"/>
      <c r="S170" s="464"/>
      <c r="T170" s="464"/>
      <c r="U170" s="464"/>
      <c r="V170" s="464"/>
      <c r="W170" s="464"/>
      <c r="X170" s="464"/>
      <c r="Y170" s="464"/>
      <c r="Z170" s="465"/>
      <c r="AA170" s="465"/>
      <c r="AB170" s="465"/>
      <c r="AC170" s="465"/>
      <c r="AD170" s="465"/>
      <c r="AE170" s="465"/>
      <c r="AF170" s="465"/>
      <c r="AG170" s="461">
        <f t="shared" si="73"/>
        <v>0</v>
      </c>
      <c r="AH170" s="419"/>
      <c r="AI170" s="419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1:77" s="513" customFormat="1" ht="33" customHeight="1" thickBot="1" x14ac:dyDescent="0.3">
      <c r="A171" s="599" t="s">
        <v>376</v>
      </c>
      <c r="B171" s="458">
        <v>200000000</v>
      </c>
      <c r="C171" s="600"/>
      <c r="D171" s="464"/>
      <c r="E171" s="464"/>
      <c r="F171" s="464"/>
      <c r="G171" s="464"/>
      <c r="H171" s="464"/>
      <c r="I171" s="464"/>
      <c r="J171" s="464"/>
      <c r="K171" s="464"/>
      <c r="L171" s="464"/>
      <c r="M171" s="464"/>
      <c r="N171" s="464"/>
      <c r="O171" s="464"/>
      <c r="P171" s="464"/>
      <c r="Q171" s="464"/>
      <c r="R171" s="464"/>
      <c r="S171" s="464"/>
      <c r="T171" s="464"/>
      <c r="U171" s="464"/>
      <c r="V171" s="464"/>
      <c r="W171" s="464"/>
      <c r="X171" s="464"/>
      <c r="Y171" s="464"/>
      <c r="Z171" s="465"/>
      <c r="AA171" s="465"/>
      <c r="AB171" s="465"/>
      <c r="AC171" s="465"/>
      <c r="AD171" s="465"/>
      <c r="AE171" s="465"/>
      <c r="AF171" s="465"/>
      <c r="AG171" s="465">
        <f t="shared" si="73"/>
        <v>0</v>
      </c>
      <c r="AH171" s="419"/>
      <c r="AI171" s="419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1:77" s="513" customFormat="1" ht="33" customHeight="1" thickBot="1" x14ac:dyDescent="0.3">
      <c r="A172" s="95" t="s">
        <v>471</v>
      </c>
      <c r="B172" s="403"/>
      <c r="C172" s="493">
        <v>1677741187</v>
      </c>
      <c r="D172" s="405">
        <f>SUM(B167:B171)</f>
        <v>4122955652</v>
      </c>
      <c r="E172" s="405">
        <v>0</v>
      </c>
      <c r="F172" s="405">
        <v>0</v>
      </c>
      <c r="G172" s="405">
        <v>0</v>
      </c>
      <c r="H172" s="405">
        <v>0</v>
      </c>
      <c r="I172" s="405">
        <v>0</v>
      </c>
      <c r="J172" s="405">
        <v>0</v>
      </c>
      <c r="K172" s="405">
        <v>0</v>
      </c>
      <c r="L172" s="405">
        <v>0</v>
      </c>
      <c r="M172" s="405">
        <v>0</v>
      </c>
      <c r="N172" s="405">
        <v>0</v>
      </c>
      <c r="O172" s="405">
        <v>0</v>
      </c>
      <c r="P172" s="405">
        <v>0</v>
      </c>
      <c r="Q172" s="405">
        <v>0</v>
      </c>
      <c r="R172" s="405">
        <v>0</v>
      </c>
      <c r="S172" s="405">
        <v>0</v>
      </c>
      <c r="T172" s="405">
        <v>0</v>
      </c>
      <c r="U172" s="405">
        <v>0</v>
      </c>
      <c r="V172" s="405">
        <v>0</v>
      </c>
      <c r="W172" s="405">
        <v>0</v>
      </c>
      <c r="X172" s="405">
        <v>0</v>
      </c>
      <c r="Y172" s="405">
        <v>0</v>
      </c>
      <c r="Z172" s="405">
        <v>0</v>
      </c>
      <c r="AA172" s="405">
        <v>0</v>
      </c>
      <c r="AB172" s="405">
        <v>0</v>
      </c>
      <c r="AC172" s="405">
        <v>0</v>
      </c>
      <c r="AD172" s="405">
        <f>SUM(C172)</f>
        <v>1677741187</v>
      </c>
      <c r="AE172" s="405">
        <f>SUM(D172)</f>
        <v>4122955652</v>
      </c>
      <c r="AF172" s="405">
        <f>SUM(Z172)+AB172+AD172</f>
        <v>1677741187</v>
      </c>
      <c r="AG172" s="405">
        <f>SUM(AA172)+AC172+AE172</f>
        <v>4122955652</v>
      </c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1:77" s="513" customFormat="1" ht="33" customHeight="1" thickBot="1" x14ac:dyDescent="0.3">
      <c r="A173" s="76" t="s">
        <v>472</v>
      </c>
      <c r="B173" s="404"/>
      <c r="C173" s="493">
        <f>SUM(C163+C166+C172)</f>
        <v>8962210038</v>
      </c>
      <c r="D173" s="493">
        <f>SUM(D163+D166+D172)</f>
        <v>13196416373.9</v>
      </c>
      <c r="E173" s="405">
        <f>SUM(E172+E166+E163)</f>
        <v>71779501</v>
      </c>
      <c r="F173" s="405">
        <f t="shared" ref="F173:AG173" si="74">SUM(F172+F166+F163)</f>
        <v>62778248</v>
      </c>
      <c r="G173" s="405">
        <f t="shared" si="74"/>
        <v>13005672</v>
      </c>
      <c r="H173" s="405">
        <f t="shared" si="74"/>
        <v>8240882</v>
      </c>
      <c r="I173" s="405">
        <f t="shared" si="74"/>
        <v>426431082</v>
      </c>
      <c r="J173" s="405">
        <f t="shared" si="74"/>
        <v>809271698</v>
      </c>
      <c r="K173" s="405">
        <f t="shared" si="74"/>
        <v>59500000</v>
      </c>
      <c r="L173" s="405">
        <f t="shared" si="74"/>
        <v>60955000</v>
      </c>
      <c r="M173" s="405">
        <f>SUM(M172+M166+M163)</f>
        <v>3836974435</v>
      </c>
      <c r="N173" s="405">
        <f>SUM(N172+N166+N163)</f>
        <v>3949512885</v>
      </c>
      <c r="O173" s="405">
        <f t="shared" si="74"/>
        <v>1794603577</v>
      </c>
      <c r="P173" s="405">
        <f t="shared" si="74"/>
        <v>2162935545</v>
      </c>
      <c r="Q173" s="405">
        <f>SUM(Q172+Q166+Q163)</f>
        <v>1082174584</v>
      </c>
      <c r="R173" s="405">
        <f t="shared" si="74"/>
        <v>1784916675</v>
      </c>
      <c r="S173" s="405">
        <f>SUM(S172+S166+S163)</f>
        <v>0</v>
      </c>
      <c r="T173" s="405">
        <f t="shared" si="74"/>
        <v>234849789</v>
      </c>
      <c r="U173" s="405">
        <f t="shared" si="74"/>
        <v>0</v>
      </c>
      <c r="V173" s="405">
        <f t="shared" si="74"/>
        <v>0</v>
      </c>
      <c r="W173" s="405">
        <f t="shared" si="74"/>
        <v>0</v>
      </c>
      <c r="X173" s="405">
        <f t="shared" si="74"/>
        <v>0</v>
      </c>
      <c r="Y173" s="405">
        <f t="shared" si="74"/>
        <v>0</v>
      </c>
      <c r="Z173" s="405">
        <f t="shared" si="74"/>
        <v>4407690690</v>
      </c>
      <c r="AA173" s="405">
        <f>SUM(AA172+AA166+AA163)</f>
        <v>4890758713</v>
      </c>
      <c r="AB173" s="405">
        <f t="shared" si="74"/>
        <v>2876778161</v>
      </c>
      <c r="AC173" s="405">
        <f>SUM(AC172+AC166+AC163)</f>
        <v>4182702009</v>
      </c>
      <c r="AD173" s="405">
        <f t="shared" si="74"/>
        <v>1677741187</v>
      </c>
      <c r="AE173" s="405">
        <f t="shared" si="74"/>
        <v>4122955652</v>
      </c>
      <c r="AF173" s="405">
        <f t="shared" si="74"/>
        <v>8962210038</v>
      </c>
      <c r="AG173" s="405">
        <f t="shared" si="74"/>
        <v>13196416374</v>
      </c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1:77" s="513" customFormat="1" ht="15.75" customHeight="1" thickBot="1" x14ac:dyDescent="0.3">
      <c r="A174" s="88"/>
      <c r="B174" s="88"/>
      <c r="C174" s="511"/>
      <c r="D174" s="511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512"/>
      <c r="AA174" s="512"/>
      <c r="AB174" s="512"/>
      <c r="AC174" s="512"/>
      <c r="AD174" s="512"/>
      <c r="AE174" s="512"/>
      <c r="AF174" s="512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1:77" s="513" customFormat="1" ht="15.75" customHeight="1" thickBot="1" x14ac:dyDescent="0.3">
      <c r="A175" s="88"/>
      <c r="B175" s="88"/>
      <c r="C175" s="511"/>
      <c r="D175" s="511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512"/>
      <c r="AA175" s="512"/>
      <c r="AB175" s="512"/>
      <c r="AC175" s="512"/>
      <c r="AD175" s="512"/>
      <c r="AE175" s="512"/>
      <c r="AF175" s="512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1:77" s="513" customFormat="1" ht="15.75" customHeight="1" thickBot="1" x14ac:dyDescent="0.3">
      <c r="A176" s="88"/>
      <c r="B176" s="88"/>
      <c r="C176" s="511"/>
      <c r="D176" s="511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512"/>
      <c r="AA176" s="512"/>
      <c r="AB176" s="512"/>
      <c r="AC176" s="512"/>
      <c r="AD176" s="512"/>
      <c r="AE176" s="512"/>
      <c r="AF176" s="512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1:77" s="513" customFormat="1" ht="15.75" customHeight="1" thickBot="1" x14ac:dyDescent="0.3">
      <c r="A177" s="88"/>
      <c r="B177" s="88"/>
      <c r="C177" s="511"/>
      <c r="D177" s="511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512"/>
      <c r="AA177" s="512"/>
      <c r="AB177" s="512"/>
      <c r="AC177" s="512"/>
      <c r="AD177" s="512"/>
      <c r="AE177" s="512"/>
      <c r="AF177" s="512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1:77" s="513" customFormat="1" ht="15.75" customHeight="1" thickBot="1" x14ac:dyDescent="0.3">
      <c r="A178" s="88"/>
      <c r="B178" s="88"/>
      <c r="C178" s="511"/>
      <c r="D178" s="511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512"/>
      <c r="AA178" s="512"/>
      <c r="AB178" s="512"/>
      <c r="AC178" s="512"/>
      <c r="AD178" s="512"/>
      <c r="AE178" s="512"/>
      <c r="AF178" s="512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1:77" s="87" customFormat="1" ht="15.75" customHeight="1" thickBot="1" x14ac:dyDescent="0.3">
      <c r="A179" s="88"/>
      <c r="B179" s="88"/>
      <c r="C179" s="77"/>
      <c r="D179" s="77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351"/>
      <c r="AA179" s="351"/>
      <c r="AB179" s="351"/>
      <c r="AC179" s="351"/>
      <c r="AD179" s="351"/>
      <c r="AE179" s="351"/>
      <c r="AF179" s="351"/>
      <c r="AG179" s="88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</row>
    <row r="180" spans="1:77" s="87" customFormat="1" ht="15.75" customHeight="1" thickBot="1" x14ac:dyDescent="0.3">
      <c r="A180" s="88"/>
      <c r="B180" s="88"/>
      <c r="C180" s="77"/>
      <c r="D180" s="77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351"/>
      <c r="AA180" s="351"/>
      <c r="AB180" s="351"/>
      <c r="AC180" s="351"/>
      <c r="AD180" s="351"/>
      <c r="AE180" s="351"/>
      <c r="AF180" s="351"/>
      <c r="AG180" s="88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</row>
    <row r="181" spans="1:77" s="87" customFormat="1" ht="15.75" customHeight="1" thickBot="1" x14ac:dyDescent="0.3">
      <c r="A181" s="88"/>
      <c r="B181" s="88"/>
      <c r="C181" s="77"/>
      <c r="D181" s="77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351"/>
      <c r="AA181" s="351"/>
      <c r="AB181" s="351"/>
      <c r="AC181" s="351"/>
      <c r="AD181" s="351"/>
      <c r="AE181" s="351"/>
      <c r="AF181" s="351"/>
      <c r="AG181" s="88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</row>
    <row r="182" spans="1:77" s="87" customFormat="1" ht="15.75" customHeight="1" thickBot="1" x14ac:dyDescent="0.3">
      <c r="A182" s="88"/>
      <c r="B182" s="88"/>
      <c r="C182" s="77"/>
      <c r="D182" s="77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351"/>
      <c r="AA182" s="351"/>
      <c r="AB182" s="351"/>
      <c r="AC182" s="351"/>
      <c r="AD182" s="351"/>
      <c r="AE182" s="351"/>
      <c r="AF182" s="351"/>
      <c r="AG182" s="88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</row>
    <row r="183" spans="1:77" s="87" customFormat="1" ht="15.75" customHeight="1" thickBot="1" x14ac:dyDescent="0.3">
      <c r="A183" s="88"/>
      <c r="B183" s="88"/>
      <c r="C183" s="77"/>
      <c r="D183" s="77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351"/>
      <c r="AA183" s="351"/>
      <c r="AB183" s="351"/>
      <c r="AC183" s="351"/>
      <c r="AD183" s="351"/>
      <c r="AE183" s="351"/>
      <c r="AF183" s="351"/>
      <c r="AG183" s="88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</row>
    <row r="184" spans="1:77" s="87" customFormat="1" ht="15.75" customHeight="1" thickBot="1" x14ac:dyDescent="0.3">
      <c r="A184" s="88"/>
      <c r="B184" s="88"/>
      <c r="C184" s="77"/>
      <c r="D184" s="77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351"/>
      <c r="AA184" s="351"/>
      <c r="AB184" s="351"/>
      <c r="AC184" s="351"/>
      <c r="AD184" s="351"/>
      <c r="AE184" s="351"/>
      <c r="AF184" s="351"/>
      <c r="AG184" s="88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</row>
    <row r="185" spans="1:77" s="87" customFormat="1" ht="15.75" customHeight="1" thickBot="1" x14ac:dyDescent="0.3">
      <c r="A185" s="88"/>
      <c r="B185" s="88"/>
      <c r="C185" s="77"/>
      <c r="D185" s="77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351"/>
      <c r="AA185" s="351"/>
      <c r="AB185" s="351"/>
      <c r="AC185" s="351"/>
      <c r="AD185" s="351"/>
      <c r="AE185" s="351"/>
      <c r="AF185" s="351"/>
      <c r="AG185" s="88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</row>
    <row r="186" spans="1:77" s="87" customFormat="1" ht="15.75" customHeight="1" thickBot="1" x14ac:dyDescent="0.3">
      <c r="A186" s="88"/>
      <c r="B186" s="88"/>
      <c r="C186" s="77"/>
      <c r="D186" s="77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351"/>
      <c r="AA186" s="351"/>
      <c r="AB186" s="351"/>
      <c r="AC186" s="351"/>
      <c r="AD186" s="351"/>
      <c r="AE186" s="351"/>
      <c r="AF186" s="351"/>
      <c r="AG186" s="88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</row>
    <row r="187" spans="1:77" s="87" customFormat="1" ht="15.75" customHeight="1" thickBot="1" x14ac:dyDescent="0.3">
      <c r="A187" s="88"/>
      <c r="B187" s="88"/>
      <c r="C187" s="77"/>
      <c r="D187" s="77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351"/>
      <c r="AA187" s="351"/>
      <c r="AB187" s="351"/>
      <c r="AC187" s="351"/>
      <c r="AD187" s="351"/>
      <c r="AE187" s="351"/>
      <c r="AF187" s="351"/>
      <c r="AG187" s="88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</row>
    <row r="188" spans="1:77" s="87" customFormat="1" ht="15.75" customHeight="1" thickBot="1" x14ac:dyDescent="0.3">
      <c r="A188" s="88"/>
      <c r="B188" s="88"/>
      <c r="C188" s="77"/>
      <c r="D188" s="77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351"/>
      <c r="AA188" s="351"/>
      <c r="AB188" s="351"/>
      <c r="AC188" s="351"/>
      <c r="AD188" s="351"/>
      <c r="AE188" s="351"/>
      <c r="AF188" s="351"/>
      <c r="AG188" s="88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</row>
    <row r="189" spans="1:77" s="87" customFormat="1" ht="15.75" customHeight="1" thickBot="1" x14ac:dyDescent="0.3">
      <c r="A189" s="88"/>
      <c r="B189" s="88"/>
      <c r="C189" s="77"/>
      <c r="D189" s="77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351"/>
      <c r="AA189" s="351"/>
      <c r="AB189" s="351"/>
      <c r="AC189" s="351"/>
      <c r="AD189" s="351"/>
      <c r="AE189" s="351"/>
      <c r="AF189" s="351"/>
      <c r="AG189" s="88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</row>
    <row r="190" spans="1:77" s="87" customFormat="1" ht="15.75" customHeight="1" thickBot="1" x14ac:dyDescent="0.3">
      <c r="A190" s="88"/>
      <c r="B190" s="88"/>
      <c r="C190" s="77"/>
      <c r="D190" s="77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351"/>
      <c r="AA190" s="351"/>
      <c r="AB190" s="351"/>
      <c r="AC190" s="351"/>
      <c r="AD190" s="351"/>
      <c r="AE190" s="351"/>
      <c r="AF190" s="351"/>
      <c r="AG190" s="88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</row>
    <row r="191" spans="1:77" s="87" customFormat="1" ht="15.75" customHeight="1" thickBot="1" x14ac:dyDescent="0.3">
      <c r="A191" s="88"/>
      <c r="B191" s="88"/>
      <c r="C191" s="77"/>
      <c r="D191" s="77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351"/>
      <c r="AA191" s="351"/>
      <c r="AB191" s="351"/>
      <c r="AC191" s="351"/>
      <c r="AD191" s="351"/>
      <c r="AE191" s="351"/>
      <c r="AF191" s="351"/>
      <c r="AG191" s="88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</row>
    <row r="192" spans="1:77" s="87" customFormat="1" ht="15.75" customHeight="1" thickBot="1" x14ac:dyDescent="0.3">
      <c r="A192" s="88"/>
      <c r="B192" s="88"/>
      <c r="C192" s="77"/>
      <c r="D192" s="77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351"/>
      <c r="AA192" s="351"/>
      <c r="AB192" s="351"/>
      <c r="AC192" s="351"/>
      <c r="AD192" s="351"/>
      <c r="AE192" s="351"/>
      <c r="AF192" s="351"/>
      <c r="AG192" s="88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</row>
    <row r="193" spans="1:77" s="87" customFormat="1" ht="15.75" customHeight="1" thickBot="1" x14ac:dyDescent="0.3">
      <c r="A193" s="88"/>
      <c r="B193" s="88"/>
      <c r="C193" s="77"/>
      <c r="D193" s="77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351"/>
      <c r="AA193" s="351"/>
      <c r="AB193" s="351"/>
      <c r="AC193" s="351"/>
      <c r="AD193" s="351"/>
      <c r="AE193" s="351"/>
      <c r="AF193" s="351"/>
      <c r="AG193" s="88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</row>
    <row r="194" spans="1:77" s="87" customFormat="1" ht="15.75" customHeight="1" thickBot="1" x14ac:dyDescent="0.3">
      <c r="A194" s="88"/>
      <c r="B194" s="88"/>
      <c r="C194" s="77"/>
      <c r="D194" s="77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351"/>
      <c r="AA194" s="351"/>
      <c r="AB194" s="351"/>
      <c r="AC194" s="351"/>
      <c r="AD194" s="351"/>
      <c r="AE194" s="351"/>
      <c r="AF194" s="351"/>
      <c r="AG194" s="88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</row>
    <row r="195" spans="1:77" s="87" customFormat="1" ht="15.75" customHeight="1" thickBot="1" x14ac:dyDescent="0.3">
      <c r="A195" s="88"/>
      <c r="B195" s="88"/>
      <c r="C195" s="77"/>
      <c r="D195" s="77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351"/>
      <c r="AA195" s="351"/>
      <c r="AB195" s="351"/>
      <c r="AC195" s="351"/>
      <c r="AD195" s="351"/>
      <c r="AE195" s="351"/>
      <c r="AF195" s="351"/>
      <c r="AG195" s="88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</row>
    <row r="196" spans="1:77" s="87" customFormat="1" ht="15.75" customHeight="1" thickBot="1" x14ac:dyDescent="0.3">
      <c r="A196" s="88"/>
      <c r="B196" s="88"/>
      <c r="C196" s="77"/>
      <c r="D196" s="77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351"/>
      <c r="AA196" s="351"/>
      <c r="AB196" s="351"/>
      <c r="AC196" s="351"/>
      <c r="AD196" s="351"/>
      <c r="AE196" s="351"/>
      <c r="AF196" s="351"/>
      <c r="AG196" s="88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</row>
    <row r="197" spans="1:77" s="87" customFormat="1" ht="15.75" customHeight="1" thickBot="1" x14ac:dyDescent="0.3">
      <c r="A197" s="88"/>
      <c r="B197" s="88"/>
      <c r="C197" s="77"/>
      <c r="D197" s="77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351"/>
      <c r="AA197" s="351"/>
      <c r="AB197" s="351"/>
      <c r="AC197" s="351"/>
      <c r="AD197" s="351"/>
      <c r="AE197" s="351"/>
      <c r="AF197" s="351"/>
      <c r="AG197" s="88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</row>
    <row r="198" spans="1:77" s="87" customFormat="1" ht="15.75" customHeight="1" thickBot="1" x14ac:dyDescent="0.3">
      <c r="A198" s="88"/>
      <c r="B198" s="88"/>
      <c r="C198" s="77"/>
      <c r="D198" s="77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351"/>
      <c r="AA198" s="351"/>
      <c r="AB198" s="351"/>
      <c r="AC198" s="351"/>
      <c r="AD198" s="351"/>
      <c r="AE198" s="351"/>
      <c r="AF198" s="351"/>
      <c r="AG198" s="88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</row>
    <row r="199" spans="1:77" s="87" customFormat="1" ht="15.75" customHeight="1" thickBot="1" x14ac:dyDescent="0.3">
      <c r="A199" s="88"/>
      <c r="B199" s="88"/>
      <c r="C199" s="77"/>
      <c r="D199" s="77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351"/>
      <c r="AA199" s="351"/>
      <c r="AB199" s="351"/>
      <c r="AC199" s="351"/>
      <c r="AD199" s="351"/>
      <c r="AE199" s="351"/>
      <c r="AF199" s="351"/>
      <c r="AG199" s="88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</row>
    <row r="200" spans="1:77" s="87" customFormat="1" ht="15.75" customHeight="1" thickBot="1" x14ac:dyDescent="0.3">
      <c r="A200" s="88"/>
      <c r="B200" s="88"/>
      <c r="C200" s="77"/>
      <c r="D200" s="77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351"/>
      <c r="AA200" s="351"/>
      <c r="AB200" s="351"/>
      <c r="AC200" s="351"/>
      <c r="AD200" s="351"/>
      <c r="AE200" s="351"/>
      <c r="AF200" s="351"/>
      <c r="AG200" s="88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</row>
    <row r="201" spans="1:77" s="87" customFormat="1" ht="15.75" customHeight="1" thickBot="1" x14ac:dyDescent="0.3">
      <c r="A201" s="88"/>
      <c r="B201" s="88"/>
      <c r="C201" s="77"/>
      <c r="D201" s="77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351"/>
      <c r="AA201" s="351"/>
      <c r="AB201" s="351"/>
      <c r="AC201" s="351"/>
      <c r="AD201" s="351"/>
      <c r="AE201" s="351"/>
      <c r="AF201" s="351"/>
      <c r="AG201" s="88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</row>
    <row r="202" spans="1:77" s="87" customFormat="1" ht="15.75" customHeight="1" thickBot="1" x14ac:dyDescent="0.3">
      <c r="A202" s="88"/>
      <c r="B202" s="88"/>
      <c r="C202" s="77"/>
      <c r="D202" s="77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351"/>
      <c r="AA202" s="351"/>
      <c r="AB202" s="351"/>
      <c r="AC202" s="351"/>
      <c r="AD202" s="351"/>
      <c r="AE202" s="351"/>
      <c r="AF202" s="351"/>
      <c r="AG202" s="88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</row>
    <row r="203" spans="1:77" s="87" customFormat="1" ht="15.75" customHeight="1" thickBot="1" x14ac:dyDescent="0.3">
      <c r="A203" s="88"/>
      <c r="B203" s="88"/>
      <c r="C203" s="77"/>
      <c r="D203" s="77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351"/>
      <c r="AA203" s="351"/>
      <c r="AB203" s="351"/>
      <c r="AC203" s="351"/>
      <c r="AD203" s="351"/>
      <c r="AE203" s="351"/>
      <c r="AF203" s="351"/>
      <c r="AG203" s="88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</row>
    <row r="204" spans="1:77" s="87" customFormat="1" ht="15.75" customHeight="1" thickBot="1" x14ac:dyDescent="0.3">
      <c r="A204" s="88"/>
      <c r="B204" s="88"/>
      <c r="C204" s="77"/>
      <c r="D204" s="77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351"/>
      <c r="AA204" s="351"/>
      <c r="AB204" s="351"/>
      <c r="AC204" s="351"/>
      <c r="AD204" s="351"/>
      <c r="AE204" s="351"/>
      <c r="AF204" s="351"/>
      <c r="AG204" s="88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</row>
    <row r="205" spans="1:77" s="87" customFormat="1" ht="15.75" customHeight="1" thickBot="1" x14ac:dyDescent="0.3">
      <c r="A205" s="88"/>
      <c r="B205" s="88"/>
      <c r="C205" s="77"/>
      <c r="D205" s="77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351"/>
      <c r="AA205" s="351"/>
      <c r="AB205" s="351"/>
      <c r="AC205" s="351"/>
      <c r="AD205" s="351"/>
      <c r="AE205" s="351"/>
      <c r="AF205" s="351"/>
      <c r="AG205" s="88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</row>
    <row r="206" spans="1:77" s="87" customFormat="1" ht="15.75" customHeight="1" thickBot="1" x14ac:dyDescent="0.3">
      <c r="A206" s="88"/>
      <c r="B206" s="88"/>
      <c r="C206" s="77"/>
      <c r="D206" s="77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351"/>
      <c r="AA206" s="351"/>
      <c r="AB206" s="351"/>
      <c r="AC206" s="351"/>
      <c r="AD206" s="351"/>
      <c r="AE206" s="351"/>
      <c r="AF206" s="351"/>
      <c r="AG206" s="88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</row>
    <row r="207" spans="1:77" s="87" customFormat="1" ht="15.75" customHeight="1" thickBot="1" x14ac:dyDescent="0.3">
      <c r="A207" s="88"/>
      <c r="B207" s="88"/>
      <c r="C207" s="77"/>
      <c r="D207" s="77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351"/>
      <c r="AA207" s="351"/>
      <c r="AB207" s="351"/>
      <c r="AC207" s="351"/>
      <c r="AD207" s="351"/>
      <c r="AE207" s="351"/>
      <c r="AF207" s="351"/>
      <c r="AG207" s="88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</row>
    <row r="208" spans="1:77" s="87" customFormat="1" ht="15.75" customHeight="1" thickBot="1" x14ac:dyDescent="0.3">
      <c r="A208" s="88"/>
      <c r="B208" s="88"/>
      <c r="C208" s="77"/>
      <c r="D208" s="77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351"/>
      <c r="AA208" s="351"/>
      <c r="AB208" s="351"/>
      <c r="AC208" s="351"/>
      <c r="AD208" s="351"/>
      <c r="AE208" s="351"/>
      <c r="AF208" s="351"/>
      <c r="AG208" s="88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</row>
    <row r="209" spans="1:77" s="87" customFormat="1" ht="15.75" customHeight="1" thickBot="1" x14ac:dyDescent="0.3">
      <c r="A209" s="88"/>
      <c r="B209" s="88"/>
      <c r="C209" s="77"/>
      <c r="D209" s="77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351"/>
      <c r="AA209" s="351"/>
      <c r="AB209" s="351"/>
      <c r="AC209" s="351"/>
      <c r="AD209" s="351"/>
      <c r="AE209" s="351"/>
      <c r="AF209" s="351"/>
      <c r="AG209" s="88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</row>
    <row r="210" spans="1:77" s="87" customFormat="1" ht="15.75" customHeight="1" thickBot="1" x14ac:dyDescent="0.3">
      <c r="A210" s="88"/>
      <c r="B210" s="88"/>
      <c r="C210" s="77"/>
      <c r="D210" s="77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351"/>
      <c r="AA210" s="351"/>
      <c r="AB210" s="351"/>
      <c r="AC210" s="351"/>
      <c r="AD210" s="351"/>
      <c r="AE210" s="351"/>
      <c r="AF210" s="351"/>
      <c r="AG210" s="88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</row>
    <row r="211" spans="1:77" s="87" customFormat="1" ht="15.75" customHeight="1" thickBot="1" x14ac:dyDescent="0.3">
      <c r="A211" s="88"/>
      <c r="B211" s="88"/>
      <c r="C211" s="77"/>
      <c r="D211" s="77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351"/>
      <c r="AA211" s="351"/>
      <c r="AB211" s="351"/>
      <c r="AC211" s="351"/>
      <c r="AD211" s="351"/>
      <c r="AE211" s="351"/>
      <c r="AF211" s="351"/>
      <c r="AG211" s="88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</row>
    <row r="212" spans="1:77" s="87" customFormat="1" ht="15.75" customHeight="1" thickBot="1" x14ac:dyDescent="0.3">
      <c r="A212" s="88"/>
      <c r="B212" s="88"/>
      <c r="C212" s="77"/>
      <c r="D212" s="77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351"/>
      <c r="AA212" s="351"/>
      <c r="AB212" s="351"/>
      <c r="AC212" s="351"/>
      <c r="AD212" s="351"/>
      <c r="AE212" s="351"/>
      <c r="AF212" s="351"/>
      <c r="AG212" s="88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</row>
    <row r="213" spans="1:77" s="87" customFormat="1" ht="15.75" customHeight="1" thickBot="1" x14ac:dyDescent="0.3">
      <c r="A213" s="88"/>
      <c r="B213" s="88"/>
      <c r="C213" s="77"/>
      <c r="D213" s="77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351"/>
      <c r="AA213" s="351"/>
      <c r="AB213" s="351"/>
      <c r="AC213" s="351"/>
      <c r="AD213" s="351"/>
      <c r="AE213" s="351"/>
      <c r="AF213" s="351"/>
      <c r="AG213" s="88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</row>
    <row r="214" spans="1:77" s="87" customFormat="1" ht="15.75" customHeight="1" thickBot="1" x14ac:dyDescent="0.3">
      <c r="A214" s="88"/>
      <c r="B214" s="88"/>
      <c r="C214" s="77"/>
      <c r="D214" s="77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351"/>
      <c r="AA214" s="351"/>
      <c r="AB214" s="351"/>
      <c r="AC214" s="351"/>
      <c r="AD214" s="351"/>
      <c r="AE214" s="351"/>
      <c r="AF214" s="351"/>
      <c r="AG214" s="88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</row>
    <row r="215" spans="1:77" s="87" customFormat="1" ht="15.75" customHeight="1" thickBot="1" x14ac:dyDescent="0.3">
      <c r="A215" s="88"/>
      <c r="B215" s="88"/>
      <c r="C215" s="77"/>
      <c r="D215" s="77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351"/>
      <c r="AA215" s="351"/>
      <c r="AB215" s="351"/>
      <c r="AC215" s="351"/>
      <c r="AD215" s="351"/>
      <c r="AE215" s="351"/>
      <c r="AF215" s="351"/>
      <c r="AG215" s="88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</row>
    <row r="216" spans="1:77" s="87" customFormat="1" ht="15.75" customHeight="1" thickBot="1" x14ac:dyDescent="0.3">
      <c r="A216" s="88"/>
      <c r="B216" s="88"/>
      <c r="C216" s="77"/>
      <c r="D216" s="77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351"/>
      <c r="AA216" s="351"/>
      <c r="AB216" s="351"/>
      <c r="AC216" s="351"/>
      <c r="AD216" s="351"/>
      <c r="AE216" s="351"/>
      <c r="AF216" s="351"/>
      <c r="AG216" s="88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</row>
    <row r="217" spans="1:77" s="87" customFormat="1" ht="15.75" customHeight="1" thickBot="1" x14ac:dyDescent="0.3">
      <c r="A217" s="88"/>
      <c r="B217" s="88"/>
      <c r="C217" s="77"/>
      <c r="D217" s="77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351"/>
      <c r="AA217" s="351"/>
      <c r="AB217" s="351"/>
      <c r="AC217" s="351"/>
      <c r="AD217" s="351"/>
      <c r="AE217" s="351"/>
      <c r="AF217" s="351"/>
      <c r="AG217" s="88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</row>
    <row r="218" spans="1:77" s="87" customFormat="1" ht="15.75" customHeight="1" thickBot="1" x14ac:dyDescent="0.3">
      <c r="A218" s="88"/>
      <c r="B218" s="88"/>
      <c r="C218" s="77"/>
      <c r="D218" s="77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351"/>
      <c r="AA218" s="351"/>
      <c r="AB218" s="351"/>
      <c r="AC218" s="351"/>
      <c r="AD218" s="351"/>
      <c r="AE218" s="351"/>
      <c r="AF218" s="351"/>
      <c r="AG218" s="88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</row>
    <row r="219" spans="1:77" s="87" customFormat="1" ht="15.75" customHeight="1" thickBot="1" x14ac:dyDescent="0.3">
      <c r="A219" s="88"/>
      <c r="B219" s="88"/>
      <c r="C219" s="77"/>
      <c r="D219" s="77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351"/>
      <c r="AA219" s="351"/>
      <c r="AB219" s="351"/>
      <c r="AC219" s="351"/>
      <c r="AD219" s="351"/>
      <c r="AE219" s="351"/>
      <c r="AF219" s="351"/>
      <c r="AG219" s="88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</row>
    <row r="220" spans="1:77" s="87" customFormat="1" ht="15.75" customHeight="1" thickBot="1" x14ac:dyDescent="0.3">
      <c r="A220" s="88"/>
      <c r="B220" s="88"/>
      <c r="C220" s="77"/>
      <c r="D220" s="77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351"/>
      <c r="AA220" s="351"/>
      <c r="AB220" s="351"/>
      <c r="AC220" s="351"/>
      <c r="AD220" s="351"/>
      <c r="AE220" s="351"/>
      <c r="AF220" s="351"/>
      <c r="AG220" s="88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</row>
    <row r="221" spans="1:77" s="87" customFormat="1" ht="15.75" customHeight="1" thickBot="1" x14ac:dyDescent="0.3">
      <c r="A221" s="88"/>
      <c r="B221" s="88"/>
      <c r="C221" s="77"/>
      <c r="D221" s="77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351"/>
      <c r="AA221" s="351"/>
      <c r="AB221" s="351"/>
      <c r="AC221" s="351"/>
      <c r="AD221" s="351"/>
      <c r="AE221" s="351"/>
      <c r="AF221" s="351"/>
      <c r="AG221" s="88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</row>
    <row r="222" spans="1:77" s="87" customFormat="1" ht="15.75" customHeight="1" thickBot="1" x14ac:dyDescent="0.3">
      <c r="A222" s="88"/>
      <c r="B222" s="88"/>
      <c r="C222" s="77"/>
      <c r="D222" s="77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351"/>
      <c r="AA222" s="351"/>
      <c r="AB222" s="351"/>
      <c r="AC222" s="351"/>
      <c r="AD222" s="351"/>
      <c r="AE222" s="351"/>
      <c r="AF222" s="351"/>
      <c r="AG222" s="88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</row>
    <row r="223" spans="1:77" s="87" customFormat="1" ht="15.75" customHeight="1" thickBot="1" x14ac:dyDescent="0.3">
      <c r="A223" s="88"/>
      <c r="B223" s="88"/>
      <c r="C223" s="77"/>
      <c r="D223" s="77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351"/>
      <c r="AA223" s="351"/>
      <c r="AB223" s="351"/>
      <c r="AC223" s="351"/>
      <c r="AD223" s="351"/>
      <c r="AE223" s="351"/>
      <c r="AF223" s="351"/>
      <c r="AG223" s="88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</row>
    <row r="224" spans="1:77" s="87" customFormat="1" ht="15.75" customHeight="1" thickBot="1" x14ac:dyDescent="0.3">
      <c r="A224" s="88"/>
      <c r="B224" s="88"/>
      <c r="C224" s="77"/>
      <c r="D224" s="77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351"/>
      <c r="AA224" s="351"/>
      <c r="AB224" s="351"/>
      <c r="AC224" s="351"/>
      <c r="AD224" s="351"/>
      <c r="AE224" s="351"/>
      <c r="AF224" s="351"/>
      <c r="AG224" s="88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</row>
    <row r="225" spans="1:77" s="87" customFormat="1" ht="15.75" customHeight="1" thickBot="1" x14ac:dyDescent="0.3">
      <c r="A225" s="88"/>
      <c r="B225" s="88"/>
      <c r="C225" s="77"/>
      <c r="D225" s="77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351"/>
      <c r="AA225" s="351"/>
      <c r="AB225" s="351"/>
      <c r="AC225" s="351"/>
      <c r="AD225" s="351"/>
      <c r="AE225" s="351"/>
      <c r="AF225" s="351"/>
      <c r="AG225" s="88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</row>
    <row r="226" spans="1:77" s="87" customFormat="1" ht="15.75" customHeight="1" thickBot="1" x14ac:dyDescent="0.3">
      <c r="A226" s="88"/>
      <c r="B226" s="88"/>
      <c r="C226" s="77"/>
      <c r="D226" s="77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351"/>
      <c r="AA226" s="351"/>
      <c r="AB226" s="351"/>
      <c r="AC226" s="351"/>
      <c r="AD226" s="351"/>
      <c r="AE226" s="351"/>
      <c r="AF226" s="351"/>
      <c r="AG226" s="88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</row>
    <row r="227" spans="1:77" ht="15.75" customHeight="1" thickBot="1" x14ac:dyDescent="0.3">
      <c r="A227" s="89"/>
      <c r="B227" s="89"/>
      <c r="C227" s="78"/>
      <c r="D227" s="78"/>
    </row>
    <row r="228" spans="1:77" ht="15.75" customHeight="1" thickBot="1" x14ac:dyDescent="0.3">
      <c r="A228" s="89"/>
      <c r="B228" s="89"/>
      <c r="C228" s="78"/>
      <c r="D228" s="78"/>
    </row>
    <row r="229" spans="1:77" ht="15.75" customHeight="1" thickBot="1" x14ac:dyDescent="0.3">
      <c r="A229" s="89"/>
      <c r="B229" s="89"/>
      <c r="C229" s="78"/>
      <c r="D229" s="78"/>
    </row>
    <row r="230" spans="1:77" ht="15.75" customHeight="1" thickBot="1" x14ac:dyDescent="0.3">
      <c r="A230" s="89"/>
      <c r="B230" s="89"/>
      <c r="C230" s="78"/>
      <c r="D230" s="78"/>
    </row>
    <row r="231" spans="1:77" ht="15.75" customHeight="1" thickBot="1" x14ac:dyDescent="0.3">
      <c r="A231" s="89"/>
      <c r="B231" s="89"/>
      <c r="C231" s="78"/>
      <c r="D231" s="78"/>
    </row>
    <row r="232" spans="1:77" ht="15.75" customHeight="1" thickBot="1" x14ac:dyDescent="0.3">
      <c r="A232" s="89"/>
      <c r="B232" s="89"/>
      <c r="C232" s="78"/>
      <c r="D232" s="78"/>
    </row>
    <row r="233" spans="1:77" ht="15.75" customHeight="1" thickBot="1" x14ac:dyDescent="0.3">
      <c r="A233" s="89"/>
      <c r="B233" s="89"/>
      <c r="C233" s="78"/>
      <c r="D233" s="78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352"/>
      <c r="AA233" s="352"/>
      <c r="AB233" s="352"/>
      <c r="AC233" s="352"/>
      <c r="AD233" s="352"/>
      <c r="AE233" s="352"/>
      <c r="AF233" s="352"/>
      <c r="AG233" s="91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</row>
    <row r="234" spans="1:77" ht="15.75" customHeight="1" thickBot="1" x14ac:dyDescent="0.3">
      <c r="A234" s="89"/>
      <c r="B234" s="89"/>
      <c r="C234" s="78"/>
      <c r="D234" s="78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352"/>
      <c r="AA234" s="352"/>
      <c r="AB234" s="352"/>
      <c r="AC234" s="352"/>
      <c r="AD234" s="352"/>
      <c r="AE234" s="352"/>
      <c r="AF234" s="352"/>
      <c r="AG234" s="91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0"/>
    </row>
    <row r="235" spans="1:77" ht="15.75" customHeight="1" thickBot="1" x14ac:dyDescent="0.3">
      <c r="A235" s="89"/>
      <c r="B235" s="89"/>
      <c r="C235" s="78"/>
      <c r="D235" s="78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352"/>
      <c r="AA235" s="352"/>
      <c r="AB235" s="352"/>
      <c r="AC235" s="352"/>
      <c r="AD235" s="352"/>
      <c r="AE235" s="352"/>
      <c r="AF235" s="352"/>
      <c r="AG235" s="91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</row>
    <row r="236" spans="1:77" ht="15.75" customHeight="1" thickBot="1" x14ac:dyDescent="0.3">
      <c r="A236" s="89"/>
      <c r="B236" s="89"/>
      <c r="C236" s="78"/>
      <c r="D236" s="78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352"/>
      <c r="AA236" s="352"/>
      <c r="AB236" s="352"/>
      <c r="AC236" s="352"/>
      <c r="AD236" s="352"/>
      <c r="AE236" s="352"/>
      <c r="AF236" s="352"/>
      <c r="AG236" s="91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0"/>
    </row>
    <row r="237" spans="1:77" ht="15.75" customHeight="1" thickBot="1" x14ac:dyDescent="0.3">
      <c r="A237" s="89"/>
      <c r="B237" s="89"/>
      <c r="C237" s="78"/>
      <c r="D237" s="78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352"/>
      <c r="AA237" s="352"/>
      <c r="AB237" s="352"/>
      <c r="AC237" s="352"/>
      <c r="AD237" s="352"/>
      <c r="AE237" s="352"/>
      <c r="AF237" s="352"/>
      <c r="AG237" s="91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  <c r="BV237" s="90"/>
      <c r="BW237" s="90"/>
      <c r="BX237" s="90"/>
      <c r="BY237" s="90"/>
    </row>
    <row r="238" spans="1:77" ht="15.75" customHeight="1" thickBot="1" x14ac:dyDescent="0.3">
      <c r="A238" s="89"/>
      <c r="B238" s="89"/>
      <c r="C238" s="78"/>
      <c r="D238" s="78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352"/>
      <c r="AA238" s="352"/>
      <c r="AB238" s="352"/>
      <c r="AC238" s="352"/>
      <c r="AD238" s="352"/>
      <c r="AE238" s="352"/>
      <c r="AF238" s="352"/>
      <c r="AG238" s="91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</row>
    <row r="239" spans="1:77" ht="15.75" customHeight="1" thickBot="1" x14ac:dyDescent="0.3">
      <c r="A239" s="89"/>
      <c r="B239" s="89"/>
      <c r="C239" s="78"/>
      <c r="D239" s="78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352"/>
      <c r="AA239" s="352"/>
      <c r="AB239" s="352"/>
      <c r="AC239" s="352"/>
      <c r="AD239" s="352"/>
      <c r="AE239" s="352"/>
      <c r="AF239" s="352"/>
      <c r="AG239" s="91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</row>
    <row r="240" spans="1:77" ht="15.75" customHeight="1" thickBot="1" x14ac:dyDescent="0.3">
      <c r="A240" s="89"/>
      <c r="B240" s="89"/>
      <c r="C240" s="78"/>
      <c r="D240" s="78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352"/>
      <c r="AA240" s="352"/>
      <c r="AB240" s="352"/>
      <c r="AC240" s="352"/>
      <c r="AD240" s="352"/>
      <c r="AE240" s="352"/>
      <c r="AF240" s="352"/>
      <c r="AG240" s="91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</row>
    <row r="241" spans="1:77" ht="15.75" customHeight="1" thickBot="1" x14ac:dyDescent="0.3">
      <c r="A241" s="89"/>
      <c r="B241" s="89"/>
      <c r="C241" s="78"/>
      <c r="D241" s="78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352"/>
      <c r="AA241" s="352"/>
      <c r="AB241" s="352"/>
      <c r="AC241" s="352"/>
      <c r="AD241" s="352"/>
      <c r="AE241" s="352"/>
      <c r="AF241" s="352"/>
      <c r="AG241" s="91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</row>
    <row r="242" spans="1:77" ht="15.75" customHeight="1" thickBot="1" x14ac:dyDescent="0.3">
      <c r="A242" s="89"/>
      <c r="B242" s="89"/>
      <c r="C242" s="78"/>
      <c r="D242" s="78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352"/>
      <c r="AA242" s="352"/>
      <c r="AB242" s="352"/>
      <c r="AC242" s="352"/>
      <c r="AD242" s="352"/>
      <c r="AE242" s="352"/>
      <c r="AF242" s="352"/>
      <c r="AG242" s="91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0"/>
    </row>
    <row r="243" spans="1:77" ht="15.75" customHeight="1" thickBot="1" x14ac:dyDescent="0.3">
      <c r="A243" s="89"/>
      <c r="B243" s="89"/>
      <c r="C243" s="78"/>
      <c r="D243" s="78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352"/>
      <c r="AA243" s="352"/>
      <c r="AB243" s="352"/>
      <c r="AC243" s="352"/>
      <c r="AD243" s="352"/>
      <c r="AE243" s="352"/>
      <c r="AF243" s="352"/>
      <c r="AG243" s="91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</row>
    <row r="244" spans="1:77" ht="15.75" customHeight="1" thickBot="1" x14ac:dyDescent="0.3">
      <c r="A244" s="89"/>
      <c r="B244" s="89"/>
      <c r="C244" s="78"/>
      <c r="D244" s="78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352"/>
      <c r="AA244" s="352"/>
      <c r="AB244" s="352"/>
      <c r="AC244" s="352"/>
      <c r="AD244" s="352"/>
      <c r="AE244" s="352"/>
      <c r="AF244" s="352"/>
      <c r="AG244" s="91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</row>
    <row r="245" spans="1:77" ht="15.75" customHeight="1" thickBot="1" x14ac:dyDescent="0.3">
      <c r="A245" s="89"/>
      <c r="B245" s="89"/>
      <c r="C245" s="78"/>
      <c r="D245" s="78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352"/>
      <c r="AA245" s="352"/>
      <c r="AB245" s="352"/>
      <c r="AC245" s="352"/>
      <c r="AD245" s="352"/>
      <c r="AE245" s="352"/>
      <c r="AF245" s="352"/>
      <c r="AG245" s="91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</row>
    <row r="246" spans="1:77" ht="15.75" customHeight="1" thickBot="1" x14ac:dyDescent="0.3">
      <c r="A246" s="89"/>
      <c r="B246" s="89"/>
      <c r="C246" s="78"/>
      <c r="D246" s="78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352"/>
      <c r="AA246" s="352"/>
      <c r="AB246" s="352"/>
      <c r="AC246" s="352"/>
      <c r="AD246" s="352"/>
      <c r="AE246" s="352"/>
      <c r="AF246" s="352"/>
      <c r="AG246" s="91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</row>
    <row r="247" spans="1:77" ht="15.75" customHeight="1" thickBot="1" x14ac:dyDescent="0.3">
      <c r="A247" s="89"/>
      <c r="B247" s="89"/>
      <c r="C247" s="78"/>
      <c r="D247" s="78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352"/>
      <c r="AA247" s="352"/>
      <c r="AB247" s="352"/>
      <c r="AC247" s="352"/>
      <c r="AD247" s="352"/>
      <c r="AE247" s="352"/>
      <c r="AF247" s="352"/>
      <c r="AG247" s="91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</row>
    <row r="248" spans="1:77" ht="15.75" customHeight="1" thickBot="1" x14ac:dyDescent="0.3">
      <c r="A248" s="89"/>
      <c r="B248" s="89"/>
      <c r="C248" s="78"/>
      <c r="D248" s="78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352"/>
      <c r="AA248" s="352"/>
      <c r="AB248" s="352"/>
      <c r="AC248" s="352"/>
      <c r="AD248" s="352"/>
      <c r="AE248" s="352"/>
      <c r="AF248" s="352"/>
      <c r="AG248" s="91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</row>
    <row r="249" spans="1:77" ht="15.75" customHeight="1" thickBot="1" x14ac:dyDescent="0.3">
      <c r="A249" s="89"/>
      <c r="B249" s="89"/>
      <c r="C249" s="78"/>
      <c r="D249" s="78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352"/>
      <c r="AA249" s="352"/>
      <c r="AB249" s="352"/>
      <c r="AC249" s="352"/>
      <c r="AD249" s="352"/>
      <c r="AE249" s="352"/>
      <c r="AF249" s="352"/>
      <c r="AG249" s="91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</row>
    <row r="250" spans="1:77" ht="15.75" customHeight="1" thickBot="1" x14ac:dyDescent="0.3">
      <c r="A250" s="89"/>
      <c r="B250" s="89"/>
      <c r="C250" s="78"/>
      <c r="D250" s="78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352"/>
      <c r="AA250" s="352"/>
      <c r="AB250" s="352"/>
      <c r="AC250" s="352"/>
      <c r="AD250" s="352"/>
      <c r="AE250" s="352"/>
      <c r="AF250" s="352"/>
      <c r="AG250" s="91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</row>
    <row r="251" spans="1:77" ht="15.75" customHeight="1" thickBot="1" x14ac:dyDescent="0.3">
      <c r="A251" s="89"/>
      <c r="B251" s="89"/>
      <c r="C251" s="78"/>
      <c r="D251" s="78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352"/>
      <c r="AA251" s="352"/>
      <c r="AB251" s="352"/>
      <c r="AC251" s="352"/>
      <c r="AD251" s="352"/>
      <c r="AE251" s="352"/>
      <c r="AF251" s="352"/>
      <c r="AG251" s="91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</row>
    <row r="252" spans="1:77" ht="15.75" customHeight="1" thickBot="1" x14ac:dyDescent="0.3">
      <c r="A252" s="89"/>
      <c r="B252" s="89"/>
      <c r="C252" s="78"/>
      <c r="D252" s="78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352"/>
      <c r="AA252" s="352"/>
      <c r="AB252" s="352"/>
      <c r="AC252" s="352"/>
      <c r="AD252" s="352"/>
      <c r="AE252" s="352"/>
      <c r="AF252" s="352"/>
      <c r="AG252" s="91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</row>
    <row r="253" spans="1:77" ht="15.75" customHeight="1" thickBot="1" x14ac:dyDescent="0.3">
      <c r="A253" s="89"/>
      <c r="B253" s="89"/>
      <c r="C253" s="78"/>
      <c r="D253" s="78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352"/>
      <c r="AA253" s="352"/>
      <c r="AB253" s="352"/>
      <c r="AC253" s="352"/>
      <c r="AD253" s="352"/>
      <c r="AE253" s="352"/>
      <c r="AF253" s="352"/>
      <c r="AG253" s="91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</row>
    <row r="254" spans="1:77" ht="15.75" customHeight="1" thickBot="1" x14ac:dyDescent="0.3">
      <c r="A254" s="89"/>
      <c r="B254" s="89"/>
      <c r="C254" s="78"/>
      <c r="D254" s="78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352"/>
      <c r="AA254" s="352"/>
      <c r="AB254" s="352"/>
      <c r="AC254" s="352"/>
      <c r="AD254" s="352"/>
      <c r="AE254" s="352"/>
      <c r="AF254" s="352"/>
      <c r="AG254" s="91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</row>
    <row r="255" spans="1:77" ht="15.75" customHeight="1" thickBot="1" x14ac:dyDescent="0.3">
      <c r="A255" s="89"/>
      <c r="B255" s="89"/>
      <c r="C255" s="78"/>
      <c r="D255" s="78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352"/>
      <c r="AA255" s="352"/>
      <c r="AB255" s="352"/>
      <c r="AC255" s="352"/>
      <c r="AD255" s="352"/>
      <c r="AE255" s="352"/>
      <c r="AF255" s="352"/>
      <c r="AG255" s="91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  <c r="BU255" s="90"/>
      <c r="BV255" s="90"/>
      <c r="BW255" s="90"/>
      <c r="BX255" s="90"/>
      <c r="BY255" s="90"/>
    </row>
    <row r="256" spans="1:77" ht="15.75" customHeight="1" thickBot="1" x14ac:dyDescent="0.3">
      <c r="A256" s="89"/>
      <c r="B256" s="89"/>
      <c r="C256" s="78"/>
      <c r="D256" s="78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352"/>
      <c r="AA256" s="352"/>
      <c r="AB256" s="352"/>
      <c r="AC256" s="352"/>
      <c r="AD256" s="352"/>
      <c r="AE256" s="352"/>
      <c r="AF256" s="352"/>
      <c r="AG256" s="91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</row>
    <row r="257" spans="1:77" ht="15.75" customHeight="1" thickBot="1" x14ac:dyDescent="0.3">
      <c r="A257" s="89"/>
      <c r="B257" s="89"/>
      <c r="C257" s="78"/>
      <c r="D257" s="78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352"/>
      <c r="AA257" s="352"/>
      <c r="AB257" s="352"/>
      <c r="AC257" s="352"/>
      <c r="AD257" s="352"/>
      <c r="AE257" s="352"/>
      <c r="AF257" s="352"/>
      <c r="AG257" s="91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</row>
    <row r="258" spans="1:77" ht="15.75" customHeight="1" thickBot="1" x14ac:dyDescent="0.3">
      <c r="A258" s="89"/>
      <c r="B258" s="89"/>
      <c r="C258" s="78"/>
      <c r="D258" s="78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352"/>
      <c r="AA258" s="352"/>
      <c r="AB258" s="352"/>
      <c r="AC258" s="352"/>
      <c r="AD258" s="352"/>
      <c r="AE258" s="352"/>
      <c r="AF258" s="352"/>
      <c r="AG258" s="91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0"/>
    </row>
    <row r="259" spans="1:77" ht="15.75" customHeight="1" thickBot="1" x14ac:dyDescent="0.3">
      <c r="A259" s="89"/>
      <c r="B259" s="89"/>
      <c r="C259" s="78"/>
      <c r="D259" s="78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352"/>
      <c r="AA259" s="352"/>
      <c r="AB259" s="352"/>
      <c r="AC259" s="352"/>
      <c r="AD259" s="352"/>
      <c r="AE259" s="352"/>
      <c r="AF259" s="352"/>
      <c r="AG259" s="91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  <c r="BH259" s="90"/>
      <c r="BI259" s="9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  <c r="BU259" s="90"/>
      <c r="BV259" s="90"/>
      <c r="BW259" s="90"/>
      <c r="BX259" s="90"/>
      <c r="BY259" s="90"/>
    </row>
    <row r="260" spans="1:77" ht="15.75" customHeight="1" thickBot="1" x14ac:dyDescent="0.3">
      <c r="A260" s="89"/>
      <c r="B260" s="89"/>
      <c r="C260" s="78"/>
      <c r="D260" s="78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352"/>
      <c r="AA260" s="352"/>
      <c r="AB260" s="352"/>
      <c r="AC260" s="352"/>
      <c r="AD260" s="352"/>
      <c r="AE260" s="352"/>
      <c r="AF260" s="352"/>
      <c r="AG260" s="91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0"/>
    </row>
    <row r="261" spans="1:77" ht="15.75" customHeight="1" thickBot="1" x14ac:dyDescent="0.3">
      <c r="A261" s="89"/>
      <c r="B261" s="89"/>
      <c r="C261" s="78"/>
      <c r="D261" s="78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352"/>
      <c r="AA261" s="352"/>
      <c r="AB261" s="352"/>
      <c r="AC261" s="352"/>
      <c r="AD261" s="352"/>
      <c r="AE261" s="352"/>
      <c r="AF261" s="352"/>
      <c r="AG261" s="91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</row>
    <row r="262" spans="1:77" ht="15.75" customHeight="1" thickBot="1" x14ac:dyDescent="0.3">
      <c r="A262" s="89"/>
      <c r="B262" s="89"/>
      <c r="C262" s="78"/>
      <c r="D262" s="78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352"/>
      <c r="AA262" s="352"/>
      <c r="AB262" s="352"/>
      <c r="AC262" s="352"/>
      <c r="AD262" s="352"/>
      <c r="AE262" s="352"/>
      <c r="AF262" s="352"/>
      <c r="AG262" s="91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0"/>
    </row>
    <row r="263" spans="1:77" ht="15.75" customHeight="1" thickBot="1" x14ac:dyDescent="0.3">
      <c r="A263" s="89"/>
      <c r="B263" s="89"/>
      <c r="C263" s="78"/>
      <c r="D263" s="78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352"/>
      <c r="AA263" s="352"/>
      <c r="AB263" s="352"/>
      <c r="AC263" s="352"/>
      <c r="AD263" s="352"/>
      <c r="AE263" s="352"/>
      <c r="AF263" s="352"/>
      <c r="AG263" s="91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</row>
    <row r="264" spans="1:77" ht="15.75" customHeight="1" thickBot="1" x14ac:dyDescent="0.3">
      <c r="A264" s="89"/>
      <c r="B264" s="89"/>
      <c r="C264" s="78"/>
      <c r="D264" s="78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352"/>
      <c r="AA264" s="352"/>
      <c r="AB264" s="352"/>
      <c r="AC264" s="352"/>
      <c r="AD264" s="352"/>
      <c r="AE264" s="352"/>
      <c r="AF264" s="352"/>
      <c r="AG264" s="91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  <c r="BH264" s="90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  <c r="BU264" s="90"/>
      <c r="BV264" s="90"/>
      <c r="BW264" s="90"/>
      <c r="BX264" s="90"/>
      <c r="BY264" s="90"/>
    </row>
    <row r="265" spans="1:77" ht="15.75" customHeight="1" thickBot="1" x14ac:dyDescent="0.3">
      <c r="A265" s="89"/>
      <c r="B265" s="89"/>
      <c r="C265" s="78"/>
      <c r="D265" s="78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352"/>
      <c r="AA265" s="352"/>
      <c r="AB265" s="352"/>
      <c r="AC265" s="352"/>
      <c r="AD265" s="352"/>
      <c r="AE265" s="352"/>
      <c r="AF265" s="352"/>
      <c r="AG265" s="91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</row>
    <row r="266" spans="1:77" ht="15.75" customHeight="1" thickBot="1" x14ac:dyDescent="0.3">
      <c r="A266" s="89"/>
      <c r="B266" s="89"/>
      <c r="C266" s="78"/>
      <c r="D266" s="78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352"/>
      <c r="AA266" s="352"/>
      <c r="AB266" s="352"/>
      <c r="AC266" s="352"/>
      <c r="AD266" s="352"/>
      <c r="AE266" s="352"/>
      <c r="AF266" s="352"/>
      <c r="AG266" s="91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0"/>
    </row>
    <row r="267" spans="1:77" ht="15.75" customHeight="1" thickBot="1" x14ac:dyDescent="0.3">
      <c r="A267" s="89"/>
      <c r="B267" s="89"/>
      <c r="C267" s="78"/>
      <c r="D267" s="78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352"/>
      <c r="AA267" s="352"/>
      <c r="AB267" s="352"/>
      <c r="AC267" s="352"/>
      <c r="AD267" s="352"/>
      <c r="AE267" s="352"/>
      <c r="AF267" s="352"/>
      <c r="AG267" s="91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0"/>
    </row>
    <row r="268" spans="1:77" ht="15.75" customHeight="1" thickBot="1" x14ac:dyDescent="0.3">
      <c r="A268" s="89"/>
      <c r="B268" s="89"/>
      <c r="C268" s="78"/>
      <c r="D268" s="78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352"/>
      <c r="AA268" s="352"/>
      <c r="AB268" s="352"/>
      <c r="AC268" s="352"/>
      <c r="AD268" s="352"/>
      <c r="AE268" s="352"/>
      <c r="AF268" s="352"/>
      <c r="AG268" s="91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</row>
    <row r="269" spans="1:77" ht="15.75" customHeight="1" thickBot="1" x14ac:dyDescent="0.3">
      <c r="A269" s="89"/>
      <c r="B269" s="89"/>
      <c r="C269" s="78"/>
      <c r="D269" s="78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352"/>
      <c r="AA269" s="352"/>
      <c r="AB269" s="352"/>
      <c r="AC269" s="352"/>
      <c r="AD269" s="352"/>
      <c r="AE269" s="352"/>
      <c r="AF269" s="352"/>
      <c r="AG269" s="91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0"/>
    </row>
    <row r="270" spans="1:77" ht="15.75" customHeight="1" thickBot="1" x14ac:dyDescent="0.3">
      <c r="A270" s="89"/>
      <c r="B270" s="89"/>
      <c r="C270" s="78"/>
      <c r="D270" s="78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352"/>
      <c r="AA270" s="352"/>
      <c r="AB270" s="352"/>
      <c r="AC270" s="352"/>
      <c r="AD270" s="352"/>
      <c r="AE270" s="352"/>
      <c r="AF270" s="352"/>
      <c r="AG270" s="91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/>
      <c r="BV270" s="90"/>
      <c r="BW270" s="90"/>
      <c r="BX270" s="90"/>
      <c r="BY270" s="90"/>
    </row>
    <row r="271" spans="1:77" ht="15.75" customHeight="1" thickBot="1" x14ac:dyDescent="0.3">
      <c r="A271" s="89"/>
      <c r="B271" s="89"/>
      <c r="C271" s="78"/>
      <c r="D271" s="78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352"/>
      <c r="AA271" s="352"/>
      <c r="AB271" s="352"/>
      <c r="AC271" s="352"/>
      <c r="AD271" s="352"/>
      <c r="AE271" s="352"/>
      <c r="AF271" s="352"/>
      <c r="AG271" s="91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0"/>
    </row>
    <row r="272" spans="1:77" ht="15.75" customHeight="1" thickBot="1" x14ac:dyDescent="0.3">
      <c r="A272" s="89"/>
      <c r="B272" s="89"/>
      <c r="C272" s="78"/>
      <c r="D272" s="78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352"/>
      <c r="AA272" s="352"/>
      <c r="AB272" s="352"/>
      <c r="AC272" s="352"/>
      <c r="AD272" s="352"/>
      <c r="AE272" s="352"/>
      <c r="AF272" s="352"/>
      <c r="AG272" s="91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0"/>
    </row>
    <row r="273" spans="1:77" ht="15.75" customHeight="1" thickBot="1" x14ac:dyDescent="0.3">
      <c r="A273" s="89"/>
      <c r="B273" s="89"/>
      <c r="C273" s="78"/>
      <c r="D273" s="78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352"/>
      <c r="AA273" s="352"/>
      <c r="AB273" s="352"/>
      <c r="AC273" s="352"/>
      <c r="AD273" s="352"/>
      <c r="AE273" s="352"/>
      <c r="AF273" s="352"/>
      <c r="AG273" s="91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0"/>
    </row>
    <row r="274" spans="1:77" ht="15.75" customHeight="1" thickBot="1" x14ac:dyDescent="0.3">
      <c r="A274" s="89"/>
      <c r="B274" s="89"/>
      <c r="C274" s="78"/>
      <c r="D274" s="78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352"/>
      <c r="AA274" s="352"/>
      <c r="AB274" s="352"/>
      <c r="AC274" s="352"/>
      <c r="AD274" s="352"/>
      <c r="AE274" s="352"/>
      <c r="AF274" s="352"/>
      <c r="AG274" s="91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0"/>
    </row>
    <row r="275" spans="1:77" ht="15.75" customHeight="1" thickBot="1" x14ac:dyDescent="0.3">
      <c r="A275" s="89"/>
      <c r="B275" s="89"/>
      <c r="C275" s="78"/>
      <c r="D275" s="78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352"/>
      <c r="AA275" s="352"/>
      <c r="AB275" s="352"/>
      <c r="AC275" s="352"/>
      <c r="AD275" s="352"/>
      <c r="AE275" s="352"/>
      <c r="AF275" s="352"/>
      <c r="AG275" s="91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0"/>
    </row>
    <row r="276" spans="1:77" ht="15.75" customHeight="1" thickBot="1" x14ac:dyDescent="0.3">
      <c r="A276" s="89"/>
      <c r="B276" s="89"/>
      <c r="C276" s="78"/>
      <c r="D276" s="78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352"/>
      <c r="AA276" s="352"/>
      <c r="AB276" s="352"/>
      <c r="AC276" s="352"/>
      <c r="AD276" s="352"/>
      <c r="AE276" s="352"/>
      <c r="AF276" s="352"/>
      <c r="AG276" s="91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0"/>
    </row>
    <row r="277" spans="1:77" ht="15.75" customHeight="1" thickBot="1" x14ac:dyDescent="0.3">
      <c r="A277" s="89"/>
      <c r="B277" s="89"/>
      <c r="C277" s="78"/>
      <c r="D277" s="78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352"/>
      <c r="AA277" s="352"/>
      <c r="AB277" s="352"/>
      <c r="AC277" s="352"/>
      <c r="AD277" s="352"/>
      <c r="AE277" s="352"/>
      <c r="AF277" s="352"/>
      <c r="AG277" s="91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0"/>
    </row>
    <row r="278" spans="1:77" ht="15.75" customHeight="1" thickBot="1" x14ac:dyDescent="0.3">
      <c r="A278" s="89"/>
      <c r="B278" s="89"/>
      <c r="C278" s="78"/>
      <c r="D278" s="78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352"/>
      <c r="AA278" s="352"/>
      <c r="AB278" s="352"/>
      <c r="AC278" s="352"/>
      <c r="AD278" s="352"/>
      <c r="AE278" s="352"/>
      <c r="AF278" s="352"/>
      <c r="AG278" s="91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  <c r="BH278" s="90"/>
      <c r="BI278" s="9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  <c r="BU278" s="90"/>
      <c r="BV278" s="90"/>
      <c r="BW278" s="90"/>
      <c r="BX278" s="90"/>
      <c r="BY278" s="90"/>
    </row>
    <row r="279" spans="1:77" ht="15.75" customHeight="1" thickBot="1" x14ac:dyDescent="0.3">
      <c r="A279" s="89"/>
      <c r="B279" s="89"/>
      <c r="C279" s="78"/>
      <c r="D279" s="78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352"/>
      <c r="AA279" s="352"/>
      <c r="AB279" s="352"/>
      <c r="AC279" s="352"/>
      <c r="AD279" s="352"/>
      <c r="AE279" s="352"/>
      <c r="AF279" s="352"/>
      <c r="AG279" s="91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0"/>
    </row>
    <row r="280" spans="1:77" ht="15.75" customHeight="1" thickBot="1" x14ac:dyDescent="0.3">
      <c r="A280" s="89"/>
      <c r="B280" s="89"/>
      <c r="C280" s="78"/>
      <c r="D280" s="78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352"/>
      <c r="AA280" s="352"/>
      <c r="AB280" s="352"/>
      <c r="AC280" s="352"/>
      <c r="AD280" s="352"/>
      <c r="AE280" s="352"/>
      <c r="AF280" s="352"/>
      <c r="AG280" s="91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</row>
    <row r="281" spans="1:77" ht="15.75" customHeight="1" thickBot="1" x14ac:dyDescent="0.3">
      <c r="A281" s="89"/>
      <c r="B281" s="89"/>
      <c r="C281" s="78"/>
      <c r="D281" s="78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352"/>
      <c r="AA281" s="352"/>
      <c r="AB281" s="352"/>
      <c r="AC281" s="352"/>
      <c r="AD281" s="352"/>
      <c r="AE281" s="352"/>
      <c r="AF281" s="352"/>
      <c r="AG281" s="91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0"/>
    </row>
    <row r="282" spans="1:77" ht="15.75" customHeight="1" thickBot="1" x14ac:dyDescent="0.3">
      <c r="A282" s="89"/>
      <c r="B282" s="89"/>
      <c r="C282" s="78"/>
      <c r="D282" s="78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352"/>
      <c r="AA282" s="352"/>
      <c r="AB282" s="352"/>
      <c r="AC282" s="352"/>
      <c r="AD282" s="352"/>
      <c r="AE282" s="352"/>
      <c r="AF282" s="352"/>
      <c r="AG282" s="91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</row>
    <row r="283" spans="1:77" ht="15.75" customHeight="1" thickBot="1" x14ac:dyDescent="0.3">
      <c r="A283" s="89"/>
      <c r="B283" s="89"/>
      <c r="C283" s="78"/>
      <c r="D283" s="78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352"/>
      <c r="AA283" s="352"/>
      <c r="AB283" s="352"/>
      <c r="AC283" s="352"/>
      <c r="AD283" s="352"/>
      <c r="AE283" s="352"/>
      <c r="AF283" s="352"/>
      <c r="AG283" s="91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0"/>
    </row>
    <row r="284" spans="1:77" ht="15.75" customHeight="1" thickBot="1" x14ac:dyDescent="0.3">
      <c r="A284" s="89"/>
      <c r="B284" s="89"/>
      <c r="C284" s="78"/>
      <c r="D284" s="78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352"/>
      <c r="AA284" s="352"/>
      <c r="AB284" s="352"/>
      <c r="AC284" s="352"/>
      <c r="AD284" s="352"/>
      <c r="AE284" s="352"/>
      <c r="AF284" s="352"/>
      <c r="AG284" s="91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</row>
    <row r="285" spans="1:77" ht="15.75" customHeight="1" thickBot="1" x14ac:dyDescent="0.3">
      <c r="A285" s="89"/>
      <c r="B285" s="89"/>
      <c r="C285" s="78"/>
      <c r="D285" s="78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352"/>
      <c r="AA285" s="352"/>
      <c r="AB285" s="352"/>
      <c r="AC285" s="352"/>
      <c r="AD285" s="352"/>
      <c r="AE285" s="352"/>
      <c r="AF285" s="352"/>
      <c r="AG285" s="91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/>
      <c r="BV285" s="90"/>
      <c r="BW285" s="90"/>
      <c r="BX285" s="90"/>
      <c r="BY285" s="90"/>
    </row>
    <row r="286" spans="1:77" ht="15.75" customHeight="1" thickBot="1" x14ac:dyDescent="0.3">
      <c r="A286" s="89"/>
      <c r="B286" s="89"/>
      <c r="C286" s="78"/>
      <c r="D286" s="78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352"/>
      <c r="AA286" s="352"/>
      <c r="AB286" s="352"/>
      <c r="AC286" s="352"/>
      <c r="AD286" s="352"/>
      <c r="AE286" s="352"/>
      <c r="AF286" s="352"/>
      <c r="AG286" s="91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0"/>
    </row>
    <row r="287" spans="1:77" ht="15.75" customHeight="1" thickBot="1" x14ac:dyDescent="0.3">
      <c r="A287" s="89"/>
      <c r="B287" s="89"/>
      <c r="C287" s="78"/>
      <c r="D287" s="78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352"/>
      <c r="AA287" s="352"/>
      <c r="AB287" s="352"/>
      <c r="AC287" s="352"/>
      <c r="AD287" s="352"/>
      <c r="AE287" s="352"/>
      <c r="AF287" s="352"/>
      <c r="AG287" s="91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0"/>
    </row>
    <row r="288" spans="1:77" ht="15.75" customHeight="1" thickBot="1" x14ac:dyDescent="0.3">
      <c r="A288" s="89"/>
      <c r="B288" s="89"/>
      <c r="C288" s="78"/>
      <c r="D288" s="78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352"/>
      <c r="AA288" s="352"/>
      <c r="AB288" s="352"/>
      <c r="AC288" s="352"/>
      <c r="AD288" s="352"/>
      <c r="AE288" s="352"/>
      <c r="AF288" s="352"/>
      <c r="AG288" s="91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0"/>
    </row>
    <row r="289" spans="1:77" ht="15.75" customHeight="1" thickBot="1" x14ac:dyDescent="0.3">
      <c r="A289" s="89"/>
      <c r="B289" s="89"/>
      <c r="C289" s="78"/>
      <c r="D289" s="78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352"/>
      <c r="AA289" s="352"/>
      <c r="AB289" s="352"/>
      <c r="AC289" s="352"/>
      <c r="AD289" s="352"/>
      <c r="AE289" s="352"/>
      <c r="AF289" s="352"/>
      <c r="AG289" s="91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0"/>
    </row>
    <row r="290" spans="1:77" ht="15.75" customHeight="1" thickBot="1" x14ac:dyDescent="0.3">
      <c r="A290" s="89"/>
      <c r="B290" s="89"/>
      <c r="C290" s="78"/>
      <c r="D290" s="78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352"/>
      <c r="AA290" s="352"/>
      <c r="AB290" s="352"/>
      <c r="AC290" s="352"/>
      <c r="AD290" s="352"/>
      <c r="AE290" s="352"/>
      <c r="AF290" s="352"/>
      <c r="AG290" s="91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0"/>
    </row>
    <row r="291" spans="1:77" ht="15.75" customHeight="1" thickBot="1" x14ac:dyDescent="0.3">
      <c r="A291" s="89"/>
      <c r="B291" s="89"/>
      <c r="C291" s="78"/>
      <c r="D291" s="78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352"/>
      <c r="AA291" s="352"/>
      <c r="AB291" s="352"/>
      <c r="AC291" s="352"/>
      <c r="AD291" s="352"/>
      <c r="AE291" s="352"/>
      <c r="AF291" s="352"/>
      <c r="AG291" s="91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0"/>
    </row>
    <row r="292" spans="1:77" ht="15.75" customHeight="1" thickBot="1" x14ac:dyDescent="0.3">
      <c r="A292" s="89"/>
      <c r="B292" s="89"/>
      <c r="C292" s="78"/>
      <c r="D292" s="78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352"/>
      <c r="AA292" s="352"/>
      <c r="AB292" s="352"/>
      <c r="AC292" s="352"/>
      <c r="AD292" s="352"/>
      <c r="AE292" s="352"/>
      <c r="AF292" s="352"/>
      <c r="AG292" s="91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0"/>
    </row>
    <row r="293" spans="1:77" ht="15.75" customHeight="1" thickBot="1" x14ac:dyDescent="0.3">
      <c r="A293" s="89"/>
      <c r="B293" s="89"/>
      <c r="C293" s="78"/>
      <c r="D293" s="78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352"/>
      <c r="AA293" s="352"/>
      <c r="AB293" s="352"/>
      <c r="AC293" s="352"/>
      <c r="AD293" s="352"/>
      <c r="AE293" s="352"/>
      <c r="AF293" s="352"/>
      <c r="AG293" s="91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0"/>
    </row>
    <row r="294" spans="1:77" ht="15.75" customHeight="1" thickBot="1" x14ac:dyDescent="0.3">
      <c r="A294" s="89"/>
      <c r="B294" s="89"/>
      <c r="C294" s="78"/>
      <c r="D294" s="78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352"/>
      <c r="AA294" s="352"/>
      <c r="AB294" s="352"/>
      <c r="AC294" s="352"/>
      <c r="AD294" s="352"/>
      <c r="AE294" s="352"/>
      <c r="AF294" s="352"/>
      <c r="AG294" s="91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0"/>
    </row>
    <row r="295" spans="1:77" ht="15.75" customHeight="1" thickBot="1" x14ac:dyDescent="0.3">
      <c r="A295" s="89"/>
      <c r="B295" s="89"/>
      <c r="C295" s="78"/>
      <c r="D295" s="78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352"/>
      <c r="AA295" s="352"/>
      <c r="AB295" s="352"/>
      <c r="AC295" s="352"/>
      <c r="AD295" s="352"/>
      <c r="AE295" s="352"/>
      <c r="AF295" s="352"/>
      <c r="AG295" s="91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</row>
    <row r="296" spans="1:77" ht="15.75" customHeight="1" thickBot="1" x14ac:dyDescent="0.3">
      <c r="A296" s="89"/>
      <c r="B296" s="89"/>
      <c r="C296" s="78"/>
      <c r="D296" s="78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352"/>
      <c r="AA296" s="352"/>
      <c r="AB296" s="352"/>
      <c r="AC296" s="352"/>
      <c r="AD296" s="352"/>
      <c r="AE296" s="352"/>
      <c r="AF296" s="352"/>
      <c r="AG296" s="91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0"/>
    </row>
    <row r="297" spans="1:77" ht="15.75" customHeight="1" thickBot="1" x14ac:dyDescent="0.3">
      <c r="A297" s="89"/>
      <c r="B297" s="89"/>
      <c r="C297" s="78"/>
      <c r="D297" s="78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352"/>
      <c r="AA297" s="352"/>
      <c r="AB297" s="352"/>
      <c r="AC297" s="352"/>
      <c r="AD297" s="352"/>
      <c r="AE297" s="352"/>
      <c r="AF297" s="352"/>
      <c r="AG297" s="91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0"/>
    </row>
    <row r="298" spans="1:77" ht="15.75" customHeight="1" thickBot="1" x14ac:dyDescent="0.3">
      <c r="A298" s="89"/>
      <c r="B298" s="89"/>
      <c r="C298" s="78"/>
      <c r="D298" s="78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352"/>
      <c r="AA298" s="352"/>
      <c r="AB298" s="352"/>
      <c r="AC298" s="352"/>
      <c r="AD298" s="352"/>
      <c r="AE298" s="352"/>
      <c r="AF298" s="352"/>
      <c r="AG298" s="91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0"/>
    </row>
    <row r="299" spans="1:77" ht="15.75" customHeight="1" thickBot="1" x14ac:dyDescent="0.3">
      <c r="A299" s="89"/>
      <c r="B299" s="89"/>
      <c r="C299" s="78"/>
      <c r="D299" s="78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352"/>
      <c r="AA299" s="352"/>
      <c r="AB299" s="352"/>
      <c r="AC299" s="352"/>
      <c r="AD299" s="352"/>
      <c r="AE299" s="352"/>
      <c r="AF299" s="352"/>
      <c r="AG299" s="91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  <c r="BU299" s="90"/>
      <c r="BV299" s="90"/>
      <c r="BW299" s="90"/>
      <c r="BX299" s="90"/>
      <c r="BY299" s="90"/>
    </row>
    <row r="300" spans="1:77" ht="15.75" customHeight="1" thickBot="1" x14ac:dyDescent="0.3">
      <c r="A300" s="89"/>
      <c r="B300" s="89"/>
      <c r="C300" s="78"/>
      <c r="D300" s="78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352"/>
      <c r="AA300" s="352"/>
      <c r="AB300" s="352"/>
      <c r="AC300" s="352"/>
      <c r="AD300" s="352"/>
      <c r="AE300" s="352"/>
      <c r="AF300" s="352"/>
      <c r="AG300" s="91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0"/>
    </row>
    <row r="301" spans="1:77" ht="15.75" customHeight="1" thickBot="1" x14ac:dyDescent="0.3">
      <c r="A301" s="89"/>
      <c r="B301" s="89"/>
      <c r="C301" s="78"/>
      <c r="D301" s="78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352"/>
      <c r="AA301" s="352"/>
      <c r="AB301" s="352"/>
      <c r="AC301" s="352"/>
      <c r="AD301" s="352"/>
      <c r="AE301" s="352"/>
      <c r="AF301" s="352"/>
      <c r="AG301" s="91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0"/>
    </row>
    <row r="302" spans="1:77" ht="15.75" customHeight="1" thickBot="1" x14ac:dyDescent="0.3">
      <c r="A302" s="89"/>
      <c r="B302" s="89"/>
      <c r="C302" s="78"/>
      <c r="D302" s="78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352"/>
      <c r="AA302" s="352"/>
      <c r="AB302" s="352"/>
      <c r="AC302" s="352"/>
      <c r="AD302" s="352"/>
      <c r="AE302" s="352"/>
      <c r="AF302" s="352"/>
      <c r="AG302" s="91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0"/>
      <c r="BF302" s="90"/>
      <c r="BG302" s="90"/>
      <c r="BH302" s="90"/>
      <c r="BI302" s="9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  <c r="BU302" s="90"/>
      <c r="BV302" s="90"/>
      <c r="BW302" s="90"/>
      <c r="BX302" s="90"/>
      <c r="BY302" s="90"/>
    </row>
    <row r="303" spans="1:77" ht="15.75" customHeight="1" thickBot="1" x14ac:dyDescent="0.3">
      <c r="A303" s="89"/>
      <c r="B303" s="89"/>
      <c r="C303" s="78"/>
      <c r="D303" s="78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352"/>
      <c r="AA303" s="352"/>
      <c r="AB303" s="352"/>
      <c r="AC303" s="352"/>
      <c r="AD303" s="352"/>
      <c r="AE303" s="352"/>
      <c r="AF303" s="352"/>
      <c r="AG303" s="91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</row>
    <row r="304" spans="1:77" ht="15.75" customHeight="1" thickBot="1" x14ac:dyDescent="0.3">
      <c r="A304" s="89"/>
      <c r="B304" s="89"/>
      <c r="C304" s="78"/>
      <c r="D304" s="78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352"/>
      <c r="AA304" s="352"/>
      <c r="AB304" s="352"/>
      <c r="AC304" s="352"/>
      <c r="AD304" s="352"/>
      <c r="AE304" s="352"/>
      <c r="AF304" s="352"/>
      <c r="AG304" s="91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0"/>
    </row>
    <row r="305" spans="1:77" ht="15.75" customHeight="1" thickBot="1" x14ac:dyDescent="0.3">
      <c r="A305" s="89"/>
      <c r="B305" s="89"/>
      <c r="C305" s="78"/>
      <c r="D305" s="78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352"/>
      <c r="AA305" s="352"/>
      <c r="AB305" s="352"/>
      <c r="AC305" s="352"/>
      <c r="AD305" s="352"/>
      <c r="AE305" s="352"/>
      <c r="AF305" s="352"/>
      <c r="AG305" s="91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</row>
    <row r="306" spans="1:77" ht="15.75" customHeight="1" thickBot="1" x14ac:dyDescent="0.3">
      <c r="A306" s="89"/>
      <c r="B306" s="89"/>
      <c r="C306" s="78"/>
      <c r="D306" s="78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352"/>
      <c r="AA306" s="352"/>
      <c r="AB306" s="352"/>
      <c r="AC306" s="352"/>
      <c r="AD306" s="352"/>
      <c r="AE306" s="352"/>
      <c r="AF306" s="352"/>
      <c r="AG306" s="91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  <c r="BU306" s="90"/>
      <c r="BV306" s="90"/>
      <c r="BW306" s="90"/>
      <c r="BX306" s="90"/>
      <c r="BY306" s="90"/>
    </row>
    <row r="307" spans="1:77" ht="15.75" customHeight="1" thickBot="1" x14ac:dyDescent="0.3">
      <c r="A307" s="89"/>
      <c r="B307" s="89"/>
      <c r="C307" s="78"/>
      <c r="D307" s="78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352"/>
      <c r="AA307" s="352"/>
      <c r="AB307" s="352"/>
      <c r="AC307" s="352"/>
      <c r="AD307" s="352"/>
      <c r="AE307" s="352"/>
      <c r="AF307" s="352"/>
      <c r="AG307" s="91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0"/>
    </row>
    <row r="308" spans="1:77" ht="15.75" customHeight="1" thickBot="1" x14ac:dyDescent="0.3">
      <c r="A308" s="89"/>
      <c r="B308" s="89"/>
      <c r="C308" s="78"/>
      <c r="D308" s="78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352"/>
      <c r="AA308" s="352"/>
      <c r="AB308" s="352"/>
      <c r="AC308" s="352"/>
      <c r="AD308" s="352"/>
      <c r="AE308" s="352"/>
      <c r="AF308" s="352"/>
      <c r="AG308" s="91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</row>
    <row r="309" spans="1:77" ht="15.75" customHeight="1" thickBot="1" x14ac:dyDescent="0.3">
      <c r="A309" s="89"/>
      <c r="B309" s="89"/>
      <c r="C309" s="78"/>
      <c r="D309" s="78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352"/>
      <c r="AA309" s="352"/>
      <c r="AB309" s="352"/>
      <c r="AC309" s="352"/>
      <c r="AD309" s="352"/>
      <c r="AE309" s="352"/>
      <c r="AF309" s="352"/>
      <c r="AG309" s="91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0"/>
    </row>
    <row r="310" spans="1:77" ht="15.75" customHeight="1" thickBot="1" x14ac:dyDescent="0.3">
      <c r="A310" s="89"/>
      <c r="B310" s="89"/>
      <c r="C310" s="78"/>
      <c r="D310" s="78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352"/>
      <c r="AA310" s="352"/>
      <c r="AB310" s="352"/>
      <c r="AC310" s="352"/>
      <c r="AD310" s="352"/>
      <c r="AE310" s="352"/>
      <c r="AF310" s="352"/>
      <c r="AG310" s="91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  <c r="BG310" s="90"/>
      <c r="BH310" s="90"/>
      <c r="BI310" s="9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  <c r="BU310" s="90"/>
      <c r="BV310" s="90"/>
      <c r="BW310" s="90"/>
      <c r="BX310" s="90"/>
      <c r="BY310" s="90"/>
    </row>
    <row r="311" spans="1:77" ht="15.75" customHeight="1" thickBot="1" x14ac:dyDescent="0.3">
      <c r="A311" s="89"/>
      <c r="B311" s="89"/>
      <c r="C311" s="78"/>
      <c r="D311" s="78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352"/>
      <c r="AA311" s="352"/>
      <c r="AB311" s="352"/>
      <c r="AC311" s="352"/>
      <c r="AD311" s="352"/>
      <c r="AE311" s="352"/>
      <c r="AF311" s="352"/>
      <c r="AG311" s="91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0"/>
    </row>
    <row r="312" spans="1:77" ht="15.75" customHeight="1" thickBot="1" x14ac:dyDescent="0.3">
      <c r="A312" s="89"/>
      <c r="B312" s="89"/>
      <c r="C312" s="78"/>
      <c r="D312" s="78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352"/>
      <c r="AA312" s="352"/>
      <c r="AB312" s="352"/>
      <c r="AC312" s="352"/>
      <c r="AD312" s="352"/>
      <c r="AE312" s="352"/>
      <c r="AF312" s="352"/>
      <c r="AG312" s="91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0"/>
    </row>
    <row r="313" spans="1:77" ht="15.75" customHeight="1" thickBot="1" x14ac:dyDescent="0.3">
      <c r="A313" s="89"/>
      <c r="B313" s="89"/>
      <c r="C313" s="78"/>
      <c r="D313" s="78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352"/>
      <c r="AA313" s="352"/>
      <c r="AB313" s="352"/>
      <c r="AC313" s="352"/>
      <c r="AD313" s="352"/>
      <c r="AE313" s="352"/>
      <c r="AF313" s="352"/>
      <c r="AG313" s="91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</row>
    <row r="314" spans="1:77" ht="15.75" customHeight="1" thickBot="1" x14ac:dyDescent="0.3">
      <c r="A314" s="89"/>
      <c r="B314" s="89"/>
      <c r="C314" s="78"/>
      <c r="D314" s="78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352"/>
      <c r="AA314" s="352"/>
      <c r="AB314" s="352"/>
      <c r="AC314" s="352"/>
      <c r="AD314" s="352"/>
      <c r="AE314" s="352"/>
      <c r="AF314" s="352"/>
      <c r="AG314" s="91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0"/>
    </row>
    <row r="315" spans="1:77" ht="15.75" customHeight="1" thickBot="1" x14ac:dyDescent="0.3">
      <c r="A315" s="89"/>
      <c r="B315" s="89"/>
      <c r="C315" s="78"/>
      <c r="D315" s="78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352"/>
      <c r="AA315" s="352"/>
      <c r="AB315" s="352"/>
      <c r="AC315" s="352"/>
      <c r="AD315" s="352"/>
      <c r="AE315" s="352"/>
      <c r="AF315" s="352"/>
      <c r="AG315" s="91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0"/>
    </row>
    <row r="316" spans="1:77" ht="15.75" customHeight="1" thickBot="1" x14ac:dyDescent="0.3">
      <c r="A316" s="89"/>
      <c r="B316" s="89"/>
      <c r="C316" s="78"/>
      <c r="D316" s="78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352"/>
      <c r="AA316" s="352"/>
      <c r="AB316" s="352"/>
      <c r="AC316" s="352"/>
      <c r="AD316" s="352"/>
      <c r="AE316" s="352"/>
      <c r="AF316" s="352"/>
      <c r="AG316" s="91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0"/>
    </row>
    <row r="317" spans="1:77" ht="15.75" customHeight="1" thickBot="1" x14ac:dyDescent="0.3">
      <c r="A317" s="89"/>
      <c r="B317" s="89"/>
      <c r="C317" s="78"/>
      <c r="D317" s="78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352"/>
      <c r="AA317" s="352"/>
      <c r="AB317" s="352"/>
      <c r="AC317" s="352"/>
      <c r="AD317" s="352"/>
      <c r="AE317" s="352"/>
      <c r="AF317" s="352"/>
      <c r="AG317" s="91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0"/>
    </row>
    <row r="318" spans="1:77" ht="15.75" customHeight="1" thickBot="1" x14ac:dyDescent="0.3">
      <c r="A318" s="89"/>
      <c r="B318" s="89"/>
      <c r="C318" s="78"/>
      <c r="D318" s="78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352"/>
      <c r="AA318" s="352"/>
      <c r="AB318" s="352"/>
      <c r="AC318" s="352"/>
      <c r="AD318" s="352"/>
      <c r="AE318" s="352"/>
      <c r="AF318" s="352"/>
      <c r="AG318" s="91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0"/>
      <c r="BN318" s="90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0"/>
    </row>
    <row r="319" spans="1:77" ht="15.75" customHeight="1" thickBot="1" x14ac:dyDescent="0.3">
      <c r="A319" s="89"/>
      <c r="B319" s="89"/>
      <c r="C319" s="78"/>
      <c r="D319" s="78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352"/>
      <c r="AA319" s="352"/>
      <c r="AB319" s="352"/>
      <c r="AC319" s="352"/>
      <c r="AD319" s="352"/>
      <c r="AE319" s="352"/>
      <c r="AF319" s="352"/>
      <c r="AG319" s="91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0"/>
      <c r="BN319" s="90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0"/>
    </row>
    <row r="320" spans="1:77" ht="15.75" customHeight="1" thickBot="1" x14ac:dyDescent="0.3">
      <c r="A320" s="89"/>
      <c r="B320" s="89"/>
      <c r="C320" s="78"/>
      <c r="D320" s="78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352"/>
      <c r="AA320" s="352"/>
      <c r="AB320" s="352"/>
      <c r="AC320" s="352"/>
      <c r="AD320" s="352"/>
      <c r="AE320" s="352"/>
      <c r="AF320" s="352"/>
      <c r="AG320" s="91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  <c r="BI320" s="90"/>
      <c r="BJ320" s="90"/>
      <c r="BK320" s="90"/>
      <c r="BL320" s="90"/>
      <c r="BM320" s="90"/>
      <c r="BN320" s="90"/>
      <c r="BO320" s="90"/>
      <c r="BP320" s="90"/>
      <c r="BQ320" s="90"/>
      <c r="BR320" s="90"/>
      <c r="BS320" s="90"/>
      <c r="BT320" s="90"/>
      <c r="BU320" s="90"/>
      <c r="BV320" s="90"/>
      <c r="BW320" s="90"/>
      <c r="BX320" s="90"/>
      <c r="BY320" s="90"/>
    </row>
    <row r="321" spans="1:77" ht="15.75" customHeight="1" thickBot="1" x14ac:dyDescent="0.3">
      <c r="A321" s="89"/>
      <c r="B321" s="89"/>
      <c r="C321" s="78"/>
      <c r="D321" s="78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352"/>
      <c r="AA321" s="352"/>
      <c r="AB321" s="352"/>
      <c r="AC321" s="352"/>
      <c r="AD321" s="352"/>
      <c r="AE321" s="352"/>
      <c r="AF321" s="352"/>
      <c r="AG321" s="91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  <c r="BH321" s="90"/>
      <c r="BI321" s="9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  <c r="BU321" s="90"/>
      <c r="BV321" s="90"/>
      <c r="BW321" s="90"/>
      <c r="BX321" s="90"/>
      <c r="BY321" s="90"/>
    </row>
    <row r="322" spans="1:77" ht="15.75" customHeight="1" thickBot="1" x14ac:dyDescent="0.3">
      <c r="A322" s="89"/>
      <c r="B322" s="89"/>
      <c r="C322" s="78"/>
      <c r="D322" s="78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352"/>
      <c r="AA322" s="352"/>
      <c r="AB322" s="352"/>
      <c r="AC322" s="352"/>
      <c r="AD322" s="352"/>
      <c r="AE322" s="352"/>
      <c r="AF322" s="352"/>
      <c r="AG322" s="91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0"/>
      <c r="BN322" s="90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0"/>
    </row>
    <row r="323" spans="1:77" ht="15.75" customHeight="1" thickBot="1" x14ac:dyDescent="0.3">
      <c r="A323" s="89"/>
      <c r="B323" s="89"/>
      <c r="C323" s="78"/>
      <c r="D323" s="78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352"/>
      <c r="AA323" s="352"/>
      <c r="AB323" s="352"/>
      <c r="AC323" s="352"/>
      <c r="AD323" s="352"/>
      <c r="AE323" s="352"/>
      <c r="AF323" s="352"/>
      <c r="AG323" s="91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0"/>
      <c r="BN323" s="90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0"/>
    </row>
    <row r="324" spans="1:77" ht="15.75" customHeight="1" thickBot="1" x14ac:dyDescent="0.3">
      <c r="A324" s="89"/>
      <c r="B324" s="89"/>
      <c r="C324" s="78"/>
      <c r="D324" s="78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352"/>
      <c r="AA324" s="352"/>
      <c r="AB324" s="352"/>
      <c r="AC324" s="352"/>
      <c r="AD324" s="352"/>
      <c r="AE324" s="352"/>
      <c r="AF324" s="352"/>
      <c r="AG324" s="91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0"/>
      <c r="BN324" s="90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0"/>
    </row>
    <row r="325" spans="1:77" ht="15.75" customHeight="1" thickBot="1" x14ac:dyDescent="0.3">
      <c r="A325" s="89"/>
      <c r="B325" s="89"/>
      <c r="C325" s="78"/>
      <c r="D325" s="78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352"/>
      <c r="AA325" s="352"/>
      <c r="AB325" s="352"/>
      <c r="AC325" s="352"/>
      <c r="AD325" s="352"/>
      <c r="AE325" s="352"/>
      <c r="AF325" s="352"/>
      <c r="AG325" s="91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0"/>
      <c r="BN325" s="90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0"/>
    </row>
    <row r="326" spans="1:77" ht="15.75" customHeight="1" thickBot="1" x14ac:dyDescent="0.3">
      <c r="A326" s="89"/>
      <c r="B326" s="89"/>
      <c r="C326" s="78"/>
      <c r="D326" s="78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352"/>
      <c r="AA326" s="352"/>
      <c r="AB326" s="352"/>
      <c r="AC326" s="352"/>
      <c r="AD326" s="352"/>
      <c r="AE326" s="352"/>
      <c r="AF326" s="352"/>
      <c r="AG326" s="91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0"/>
      <c r="BN326" s="90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0"/>
    </row>
    <row r="327" spans="1:77" ht="15.75" customHeight="1" thickBot="1" x14ac:dyDescent="0.3">
      <c r="A327" s="89"/>
      <c r="B327" s="89"/>
      <c r="C327" s="78"/>
      <c r="D327" s="78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352"/>
      <c r="AA327" s="352"/>
      <c r="AB327" s="352"/>
      <c r="AC327" s="352"/>
      <c r="AD327" s="352"/>
      <c r="AE327" s="352"/>
      <c r="AF327" s="352"/>
      <c r="AG327" s="91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0"/>
      <c r="BN327" s="90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0"/>
    </row>
    <row r="328" spans="1:77" ht="15.75" customHeight="1" thickBot="1" x14ac:dyDescent="0.3">
      <c r="A328" s="89"/>
      <c r="B328" s="89"/>
      <c r="C328" s="78"/>
      <c r="D328" s="78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352"/>
      <c r="AA328" s="352"/>
      <c r="AB328" s="352"/>
      <c r="AC328" s="352"/>
      <c r="AD328" s="352"/>
      <c r="AE328" s="352"/>
      <c r="AF328" s="352"/>
      <c r="AG328" s="91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0"/>
      <c r="BN328" s="90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0"/>
    </row>
    <row r="329" spans="1:77" ht="15.75" customHeight="1" thickBot="1" x14ac:dyDescent="0.3">
      <c r="A329" s="89"/>
      <c r="B329" s="89"/>
      <c r="C329" s="78"/>
      <c r="D329" s="78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352"/>
      <c r="AA329" s="352"/>
      <c r="AB329" s="352"/>
      <c r="AC329" s="352"/>
      <c r="AD329" s="352"/>
      <c r="AE329" s="352"/>
      <c r="AF329" s="352"/>
      <c r="AG329" s="91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0"/>
      <c r="BN329" s="90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0"/>
    </row>
    <row r="330" spans="1:77" ht="15.75" customHeight="1" thickBot="1" x14ac:dyDescent="0.3">
      <c r="A330" s="89"/>
      <c r="B330" s="89"/>
      <c r="C330" s="78"/>
      <c r="D330" s="78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352"/>
      <c r="AA330" s="352"/>
      <c r="AB330" s="352"/>
      <c r="AC330" s="352"/>
      <c r="AD330" s="352"/>
      <c r="AE330" s="352"/>
      <c r="AF330" s="352"/>
      <c r="AG330" s="91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  <c r="BG330" s="90"/>
      <c r="BH330" s="90"/>
      <c r="BI330" s="90"/>
      <c r="BJ330" s="90"/>
      <c r="BK330" s="90"/>
      <c r="BL330" s="90"/>
      <c r="BM330" s="90"/>
      <c r="BN330" s="90"/>
      <c r="BO330" s="90"/>
      <c r="BP330" s="90"/>
      <c r="BQ330" s="90"/>
      <c r="BR330" s="90"/>
      <c r="BS330" s="90"/>
      <c r="BT330" s="90"/>
      <c r="BU330" s="90"/>
      <c r="BV330" s="90"/>
      <c r="BW330" s="90"/>
      <c r="BX330" s="90"/>
      <c r="BY330" s="90"/>
    </row>
    <row r="331" spans="1:77" ht="15.75" customHeight="1" thickBot="1" x14ac:dyDescent="0.3">
      <c r="A331" s="89"/>
      <c r="B331" s="89"/>
      <c r="C331" s="78"/>
      <c r="D331" s="78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352"/>
      <c r="AA331" s="352"/>
      <c r="AB331" s="352"/>
      <c r="AC331" s="352"/>
      <c r="AD331" s="352"/>
      <c r="AE331" s="352"/>
      <c r="AF331" s="352"/>
      <c r="AG331" s="91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0"/>
      <c r="BN331" s="90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0"/>
    </row>
    <row r="332" spans="1:77" ht="15.75" customHeight="1" thickBot="1" x14ac:dyDescent="0.3">
      <c r="A332" s="89"/>
      <c r="B332" s="89"/>
      <c r="C332" s="78"/>
      <c r="D332" s="78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352"/>
      <c r="AA332" s="352"/>
      <c r="AB332" s="352"/>
      <c r="AC332" s="352"/>
      <c r="AD332" s="352"/>
      <c r="AE332" s="352"/>
      <c r="AF332" s="352"/>
      <c r="AG332" s="91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0"/>
      <c r="BN332" s="90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0"/>
    </row>
    <row r="333" spans="1:77" ht="15.75" customHeight="1" thickBot="1" x14ac:dyDescent="0.3">
      <c r="A333" s="89"/>
      <c r="B333" s="89"/>
      <c r="C333" s="78"/>
      <c r="D333" s="78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352"/>
      <c r="AA333" s="352"/>
      <c r="AB333" s="352"/>
      <c r="AC333" s="352"/>
      <c r="AD333" s="352"/>
      <c r="AE333" s="352"/>
      <c r="AF333" s="352"/>
      <c r="AG333" s="91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0"/>
      <c r="BN333" s="90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0"/>
    </row>
    <row r="334" spans="1:77" ht="15.75" customHeight="1" thickBot="1" x14ac:dyDescent="0.3">
      <c r="A334" s="89"/>
      <c r="B334" s="89"/>
      <c r="C334" s="78"/>
      <c r="D334" s="78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352"/>
      <c r="AA334" s="352"/>
      <c r="AB334" s="352"/>
      <c r="AC334" s="352"/>
      <c r="AD334" s="352"/>
      <c r="AE334" s="352"/>
      <c r="AF334" s="352"/>
      <c r="AG334" s="91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0"/>
      <c r="BN334" s="90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0"/>
    </row>
    <row r="335" spans="1:77" ht="15.75" customHeight="1" thickBot="1" x14ac:dyDescent="0.3">
      <c r="A335" s="89"/>
      <c r="B335" s="89"/>
      <c r="C335" s="78"/>
      <c r="D335" s="78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352"/>
      <c r="AA335" s="352"/>
      <c r="AB335" s="352"/>
      <c r="AC335" s="352"/>
      <c r="AD335" s="352"/>
      <c r="AE335" s="352"/>
      <c r="AF335" s="352"/>
      <c r="AG335" s="91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0"/>
      <c r="BN335" s="90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0"/>
    </row>
    <row r="336" spans="1:77" ht="15.75" customHeight="1" thickBot="1" x14ac:dyDescent="0.3">
      <c r="A336" s="89"/>
      <c r="B336" s="89"/>
      <c r="C336" s="78"/>
      <c r="D336" s="78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352"/>
      <c r="AA336" s="352"/>
      <c r="AB336" s="352"/>
      <c r="AC336" s="352"/>
      <c r="AD336" s="352"/>
      <c r="AE336" s="352"/>
      <c r="AF336" s="352"/>
      <c r="AG336" s="91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90"/>
      <c r="BT336" s="90"/>
      <c r="BU336" s="90"/>
      <c r="BV336" s="90"/>
      <c r="BW336" s="90"/>
      <c r="BX336" s="90"/>
      <c r="BY336" s="90"/>
    </row>
    <row r="337" spans="1:77" ht="15.75" customHeight="1" thickBot="1" x14ac:dyDescent="0.3">
      <c r="A337" s="89"/>
      <c r="B337" s="89"/>
      <c r="C337" s="78"/>
      <c r="D337" s="78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352"/>
      <c r="AA337" s="352"/>
      <c r="AB337" s="352"/>
      <c r="AC337" s="352"/>
      <c r="AD337" s="352"/>
      <c r="AE337" s="352"/>
      <c r="AF337" s="352"/>
      <c r="AG337" s="91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0"/>
      <c r="BN337" s="90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0"/>
    </row>
    <row r="338" spans="1:77" ht="15.75" customHeight="1" thickBot="1" x14ac:dyDescent="0.3">
      <c r="A338" s="89"/>
      <c r="B338" s="89"/>
      <c r="C338" s="78"/>
      <c r="D338" s="78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352"/>
      <c r="AA338" s="352"/>
      <c r="AB338" s="352"/>
      <c r="AC338" s="352"/>
      <c r="AD338" s="352"/>
      <c r="AE338" s="352"/>
      <c r="AF338" s="352"/>
      <c r="AG338" s="91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0"/>
      <c r="BN338" s="90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0"/>
    </row>
    <row r="339" spans="1:77" ht="15.75" customHeight="1" thickBot="1" x14ac:dyDescent="0.3">
      <c r="A339" s="89"/>
      <c r="B339" s="89"/>
      <c r="C339" s="78"/>
      <c r="D339" s="78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352"/>
      <c r="AA339" s="352"/>
      <c r="AB339" s="352"/>
      <c r="AC339" s="352"/>
      <c r="AD339" s="352"/>
      <c r="AE339" s="352"/>
      <c r="AF339" s="352"/>
      <c r="AG339" s="91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0"/>
      <c r="BN339" s="90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0"/>
    </row>
    <row r="340" spans="1:77" ht="15.75" customHeight="1" thickBot="1" x14ac:dyDescent="0.3">
      <c r="A340" s="89"/>
      <c r="B340" s="89"/>
      <c r="C340" s="78"/>
      <c r="D340" s="78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352"/>
      <c r="AA340" s="352"/>
      <c r="AB340" s="352"/>
      <c r="AC340" s="352"/>
      <c r="AD340" s="352"/>
      <c r="AE340" s="352"/>
      <c r="AF340" s="352"/>
      <c r="AG340" s="91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0"/>
    </row>
    <row r="341" spans="1:77" ht="15.75" customHeight="1" thickBot="1" x14ac:dyDescent="0.3">
      <c r="A341" s="89"/>
      <c r="B341" s="89"/>
      <c r="C341" s="78"/>
      <c r="D341" s="78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352"/>
      <c r="AA341" s="352"/>
      <c r="AB341" s="352"/>
      <c r="AC341" s="352"/>
      <c r="AD341" s="352"/>
      <c r="AE341" s="352"/>
      <c r="AF341" s="352"/>
      <c r="AG341" s="91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0"/>
      <c r="BN341" s="90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0"/>
    </row>
    <row r="342" spans="1:77" ht="15.75" customHeight="1" thickBot="1" x14ac:dyDescent="0.3">
      <c r="A342" s="89"/>
      <c r="B342" s="89"/>
      <c r="C342" s="78"/>
      <c r="D342" s="78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352"/>
      <c r="AA342" s="352"/>
      <c r="AB342" s="352"/>
      <c r="AC342" s="352"/>
      <c r="AD342" s="352"/>
      <c r="AE342" s="352"/>
      <c r="AF342" s="352"/>
      <c r="AG342" s="91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0"/>
      <c r="BN342" s="90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0"/>
    </row>
    <row r="343" spans="1:77" ht="15.75" customHeight="1" thickBot="1" x14ac:dyDescent="0.3">
      <c r="A343" s="89"/>
      <c r="B343" s="89"/>
      <c r="C343" s="78"/>
      <c r="D343" s="78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352"/>
      <c r="AA343" s="352"/>
      <c r="AB343" s="352"/>
      <c r="AC343" s="352"/>
      <c r="AD343" s="352"/>
      <c r="AE343" s="352"/>
      <c r="AF343" s="352"/>
      <c r="AG343" s="91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0"/>
      <c r="BN343" s="90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0"/>
    </row>
    <row r="344" spans="1:77" ht="15.75" customHeight="1" thickBot="1" x14ac:dyDescent="0.3">
      <c r="A344" s="89"/>
      <c r="B344" s="89"/>
      <c r="C344" s="78"/>
      <c r="D344" s="78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352"/>
      <c r="AA344" s="352"/>
      <c r="AB344" s="352"/>
      <c r="AC344" s="352"/>
      <c r="AD344" s="352"/>
      <c r="AE344" s="352"/>
      <c r="AF344" s="352"/>
      <c r="AG344" s="91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</row>
    <row r="345" spans="1:77" ht="15.75" customHeight="1" thickBot="1" x14ac:dyDescent="0.3">
      <c r="A345" s="89"/>
      <c r="B345" s="89"/>
      <c r="C345" s="78"/>
      <c r="D345" s="78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352"/>
      <c r="AA345" s="352"/>
      <c r="AB345" s="352"/>
      <c r="AC345" s="352"/>
      <c r="AD345" s="352"/>
      <c r="AE345" s="352"/>
      <c r="AF345" s="352"/>
      <c r="AG345" s="91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0"/>
      <c r="BN345" s="90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0"/>
    </row>
    <row r="346" spans="1:77" ht="15.75" customHeight="1" thickBot="1" x14ac:dyDescent="0.3">
      <c r="A346" s="89"/>
      <c r="B346" s="89"/>
      <c r="C346" s="78"/>
      <c r="D346" s="78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352"/>
      <c r="AA346" s="352"/>
      <c r="AB346" s="352"/>
      <c r="AC346" s="352"/>
      <c r="AD346" s="352"/>
      <c r="AE346" s="352"/>
      <c r="AF346" s="352"/>
      <c r="AG346" s="91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  <c r="BH346" s="90"/>
      <c r="BI346" s="90"/>
      <c r="BJ346" s="90"/>
      <c r="BK346" s="90"/>
      <c r="BL346" s="90"/>
      <c r="BM346" s="90"/>
      <c r="BN346" s="90"/>
      <c r="BO346" s="90"/>
      <c r="BP346" s="90"/>
      <c r="BQ346" s="90"/>
      <c r="BR346" s="90"/>
      <c r="BS346" s="90"/>
      <c r="BT346" s="90"/>
      <c r="BU346" s="90"/>
      <c r="BV346" s="90"/>
      <c r="BW346" s="90"/>
      <c r="BX346" s="90"/>
      <c r="BY346" s="90"/>
    </row>
    <row r="347" spans="1:77" ht="15.75" customHeight="1" thickBot="1" x14ac:dyDescent="0.3">
      <c r="A347" s="89"/>
      <c r="B347" s="89"/>
      <c r="C347" s="78"/>
      <c r="D347" s="78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352"/>
      <c r="AA347" s="352"/>
      <c r="AB347" s="352"/>
      <c r="AC347" s="352"/>
      <c r="AD347" s="352"/>
      <c r="AE347" s="352"/>
      <c r="AF347" s="352"/>
      <c r="AG347" s="91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</row>
    <row r="348" spans="1:77" ht="15.75" customHeight="1" thickBot="1" x14ac:dyDescent="0.3">
      <c r="A348" s="89"/>
      <c r="B348" s="89"/>
      <c r="C348" s="78"/>
      <c r="D348" s="78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352"/>
      <c r="AA348" s="352"/>
      <c r="AB348" s="352"/>
      <c r="AC348" s="352"/>
      <c r="AD348" s="352"/>
      <c r="AE348" s="352"/>
      <c r="AF348" s="352"/>
      <c r="AG348" s="91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0"/>
      <c r="BN348" s="90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0"/>
    </row>
    <row r="349" spans="1:77" ht="15.75" customHeight="1" thickBot="1" x14ac:dyDescent="0.3">
      <c r="A349" s="89"/>
      <c r="B349" s="89"/>
      <c r="C349" s="78"/>
      <c r="D349" s="78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352"/>
      <c r="AA349" s="352"/>
      <c r="AB349" s="352"/>
      <c r="AC349" s="352"/>
      <c r="AD349" s="352"/>
      <c r="AE349" s="352"/>
      <c r="AF349" s="352"/>
      <c r="AG349" s="91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0"/>
      <c r="BN349" s="90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0"/>
    </row>
    <row r="350" spans="1:77" ht="15.75" customHeight="1" thickBot="1" x14ac:dyDescent="0.3">
      <c r="A350" s="89"/>
      <c r="B350" s="89"/>
      <c r="C350" s="78"/>
      <c r="D350" s="78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352"/>
      <c r="AA350" s="352"/>
      <c r="AB350" s="352"/>
      <c r="AC350" s="352"/>
      <c r="AD350" s="352"/>
      <c r="AE350" s="352"/>
      <c r="AF350" s="352"/>
      <c r="AG350" s="91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  <c r="BG350" s="90"/>
      <c r="BH350" s="90"/>
      <c r="BI350" s="90"/>
      <c r="BJ350" s="90"/>
      <c r="BK350" s="90"/>
      <c r="BL350" s="90"/>
      <c r="BM350" s="90"/>
      <c r="BN350" s="90"/>
      <c r="BO350" s="90"/>
      <c r="BP350" s="90"/>
      <c r="BQ350" s="90"/>
      <c r="BR350" s="90"/>
      <c r="BS350" s="90"/>
      <c r="BT350" s="90"/>
      <c r="BU350" s="90"/>
      <c r="BV350" s="90"/>
      <c r="BW350" s="90"/>
      <c r="BX350" s="90"/>
      <c r="BY350" s="90"/>
    </row>
    <row r="351" spans="1:77" ht="15.75" customHeight="1" thickBot="1" x14ac:dyDescent="0.3">
      <c r="A351" s="89"/>
      <c r="B351" s="89"/>
      <c r="C351" s="78"/>
      <c r="D351" s="78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352"/>
      <c r="AA351" s="352"/>
      <c r="AB351" s="352"/>
      <c r="AC351" s="352"/>
      <c r="AD351" s="352"/>
      <c r="AE351" s="352"/>
      <c r="AF351" s="352"/>
      <c r="AG351" s="91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  <c r="BH351" s="90"/>
      <c r="BI351" s="90"/>
      <c r="BJ351" s="90"/>
      <c r="BK351" s="90"/>
      <c r="BL351" s="90"/>
      <c r="BM351" s="90"/>
      <c r="BN351" s="90"/>
      <c r="BO351" s="90"/>
      <c r="BP351" s="90"/>
      <c r="BQ351" s="90"/>
      <c r="BR351" s="90"/>
      <c r="BS351" s="90"/>
      <c r="BT351" s="90"/>
      <c r="BU351" s="90"/>
      <c r="BV351" s="90"/>
      <c r="BW351" s="90"/>
      <c r="BX351" s="90"/>
      <c r="BY351" s="90"/>
    </row>
    <row r="352" spans="1:77" ht="15.75" customHeight="1" thickBot="1" x14ac:dyDescent="0.3">
      <c r="A352" s="89"/>
      <c r="B352" s="89"/>
      <c r="C352" s="78"/>
      <c r="D352" s="78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352"/>
      <c r="AA352" s="352"/>
      <c r="AB352" s="352"/>
      <c r="AC352" s="352"/>
      <c r="AD352" s="352"/>
      <c r="AE352" s="352"/>
      <c r="AF352" s="352"/>
      <c r="AG352" s="91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0"/>
      <c r="BN352" s="90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0"/>
    </row>
    <row r="353" spans="1:77" ht="15.75" customHeight="1" thickBot="1" x14ac:dyDescent="0.3">
      <c r="A353" s="89"/>
      <c r="B353" s="89"/>
      <c r="C353" s="78"/>
      <c r="D353" s="78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352"/>
      <c r="AA353" s="352"/>
      <c r="AB353" s="352"/>
      <c r="AC353" s="352"/>
      <c r="AD353" s="352"/>
      <c r="AE353" s="352"/>
      <c r="AF353" s="352"/>
      <c r="AG353" s="91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0"/>
      <c r="BN353" s="90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0"/>
    </row>
    <row r="354" spans="1:77" ht="15.75" customHeight="1" thickBot="1" x14ac:dyDescent="0.3">
      <c r="A354" s="89"/>
      <c r="B354" s="89"/>
      <c r="C354" s="78"/>
      <c r="D354" s="78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352"/>
      <c r="AA354" s="352"/>
      <c r="AB354" s="352"/>
      <c r="AC354" s="352"/>
      <c r="AD354" s="352"/>
      <c r="AE354" s="352"/>
      <c r="AF354" s="352"/>
      <c r="AG354" s="91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0"/>
      <c r="BN354" s="90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0"/>
    </row>
    <row r="355" spans="1:77" ht="15.75" customHeight="1" thickBot="1" x14ac:dyDescent="0.3">
      <c r="A355" s="89"/>
      <c r="B355" s="89"/>
      <c r="C355" s="78"/>
      <c r="D355" s="78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352"/>
      <c r="AA355" s="352"/>
      <c r="AB355" s="352"/>
      <c r="AC355" s="352"/>
      <c r="AD355" s="352"/>
      <c r="AE355" s="352"/>
      <c r="AF355" s="352"/>
      <c r="AG355" s="91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0"/>
      <c r="BN355" s="90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0"/>
    </row>
    <row r="356" spans="1:77" ht="15.75" customHeight="1" thickBot="1" x14ac:dyDescent="0.3">
      <c r="A356" s="89"/>
      <c r="B356" s="89"/>
      <c r="C356" s="78"/>
      <c r="D356" s="78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352"/>
      <c r="AA356" s="352"/>
      <c r="AB356" s="352"/>
      <c r="AC356" s="352"/>
      <c r="AD356" s="352"/>
      <c r="AE356" s="352"/>
      <c r="AF356" s="352"/>
      <c r="AG356" s="91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0"/>
      <c r="BN356" s="90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0"/>
    </row>
    <row r="357" spans="1:77" ht="15.75" customHeight="1" thickBot="1" x14ac:dyDescent="0.3">
      <c r="A357" s="89"/>
      <c r="B357" s="89"/>
      <c r="C357" s="78"/>
      <c r="D357" s="78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352"/>
      <c r="AA357" s="352"/>
      <c r="AB357" s="352"/>
      <c r="AC357" s="352"/>
      <c r="AD357" s="352"/>
      <c r="AE357" s="352"/>
      <c r="AF357" s="352"/>
      <c r="AG357" s="91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0"/>
      <c r="BN357" s="90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0"/>
    </row>
    <row r="358" spans="1:77" ht="15.75" customHeight="1" thickBot="1" x14ac:dyDescent="0.3">
      <c r="A358" s="89"/>
      <c r="B358" s="89"/>
      <c r="C358" s="78"/>
      <c r="D358" s="78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352"/>
      <c r="AA358" s="352"/>
      <c r="AB358" s="352"/>
      <c r="AC358" s="352"/>
      <c r="AD358" s="352"/>
      <c r="AE358" s="352"/>
      <c r="AF358" s="352"/>
      <c r="AG358" s="91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0"/>
      <c r="BN358" s="90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0"/>
    </row>
    <row r="359" spans="1:77" ht="15.75" customHeight="1" thickBot="1" x14ac:dyDescent="0.3">
      <c r="A359" s="89"/>
      <c r="B359" s="89"/>
      <c r="C359" s="78"/>
      <c r="D359" s="78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352"/>
      <c r="AA359" s="352"/>
      <c r="AB359" s="352"/>
      <c r="AC359" s="352"/>
      <c r="AD359" s="352"/>
      <c r="AE359" s="352"/>
      <c r="AF359" s="352"/>
      <c r="AG359" s="91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0"/>
      <c r="BN359" s="90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0"/>
    </row>
    <row r="360" spans="1:77" ht="15.75" customHeight="1" thickBot="1" x14ac:dyDescent="0.3">
      <c r="A360" s="89"/>
      <c r="B360" s="89"/>
      <c r="C360" s="78"/>
      <c r="D360" s="78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352"/>
      <c r="AA360" s="352"/>
      <c r="AB360" s="352"/>
      <c r="AC360" s="352"/>
      <c r="AD360" s="352"/>
      <c r="AE360" s="352"/>
      <c r="AF360" s="352"/>
      <c r="AG360" s="91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0"/>
      <c r="BN360" s="90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0"/>
    </row>
    <row r="361" spans="1:77" ht="15.75" customHeight="1" thickBot="1" x14ac:dyDescent="0.3">
      <c r="A361" s="89"/>
      <c r="B361" s="89"/>
      <c r="C361" s="78"/>
      <c r="D361" s="78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352"/>
      <c r="AA361" s="352"/>
      <c r="AB361" s="352"/>
      <c r="AC361" s="352"/>
      <c r="AD361" s="352"/>
      <c r="AE361" s="352"/>
      <c r="AF361" s="352"/>
      <c r="AG361" s="91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0"/>
      <c r="BF361" s="90"/>
      <c r="BG361" s="90"/>
      <c r="BH361" s="90"/>
      <c r="BI361" s="90"/>
      <c r="BJ361" s="90"/>
      <c r="BK361" s="90"/>
      <c r="BL361" s="90"/>
      <c r="BM361" s="90"/>
      <c r="BN361" s="90"/>
      <c r="BO361" s="90"/>
      <c r="BP361" s="90"/>
      <c r="BQ361" s="90"/>
      <c r="BR361" s="90"/>
      <c r="BS361" s="90"/>
      <c r="BT361" s="90"/>
      <c r="BU361" s="90"/>
      <c r="BV361" s="90"/>
      <c r="BW361" s="90"/>
      <c r="BX361" s="90"/>
      <c r="BY361" s="90"/>
    </row>
    <row r="362" spans="1:77" ht="15.75" customHeight="1" thickBot="1" x14ac:dyDescent="0.3">
      <c r="A362" s="89"/>
      <c r="B362" s="89"/>
      <c r="C362" s="78"/>
      <c r="D362" s="78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352"/>
      <c r="AA362" s="352"/>
      <c r="AB362" s="352"/>
      <c r="AC362" s="352"/>
      <c r="AD362" s="352"/>
      <c r="AE362" s="352"/>
      <c r="AF362" s="352"/>
      <c r="AG362" s="91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0"/>
      <c r="BN362" s="90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0"/>
    </row>
    <row r="363" spans="1:77" ht="15.75" customHeight="1" thickBot="1" x14ac:dyDescent="0.3">
      <c r="A363" s="89"/>
      <c r="B363" s="89"/>
      <c r="C363" s="78"/>
      <c r="D363" s="78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352"/>
      <c r="AA363" s="352"/>
      <c r="AB363" s="352"/>
      <c r="AC363" s="352"/>
      <c r="AD363" s="352"/>
      <c r="AE363" s="352"/>
      <c r="AF363" s="352"/>
      <c r="AG363" s="91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0"/>
      <c r="BN363" s="90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0"/>
    </row>
    <row r="364" spans="1:77" ht="15.75" customHeight="1" thickBot="1" x14ac:dyDescent="0.3">
      <c r="A364" s="89"/>
      <c r="B364" s="89"/>
      <c r="C364" s="78"/>
      <c r="D364" s="78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352"/>
      <c r="AA364" s="352"/>
      <c r="AB364" s="352"/>
      <c r="AC364" s="352"/>
      <c r="AD364" s="352"/>
      <c r="AE364" s="352"/>
      <c r="AF364" s="352"/>
      <c r="AG364" s="91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0"/>
    </row>
    <row r="365" spans="1:77" ht="15.75" customHeight="1" thickBot="1" x14ac:dyDescent="0.3">
      <c r="A365" s="89"/>
      <c r="B365" s="89"/>
      <c r="C365" s="78"/>
      <c r="D365" s="78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352"/>
      <c r="AA365" s="352"/>
      <c r="AB365" s="352"/>
      <c r="AC365" s="352"/>
      <c r="AD365" s="352"/>
      <c r="AE365" s="352"/>
      <c r="AF365" s="352"/>
      <c r="AG365" s="91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0"/>
      <c r="BN365" s="90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0"/>
    </row>
    <row r="366" spans="1:77" ht="15.75" customHeight="1" thickBot="1" x14ac:dyDescent="0.3">
      <c r="A366" s="89"/>
      <c r="B366" s="89"/>
      <c r="C366" s="78"/>
      <c r="D366" s="78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352"/>
      <c r="AA366" s="352"/>
      <c r="AB366" s="352"/>
      <c r="AC366" s="352"/>
      <c r="AD366" s="352"/>
      <c r="AE366" s="352"/>
      <c r="AF366" s="352"/>
      <c r="AG366" s="91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0"/>
      <c r="BN366" s="90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0"/>
    </row>
    <row r="367" spans="1:77" ht="15.75" customHeight="1" thickBot="1" x14ac:dyDescent="0.3">
      <c r="A367" s="89"/>
      <c r="B367" s="89"/>
      <c r="C367" s="78"/>
      <c r="D367" s="78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352"/>
      <c r="AA367" s="352"/>
      <c r="AB367" s="352"/>
      <c r="AC367" s="352"/>
      <c r="AD367" s="352"/>
      <c r="AE367" s="352"/>
      <c r="AF367" s="352"/>
      <c r="AG367" s="91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</row>
    <row r="368" spans="1:77" ht="15.75" customHeight="1" thickBot="1" x14ac:dyDescent="0.3">
      <c r="A368" s="89"/>
      <c r="B368" s="89"/>
      <c r="C368" s="78"/>
      <c r="D368" s="78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352"/>
      <c r="AA368" s="352"/>
      <c r="AB368" s="352"/>
      <c r="AC368" s="352"/>
      <c r="AD368" s="352"/>
      <c r="AE368" s="352"/>
      <c r="AF368" s="352"/>
      <c r="AG368" s="91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</row>
    <row r="369" spans="1:77" ht="15.75" customHeight="1" thickBot="1" x14ac:dyDescent="0.3">
      <c r="A369" s="89"/>
      <c r="B369" s="89"/>
      <c r="C369" s="78"/>
      <c r="D369" s="78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352"/>
      <c r="AA369" s="352"/>
      <c r="AB369" s="352"/>
      <c r="AC369" s="352"/>
      <c r="AD369" s="352"/>
      <c r="AE369" s="352"/>
      <c r="AF369" s="352"/>
      <c r="AG369" s="91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</row>
    <row r="370" spans="1:77" ht="15.75" customHeight="1" thickBot="1" x14ac:dyDescent="0.3">
      <c r="A370" s="89"/>
      <c r="B370" s="89"/>
      <c r="C370" s="78"/>
      <c r="D370" s="78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352"/>
      <c r="AA370" s="352"/>
      <c r="AB370" s="352"/>
      <c r="AC370" s="352"/>
      <c r="AD370" s="352"/>
      <c r="AE370" s="352"/>
      <c r="AF370" s="352"/>
      <c r="AG370" s="91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</row>
    <row r="371" spans="1:77" ht="15.75" customHeight="1" thickBot="1" x14ac:dyDescent="0.3">
      <c r="A371" s="89"/>
      <c r="B371" s="89"/>
      <c r="C371" s="78"/>
      <c r="D371" s="78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352"/>
      <c r="AA371" s="352"/>
      <c r="AB371" s="352"/>
      <c r="AC371" s="352"/>
      <c r="AD371" s="352"/>
      <c r="AE371" s="352"/>
      <c r="AF371" s="352"/>
      <c r="AG371" s="91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</row>
    <row r="372" spans="1:77" ht="15.75" customHeight="1" thickBot="1" x14ac:dyDescent="0.3">
      <c r="A372" s="89"/>
      <c r="B372" s="89"/>
      <c r="C372" s="78"/>
      <c r="D372" s="78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352"/>
      <c r="AA372" s="352"/>
      <c r="AB372" s="352"/>
      <c r="AC372" s="352"/>
      <c r="AD372" s="352"/>
      <c r="AE372" s="352"/>
      <c r="AF372" s="352"/>
      <c r="AG372" s="91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</row>
    <row r="373" spans="1:77" ht="15.75" customHeight="1" thickBot="1" x14ac:dyDescent="0.3">
      <c r="A373" s="89"/>
      <c r="B373" s="89"/>
      <c r="C373" s="78"/>
      <c r="D373" s="78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352"/>
      <c r="AA373" s="352"/>
      <c r="AB373" s="352"/>
      <c r="AC373" s="352"/>
      <c r="AD373" s="352"/>
      <c r="AE373" s="352"/>
      <c r="AF373" s="352"/>
      <c r="AG373" s="91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0"/>
      <c r="BN373" s="90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0"/>
    </row>
    <row r="374" spans="1:77" ht="15.75" customHeight="1" thickBot="1" x14ac:dyDescent="0.3">
      <c r="A374" s="89"/>
      <c r="B374" s="89"/>
      <c r="C374" s="78"/>
      <c r="D374" s="78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352"/>
      <c r="AA374" s="352"/>
      <c r="AB374" s="352"/>
      <c r="AC374" s="352"/>
      <c r="AD374" s="352"/>
      <c r="AE374" s="352"/>
      <c r="AF374" s="352"/>
      <c r="AG374" s="91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0"/>
      <c r="BN374" s="90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0"/>
    </row>
    <row r="375" spans="1:77" ht="15.75" customHeight="1" thickBot="1" x14ac:dyDescent="0.3">
      <c r="A375" s="89"/>
      <c r="B375" s="89"/>
      <c r="C375" s="78"/>
      <c r="D375" s="78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352"/>
      <c r="AA375" s="352"/>
      <c r="AB375" s="352"/>
      <c r="AC375" s="352"/>
      <c r="AD375" s="352"/>
      <c r="AE375" s="352"/>
      <c r="AF375" s="352"/>
      <c r="AG375" s="91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0"/>
      <c r="BN375" s="90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0"/>
    </row>
    <row r="376" spans="1:77" ht="15.75" customHeight="1" thickBot="1" x14ac:dyDescent="0.3">
      <c r="A376" s="89"/>
      <c r="B376" s="89"/>
      <c r="C376" s="78"/>
      <c r="D376" s="78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352"/>
      <c r="AA376" s="352"/>
      <c r="AB376" s="352"/>
      <c r="AC376" s="352"/>
      <c r="AD376" s="352"/>
      <c r="AE376" s="352"/>
      <c r="AF376" s="352"/>
      <c r="AG376" s="91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0"/>
      <c r="BN376" s="90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0"/>
    </row>
    <row r="377" spans="1:77" ht="15.75" customHeight="1" thickBot="1" x14ac:dyDescent="0.3">
      <c r="A377" s="89"/>
      <c r="B377" s="89"/>
      <c r="C377" s="78"/>
      <c r="D377" s="78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352"/>
      <c r="AA377" s="352"/>
      <c r="AB377" s="352"/>
      <c r="AC377" s="352"/>
      <c r="AD377" s="352"/>
      <c r="AE377" s="352"/>
      <c r="AF377" s="352"/>
      <c r="AG377" s="91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0"/>
      <c r="BN377" s="90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0"/>
    </row>
    <row r="378" spans="1:77" ht="15.75" customHeight="1" thickBot="1" x14ac:dyDescent="0.3">
      <c r="A378" s="89"/>
      <c r="B378" s="89"/>
      <c r="C378" s="78"/>
      <c r="D378" s="78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352"/>
      <c r="AA378" s="352"/>
      <c r="AB378" s="352"/>
      <c r="AC378" s="352"/>
      <c r="AD378" s="352"/>
      <c r="AE378" s="352"/>
      <c r="AF378" s="352"/>
      <c r="AG378" s="91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  <c r="BC378" s="90"/>
      <c r="BD378" s="90"/>
      <c r="BE378" s="90"/>
      <c r="BF378" s="90"/>
      <c r="BG378" s="90"/>
      <c r="BH378" s="90"/>
      <c r="BI378" s="90"/>
      <c r="BJ378" s="90"/>
      <c r="BK378" s="90"/>
      <c r="BL378" s="90"/>
      <c r="BM378" s="90"/>
      <c r="BN378" s="90"/>
      <c r="BO378" s="90"/>
      <c r="BP378" s="90"/>
      <c r="BQ378" s="90"/>
      <c r="BR378" s="90"/>
      <c r="BS378" s="90"/>
      <c r="BT378" s="90"/>
      <c r="BU378" s="90"/>
      <c r="BV378" s="90"/>
      <c r="BW378" s="90"/>
      <c r="BX378" s="90"/>
      <c r="BY378" s="90"/>
    </row>
    <row r="379" spans="1:77" ht="15.75" customHeight="1" thickBot="1" x14ac:dyDescent="0.3">
      <c r="A379" s="89"/>
      <c r="B379" s="89"/>
      <c r="C379" s="78"/>
      <c r="D379" s="78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352"/>
      <c r="AA379" s="352"/>
      <c r="AB379" s="352"/>
      <c r="AC379" s="352"/>
      <c r="AD379" s="352"/>
      <c r="AE379" s="352"/>
      <c r="AF379" s="352"/>
      <c r="AG379" s="91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0"/>
      <c r="BN379" s="90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0"/>
    </row>
    <row r="380" spans="1:77" ht="15.75" customHeight="1" thickBot="1" x14ac:dyDescent="0.3">
      <c r="A380" s="89"/>
      <c r="B380" s="89"/>
      <c r="C380" s="78"/>
      <c r="D380" s="78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352"/>
      <c r="AA380" s="352"/>
      <c r="AB380" s="352"/>
      <c r="AC380" s="352"/>
      <c r="AD380" s="352"/>
      <c r="AE380" s="352"/>
      <c r="AF380" s="352"/>
      <c r="AG380" s="91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0"/>
      <c r="BN380" s="90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0"/>
    </row>
    <row r="381" spans="1:77" ht="15.75" customHeight="1" thickBot="1" x14ac:dyDescent="0.3">
      <c r="A381" s="89"/>
      <c r="B381" s="89"/>
      <c r="C381" s="78"/>
      <c r="D381" s="78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352"/>
      <c r="AA381" s="352"/>
      <c r="AB381" s="352"/>
      <c r="AC381" s="352"/>
      <c r="AD381" s="352"/>
      <c r="AE381" s="352"/>
      <c r="AF381" s="352"/>
      <c r="AG381" s="91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0"/>
      <c r="BN381" s="90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0"/>
    </row>
    <row r="382" spans="1:77" ht="15.75" customHeight="1" thickBot="1" x14ac:dyDescent="0.3">
      <c r="A382" s="89"/>
      <c r="B382" s="89"/>
      <c r="C382" s="78"/>
      <c r="D382" s="78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352"/>
      <c r="AA382" s="352"/>
      <c r="AB382" s="352"/>
      <c r="AC382" s="352"/>
      <c r="AD382" s="352"/>
      <c r="AE382" s="352"/>
      <c r="AF382" s="352"/>
      <c r="AG382" s="91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  <c r="BB382" s="90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0"/>
      <c r="BN382" s="90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0"/>
    </row>
    <row r="383" spans="1:77" ht="15.75" customHeight="1" thickBot="1" x14ac:dyDescent="0.3">
      <c r="A383" s="89"/>
      <c r="B383" s="89"/>
      <c r="C383" s="78"/>
      <c r="D383" s="78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352"/>
      <c r="AA383" s="352"/>
      <c r="AB383" s="352"/>
      <c r="AC383" s="352"/>
      <c r="AD383" s="352"/>
      <c r="AE383" s="352"/>
      <c r="AF383" s="352"/>
      <c r="AG383" s="91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</row>
    <row r="384" spans="1:77" ht="15.75" customHeight="1" thickBot="1" x14ac:dyDescent="0.3">
      <c r="A384" s="89"/>
      <c r="B384" s="89"/>
      <c r="C384" s="78"/>
      <c r="D384" s="78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352"/>
      <c r="AA384" s="352"/>
      <c r="AB384" s="352"/>
      <c r="AC384" s="352"/>
      <c r="AD384" s="352"/>
      <c r="AE384" s="352"/>
      <c r="AF384" s="352"/>
      <c r="AG384" s="91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</row>
    <row r="385" spans="1:77" ht="15.75" customHeight="1" thickBot="1" x14ac:dyDescent="0.3">
      <c r="A385" s="89"/>
      <c r="B385" s="89"/>
      <c r="C385" s="78"/>
      <c r="D385" s="78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352"/>
      <c r="AA385" s="352"/>
      <c r="AB385" s="352"/>
      <c r="AC385" s="352"/>
      <c r="AD385" s="352"/>
      <c r="AE385" s="352"/>
      <c r="AF385" s="352"/>
      <c r="AG385" s="91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</row>
    <row r="386" spans="1:77" ht="15.75" customHeight="1" thickBot="1" x14ac:dyDescent="0.3">
      <c r="A386" s="89"/>
      <c r="B386" s="89"/>
      <c r="C386" s="78"/>
      <c r="D386" s="78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352"/>
      <c r="AA386" s="352"/>
      <c r="AB386" s="352"/>
      <c r="AC386" s="352"/>
      <c r="AD386" s="352"/>
      <c r="AE386" s="352"/>
      <c r="AF386" s="352"/>
      <c r="AG386" s="91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</row>
    <row r="387" spans="1:77" ht="15.75" customHeight="1" thickBot="1" x14ac:dyDescent="0.3">
      <c r="A387" s="89"/>
      <c r="B387" s="89"/>
      <c r="C387" s="78"/>
      <c r="D387" s="78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352"/>
      <c r="AA387" s="352"/>
      <c r="AB387" s="352"/>
      <c r="AC387" s="352"/>
      <c r="AD387" s="352"/>
      <c r="AE387" s="352"/>
      <c r="AF387" s="352"/>
      <c r="AG387" s="91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</row>
    <row r="388" spans="1:77" ht="15.75" customHeight="1" thickBot="1" x14ac:dyDescent="0.3">
      <c r="A388" s="89"/>
      <c r="B388" s="89"/>
      <c r="C388" s="78"/>
      <c r="D388" s="78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352"/>
      <c r="AA388" s="352"/>
      <c r="AB388" s="352"/>
      <c r="AC388" s="352"/>
      <c r="AD388" s="352"/>
      <c r="AE388" s="352"/>
      <c r="AF388" s="352"/>
      <c r="AG388" s="91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</row>
    <row r="389" spans="1:77" ht="15.75" customHeight="1" thickBot="1" x14ac:dyDescent="0.3">
      <c r="A389" s="89"/>
      <c r="B389" s="89"/>
      <c r="C389" s="78"/>
      <c r="D389" s="78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352"/>
      <c r="AA389" s="352"/>
      <c r="AB389" s="352"/>
      <c r="AC389" s="352"/>
      <c r="AD389" s="352"/>
      <c r="AE389" s="352"/>
      <c r="AF389" s="352"/>
      <c r="AG389" s="91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0"/>
      <c r="BF389" s="90"/>
      <c r="BG389" s="90"/>
      <c r="BH389" s="90"/>
      <c r="BI389" s="90"/>
      <c r="BJ389" s="90"/>
      <c r="BK389" s="90"/>
      <c r="BL389" s="90"/>
      <c r="BM389" s="90"/>
      <c r="BN389" s="90"/>
      <c r="BO389" s="90"/>
      <c r="BP389" s="90"/>
      <c r="BQ389" s="90"/>
      <c r="BR389" s="90"/>
      <c r="BS389" s="90"/>
      <c r="BT389" s="90"/>
      <c r="BU389" s="90"/>
      <c r="BV389" s="90"/>
      <c r="BW389" s="90"/>
      <c r="BX389" s="90"/>
      <c r="BY389" s="90"/>
    </row>
    <row r="390" spans="1:77" ht="15.75" customHeight="1" thickBot="1" x14ac:dyDescent="0.3">
      <c r="A390" s="89"/>
      <c r="B390" s="89"/>
      <c r="C390" s="78"/>
      <c r="D390" s="78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352"/>
      <c r="AA390" s="352"/>
      <c r="AB390" s="352"/>
      <c r="AC390" s="352"/>
      <c r="AD390" s="352"/>
      <c r="AE390" s="352"/>
      <c r="AF390" s="352"/>
      <c r="AG390" s="91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0"/>
      <c r="BN390" s="90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0"/>
    </row>
    <row r="391" spans="1:77" ht="15.75" customHeight="1" thickBot="1" x14ac:dyDescent="0.3">
      <c r="A391" s="89"/>
      <c r="B391" s="89"/>
      <c r="C391" s="78"/>
      <c r="D391" s="78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352"/>
      <c r="AA391" s="352"/>
      <c r="AB391" s="352"/>
      <c r="AC391" s="352"/>
      <c r="AD391" s="352"/>
      <c r="AE391" s="352"/>
      <c r="AF391" s="352"/>
      <c r="AG391" s="91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0"/>
      <c r="BN391" s="90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0"/>
    </row>
    <row r="392" spans="1:77" ht="15.75" customHeight="1" thickBot="1" x14ac:dyDescent="0.3">
      <c r="A392" s="89"/>
      <c r="B392" s="89"/>
      <c r="C392" s="78"/>
      <c r="D392" s="78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352"/>
      <c r="AA392" s="352"/>
      <c r="AB392" s="352"/>
      <c r="AC392" s="352"/>
      <c r="AD392" s="352"/>
      <c r="AE392" s="352"/>
      <c r="AF392" s="352"/>
      <c r="AG392" s="91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0"/>
      <c r="BF392" s="90"/>
      <c r="BG392" s="90"/>
      <c r="BH392" s="90"/>
      <c r="BI392" s="90"/>
      <c r="BJ392" s="90"/>
      <c r="BK392" s="90"/>
      <c r="BL392" s="90"/>
      <c r="BM392" s="90"/>
      <c r="BN392" s="90"/>
      <c r="BO392" s="90"/>
      <c r="BP392" s="90"/>
      <c r="BQ392" s="90"/>
      <c r="BR392" s="90"/>
      <c r="BS392" s="90"/>
      <c r="BT392" s="90"/>
      <c r="BU392" s="90"/>
      <c r="BV392" s="90"/>
      <c r="BW392" s="90"/>
      <c r="BX392" s="90"/>
      <c r="BY392" s="90"/>
    </row>
    <row r="393" spans="1:77" ht="15.75" customHeight="1" thickBot="1" x14ac:dyDescent="0.3">
      <c r="A393" s="89"/>
      <c r="B393" s="89"/>
      <c r="C393" s="78"/>
      <c r="D393" s="78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352"/>
      <c r="AA393" s="352"/>
      <c r="AB393" s="352"/>
      <c r="AC393" s="352"/>
      <c r="AD393" s="352"/>
      <c r="AE393" s="352"/>
      <c r="AF393" s="352"/>
      <c r="AG393" s="91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0"/>
      <c r="BF393" s="90"/>
      <c r="BG393" s="90"/>
      <c r="BH393" s="90"/>
      <c r="BI393" s="90"/>
      <c r="BJ393" s="90"/>
      <c r="BK393" s="90"/>
      <c r="BL393" s="90"/>
      <c r="BM393" s="90"/>
      <c r="BN393" s="90"/>
      <c r="BO393" s="90"/>
      <c r="BP393" s="90"/>
      <c r="BQ393" s="90"/>
      <c r="BR393" s="90"/>
      <c r="BS393" s="90"/>
      <c r="BT393" s="90"/>
      <c r="BU393" s="90"/>
      <c r="BV393" s="90"/>
      <c r="BW393" s="90"/>
      <c r="BX393" s="90"/>
      <c r="BY393" s="90"/>
    </row>
    <row r="394" spans="1:77" ht="15.75" customHeight="1" thickBot="1" x14ac:dyDescent="0.3">
      <c r="A394" s="89"/>
      <c r="B394" s="89"/>
      <c r="C394" s="78"/>
      <c r="D394" s="78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352"/>
      <c r="AA394" s="352"/>
      <c r="AB394" s="352"/>
      <c r="AC394" s="352"/>
      <c r="AD394" s="352"/>
      <c r="AE394" s="352"/>
      <c r="AF394" s="352"/>
      <c r="AG394" s="91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0"/>
      <c r="BN394" s="90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0"/>
    </row>
    <row r="395" spans="1:77" ht="15.75" customHeight="1" thickBot="1" x14ac:dyDescent="0.3">
      <c r="A395" s="89"/>
      <c r="B395" s="89"/>
      <c r="C395" s="78"/>
      <c r="D395" s="78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352"/>
      <c r="AA395" s="352"/>
      <c r="AB395" s="352"/>
      <c r="AC395" s="352"/>
      <c r="AD395" s="352"/>
      <c r="AE395" s="352"/>
      <c r="AF395" s="352"/>
      <c r="AG395" s="91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0"/>
      <c r="BN395" s="90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0"/>
    </row>
    <row r="396" spans="1:77" ht="15.75" customHeight="1" thickBot="1" x14ac:dyDescent="0.3">
      <c r="A396" s="89"/>
      <c r="B396" s="89"/>
      <c r="C396" s="78"/>
      <c r="D396" s="78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352"/>
      <c r="AA396" s="352"/>
      <c r="AB396" s="352"/>
      <c r="AC396" s="352"/>
      <c r="AD396" s="352"/>
      <c r="AE396" s="352"/>
      <c r="AF396" s="352"/>
      <c r="AG396" s="91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0"/>
      <c r="BN396" s="90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0"/>
    </row>
    <row r="397" spans="1:77" ht="15.75" customHeight="1" thickBot="1" x14ac:dyDescent="0.3">
      <c r="A397" s="89"/>
      <c r="B397" s="89"/>
      <c r="C397" s="78"/>
      <c r="D397" s="78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352"/>
      <c r="AA397" s="352"/>
      <c r="AB397" s="352"/>
      <c r="AC397" s="352"/>
      <c r="AD397" s="352"/>
      <c r="AE397" s="352"/>
      <c r="AF397" s="352"/>
      <c r="AG397" s="91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0"/>
      <c r="BN397" s="90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0"/>
    </row>
    <row r="398" spans="1:77" ht="15.75" customHeight="1" thickBot="1" x14ac:dyDescent="0.3">
      <c r="A398" s="89"/>
      <c r="B398" s="89"/>
      <c r="C398" s="78"/>
      <c r="D398" s="78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352"/>
      <c r="AA398" s="352"/>
      <c r="AB398" s="352"/>
      <c r="AC398" s="352"/>
      <c r="AD398" s="352"/>
      <c r="AE398" s="352"/>
      <c r="AF398" s="352"/>
      <c r="AG398" s="91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0"/>
      <c r="BN398" s="90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0"/>
    </row>
    <row r="399" spans="1:77" ht="15.75" customHeight="1" thickBot="1" x14ac:dyDescent="0.3">
      <c r="A399" s="89"/>
      <c r="B399" s="89"/>
      <c r="C399" s="78"/>
      <c r="D399" s="78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352"/>
      <c r="AA399" s="352"/>
      <c r="AB399" s="352"/>
      <c r="AC399" s="352"/>
      <c r="AD399" s="352"/>
      <c r="AE399" s="352"/>
      <c r="AF399" s="352"/>
      <c r="AG399" s="91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0"/>
      <c r="BF399" s="90"/>
      <c r="BG399" s="90"/>
      <c r="BH399" s="90"/>
      <c r="BI399" s="90"/>
      <c r="BJ399" s="90"/>
      <c r="BK399" s="90"/>
      <c r="BL399" s="90"/>
      <c r="BM399" s="90"/>
      <c r="BN399" s="90"/>
      <c r="BO399" s="90"/>
      <c r="BP399" s="90"/>
      <c r="BQ399" s="90"/>
      <c r="BR399" s="90"/>
      <c r="BS399" s="90"/>
      <c r="BT399" s="90"/>
      <c r="BU399" s="90"/>
      <c r="BV399" s="90"/>
      <c r="BW399" s="90"/>
      <c r="BX399" s="90"/>
      <c r="BY399" s="90"/>
    </row>
    <row r="400" spans="1:77" ht="15.75" customHeight="1" thickBot="1" x14ac:dyDescent="0.3">
      <c r="A400" s="89"/>
      <c r="B400" s="89"/>
      <c r="C400" s="78"/>
      <c r="D400" s="78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352"/>
      <c r="AA400" s="352"/>
      <c r="AB400" s="352"/>
      <c r="AC400" s="352"/>
      <c r="AD400" s="352"/>
      <c r="AE400" s="352"/>
      <c r="AF400" s="352"/>
      <c r="AG400" s="91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0"/>
      <c r="BF400" s="90"/>
      <c r="BG400" s="90"/>
      <c r="BH400" s="90"/>
      <c r="BI400" s="90"/>
      <c r="BJ400" s="90"/>
      <c r="BK400" s="90"/>
      <c r="BL400" s="90"/>
      <c r="BM400" s="90"/>
      <c r="BN400" s="90"/>
      <c r="BO400" s="90"/>
      <c r="BP400" s="90"/>
      <c r="BQ400" s="90"/>
      <c r="BR400" s="90"/>
      <c r="BS400" s="90"/>
      <c r="BT400" s="90"/>
      <c r="BU400" s="90"/>
      <c r="BV400" s="90"/>
      <c r="BW400" s="90"/>
      <c r="BX400" s="90"/>
      <c r="BY400" s="90"/>
    </row>
    <row r="401" spans="1:77" ht="15.75" customHeight="1" thickBot="1" x14ac:dyDescent="0.3">
      <c r="A401" s="89"/>
      <c r="B401" s="89"/>
      <c r="C401" s="78"/>
      <c r="D401" s="78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352"/>
      <c r="AA401" s="352"/>
      <c r="AB401" s="352"/>
      <c r="AC401" s="352"/>
      <c r="AD401" s="352"/>
      <c r="AE401" s="352"/>
      <c r="AF401" s="352"/>
      <c r="AG401" s="91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0"/>
      <c r="BF401" s="90"/>
      <c r="BG401" s="90"/>
      <c r="BH401" s="90"/>
      <c r="BI401" s="90"/>
      <c r="BJ401" s="90"/>
      <c r="BK401" s="90"/>
      <c r="BL401" s="90"/>
      <c r="BM401" s="90"/>
      <c r="BN401" s="90"/>
      <c r="BO401" s="90"/>
      <c r="BP401" s="90"/>
      <c r="BQ401" s="90"/>
      <c r="BR401" s="90"/>
      <c r="BS401" s="90"/>
      <c r="BT401" s="90"/>
      <c r="BU401" s="90"/>
      <c r="BV401" s="90"/>
      <c r="BW401" s="90"/>
      <c r="BX401" s="90"/>
      <c r="BY401" s="90"/>
    </row>
    <row r="402" spans="1:77" ht="15.75" customHeight="1" thickBot="1" x14ac:dyDescent="0.3">
      <c r="A402" s="89"/>
      <c r="B402" s="89"/>
      <c r="C402" s="78"/>
      <c r="D402" s="78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352"/>
      <c r="AA402" s="352"/>
      <c r="AB402" s="352"/>
      <c r="AC402" s="352"/>
      <c r="AD402" s="352"/>
      <c r="AE402" s="352"/>
      <c r="AF402" s="352"/>
      <c r="AG402" s="91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0"/>
      <c r="BF402" s="90"/>
      <c r="BG402" s="90"/>
      <c r="BH402" s="90"/>
      <c r="BI402" s="90"/>
      <c r="BJ402" s="90"/>
      <c r="BK402" s="90"/>
      <c r="BL402" s="90"/>
      <c r="BM402" s="90"/>
      <c r="BN402" s="90"/>
      <c r="BO402" s="90"/>
      <c r="BP402" s="90"/>
      <c r="BQ402" s="90"/>
      <c r="BR402" s="90"/>
      <c r="BS402" s="90"/>
      <c r="BT402" s="90"/>
      <c r="BU402" s="90"/>
      <c r="BV402" s="90"/>
      <c r="BW402" s="90"/>
      <c r="BX402" s="90"/>
      <c r="BY402" s="90"/>
    </row>
    <row r="403" spans="1:77" ht="15.75" customHeight="1" thickBot="1" x14ac:dyDescent="0.3">
      <c r="A403" s="89"/>
      <c r="B403" s="89"/>
      <c r="C403" s="78"/>
      <c r="D403" s="78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352"/>
      <c r="AA403" s="352"/>
      <c r="AB403" s="352"/>
      <c r="AC403" s="352"/>
      <c r="AD403" s="352"/>
      <c r="AE403" s="352"/>
      <c r="AF403" s="352"/>
      <c r="AG403" s="91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0"/>
      <c r="BG403" s="90"/>
      <c r="BH403" s="90"/>
      <c r="BI403" s="90"/>
      <c r="BJ403" s="90"/>
      <c r="BK403" s="90"/>
      <c r="BL403" s="90"/>
      <c r="BM403" s="90"/>
      <c r="BN403" s="90"/>
      <c r="BO403" s="90"/>
      <c r="BP403" s="90"/>
      <c r="BQ403" s="90"/>
      <c r="BR403" s="90"/>
      <c r="BS403" s="90"/>
      <c r="BT403" s="90"/>
      <c r="BU403" s="90"/>
      <c r="BV403" s="90"/>
      <c r="BW403" s="90"/>
      <c r="BX403" s="90"/>
      <c r="BY403" s="90"/>
    </row>
    <row r="404" spans="1:77" ht="15.75" customHeight="1" thickBot="1" x14ac:dyDescent="0.3">
      <c r="A404" s="89"/>
      <c r="B404" s="89"/>
      <c r="C404" s="78"/>
      <c r="D404" s="78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352"/>
      <c r="AA404" s="352"/>
      <c r="AB404" s="352"/>
      <c r="AC404" s="352"/>
      <c r="AD404" s="352"/>
      <c r="AE404" s="352"/>
      <c r="AF404" s="352"/>
      <c r="AG404" s="91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0"/>
      <c r="BF404" s="90"/>
      <c r="BG404" s="90"/>
      <c r="BH404" s="90"/>
      <c r="BI404" s="90"/>
      <c r="BJ404" s="90"/>
      <c r="BK404" s="90"/>
      <c r="BL404" s="90"/>
      <c r="BM404" s="90"/>
      <c r="BN404" s="90"/>
      <c r="BO404" s="90"/>
      <c r="BP404" s="90"/>
      <c r="BQ404" s="90"/>
      <c r="BR404" s="90"/>
      <c r="BS404" s="90"/>
      <c r="BT404" s="90"/>
      <c r="BU404" s="90"/>
      <c r="BV404" s="90"/>
      <c r="BW404" s="90"/>
      <c r="BX404" s="90"/>
      <c r="BY404" s="90"/>
    </row>
    <row r="405" spans="1:77" ht="15.75" customHeight="1" thickBot="1" x14ac:dyDescent="0.3">
      <c r="A405" s="89"/>
      <c r="B405" s="89"/>
      <c r="C405" s="78"/>
      <c r="D405" s="78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352"/>
      <c r="AA405" s="352"/>
      <c r="AB405" s="352"/>
      <c r="AC405" s="352"/>
      <c r="AD405" s="352"/>
      <c r="AE405" s="352"/>
      <c r="AF405" s="352"/>
      <c r="AG405" s="91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  <c r="BF405" s="90"/>
      <c r="BG405" s="90"/>
      <c r="BH405" s="90"/>
      <c r="BI405" s="90"/>
      <c r="BJ405" s="90"/>
      <c r="BK405" s="90"/>
      <c r="BL405" s="90"/>
      <c r="BM405" s="90"/>
      <c r="BN405" s="90"/>
      <c r="BO405" s="90"/>
      <c r="BP405" s="90"/>
      <c r="BQ405" s="90"/>
      <c r="BR405" s="90"/>
      <c r="BS405" s="90"/>
      <c r="BT405" s="90"/>
      <c r="BU405" s="90"/>
      <c r="BV405" s="90"/>
      <c r="BW405" s="90"/>
      <c r="BX405" s="90"/>
      <c r="BY405" s="90"/>
    </row>
    <row r="406" spans="1:77" ht="15.75" customHeight="1" thickBot="1" x14ac:dyDescent="0.3">
      <c r="A406" s="89"/>
      <c r="B406" s="89"/>
      <c r="C406" s="78"/>
      <c r="D406" s="78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352"/>
      <c r="AA406" s="352"/>
      <c r="AB406" s="352"/>
      <c r="AC406" s="352"/>
      <c r="AD406" s="352"/>
      <c r="AE406" s="352"/>
      <c r="AF406" s="352"/>
      <c r="AG406" s="91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0"/>
      <c r="BF406" s="90"/>
      <c r="BG406" s="90"/>
      <c r="BH406" s="90"/>
      <c r="BI406" s="90"/>
      <c r="BJ406" s="90"/>
      <c r="BK406" s="90"/>
      <c r="BL406" s="90"/>
      <c r="BM406" s="90"/>
      <c r="BN406" s="90"/>
      <c r="BO406" s="90"/>
      <c r="BP406" s="90"/>
      <c r="BQ406" s="90"/>
      <c r="BR406" s="90"/>
      <c r="BS406" s="90"/>
      <c r="BT406" s="90"/>
      <c r="BU406" s="90"/>
      <c r="BV406" s="90"/>
      <c r="BW406" s="90"/>
      <c r="BX406" s="90"/>
      <c r="BY406" s="90"/>
    </row>
    <row r="407" spans="1:77" ht="15.75" customHeight="1" thickBot="1" x14ac:dyDescent="0.3">
      <c r="A407" s="89"/>
      <c r="B407" s="89"/>
      <c r="C407" s="78"/>
      <c r="D407" s="78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352"/>
      <c r="AA407" s="352"/>
      <c r="AB407" s="352"/>
      <c r="AC407" s="352"/>
      <c r="AD407" s="352"/>
      <c r="AE407" s="352"/>
      <c r="AF407" s="352"/>
      <c r="AG407" s="91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0"/>
      <c r="BG407" s="90"/>
      <c r="BH407" s="90"/>
      <c r="BI407" s="90"/>
      <c r="BJ407" s="90"/>
      <c r="BK407" s="90"/>
      <c r="BL407" s="90"/>
      <c r="BM407" s="90"/>
      <c r="BN407" s="90"/>
      <c r="BO407" s="90"/>
      <c r="BP407" s="90"/>
      <c r="BQ407" s="90"/>
      <c r="BR407" s="90"/>
      <c r="BS407" s="90"/>
      <c r="BT407" s="90"/>
      <c r="BU407" s="90"/>
      <c r="BV407" s="90"/>
      <c r="BW407" s="90"/>
      <c r="BX407" s="90"/>
      <c r="BY407" s="90"/>
    </row>
    <row r="408" spans="1:77" ht="15.75" customHeight="1" thickBot="1" x14ac:dyDescent="0.3">
      <c r="A408" s="89"/>
      <c r="B408" s="89"/>
      <c r="C408" s="78"/>
      <c r="D408" s="78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352"/>
      <c r="AA408" s="352"/>
      <c r="AB408" s="352"/>
      <c r="AC408" s="352"/>
      <c r="AD408" s="352"/>
      <c r="AE408" s="352"/>
      <c r="AF408" s="352"/>
      <c r="AG408" s="91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  <c r="BF408" s="90"/>
      <c r="BG408" s="90"/>
      <c r="BH408" s="90"/>
      <c r="BI408" s="90"/>
      <c r="BJ408" s="90"/>
      <c r="BK408" s="90"/>
      <c r="BL408" s="90"/>
      <c r="BM408" s="90"/>
      <c r="BN408" s="90"/>
      <c r="BO408" s="90"/>
      <c r="BP408" s="90"/>
      <c r="BQ408" s="90"/>
      <c r="BR408" s="90"/>
      <c r="BS408" s="90"/>
      <c r="BT408" s="90"/>
      <c r="BU408" s="90"/>
      <c r="BV408" s="90"/>
      <c r="BW408" s="90"/>
      <c r="BX408" s="90"/>
      <c r="BY408" s="90"/>
    </row>
    <row r="409" spans="1:77" ht="15.75" customHeight="1" thickBot="1" x14ac:dyDescent="0.3">
      <c r="A409" s="89"/>
      <c r="B409" s="89"/>
      <c r="C409" s="78"/>
      <c r="D409" s="78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352"/>
      <c r="AA409" s="352"/>
      <c r="AB409" s="352"/>
      <c r="AC409" s="352"/>
      <c r="AD409" s="352"/>
      <c r="AE409" s="352"/>
      <c r="AF409" s="352"/>
      <c r="AG409" s="91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0"/>
      <c r="BF409" s="90"/>
      <c r="BG409" s="90"/>
      <c r="BH409" s="90"/>
      <c r="BI409" s="90"/>
      <c r="BJ409" s="90"/>
      <c r="BK409" s="90"/>
      <c r="BL409" s="90"/>
      <c r="BM409" s="90"/>
      <c r="BN409" s="90"/>
      <c r="BO409" s="90"/>
      <c r="BP409" s="90"/>
      <c r="BQ409" s="90"/>
      <c r="BR409" s="90"/>
      <c r="BS409" s="90"/>
      <c r="BT409" s="90"/>
      <c r="BU409" s="90"/>
      <c r="BV409" s="90"/>
      <c r="BW409" s="90"/>
      <c r="BX409" s="90"/>
      <c r="BY409" s="90"/>
    </row>
    <row r="410" spans="1:77" ht="15.75" customHeight="1" thickBot="1" x14ac:dyDescent="0.3">
      <c r="A410" s="89"/>
      <c r="B410" s="89"/>
      <c r="C410" s="78"/>
      <c r="D410" s="78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352"/>
      <c r="AA410" s="352"/>
      <c r="AB410" s="352"/>
      <c r="AC410" s="352"/>
      <c r="AD410" s="352"/>
      <c r="AE410" s="352"/>
      <c r="AF410" s="352"/>
      <c r="AG410" s="91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0"/>
      <c r="BG410" s="90"/>
      <c r="BH410" s="90"/>
      <c r="BI410" s="90"/>
      <c r="BJ410" s="90"/>
      <c r="BK410" s="90"/>
      <c r="BL410" s="90"/>
      <c r="BM410" s="90"/>
      <c r="BN410" s="90"/>
      <c r="BO410" s="90"/>
      <c r="BP410" s="90"/>
      <c r="BQ410" s="90"/>
      <c r="BR410" s="90"/>
      <c r="BS410" s="90"/>
      <c r="BT410" s="90"/>
      <c r="BU410" s="90"/>
      <c r="BV410" s="90"/>
      <c r="BW410" s="90"/>
      <c r="BX410" s="90"/>
      <c r="BY410" s="90"/>
    </row>
    <row r="411" spans="1:77" ht="15.75" customHeight="1" thickBot="1" x14ac:dyDescent="0.3">
      <c r="A411" s="89"/>
      <c r="B411" s="89"/>
      <c r="C411" s="78"/>
      <c r="D411" s="78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352"/>
      <c r="AA411" s="352"/>
      <c r="AB411" s="352"/>
      <c r="AC411" s="352"/>
      <c r="AD411" s="352"/>
      <c r="AE411" s="352"/>
      <c r="AF411" s="352"/>
      <c r="AG411" s="91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  <c r="BF411" s="90"/>
      <c r="BG411" s="90"/>
      <c r="BH411" s="90"/>
      <c r="BI411" s="90"/>
      <c r="BJ411" s="90"/>
      <c r="BK411" s="90"/>
      <c r="BL411" s="90"/>
      <c r="BM411" s="90"/>
      <c r="BN411" s="90"/>
      <c r="BO411" s="90"/>
      <c r="BP411" s="90"/>
      <c r="BQ411" s="90"/>
      <c r="BR411" s="90"/>
      <c r="BS411" s="90"/>
      <c r="BT411" s="90"/>
      <c r="BU411" s="90"/>
      <c r="BV411" s="90"/>
      <c r="BW411" s="90"/>
      <c r="BX411" s="90"/>
      <c r="BY411" s="90"/>
    </row>
    <row r="412" spans="1:77" ht="15.75" customHeight="1" thickBot="1" x14ac:dyDescent="0.3">
      <c r="A412" s="89"/>
      <c r="B412" s="89"/>
      <c r="C412" s="78"/>
      <c r="D412" s="78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352"/>
      <c r="AA412" s="352"/>
      <c r="AB412" s="352"/>
      <c r="AC412" s="352"/>
      <c r="AD412" s="352"/>
      <c r="AE412" s="352"/>
      <c r="AF412" s="352"/>
      <c r="AG412" s="91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90"/>
      <c r="BG412" s="90"/>
      <c r="BH412" s="90"/>
      <c r="BI412" s="90"/>
      <c r="BJ412" s="90"/>
      <c r="BK412" s="90"/>
      <c r="BL412" s="90"/>
      <c r="BM412" s="90"/>
      <c r="BN412" s="90"/>
      <c r="BO412" s="90"/>
      <c r="BP412" s="90"/>
      <c r="BQ412" s="90"/>
      <c r="BR412" s="90"/>
      <c r="BS412" s="90"/>
      <c r="BT412" s="90"/>
      <c r="BU412" s="90"/>
      <c r="BV412" s="90"/>
      <c r="BW412" s="90"/>
      <c r="BX412" s="90"/>
      <c r="BY412" s="90"/>
    </row>
    <row r="413" spans="1:77" ht="15.75" customHeight="1" thickBot="1" x14ac:dyDescent="0.3">
      <c r="A413" s="89"/>
      <c r="B413" s="89"/>
      <c r="C413" s="78"/>
      <c r="D413" s="78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352"/>
      <c r="AA413" s="352"/>
      <c r="AB413" s="352"/>
      <c r="AC413" s="352"/>
      <c r="AD413" s="352"/>
      <c r="AE413" s="352"/>
      <c r="AF413" s="352"/>
      <c r="AG413" s="91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0"/>
      <c r="BF413" s="90"/>
      <c r="BG413" s="90"/>
      <c r="BH413" s="90"/>
      <c r="BI413" s="90"/>
      <c r="BJ413" s="90"/>
      <c r="BK413" s="90"/>
      <c r="BL413" s="90"/>
      <c r="BM413" s="90"/>
      <c r="BN413" s="90"/>
      <c r="BO413" s="90"/>
      <c r="BP413" s="90"/>
      <c r="BQ413" s="90"/>
      <c r="BR413" s="90"/>
      <c r="BS413" s="90"/>
      <c r="BT413" s="90"/>
      <c r="BU413" s="90"/>
      <c r="BV413" s="90"/>
      <c r="BW413" s="90"/>
      <c r="BX413" s="90"/>
      <c r="BY413" s="90"/>
    </row>
    <row r="414" spans="1:77" ht="15.75" customHeight="1" thickBot="1" x14ac:dyDescent="0.3">
      <c r="A414" s="89"/>
      <c r="B414" s="89"/>
      <c r="C414" s="78"/>
      <c r="D414" s="78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352"/>
      <c r="AA414" s="352"/>
      <c r="AB414" s="352"/>
      <c r="AC414" s="352"/>
      <c r="AD414" s="352"/>
      <c r="AE414" s="352"/>
      <c r="AF414" s="352"/>
      <c r="AG414" s="91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0"/>
      <c r="BF414" s="90"/>
      <c r="BG414" s="90"/>
      <c r="BH414" s="90"/>
      <c r="BI414" s="90"/>
      <c r="BJ414" s="90"/>
      <c r="BK414" s="90"/>
      <c r="BL414" s="90"/>
      <c r="BM414" s="90"/>
      <c r="BN414" s="90"/>
      <c r="BO414" s="90"/>
      <c r="BP414" s="90"/>
      <c r="BQ414" s="90"/>
      <c r="BR414" s="90"/>
      <c r="BS414" s="90"/>
      <c r="BT414" s="90"/>
      <c r="BU414" s="90"/>
      <c r="BV414" s="90"/>
      <c r="BW414" s="90"/>
      <c r="BX414" s="90"/>
      <c r="BY414" s="90"/>
    </row>
    <row r="415" spans="1:77" ht="15.75" customHeight="1" thickBot="1" x14ac:dyDescent="0.3">
      <c r="A415" s="89"/>
      <c r="B415" s="89"/>
      <c r="C415" s="78"/>
      <c r="D415" s="78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352"/>
      <c r="AA415" s="352"/>
      <c r="AB415" s="352"/>
      <c r="AC415" s="352"/>
      <c r="AD415" s="352"/>
      <c r="AE415" s="352"/>
      <c r="AF415" s="352"/>
      <c r="AG415" s="91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0"/>
      <c r="BF415" s="90"/>
      <c r="BG415" s="90"/>
      <c r="BH415" s="90"/>
      <c r="BI415" s="90"/>
      <c r="BJ415" s="90"/>
      <c r="BK415" s="90"/>
      <c r="BL415" s="90"/>
      <c r="BM415" s="90"/>
      <c r="BN415" s="90"/>
      <c r="BO415" s="90"/>
      <c r="BP415" s="90"/>
      <c r="BQ415" s="90"/>
      <c r="BR415" s="90"/>
      <c r="BS415" s="90"/>
      <c r="BT415" s="90"/>
      <c r="BU415" s="90"/>
      <c r="BV415" s="90"/>
      <c r="BW415" s="90"/>
      <c r="BX415" s="90"/>
      <c r="BY415" s="90"/>
    </row>
    <row r="416" spans="1:77" ht="15.75" customHeight="1" thickBot="1" x14ac:dyDescent="0.3">
      <c r="A416" s="89"/>
      <c r="B416" s="89"/>
      <c r="C416" s="78"/>
      <c r="D416" s="78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352"/>
      <c r="AA416" s="352"/>
      <c r="AB416" s="352"/>
      <c r="AC416" s="352"/>
      <c r="AD416" s="352"/>
      <c r="AE416" s="352"/>
      <c r="AF416" s="352"/>
      <c r="AG416" s="91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0"/>
      <c r="BF416" s="90"/>
      <c r="BG416" s="90"/>
      <c r="BH416" s="90"/>
      <c r="BI416" s="90"/>
      <c r="BJ416" s="90"/>
      <c r="BK416" s="90"/>
      <c r="BL416" s="90"/>
      <c r="BM416" s="90"/>
      <c r="BN416" s="90"/>
      <c r="BO416" s="90"/>
      <c r="BP416" s="90"/>
      <c r="BQ416" s="90"/>
      <c r="BR416" s="90"/>
      <c r="BS416" s="90"/>
      <c r="BT416" s="90"/>
      <c r="BU416" s="90"/>
      <c r="BV416" s="90"/>
      <c r="BW416" s="90"/>
      <c r="BX416" s="90"/>
      <c r="BY416" s="90"/>
    </row>
    <row r="417" spans="1:77" ht="15.75" customHeight="1" thickBot="1" x14ac:dyDescent="0.3">
      <c r="A417" s="89"/>
      <c r="B417" s="89"/>
      <c r="C417" s="78"/>
      <c r="D417" s="78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352"/>
      <c r="AA417" s="352"/>
      <c r="AB417" s="352"/>
      <c r="AC417" s="352"/>
      <c r="AD417" s="352"/>
      <c r="AE417" s="352"/>
      <c r="AF417" s="352"/>
      <c r="AG417" s="91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  <c r="BB417" s="90"/>
      <c r="BC417" s="90"/>
      <c r="BD417" s="90"/>
      <c r="BE417" s="90"/>
      <c r="BF417" s="90"/>
      <c r="BG417" s="90"/>
      <c r="BH417" s="90"/>
      <c r="BI417" s="90"/>
      <c r="BJ417" s="90"/>
      <c r="BK417" s="90"/>
      <c r="BL417" s="90"/>
      <c r="BM417" s="90"/>
      <c r="BN417" s="90"/>
      <c r="BO417" s="90"/>
      <c r="BP417" s="90"/>
      <c r="BQ417" s="90"/>
      <c r="BR417" s="90"/>
      <c r="BS417" s="90"/>
      <c r="BT417" s="90"/>
      <c r="BU417" s="90"/>
      <c r="BV417" s="90"/>
      <c r="BW417" s="90"/>
      <c r="BX417" s="90"/>
      <c r="BY417" s="90"/>
    </row>
    <row r="418" spans="1:77" ht="15.75" customHeight="1" thickBot="1" x14ac:dyDescent="0.3">
      <c r="A418" s="89"/>
      <c r="B418" s="89"/>
      <c r="C418" s="78"/>
      <c r="D418" s="78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352"/>
      <c r="AA418" s="352"/>
      <c r="AB418" s="352"/>
      <c r="AC418" s="352"/>
      <c r="AD418" s="352"/>
      <c r="AE418" s="352"/>
      <c r="AF418" s="352"/>
      <c r="AG418" s="91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  <c r="BB418" s="90"/>
      <c r="BC418" s="90"/>
      <c r="BD418" s="90"/>
      <c r="BE418" s="90"/>
      <c r="BF418" s="90"/>
      <c r="BG418" s="90"/>
      <c r="BH418" s="90"/>
      <c r="BI418" s="90"/>
      <c r="BJ418" s="90"/>
      <c r="BK418" s="90"/>
      <c r="BL418" s="90"/>
      <c r="BM418" s="90"/>
      <c r="BN418" s="90"/>
      <c r="BO418" s="90"/>
      <c r="BP418" s="90"/>
      <c r="BQ418" s="90"/>
      <c r="BR418" s="90"/>
      <c r="BS418" s="90"/>
      <c r="BT418" s="90"/>
      <c r="BU418" s="90"/>
      <c r="BV418" s="90"/>
      <c r="BW418" s="90"/>
      <c r="BX418" s="90"/>
      <c r="BY418" s="90"/>
    </row>
    <row r="419" spans="1:77" ht="15.75" customHeight="1" thickBot="1" x14ac:dyDescent="0.3">
      <c r="A419" s="89"/>
      <c r="B419" s="89"/>
      <c r="C419" s="78"/>
      <c r="D419" s="78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352"/>
      <c r="AA419" s="352"/>
      <c r="AB419" s="352"/>
      <c r="AC419" s="352"/>
      <c r="AD419" s="352"/>
      <c r="AE419" s="352"/>
      <c r="AF419" s="352"/>
      <c r="AG419" s="91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  <c r="BB419" s="90"/>
      <c r="BC419" s="90"/>
      <c r="BD419" s="90"/>
      <c r="BE419" s="90"/>
      <c r="BF419" s="90"/>
      <c r="BG419" s="90"/>
      <c r="BH419" s="90"/>
      <c r="BI419" s="90"/>
      <c r="BJ419" s="90"/>
      <c r="BK419" s="90"/>
      <c r="BL419" s="90"/>
      <c r="BM419" s="90"/>
      <c r="BN419" s="90"/>
      <c r="BO419" s="90"/>
      <c r="BP419" s="90"/>
      <c r="BQ419" s="90"/>
      <c r="BR419" s="90"/>
      <c r="BS419" s="90"/>
      <c r="BT419" s="90"/>
      <c r="BU419" s="90"/>
      <c r="BV419" s="90"/>
      <c r="BW419" s="90"/>
      <c r="BX419" s="90"/>
      <c r="BY419" s="90"/>
    </row>
    <row r="420" spans="1:77" ht="15.75" customHeight="1" thickBot="1" x14ac:dyDescent="0.3">
      <c r="A420" s="89"/>
      <c r="B420" s="89"/>
      <c r="C420" s="78"/>
      <c r="D420" s="78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352"/>
      <c r="AA420" s="352"/>
      <c r="AB420" s="352"/>
      <c r="AC420" s="352"/>
      <c r="AD420" s="352"/>
      <c r="AE420" s="352"/>
      <c r="AF420" s="352"/>
      <c r="AG420" s="91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  <c r="BB420" s="90"/>
      <c r="BC420" s="90"/>
      <c r="BD420" s="90"/>
      <c r="BE420" s="90"/>
      <c r="BF420" s="90"/>
      <c r="BG420" s="90"/>
      <c r="BH420" s="90"/>
      <c r="BI420" s="90"/>
      <c r="BJ420" s="90"/>
      <c r="BK420" s="90"/>
      <c r="BL420" s="90"/>
      <c r="BM420" s="90"/>
      <c r="BN420" s="90"/>
      <c r="BO420" s="90"/>
      <c r="BP420" s="90"/>
      <c r="BQ420" s="90"/>
      <c r="BR420" s="90"/>
      <c r="BS420" s="90"/>
      <c r="BT420" s="90"/>
      <c r="BU420" s="90"/>
      <c r="BV420" s="90"/>
      <c r="BW420" s="90"/>
      <c r="BX420" s="90"/>
      <c r="BY420" s="90"/>
    </row>
    <row r="421" spans="1:77" ht="15.75" customHeight="1" thickBot="1" x14ac:dyDescent="0.3">
      <c r="A421" s="89"/>
      <c r="B421" s="89"/>
      <c r="C421" s="78"/>
      <c r="D421" s="78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352"/>
      <c r="AA421" s="352"/>
      <c r="AB421" s="352"/>
      <c r="AC421" s="352"/>
      <c r="AD421" s="352"/>
      <c r="AE421" s="352"/>
      <c r="AF421" s="352"/>
      <c r="AG421" s="91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  <c r="BB421" s="90"/>
      <c r="BC421" s="90"/>
      <c r="BD421" s="90"/>
      <c r="BE421" s="90"/>
      <c r="BF421" s="90"/>
      <c r="BG421" s="90"/>
      <c r="BH421" s="90"/>
      <c r="BI421" s="90"/>
      <c r="BJ421" s="90"/>
      <c r="BK421" s="90"/>
      <c r="BL421" s="90"/>
      <c r="BM421" s="90"/>
      <c r="BN421" s="90"/>
      <c r="BO421" s="90"/>
      <c r="BP421" s="90"/>
      <c r="BQ421" s="90"/>
      <c r="BR421" s="90"/>
      <c r="BS421" s="90"/>
      <c r="BT421" s="90"/>
      <c r="BU421" s="90"/>
      <c r="BV421" s="90"/>
      <c r="BW421" s="90"/>
      <c r="BX421" s="90"/>
      <c r="BY421" s="90"/>
    </row>
    <row r="422" spans="1:77" ht="15.75" customHeight="1" thickBot="1" x14ac:dyDescent="0.3">
      <c r="A422" s="89"/>
      <c r="B422" s="89"/>
      <c r="C422" s="78"/>
      <c r="D422" s="78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352"/>
      <c r="AA422" s="352"/>
      <c r="AB422" s="352"/>
      <c r="AC422" s="352"/>
      <c r="AD422" s="352"/>
      <c r="AE422" s="352"/>
      <c r="AF422" s="352"/>
      <c r="AG422" s="91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  <c r="BB422" s="90"/>
      <c r="BC422" s="90"/>
      <c r="BD422" s="90"/>
      <c r="BE422" s="90"/>
      <c r="BF422" s="90"/>
      <c r="BG422" s="90"/>
      <c r="BH422" s="90"/>
      <c r="BI422" s="90"/>
      <c r="BJ422" s="90"/>
      <c r="BK422" s="90"/>
      <c r="BL422" s="90"/>
      <c r="BM422" s="90"/>
      <c r="BN422" s="90"/>
      <c r="BO422" s="90"/>
      <c r="BP422" s="90"/>
      <c r="BQ422" s="90"/>
      <c r="BR422" s="90"/>
      <c r="BS422" s="90"/>
      <c r="BT422" s="90"/>
      <c r="BU422" s="90"/>
      <c r="BV422" s="90"/>
      <c r="BW422" s="90"/>
      <c r="BX422" s="90"/>
      <c r="BY422" s="90"/>
    </row>
    <row r="423" spans="1:77" ht="15.75" customHeight="1" thickBot="1" x14ac:dyDescent="0.3">
      <c r="A423" s="89"/>
      <c r="B423" s="89"/>
      <c r="C423" s="78"/>
      <c r="D423" s="78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352"/>
      <c r="AA423" s="352"/>
      <c r="AB423" s="352"/>
      <c r="AC423" s="352"/>
      <c r="AD423" s="352"/>
      <c r="AE423" s="352"/>
      <c r="AF423" s="352"/>
      <c r="AG423" s="91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  <c r="BB423" s="90"/>
      <c r="BC423" s="90"/>
      <c r="BD423" s="90"/>
      <c r="BE423" s="90"/>
      <c r="BF423" s="90"/>
      <c r="BG423" s="90"/>
      <c r="BH423" s="90"/>
      <c r="BI423" s="90"/>
      <c r="BJ423" s="90"/>
      <c r="BK423" s="90"/>
      <c r="BL423" s="90"/>
      <c r="BM423" s="90"/>
      <c r="BN423" s="90"/>
      <c r="BO423" s="90"/>
      <c r="BP423" s="90"/>
      <c r="BQ423" s="90"/>
      <c r="BR423" s="90"/>
      <c r="BS423" s="90"/>
      <c r="BT423" s="90"/>
      <c r="BU423" s="90"/>
      <c r="BV423" s="90"/>
      <c r="BW423" s="90"/>
      <c r="BX423" s="90"/>
      <c r="BY423" s="90"/>
    </row>
    <row r="424" spans="1:77" ht="15.75" customHeight="1" thickBot="1" x14ac:dyDescent="0.3">
      <c r="A424" s="89"/>
      <c r="B424" s="89"/>
      <c r="C424" s="78"/>
      <c r="D424" s="78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352"/>
      <c r="AA424" s="352"/>
      <c r="AB424" s="352"/>
      <c r="AC424" s="352"/>
      <c r="AD424" s="352"/>
      <c r="AE424" s="352"/>
      <c r="AF424" s="352"/>
      <c r="AG424" s="91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  <c r="BB424" s="90"/>
      <c r="BC424" s="90"/>
      <c r="BD424" s="90"/>
      <c r="BE424" s="90"/>
      <c r="BF424" s="90"/>
      <c r="BG424" s="90"/>
      <c r="BH424" s="90"/>
      <c r="BI424" s="90"/>
      <c r="BJ424" s="90"/>
      <c r="BK424" s="90"/>
      <c r="BL424" s="90"/>
      <c r="BM424" s="90"/>
      <c r="BN424" s="90"/>
      <c r="BO424" s="90"/>
      <c r="BP424" s="90"/>
      <c r="BQ424" s="90"/>
      <c r="BR424" s="90"/>
      <c r="BS424" s="90"/>
      <c r="BT424" s="90"/>
      <c r="BU424" s="90"/>
      <c r="BV424" s="90"/>
      <c r="BW424" s="90"/>
      <c r="BX424" s="90"/>
      <c r="BY424" s="90"/>
    </row>
    <row r="425" spans="1:77" ht="15.75" customHeight="1" thickBot="1" x14ac:dyDescent="0.3">
      <c r="A425" s="89"/>
      <c r="B425" s="89"/>
      <c r="C425" s="78"/>
      <c r="D425" s="78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352"/>
      <c r="AA425" s="352"/>
      <c r="AB425" s="352"/>
      <c r="AC425" s="352"/>
      <c r="AD425" s="352"/>
      <c r="AE425" s="352"/>
      <c r="AF425" s="352"/>
      <c r="AG425" s="91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  <c r="BB425" s="90"/>
      <c r="BC425" s="90"/>
      <c r="BD425" s="90"/>
      <c r="BE425" s="90"/>
      <c r="BF425" s="90"/>
      <c r="BG425" s="90"/>
      <c r="BH425" s="90"/>
      <c r="BI425" s="90"/>
      <c r="BJ425" s="90"/>
      <c r="BK425" s="90"/>
      <c r="BL425" s="90"/>
      <c r="BM425" s="90"/>
      <c r="BN425" s="90"/>
      <c r="BO425" s="90"/>
      <c r="BP425" s="90"/>
      <c r="BQ425" s="90"/>
      <c r="BR425" s="90"/>
      <c r="BS425" s="90"/>
      <c r="BT425" s="90"/>
      <c r="BU425" s="90"/>
      <c r="BV425" s="90"/>
      <c r="BW425" s="90"/>
      <c r="BX425" s="90"/>
      <c r="BY425" s="90"/>
    </row>
    <row r="426" spans="1:77" ht="15.75" customHeight="1" thickBot="1" x14ac:dyDescent="0.3">
      <c r="A426" s="89"/>
      <c r="B426" s="89"/>
      <c r="C426" s="78"/>
      <c r="D426" s="78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352"/>
      <c r="AA426" s="352"/>
      <c r="AB426" s="352"/>
      <c r="AC426" s="352"/>
      <c r="AD426" s="352"/>
      <c r="AE426" s="352"/>
      <c r="AF426" s="352"/>
      <c r="AG426" s="91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  <c r="BB426" s="90"/>
      <c r="BC426" s="90"/>
      <c r="BD426" s="90"/>
      <c r="BE426" s="90"/>
      <c r="BF426" s="90"/>
      <c r="BG426" s="90"/>
      <c r="BH426" s="90"/>
      <c r="BI426" s="90"/>
      <c r="BJ426" s="90"/>
      <c r="BK426" s="90"/>
      <c r="BL426" s="90"/>
      <c r="BM426" s="90"/>
      <c r="BN426" s="90"/>
      <c r="BO426" s="90"/>
      <c r="BP426" s="90"/>
      <c r="BQ426" s="90"/>
      <c r="BR426" s="90"/>
      <c r="BS426" s="90"/>
      <c r="BT426" s="90"/>
      <c r="BU426" s="90"/>
      <c r="BV426" s="90"/>
      <c r="BW426" s="90"/>
      <c r="BX426" s="90"/>
      <c r="BY426" s="90"/>
    </row>
    <row r="427" spans="1:77" ht="15.75" customHeight="1" thickBot="1" x14ac:dyDescent="0.3">
      <c r="A427" s="89"/>
      <c r="B427" s="89"/>
      <c r="C427" s="78"/>
      <c r="D427" s="78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352"/>
      <c r="AA427" s="352"/>
      <c r="AB427" s="352"/>
      <c r="AC427" s="352"/>
      <c r="AD427" s="352"/>
      <c r="AE427" s="352"/>
      <c r="AF427" s="352"/>
      <c r="AG427" s="91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  <c r="BB427" s="90"/>
      <c r="BC427" s="90"/>
      <c r="BD427" s="90"/>
      <c r="BE427" s="90"/>
      <c r="BF427" s="90"/>
      <c r="BG427" s="90"/>
      <c r="BH427" s="90"/>
      <c r="BI427" s="90"/>
      <c r="BJ427" s="90"/>
      <c r="BK427" s="90"/>
      <c r="BL427" s="90"/>
      <c r="BM427" s="90"/>
      <c r="BN427" s="90"/>
      <c r="BO427" s="90"/>
      <c r="BP427" s="90"/>
      <c r="BQ427" s="90"/>
      <c r="BR427" s="90"/>
      <c r="BS427" s="90"/>
      <c r="BT427" s="90"/>
      <c r="BU427" s="90"/>
      <c r="BV427" s="90"/>
      <c r="BW427" s="90"/>
      <c r="BX427" s="90"/>
      <c r="BY427" s="90"/>
    </row>
    <row r="428" spans="1:77" ht="15.75" customHeight="1" thickBot="1" x14ac:dyDescent="0.3">
      <c r="A428" s="89"/>
      <c r="B428" s="89"/>
      <c r="C428" s="78"/>
      <c r="D428" s="78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352"/>
      <c r="AA428" s="352"/>
      <c r="AB428" s="352"/>
      <c r="AC428" s="352"/>
      <c r="AD428" s="352"/>
      <c r="AE428" s="352"/>
      <c r="AF428" s="352"/>
      <c r="AG428" s="91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  <c r="BB428" s="90"/>
      <c r="BC428" s="90"/>
      <c r="BD428" s="90"/>
      <c r="BE428" s="90"/>
      <c r="BF428" s="90"/>
      <c r="BG428" s="90"/>
      <c r="BH428" s="90"/>
      <c r="BI428" s="90"/>
      <c r="BJ428" s="90"/>
      <c r="BK428" s="90"/>
      <c r="BL428" s="90"/>
      <c r="BM428" s="90"/>
      <c r="BN428" s="90"/>
      <c r="BO428" s="90"/>
      <c r="BP428" s="90"/>
      <c r="BQ428" s="90"/>
      <c r="BR428" s="90"/>
      <c r="BS428" s="90"/>
      <c r="BT428" s="90"/>
      <c r="BU428" s="90"/>
      <c r="BV428" s="90"/>
      <c r="BW428" s="90"/>
      <c r="BX428" s="90"/>
      <c r="BY428" s="90"/>
    </row>
    <row r="429" spans="1:77" ht="15.75" customHeight="1" thickBot="1" x14ac:dyDescent="0.3">
      <c r="A429" s="89"/>
      <c r="B429" s="89"/>
      <c r="C429" s="78"/>
      <c r="D429" s="78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352"/>
      <c r="AA429" s="352"/>
      <c r="AB429" s="352"/>
      <c r="AC429" s="352"/>
      <c r="AD429" s="352"/>
      <c r="AE429" s="352"/>
      <c r="AF429" s="352"/>
      <c r="AG429" s="91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0"/>
      <c r="BF429" s="90"/>
      <c r="BG429" s="90"/>
      <c r="BH429" s="90"/>
      <c r="BI429" s="90"/>
      <c r="BJ429" s="90"/>
      <c r="BK429" s="90"/>
      <c r="BL429" s="90"/>
      <c r="BM429" s="90"/>
      <c r="BN429" s="90"/>
      <c r="BO429" s="90"/>
      <c r="BP429" s="90"/>
      <c r="BQ429" s="90"/>
      <c r="BR429" s="90"/>
      <c r="BS429" s="90"/>
      <c r="BT429" s="90"/>
      <c r="BU429" s="90"/>
      <c r="BV429" s="90"/>
      <c r="BW429" s="90"/>
      <c r="BX429" s="90"/>
      <c r="BY429" s="90"/>
    </row>
    <row r="430" spans="1:77" ht="15.75" customHeight="1" thickBot="1" x14ac:dyDescent="0.3">
      <c r="A430" s="89"/>
      <c r="B430" s="89"/>
      <c r="C430" s="78"/>
      <c r="D430" s="78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352"/>
      <c r="AA430" s="352"/>
      <c r="AB430" s="352"/>
      <c r="AC430" s="352"/>
      <c r="AD430" s="352"/>
      <c r="AE430" s="352"/>
      <c r="AF430" s="352"/>
      <c r="AG430" s="91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0"/>
      <c r="BF430" s="90"/>
      <c r="BG430" s="90"/>
      <c r="BH430" s="90"/>
      <c r="BI430" s="90"/>
      <c r="BJ430" s="90"/>
      <c r="BK430" s="90"/>
      <c r="BL430" s="90"/>
      <c r="BM430" s="90"/>
      <c r="BN430" s="90"/>
      <c r="BO430" s="90"/>
      <c r="BP430" s="90"/>
      <c r="BQ430" s="90"/>
      <c r="BR430" s="90"/>
      <c r="BS430" s="90"/>
      <c r="BT430" s="90"/>
      <c r="BU430" s="90"/>
      <c r="BV430" s="90"/>
      <c r="BW430" s="90"/>
      <c r="BX430" s="90"/>
      <c r="BY430" s="90"/>
    </row>
    <row r="431" spans="1:77" ht="15.75" customHeight="1" thickBot="1" x14ac:dyDescent="0.3">
      <c r="A431" s="89"/>
      <c r="B431" s="89"/>
      <c r="C431" s="78"/>
      <c r="D431" s="78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352"/>
      <c r="AA431" s="352"/>
      <c r="AB431" s="352"/>
      <c r="AC431" s="352"/>
      <c r="AD431" s="352"/>
      <c r="AE431" s="352"/>
      <c r="AF431" s="352"/>
      <c r="AG431" s="91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0"/>
      <c r="BF431" s="90"/>
      <c r="BG431" s="90"/>
      <c r="BH431" s="90"/>
      <c r="BI431" s="90"/>
      <c r="BJ431" s="90"/>
      <c r="BK431" s="90"/>
      <c r="BL431" s="90"/>
      <c r="BM431" s="90"/>
      <c r="BN431" s="90"/>
      <c r="BO431" s="90"/>
      <c r="BP431" s="90"/>
      <c r="BQ431" s="90"/>
      <c r="BR431" s="90"/>
      <c r="BS431" s="90"/>
      <c r="BT431" s="90"/>
      <c r="BU431" s="90"/>
      <c r="BV431" s="90"/>
      <c r="BW431" s="90"/>
      <c r="BX431" s="90"/>
      <c r="BY431" s="90"/>
    </row>
    <row r="432" spans="1:77" ht="15.75" customHeight="1" thickBot="1" x14ac:dyDescent="0.3">
      <c r="A432" s="89"/>
      <c r="B432" s="89"/>
      <c r="C432" s="78"/>
      <c r="D432" s="78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352"/>
      <c r="AA432" s="352"/>
      <c r="AB432" s="352"/>
      <c r="AC432" s="352"/>
      <c r="AD432" s="352"/>
      <c r="AE432" s="352"/>
      <c r="AF432" s="352"/>
      <c r="AG432" s="91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0"/>
      <c r="BF432" s="90"/>
      <c r="BG432" s="90"/>
      <c r="BH432" s="90"/>
      <c r="BI432" s="90"/>
      <c r="BJ432" s="90"/>
      <c r="BK432" s="90"/>
      <c r="BL432" s="90"/>
      <c r="BM432" s="90"/>
      <c r="BN432" s="90"/>
      <c r="BO432" s="90"/>
      <c r="BP432" s="90"/>
      <c r="BQ432" s="90"/>
      <c r="BR432" s="90"/>
      <c r="BS432" s="90"/>
      <c r="BT432" s="90"/>
      <c r="BU432" s="90"/>
      <c r="BV432" s="90"/>
      <c r="BW432" s="90"/>
      <c r="BX432" s="90"/>
      <c r="BY432" s="90"/>
    </row>
    <row r="433" spans="1:77" ht="15.75" customHeight="1" thickBot="1" x14ac:dyDescent="0.3">
      <c r="A433" s="89"/>
      <c r="B433" s="89"/>
      <c r="C433" s="78"/>
      <c r="D433" s="78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352"/>
      <c r="AA433" s="352"/>
      <c r="AB433" s="352"/>
      <c r="AC433" s="352"/>
      <c r="AD433" s="352"/>
      <c r="AE433" s="352"/>
      <c r="AF433" s="352"/>
      <c r="AG433" s="91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  <c r="BF433" s="90"/>
      <c r="BG433" s="90"/>
      <c r="BH433" s="90"/>
      <c r="BI433" s="90"/>
      <c r="BJ433" s="90"/>
      <c r="BK433" s="90"/>
      <c r="BL433" s="90"/>
      <c r="BM433" s="90"/>
      <c r="BN433" s="90"/>
      <c r="BO433" s="90"/>
      <c r="BP433" s="90"/>
      <c r="BQ433" s="90"/>
      <c r="BR433" s="90"/>
      <c r="BS433" s="90"/>
      <c r="BT433" s="90"/>
      <c r="BU433" s="90"/>
      <c r="BV433" s="90"/>
      <c r="BW433" s="90"/>
      <c r="BX433" s="90"/>
      <c r="BY433" s="90"/>
    </row>
    <row r="434" spans="1:77" ht="15.75" customHeight="1" thickBot="1" x14ac:dyDescent="0.3">
      <c r="A434" s="89"/>
      <c r="B434" s="89"/>
      <c r="C434" s="78"/>
      <c r="D434" s="78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352"/>
      <c r="AA434" s="352"/>
      <c r="AB434" s="352"/>
      <c r="AC434" s="352"/>
      <c r="AD434" s="352"/>
      <c r="AE434" s="352"/>
      <c r="AF434" s="352"/>
      <c r="AG434" s="91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0"/>
      <c r="BF434" s="90"/>
      <c r="BG434" s="90"/>
      <c r="BH434" s="90"/>
      <c r="BI434" s="90"/>
      <c r="BJ434" s="90"/>
      <c r="BK434" s="90"/>
      <c r="BL434" s="90"/>
      <c r="BM434" s="90"/>
      <c r="BN434" s="90"/>
      <c r="BO434" s="90"/>
      <c r="BP434" s="90"/>
      <c r="BQ434" s="90"/>
      <c r="BR434" s="90"/>
      <c r="BS434" s="90"/>
      <c r="BT434" s="90"/>
      <c r="BU434" s="90"/>
      <c r="BV434" s="90"/>
      <c r="BW434" s="90"/>
      <c r="BX434" s="90"/>
      <c r="BY434" s="90"/>
    </row>
    <row r="435" spans="1:77" ht="15.75" customHeight="1" thickBot="1" x14ac:dyDescent="0.3">
      <c r="A435" s="89"/>
      <c r="B435" s="89"/>
      <c r="C435" s="78"/>
      <c r="D435" s="78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352"/>
      <c r="AA435" s="352"/>
      <c r="AB435" s="352"/>
      <c r="AC435" s="352"/>
      <c r="AD435" s="352"/>
      <c r="AE435" s="352"/>
      <c r="AF435" s="352"/>
      <c r="AG435" s="91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  <c r="BF435" s="90"/>
      <c r="BG435" s="90"/>
      <c r="BH435" s="90"/>
      <c r="BI435" s="90"/>
      <c r="BJ435" s="90"/>
      <c r="BK435" s="90"/>
      <c r="BL435" s="90"/>
      <c r="BM435" s="90"/>
      <c r="BN435" s="90"/>
      <c r="BO435" s="90"/>
      <c r="BP435" s="90"/>
      <c r="BQ435" s="90"/>
      <c r="BR435" s="90"/>
      <c r="BS435" s="90"/>
      <c r="BT435" s="90"/>
      <c r="BU435" s="90"/>
      <c r="BV435" s="90"/>
      <c r="BW435" s="90"/>
      <c r="BX435" s="90"/>
      <c r="BY435" s="90"/>
    </row>
    <row r="436" spans="1:77" ht="15.75" customHeight="1" thickBot="1" x14ac:dyDescent="0.3">
      <c r="A436" s="89"/>
      <c r="B436" s="89"/>
      <c r="C436" s="78"/>
      <c r="D436" s="78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352"/>
      <c r="AA436" s="352"/>
      <c r="AB436" s="352"/>
      <c r="AC436" s="352"/>
      <c r="AD436" s="352"/>
      <c r="AE436" s="352"/>
      <c r="AF436" s="352"/>
      <c r="AG436" s="91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0"/>
      <c r="BF436" s="90"/>
      <c r="BG436" s="90"/>
      <c r="BH436" s="90"/>
      <c r="BI436" s="90"/>
      <c r="BJ436" s="90"/>
      <c r="BK436" s="90"/>
      <c r="BL436" s="90"/>
      <c r="BM436" s="90"/>
      <c r="BN436" s="90"/>
      <c r="BO436" s="90"/>
      <c r="BP436" s="90"/>
      <c r="BQ436" s="90"/>
      <c r="BR436" s="90"/>
      <c r="BS436" s="90"/>
      <c r="BT436" s="90"/>
      <c r="BU436" s="90"/>
      <c r="BV436" s="90"/>
      <c r="BW436" s="90"/>
      <c r="BX436" s="90"/>
      <c r="BY436" s="90"/>
    </row>
    <row r="437" spans="1:77" ht="15.75" customHeight="1" thickBot="1" x14ac:dyDescent="0.3">
      <c r="A437" s="89"/>
      <c r="B437" s="89"/>
      <c r="C437" s="78"/>
      <c r="D437" s="78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352"/>
      <c r="AA437" s="352"/>
      <c r="AB437" s="352"/>
      <c r="AC437" s="352"/>
      <c r="AD437" s="352"/>
      <c r="AE437" s="352"/>
      <c r="AF437" s="352"/>
      <c r="AG437" s="91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0"/>
      <c r="BF437" s="90"/>
      <c r="BG437" s="90"/>
      <c r="BH437" s="90"/>
      <c r="BI437" s="90"/>
      <c r="BJ437" s="90"/>
      <c r="BK437" s="90"/>
      <c r="BL437" s="90"/>
      <c r="BM437" s="90"/>
      <c r="BN437" s="90"/>
      <c r="BO437" s="90"/>
      <c r="BP437" s="90"/>
      <c r="BQ437" s="90"/>
      <c r="BR437" s="90"/>
      <c r="BS437" s="90"/>
      <c r="BT437" s="90"/>
      <c r="BU437" s="90"/>
      <c r="BV437" s="90"/>
      <c r="BW437" s="90"/>
      <c r="BX437" s="90"/>
      <c r="BY437" s="90"/>
    </row>
    <row r="438" spans="1:77" ht="15.75" customHeight="1" thickBot="1" x14ac:dyDescent="0.3">
      <c r="A438" s="89"/>
      <c r="B438" s="89"/>
      <c r="C438" s="78"/>
      <c r="D438" s="78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352"/>
      <c r="AA438" s="352"/>
      <c r="AB438" s="352"/>
      <c r="AC438" s="352"/>
      <c r="AD438" s="352"/>
      <c r="AE438" s="352"/>
      <c r="AF438" s="352"/>
      <c r="AG438" s="91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  <c r="BF438" s="90"/>
      <c r="BG438" s="90"/>
      <c r="BH438" s="90"/>
      <c r="BI438" s="90"/>
      <c r="BJ438" s="90"/>
      <c r="BK438" s="90"/>
      <c r="BL438" s="90"/>
      <c r="BM438" s="90"/>
      <c r="BN438" s="90"/>
      <c r="BO438" s="90"/>
      <c r="BP438" s="90"/>
      <c r="BQ438" s="90"/>
      <c r="BR438" s="90"/>
      <c r="BS438" s="90"/>
      <c r="BT438" s="90"/>
      <c r="BU438" s="90"/>
      <c r="BV438" s="90"/>
      <c r="BW438" s="90"/>
      <c r="BX438" s="90"/>
      <c r="BY438" s="90"/>
    </row>
    <row r="439" spans="1:77" ht="15.75" customHeight="1" thickBot="1" x14ac:dyDescent="0.3">
      <c r="A439" s="89"/>
      <c r="B439" s="89"/>
      <c r="C439" s="78"/>
      <c r="D439" s="78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352"/>
      <c r="AA439" s="352"/>
      <c r="AB439" s="352"/>
      <c r="AC439" s="352"/>
      <c r="AD439" s="352"/>
      <c r="AE439" s="352"/>
      <c r="AF439" s="352"/>
      <c r="AG439" s="91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0"/>
      <c r="BF439" s="90"/>
      <c r="BG439" s="90"/>
      <c r="BH439" s="90"/>
      <c r="BI439" s="90"/>
      <c r="BJ439" s="90"/>
      <c r="BK439" s="90"/>
      <c r="BL439" s="90"/>
      <c r="BM439" s="90"/>
      <c r="BN439" s="90"/>
      <c r="BO439" s="90"/>
      <c r="BP439" s="90"/>
      <c r="BQ439" s="90"/>
      <c r="BR439" s="90"/>
      <c r="BS439" s="90"/>
      <c r="BT439" s="90"/>
      <c r="BU439" s="90"/>
      <c r="BV439" s="90"/>
      <c r="BW439" s="90"/>
      <c r="BX439" s="90"/>
      <c r="BY439" s="90"/>
    </row>
    <row r="440" spans="1:77" ht="15.75" customHeight="1" thickBot="1" x14ac:dyDescent="0.3">
      <c r="A440" s="89"/>
      <c r="B440" s="89"/>
      <c r="C440" s="78"/>
      <c r="D440" s="78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352"/>
      <c r="AA440" s="352"/>
      <c r="AB440" s="352"/>
      <c r="AC440" s="352"/>
      <c r="AD440" s="352"/>
      <c r="AE440" s="352"/>
      <c r="AF440" s="352"/>
      <c r="AG440" s="91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  <c r="BB440" s="90"/>
      <c r="BC440" s="90"/>
      <c r="BD440" s="90"/>
      <c r="BE440" s="90"/>
      <c r="BF440" s="90"/>
      <c r="BG440" s="90"/>
      <c r="BH440" s="90"/>
      <c r="BI440" s="90"/>
      <c r="BJ440" s="90"/>
      <c r="BK440" s="90"/>
      <c r="BL440" s="90"/>
      <c r="BM440" s="90"/>
      <c r="BN440" s="90"/>
      <c r="BO440" s="90"/>
      <c r="BP440" s="90"/>
      <c r="BQ440" s="90"/>
      <c r="BR440" s="90"/>
      <c r="BS440" s="90"/>
      <c r="BT440" s="90"/>
      <c r="BU440" s="90"/>
      <c r="BV440" s="90"/>
      <c r="BW440" s="90"/>
      <c r="BX440" s="90"/>
      <c r="BY440" s="90"/>
    </row>
    <row r="441" spans="1:77" ht="15.75" customHeight="1" thickBot="1" x14ac:dyDescent="0.3">
      <c r="A441" s="89"/>
      <c r="B441" s="89"/>
      <c r="C441" s="78"/>
      <c r="D441" s="78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352"/>
      <c r="AA441" s="352"/>
      <c r="AB441" s="352"/>
      <c r="AC441" s="352"/>
      <c r="AD441" s="352"/>
      <c r="AE441" s="352"/>
      <c r="AF441" s="352"/>
      <c r="AG441" s="91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  <c r="BB441" s="90"/>
      <c r="BC441" s="90"/>
      <c r="BD441" s="90"/>
      <c r="BE441" s="90"/>
      <c r="BF441" s="90"/>
      <c r="BG441" s="90"/>
      <c r="BH441" s="90"/>
      <c r="BI441" s="90"/>
      <c r="BJ441" s="90"/>
      <c r="BK441" s="90"/>
      <c r="BL441" s="90"/>
      <c r="BM441" s="90"/>
      <c r="BN441" s="90"/>
      <c r="BO441" s="90"/>
      <c r="BP441" s="90"/>
      <c r="BQ441" s="90"/>
      <c r="BR441" s="90"/>
      <c r="BS441" s="90"/>
      <c r="BT441" s="90"/>
      <c r="BU441" s="90"/>
      <c r="BV441" s="90"/>
      <c r="BW441" s="90"/>
      <c r="BX441" s="90"/>
      <c r="BY441" s="90"/>
    </row>
    <row r="442" spans="1:77" ht="15.75" customHeight="1" thickBot="1" x14ac:dyDescent="0.3">
      <c r="A442" s="89"/>
      <c r="B442" s="89"/>
      <c r="C442" s="78"/>
      <c r="D442" s="78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352"/>
      <c r="AA442" s="352"/>
      <c r="AB442" s="352"/>
      <c r="AC442" s="352"/>
      <c r="AD442" s="352"/>
      <c r="AE442" s="352"/>
      <c r="AF442" s="352"/>
      <c r="AG442" s="91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  <c r="BB442" s="90"/>
      <c r="BC442" s="90"/>
      <c r="BD442" s="90"/>
      <c r="BE442" s="90"/>
      <c r="BF442" s="90"/>
      <c r="BG442" s="90"/>
      <c r="BH442" s="90"/>
      <c r="BI442" s="90"/>
      <c r="BJ442" s="90"/>
      <c r="BK442" s="90"/>
      <c r="BL442" s="90"/>
      <c r="BM442" s="90"/>
      <c r="BN442" s="90"/>
      <c r="BO442" s="90"/>
      <c r="BP442" s="90"/>
      <c r="BQ442" s="90"/>
      <c r="BR442" s="90"/>
      <c r="BS442" s="90"/>
      <c r="BT442" s="90"/>
      <c r="BU442" s="90"/>
      <c r="BV442" s="90"/>
      <c r="BW442" s="90"/>
      <c r="BX442" s="90"/>
      <c r="BY442" s="90"/>
    </row>
    <row r="443" spans="1:77" ht="15.75" customHeight="1" thickBot="1" x14ac:dyDescent="0.3">
      <c r="A443" s="89"/>
      <c r="B443" s="89"/>
      <c r="C443" s="78"/>
      <c r="D443" s="78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352"/>
      <c r="AA443" s="352"/>
      <c r="AB443" s="352"/>
      <c r="AC443" s="352"/>
      <c r="AD443" s="352"/>
      <c r="AE443" s="352"/>
      <c r="AF443" s="352"/>
      <c r="AG443" s="91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  <c r="BB443" s="90"/>
      <c r="BC443" s="90"/>
      <c r="BD443" s="90"/>
      <c r="BE443" s="90"/>
      <c r="BF443" s="90"/>
      <c r="BG443" s="90"/>
      <c r="BH443" s="90"/>
      <c r="BI443" s="90"/>
      <c r="BJ443" s="90"/>
      <c r="BK443" s="90"/>
      <c r="BL443" s="90"/>
      <c r="BM443" s="90"/>
      <c r="BN443" s="90"/>
      <c r="BO443" s="90"/>
      <c r="BP443" s="90"/>
      <c r="BQ443" s="90"/>
      <c r="BR443" s="90"/>
      <c r="BS443" s="90"/>
      <c r="BT443" s="90"/>
      <c r="BU443" s="90"/>
      <c r="BV443" s="90"/>
      <c r="BW443" s="90"/>
      <c r="BX443" s="90"/>
      <c r="BY443" s="90"/>
    </row>
    <row r="444" spans="1:77" ht="15.75" customHeight="1" thickBot="1" x14ac:dyDescent="0.3">
      <c r="A444" s="89"/>
      <c r="B444" s="89"/>
      <c r="C444" s="78"/>
      <c r="D444" s="78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352"/>
      <c r="AA444" s="352"/>
      <c r="AB444" s="352"/>
      <c r="AC444" s="352"/>
      <c r="AD444" s="352"/>
      <c r="AE444" s="352"/>
      <c r="AF444" s="352"/>
      <c r="AG444" s="91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  <c r="BB444" s="90"/>
      <c r="BC444" s="90"/>
      <c r="BD444" s="90"/>
      <c r="BE444" s="90"/>
      <c r="BF444" s="90"/>
      <c r="BG444" s="90"/>
      <c r="BH444" s="90"/>
      <c r="BI444" s="90"/>
      <c r="BJ444" s="90"/>
      <c r="BK444" s="90"/>
      <c r="BL444" s="90"/>
      <c r="BM444" s="90"/>
      <c r="BN444" s="90"/>
      <c r="BO444" s="90"/>
      <c r="BP444" s="90"/>
      <c r="BQ444" s="90"/>
      <c r="BR444" s="90"/>
      <c r="BS444" s="90"/>
      <c r="BT444" s="90"/>
      <c r="BU444" s="90"/>
      <c r="BV444" s="90"/>
      <c r="BW444" s="90"/>
      <c r="BX444" s="90"/>
      <c r="BY444" s="90"/>
    </row>
    <row r="445" spans="1:77" ht="15.75" customHeight="1" thickBot="1" x14ac:dyDescent="0.3">
      <c r="A445" s="89"/>
      <c r="B445" s="89"/>
      <c r="C445" s="78"/>
      <c r="D445" s="78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352"/>
      <c r="AA445" s="352"/>
      <c r="AB445" s="352"/>
      <c r="AC445" s="352"/>
      <c r="AD445" s="352"/>
      <c r="AE445" s="352"/>
      <c r="AF445" s="352"/>
      <c r="AG445" s="91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  <c r="BB445" s="90"/>
      <c r="BC445" s="90"/>
      <c r="BD445" s="90"/>
      <c r="BE445" s="90"/>
      <c r="BF445" s="90"/>
      <c r="BG445" s="90"/>
      <c r="BH445" s="90"/>
      <c r="BI445" s="90"/>
      <c r="BJ445" s="90"/>
      <c r="BK445" s="90"/>
      <c r="BL445" s="90"/>
      <c r="BM445" s="90"/>
      <c r="BN445" s="90"/>
      <c r="BO445" s="90"/>
      <c r="BP445" s="90"/>
      <c r="BQ445" s="90"/>
      <c r="BR445" s="90"/>
      <c r="BS445" s="90"/>
      <c r="BT445" s="90"/>
      <c r="BU445" s="90"/>
      <c r="BV445" s="90"/>
      <c r="BW445" s="90"/>
      <c r="BX445" s="90"/>
      <c r="BY445" s="90"/>
    </row>
    <row r="446" spans="1:77" ht="15.75" customHeight="1" thickBot="1" x14ac:dyDescent="0.3">
      <c r="A446" s="89"/>
      <c r="B446" s="89"/>
      <c r="C446" s="78"/>
      <c r="D446" s="78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352"/>
      <c r="AA446" s="352"/>
      <c r="AB446" s="352"/>
      <c r="AC446" s="352"/>
      <c r="AD446" s="352"/>
      <c r="AE446" s="352"/>
      <c r="AF446" s="352"/>
      <c r="AG446" s="91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  <c r="BB446" s="90"/>
      <c r="BC446" s="90"/>
      <c r="BD446" s="90"/>
      <c r="BE446" s="90"/>
      <c r="BF446" s="90"/>
      <c r="BG446" s="90"/>
      <c r="BH446" s="90"/>
      <c r="BI446" s="90"/>
      <c r="BJ446" s="90"/>
      <c r="BK446" s="90"/>
      <c r="BL446" s="90"/>
      <c r="BM446" s="90"/>
      <c r="BN446" s="90"/>
      <c r="BO446" s="90"/>
      <c r="BP446" s="90"/>
      <c r="BQ446" s="90"/>
      <c r="BR446" s="90"/>
      <c r="BS446" s="90"/>
      <c r="BT446" s="90"/>
      <c r="BU446" s="90"/>
      <c r="BV446" s="90"/>
      <c r="BW446" s="90"/>
      <c r="BX446" s="90"/>
      <c r="BY446" s="90"/>
    </row>
    <row r="447" spans="1:77" ht="15.75" customHeight="1" thickBot="1" x14ac:dyDescent="0.3">
      <c r="A447" s="89"/>
      <c r="B447" s="89"/>
      <c r="C447" s="78"/>
      <c r="D447" s="78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352"/>
      <c r="AA447" s="352"/>
      <c r="AB447" s="352"/>
      <c r="AC447" s="352"/>
      <c r="AD447" s="352"/>
      <c r="AE447" s="352"/>
      <c r="AF447" s="352"/>
      <c r="AG447" s="91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  <c r="BF447" s="90"/>
      <c r="BG447" s="90"/>
      <c r="BH447" s="90"/>
      <c r="BI447" s="90"/>
      <c r="BJ447" s="90"/>
      <c r="BK447" s="90"/>
      <c r="BL447" s="90"/>
      <c r="BM447" s="90"/>
      <c r="BN447" s="90"/>
      <c r="BO447" s="90"/>
      <c r="BP447" s="90"/>
      <c r="BQ447" s="90"/>
      <c r="BR447" s="90"/>
      <c r="BS447" s="90"/>
      <c r="BT447" s="90"/>
      <c r="BU447" s="90"/>
      <c r="BV447" s="90"/>
      <c r="BW447" s="90"/>
      <c r="BX447" s="90"/>
      <c r="BY447" s="90"/>
    </row>
    <row r="448" spans="1:77" ht="15.75" customHeight="1" thickBot="1" x14ac:dyDescent="0.3">
      <c r="A448" s="89"/>
      <c r="B448" s="89"/>
      <c r="C448" s="78"/>
      <c r="D448" s="78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352"/>
      <c r="AA448" s="352"/>
      <c r="AB448" s="352"/>
      <c r="AC448" s="352"/>
      <c r="AD448" s="352"/>
      <c r="AE448" s="352"/>
      <c r="AF448" s="352"/>
      <c r="AG448" s="91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  <c r="BB448" s="90"/>
      <c r="BC448" s="90"/>
      <c r="BD448" s="90"/>
      <c r="BE448" s="90"/>
      <c r="BF448" s="90"/>
      <c r="BG448" s="90"/>
      <c r="BH448" s="90"/>
      <c r="BI448" s="90"/>
      <c r="BJ448" s="90"/>
      <c r="BK448" s="90"/>
      <c r="BL448" s="90"/>
      <c r="BM448" s="90"/>
      <c r="BN448" s="90"/>
      <c r="BO448" s="90"/>
      <c r="BP448" s="90"/>
      <c r="BQ448" s="90"/>
      <c r="BR448" s="90"/>
      <c r="BS448" s="90"/>
      <c r="BT448" s="90"/>
      <c r="BU448" s="90"/>
      <c r="BV448" s="90"/>
      <c r="BW448" s="90"/>
      <c r="BX448" s="90"/>
      <c r="BY448" s="90"/>
    </row>
    <row r="449" spans="1:77" ht="15.75" customHeight="1" thickBot="1" x14ac:dyDescent="0.3">
      <c r="A449" s="89"/>
      <c r="B449" s="89"/>
      <c r="C449" s="78"/>
      <c r="D449" s="78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352"/>
      <c r="AA449" s="352"/>
      <c r="AB449" s="352"/>
      <c r="AC449" s="352"/>
      <c r="AD449" s="352"/>
      <c r="AE449" s="352"/>
      <c r="AF449" s="352"/>
      <c r="AG449" s="91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  <c r="BB449" s="90"/>
      <c r="BC449" s="90"/>
      <c r="BD449" s="90"/>
      <c r="BE449" s="90"/>
      <c r="BF449" s="90"/>
      <c r="BG449" s="90"/>
      <c r="BH449" s="90"/>
      <c r="BI449" s="90"/>
      <c r="BJ449" s="90"/>
      <c r="BK449" s="90"/>
      <c r="BL449" s="90"/>
      <c r="BM449" s="90"/>
      <c r="BN449" s="90"/>
      <c r="BO449" s="90"/>
      <c r="BP449" s="90"/>
      <c r="BQ449" s="90"/>
      <c r="BR449" s="90"/>
      <c r="BS449" s="90"/>
      <c r="BT449" s="90"/>
      <c r="BU449" s="90"/>
      <c r="BV449" s="90"/>
      <c r="BW449" s="90"/>
      <c r="BX449" s="90"/>
      <c r="BY449" s="90"/>
    </row>
    <row r="450" spans="1:77" ht="15.75" customHeight="1" thickBot="1" x14ac:dyDescent="0.3">
      <c r="A450" s="89"/>
      <c r="B450" s="89"/>
      <c r="C450" s="78"/>
      <c r="D450" s="78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352"/>
      <c r="AA450" s="352"/>
      <c r="AB450" s="352"/>
      <c r="AC450" s="352"/>
      <c r="AD450" s="352"/>
      <c r="AE450" s="352"/>
      <c r="AF450" s="352"/>
      <c r="AG450" s="91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  <c r="BB450" s="90"/>
      <c r="BC450" s="90"/>
      <c r="BD450" s="90"/>
      <c r="BE450" s="90"/>
      <c r="BF450" s="90"/>
      <c r="BG450" s="90"/>
      <c r="BH450" s="90"/>
      <c r="BI450" s="90"/>
      <c r="BJ450" s="90"/>
      <c r="BK450" s="90"/>
      <c r="BL450" s="90"/>
      <c r="BM450" s="90"/>
      <c r="BN450" s="90"/>
      <c r="BO450" s="90"/>
      <c r="BP450" s="90"/>
      <c r="BQ450" s="90"/>
      <c r="BR450" s="90"/>
      <c r="BS450" s="90"/>
      <c r="BT450" s="90"/>
      <c r="BU450" s="90"/>
      <c r="BV450" s="90"/>
      <c r="BW450" s="90"/>
      <c r="BX450" s="90"/>
      <c r="BY450" s="90"/>
    </row>
    <row r="451" spans="1:77" ht="15.75" customHeight="1" thickBot="1" x14ac:dyDescent="0.3">
      <c r="A451" s="89"/>
      <c r="B451" s="89"/>
      <c r="C451" s="78"/>
      <c r="D451" s="78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352"/>
      <c r="AA451" s="352"/>
      <c r="AB451" s="352"/>
      <c r="AC451" s="352"/>
      <c r="AD451" s="352"/>
      <c r="AE451" s="352"/>
      <c r="AF451" s="352"/>
      <c r="AG451" s="91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  <c r="BB451" s="90"/>
      <c r="BC451" s="90"/>
      <c r="BD451" s="90"/>
      <c r="BE451" s="90"/>
      <c r="BF451" s="90"/>
      <c r="BG451" s="90"/>
      <c r="BH451" s="90"/>
      <c r="BI451" s="90"/>
      <c r="BJ451" s="90"/>
      <c r="BK451" s="90"/>
      <c r="BL451" s="90"/>
      <c r="BM451" s="90"/>
      <c r="BN451" s="90"/>
      <c r="BO451" s="90"/>
      <c r="BP451" s="90"/>
      <c r="BQ451" s="90"/>
      <c r="BR451" s="90"/>
      <c r="BS451" s="90"/>
      <c r="BT451" s="90"/>
      <c r="BU451" s="90"/>
      <c r="BV451" s="90"/>
      <c r="BW451" s="90"/>
      <c r="BX451" s="90"/>
      <c r="BY451" s="90"/>
    </row>
    <row r="452" spans="1:77" ht="15.75" customHeight="1" thickBot="1" x14ac:dyDescent="0.3">
      <c r="A452" s="89"/>
      <c r="B452" s="89"/>
      <c r="C452" s="78"/>
      <c r="D452" s="78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352"/>
      <c r="AA452" s="352"/>
      <c r="AB452" s="352"/>
      <c r="AC452" s="352"/>
      <c r="AD452" s="352"/>
      <c r="AE452" s="352"/>
      <c r="AF452" s="352"/>
      <c r="AG452" s="91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  <c r="BB452" s="90"/>
      <c r="BC452" s="90"/>
      <c r="BD452" s="90"/>
      <c r="BE452" s="90"/>
      <c r="BF452" s="90"/>
      <c r="BG452" s="90"/>
      <c r="BH452" s="90"/>
      <c r="BI452" s="90"/>
      <c r="BJ452" s="90"/>
      <c r="BK452" s="90"/>
      <c r="BL452" s="90"/>
      <c r="BM452" s="90"/>
      <c r="BN452" s="90"/>
      <c r="BO452" s="90"/>
      <c r="BP452" s="90"/>
      <c r="BQ452" s="90"/>
      <c r="BR452" s="90"/>
      <c r="BS452" s="90"/>
      <c r="BT452" s="90"/>
      <c r="BU452" s="90"/>
      <c r="BV452" s="90"/>
      <c r="BW452" s="90"/>
      <c r="BX452" s="90"/>
      <c r="BY452" s="90"/>
    </row>
    <row r="453" spans="1:77" ht="15.75" customHeight="1" thickBot="1" x14ac:dyDescent="0.3">
      <c r="A453" s="89"/>
      <c r="B453" s="89"/>
      <c r="C453" s="78"/>
      <c r="D453" s="78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352"/>
      <c r="AA453" s="352"/>
      <c r="AB453" s="352"/>
      <c r="AC453" s="352"/>
      <c r="AD453" s="352"/>
      <c r="AE453" s="352"/>
      <c r="AF453" s="352"/>
      <c r="AG453" s="91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  <c r="BB453" s="90"/>
      <c r="BC453" s="90"/>
      <c r="BD453" s="90"/>
      <c r="BE453" s="90"/>
      <c r="BF453" s="90"/>
      <c r="BG453" s="90"/>
      <c r="BH453" s="90"/>
      <c r="BI453" s="90"/>
      <c r="BJ453" s="90"/>
      <c r="BK453" s="90"/>
      <c r="BL453" s="90"/>
      <c r="BM453" s="90"/>
      <c r="BN453" s="90"/>
      <c r="BO453" s="90"/>
      <c r="BP453" s="90"/>
      <c r="BQ453" s="90"/>
      <c r="BR453" s="90"/>
      <c r="BS453" s="90"/>
      <c r="BT453" s="90"/>
      <c r="BU453" s="90"/>
      <c r="BV453" s="90"/>
      <c r="BW453" s="90"/>
      <c r="BX453" s="90"/>
      <c r="BY453" s="90"/>
    </row>
    <row r="454" spans="1:77" ht="15.75" customHeight="1" thickBot="1" x14ac:dyDescent="0.3">
      <c r="A454" s="89"/>
      <c r="B454" s="89"/>
      <c r="C454" s="78"/>
      <c r="D454" s="78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352"/>
      <c r="AA454" s="352"/>
      <c r="AB454" s="352"/>
      <c r="AC454" s="352"/>
      <c r="AD454" s="352"/>
      <c r="AE454" s="352"/>
      <c r="AF454" s="352"/>
      <c r="AG454" s="91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  <c r="BB454" s="90"/>
      <c r="BC454" s="90"/>
      <c r="BD454" s="90"/>
      <c r="BE454" s="90"/>
      <c r="BF454" s="90"/>
      <c r="BG454" s="90"/>
      <c r="BH454" s="90"/>
      <c r="BI454" s="90"/>
      <c r="BJ454" s="90"/>
      <c r="BK454" s="90"/>
      <c r="BL454" s="90"/>
      <c r="BM454" s="90"/>
      <c r="BN454" s="90"/>
      <c r="BO454" s="90"/>
      <c r="BP454" s="90"/>
      <c r="BQ454" s="90"/>
      <c r="BR454" s="90"/>
      <c r="BS454" s="90"/>
      <c r="BT454" s="90"/>
      <c r="BU454" s="90"/>
      <c r="BV454" s="90"/>
      <c r="BW454" s="90"/>
      <c r="BX454" s="90"/>
      <c r="BY454" s="90"/>
    </row>
    <row r="455" spans="1:77" ht="15.75" customHeight="1" thickBot="1" x14ac:dyDescent="0.3">
      <c r="A455" s="89"/>
      <c r="B455" s="89"/>
      <c r="C455" s="78"/>
      <c r="D455" s="78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352"/>
      <c r="AA455" s="352"/>
      <c r="AB455" s="352"/>
      <c r="AC455" s="352"/>
      <c r="AD455" s="352"/>
      <c r="AE455" s="352"/>
      <c r="AF455" s="352"/>
      <c r="AG455" s="91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  <c r="BB455" s="90"/>
      <c r="BC455" s="90"/>
      <c r="BD455" s="90"/>
      <c r="BE455" s="90"/>
      <c r="BF455" s="90"/>
      <c r="BG455" s="90"/>
      <c r="BH455" s="90"/>
      <c r="BI455" s="90"/>
      <c r="BJ455" s="90"/>
      <c r="BK455" s="90"/>
      <c r="BL455" s="90"/>
      <c r="BM455" s="90"/>
      <c r="BN455" s="90"/>
      <c r="BO455" s="90"/>
      <c r="BP455" s="90"/>
      <c r="BQ455" s="90"/>
      <c r="BR455" s="90"/>
      <c r="BS455" s="90"/>
      <c r="BT455" s="90"/>
      <c r="BU455" s="90"/>
      <c r="BV455" s="90"/>
      <c r="BW455" s="90"/>
      <c r="BX455" s="90"/>
      <c r="BY455" s="90"/>
    </row>
    <row r="456" spans="1:77" ht="15.75" customHeight="1" thickBot="1" x14ac:dyDescent="0.3">
      <c r="A456" s="89"/>
      <c r="B456" s="89"/>
      <c r="C456" s="78"/>
      <c r="D456" s="78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352"/>
      <c r="AA456" s="352"/>
      <c r="AB456" s="352"/>
      <c r="AC456" s="352"/>
      <c r="AD456" s="352"/>
      <c r="AE456" s="352"/>
      <c r="AF456" s="352"/>
      <c r="AG456" s="91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0"/>
      <c r="BF456" s="90"/>
      <c r="BG456" s="90"/>
      <c r="BH456" s="90"/>
      <c r="BI456" s="90"/>
      <c r="BJ456" s="90"/>
      <c r="BK456" s="90"/>
      <c r="BL456" s="90"/>
      <c r="BM456" s="90"/>
      <c r="BN456" s="90"/>
      <c r="BO456" s="90"/>
      <c r="BP456" s="90"/>
      <c r="BQ456" s="90"/>
      <c r="BR456" s="90"/>
      <c r="BS456" s="90"/>
      <c r="BT456" s="90"/>
      <c r="BU456" s="90"/>
      <c r="BV456" s="90"/>
      <c r="BW456" s="90"/>
      <c r="BX456" s="90"/>
      <c r="BY456" s="90"/>
    </row>
    <row r="457" spans="1:77" ht="15.75" customHeight="1" thickBot="1" x14ac:dyDescent="0.3">
      <c r="A457" s="89"/>
      <c r="B457" s="89"/>
      <c r="C457" s="78"/>
      <c r="D457" s="78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352"/>
      <c r="AA457" s="352"/>
      <c r="AB457" s="352"/>
      <c r="AC457" s="352"/>
      <c r="AD457" s="352"/>
      <c r="AE457" s="352"/>
      <c r="AF457" s="352"/>
      <c r="AG457" s="91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0"/>
      <c r="BC457" s="90"/>
      <c r="BD457" s="90"/>
      <c r="BE457" s="90"/>
      <c r="BF457" s="90"/>
      <c r="BG457" s="90"/>
      <c r="BH457" s="90"/>
      <c r="BI457" s="90"/>
      <c r="BJ457" s="90"/>
      <c r="BK457" s="90"/>
      <c r="BL457" s="90"/>
      <c r="BM457" s="90"/>
      <c r="BN457" s="90"/>
      <c r="BO457" s="90"/>
      <c r="BP457" s="90"/>
      <c r="BQ457" s="90"/>
      <c r="BR457" s="90"/>
      <c r="BS457" s="90"/>
      <c r="BT457" s="90"/>
      <c r="BU457" s="90"/>
      <c r="BV457" s="90"/>
      <c r="BW457" s="90"/>
      <c r="BX457" s="90"/>
      <c r="BY457" s="90"/>
    </row>
    <row r="458" spans="1:77" ht="15.75" customHeight="1" thickBot="1" x14ac:dyDescent="0.3">
      <c r="A458" s="89"/>
      <c r="B458" s="89"/>
      <c r="C458" s="78"/>
      <c r="D458" s="78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352"/>
      <c r="AA458" s="352"/>
      <c r="AB458" s="352"/>
      <c r="AC458" s="352"/>
      <c r="AD458" s="352"/>
      <c r="AE458" s="352"/>
      <c r="AF458" s="352"/>
      <c r="AG458" s="91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  <c r="BB458" s="90"/>
      <c r="BC458" s="90"/>
      <c r="BD458" s="90"/>
      <c r="BE458" s="90"/>
      <c r="BF458" s="90"/>
      <c r="BG458" s="90"/>
      <c r="BH458" s="90"/>
      <c r="BI458" s="90"/>
      <c r="BJ458" s="90"/>
      <c r="BK458" s="90"/>
      <c r="BL458" s="90"/>
      <c r="BM458" s="90"/>
      <c r="BN458" s="90"/>
      <c r="BO458" s="90"/>
      <c r="BP458" s="90"/>
      <c r="BQ458" s="90"/>
      <c r="BR458" s="90"/>
      <c r="BS458" s="90"/>
      <c r="BT458" s="90"/>
      <c r="BU458" s="90"/>
      <c r="BV458" s="90"/>
      <c r="BW458" s="90"/>
      <c r="BX458" s="90"/>
      <c r="BY458" s="90"/>
    </row>
    <row r="459" spans="1:77" ht="15.75" customHeight="1" thickBot="1" x14ac:dyDescent="0.3">
      <c r="A459" s="89"/>
      <c r="B459" s="89"/>
      <c r="C459" s="78"/>
      <c r="D459" s="78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352"/>
      <c r="AA459" s="352"/>
      <c r="AB459" s="352"/>
      <c r="AC459" s="352"/>
      <c r="AD459" s="352"/>
      <c r="AE459" s="352"/>
      <c r="AF459" s="352"/>
      <c r="AG459" s="91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0"/>
      <c r="BF459" s="90"/>
      <c r="BG459" s="90"/>
      <c r="BH459" s="90"/>
      <c r="BI459" s="90"/>
      <c r="BJ459" s="90"/>
      <c r="BK459" s="90"/>
      <c r="BL459" s="90"/>
      <c r="BM459" s="90"/>
      <c r="BN459" s="90"/>
      <c r="BO459" s="90"/>
      <c r="BP459" s="90"/>
      <c r="BQ459" s="90"/>
      <c r="BR459" s="90"/>
      <c r="BS459" s="90"/>
      <c r="BT459" s="90"/>
      <c r="BU459" s="90"/>
      <c r="BV459" s="90"/>
      <c r="BW459" s="90"/>
      <c r="BX459" s="90"/>
      <c r="BY459" s="90"/>
    </row>
    <row r="460" spans="1:77" ht="15.75" customHeight="1" thickBot="1" x14ac:dyDescent="0.3">
      <c r="A460" s="89"/>
      <c r="B460" s="89"/>
      <c r="C460" s="78"/>
      <c r="D460" s="78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352"/>
      <c r="AA460" s="352"/>
      <c r="AB460" s="352"/>
      <c r="AC460" s="352"/>
      <c r="AD460" s="352"/>
      <c r="AE460" s="352"/>
      <c r="AF460" s="352"/>
      <c r="AG460" s="91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  <c r="BB460" s="90"/>
      <c r="BC460" s="90"/>
      <c r="BD460" s="90"/>
      <c r="BE460" s="90"/>
      <c r="BF460" s="90"/>
      <c r="BG460" s="90"/>
      <c r="BH460" s="90"/>
      <c r="BI460" s="90"/>
      <c r="BJ460" s="90"/>
      <c r="BK460" s="90"/>
      <c r="BL460" s="90"/>
      <c r="BM460" s="90"/>
      <c r="BN460" s="90"/>
      <c r="BO460" s="90"/>
      <c r="BP460" s="90"/>
      <c r="BQ460" s="90"/>
      <c r="BR460" s="90"/>
      <c r="BS460" s="90"/>
      <c r="BT460" s="90"/>
      <c r="BU460" s="90"/>
      <c r="BV460" s="90"/>
      <c r="BW460" s="90"/>
      <c r="BX460" s="90"/>
      <c r="BY460" s="90"/>
    </row>
    <row r="461" spans="1:77" ht="15.75" customHeight="1" thickBot="1" x14ac:dyDescent="0.3">
      <c r="A461" s="89"/>
      <c r="B461" s="89"/>
      <c r="C461" s="78"/>
      <c r="D461" s="78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352"/>
      <c r="AA461" s="352"/>
      <c r="AB461" s="352"/>
      <c r="AC461" s="352"/>
      <c r="AD461" s="352"/>
      <c r="AE461" s="352"/>
      <c r="AF461" s="352"/>
      <c r="AG461" s="91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  <c r="BB461" s="90"/>
      <c r="BC461" s="90"/>
      <c r="BD461" s="90"/>
      <c r="BE461" s="90"/>
      <c r="BF461" s="90"/>
      <c r="BG461" s="90"/>
      <c r="BH461" s="90"/>
      <c r="BI461" s="90"/>
      <c r="BJ461" s="90"/>
      <c r="BK461" s="90"/>
      <c r="BL461" s="90"/>
      <c r="BM461" s="90"/>
      <c r="BN461" s="90"/>
      <c r="BO461" s="90"/>
      <c r="BP461" s="90"/>
      <c r="BQ461" s="90"/>
      <c r="BR461" s="90"/>
      <c r="BS461" s="90"/>
      <c r="BT461" s="90"/>
      <c r="BU461" s="90"/>
      <c r="BV461" s="90"/>
      <c r="BW461" s="90"/>
      <c r="BX461" s="90"/>
      <c r="BY461" s="90"/>
    </row>
    <row r="462" spans="1:77" ht="15.75" customHeight="1" thickBot="1" x14ac:dyDescent="0.3">
      <c r="A462" s="89"/>
      <c r="B462" s="89"/>
      <c r="C462" s="78"/>
      <c r="D462" s="78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352"/>
      <c r="AA462" s="352"/>
      <c r="AB462" s="352"/>
      <c r="AC462" s="352"/>
      <c r="AD462" s="352"/>
      <c r="AE462" s="352"/>
      <c r="AF462" s="352"/>
      <c r="AG462" s="91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  <c r="BB462" s="90"/>
      <c r="BC462" s="90"/>
      <c r="BD462" s="90"/>
      <c r="BE462" s="90"/>
      <c r="BF462" s="90"/>
      <c r="BG462" s="90"/>
      <c r="BH462" s="90"/>
      <c r="BI462" s="90"/>
      <c r="BJ462" s="90"/>
      <c r="BK462" s="90"/>
      <c r="BL462" s="90"/>
      <c r="BM462" s="90"/>
      <c r="BN462" s="90"/>
      <c r="BO462" s="90"/>
      <c r="BP462" s="90"/>
      <c r="BQ462" s="90"/>
      <c r="BR462" s="90"/>
      <c r="BS462" s="90"/>
      <c r="BT462" s="90"/>
      <c r="BU462" s="90"/>
      <c r="BV462" s="90"/>
      <c r="BW462" s="90"/>
      <c r="BX462" s="90"/>
      <c r="BY462" s="90"/>
    </row>
    <row r="463" spans="1:77" ht="15.75" customHeight="1" thickBot="1" x14ac:dyDescent="0.3">
      <c r="A463" s="89"/>
      <c r="B463" s="89"/>
      <c r="C463" s="78"/>
      <c r="D463" s="78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352"/>
      <c r="AA463" s="352"/>
      <c r="AB463" s="352"/>
      <c r="AC463" s="352"/>
      <c r="AD463" s="352"/>
      <c r="AE463" s="352"/>
      <c r="AF463" s="352"/>
      <c r="AG463" s="91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  <c r="BB463" s="90"/>
      <c r="BC463" s="90"/>
      <c r="BD463" s="90"/>
      <c r="BE463" s="90"/>
      <c r="BF463" s="90"/>
      <c r="BG463" s="90"/>
      <c r="BH463" s="90"/>
      <c r="BI463" s="90"/>
      <c r="BJ463" s="90"/>
      <c r="BK463" s="90"/>
      <c r="BL463" s="90"/>
      <c r="BM463" s="90"/>
      <c r="BN463" s="90"/>
      <c r="BO463" s="90"/>
      <c r="BP463" s="90"/>
      <c r="BQ463" s="90"/>
      <c r="BR463" s="90"/>
      <c r="BS463" s="90"/>
      <c r="BT463" s="90"/>
      <c r="BU463" s="90"/>
      <c r="BV463" s="90"/>
      <c r="BW463" s="90"/>
      <c r="BX463" s="90"/>
      <c r="BY463" s="90"/>
    </row>
    <row r="464" spans="1:77" ht="15.75" customHeight="1" thickBot="1" x14ac:dyDescent="0.3">
      <c r="A464" s="89"/>
      <c r="B464" s="89"/>
      <c r="C464" s="78"/>
      <c r="D464" s="78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352"/>
      <c r="AA464" s="352"/>
      <c r="AB464" s="352"/>
      <c r="AC464" s="352"/>
      <c r="AD464" s="352"/>
      <c r="AE464" s="352"/>
      <c r="AF464" s="352"/>
      <c r="AG464" s="91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  <c r="BB464" s="90"/>
      <c r="BC464" s="90"/>
      <c r="BD464" s="90"/>
      <c r="BE464" s="90"/>
      <c r="BF464" s="90"/>
      <c r="BG464" s="90"/>
      <c r="BH464" s="90"/>
      <c r="BI464" s="90"/>
      <c r="BJ464" s="90"/>
      <c r="BK464" s="90"/>
      <c r="BL464" s="90"/>
      <c r="BM464" s="90"/>
      <c r="BN464" s="90"/>
      <c r="BO464" s="90"/>
      <c r="BP464" s="90"/>
      <c r="BQ464" s="90"/>
      <c r="BR464" s="90"/>
      <c r="BS464" s="90"/>
      <c r="BT464" s="90"/>
      <c r="BU464" s="90"/>
      <c r="BV464" s="90"/>
      <c r="BW464" s="90"/>
      <c r="BX464" s="90"/>
      <c r="BY464" s="90"/>
    </row>
    <row r="465" spans="1:77" ht="15.75" customHeight="1" thickBot="1" x14ac:dyDescent="0.3">
      <c r="A465" s="89"/>
      <c r="B465" s="89"/>
      <c r="C465" s="78"/>
      <c r="D465" s="78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352"/>
      <c r="AA465" s="352"/>
      <c r="AB465" s="352"/>
      <c r="AC465" s="352"/>
      <c r="AD465" s="352"/>
      <c r="AE465" s="352"/>
      <c r="AF465" s="352"/>
      <c r="AG465" s="91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  <c r="BB465" s="90"/>
      <c r="BC465" s="90"/>
      <c r="BD465" s="90"/>
      <c r="BE465" s="90"/>
      <c r="BF465" s="90"/>
      <c r="BG465" s="90"/>
      <c r="BH465" s="90"/>
      <c r="BI465" s="90"/>
      <c r="BJ465" s="90"/>
      <c r="BK465" s="90"/>
      <c r="BL465" s="90"/>
      <c r="BM465" s="90"/>
      <c r="BN465" s="90"/>
      <c r="BO465" s="90"/>
      <c r="BP465" s="90"/>
      <c r="BQ465" s="90"/>
      <c r="BR465" s="90"/>
      <c r="BS465" s="90"/>
      <c r="BT465" s="90"/>
      <c r="BU465" s="90"/>
      <c r="BV465" s="90"/>
      <c r="BW465" s="90"/>
      <c r="BX465" s="90"/>
      <c r="BY465" s="90"/>
    </row>
    <row r="466" spans="1:77" ht="15.75" customHeight="1" thickBot="1" x14ac:dyDescent="0.3">
      <c r="A466" s="89"/>
      <c r="B466" s="89"/>
      <c r="C466" s="78"/>
      <c r="D466" s="78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352"/>
      <c r="AA466" s="352"/>
      <c r="AB466" s="352"/>
      <c r="AC466" s="352"/>
      <c r="AD466" s="352"/>
      <c r="AE466" s="352"/>
      <c r="AF466" s="352"/>
      <c r="AG466" s="91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  <c r="BB466" s="90"/>
      <c r="BC466" s="90"/>
      <c r="BD466" s="90"/>
      <c r="BE466" s="90"/>
      <c r="BF466" s="90"/>
      <c r="BG466" s="90"/>
      <c r="BH466" s="90"/>
      <c r="BI466" s="90"/>
      <c r="BJ466" s="90"/>
      <c r="BK466" s="90"/>
      <c r="BL466" s="90"/>
      <c r="BM466" s="90"/>
      <c r="BN466" s="90"/>
      <c r="BO466" s="90"/>
      <c r="BP466" s="90"/>
      <c r="BQ466" s="90"/>
      <c r="BR466" s="90"/>
      <c r="BS466" s="90"/>
      <c r="BT466" s="90"/>
      <c r="BU466" s="90"/>
      <c r="BV466" s="90"/>
      <c r="BW466" s="90"/>
      <c r="BX466" s="90"/>
      <c r="BY466" s="90"/>
    </row>
    <row r="467" spans="1:77" ht="15.75" customHeight="1" thickBot="1" x14ac:dyDescent="0.3">
      <c r="A467" s="89"/>
      <c r="B467" s="89"/>
      <c r="C467" s="78"/>
      <c r="D467" s="78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352"/>
      <c r="AA467" s="352"/>
      <c r="AB467" s="352"/>
      <c r="AC467" s="352"/>
      <c r="AD467" s="352"/>
      <c r="AE467" s="352"/>
      <c r="AF467" s="352"/>
      <c r="AG467" s="91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0"/>
      <c r="BF467" s="90"/>
      <c r="BG467" s="90"/>
      <c r="BH467" s="90"/>
      <c r="BI467" s="90"/>
      <c r="BJ467" s="90"/>
      <c r="BK467" s="90"/>
      <c r="BL467" s="90"/>
      <c r="BM467" s="90"/>
      <c r="BN467" s="90"/>
      <c r="BO467" s="90"/>
      <c r="BP467" s="90"/>
      <c r="BQ467" s="90"/>
      <c r="BR467" s="90"/>
      <c r="BS467" s="90"/>
      <c r="BT467" s="90"/>
      <c r="BU467" s="90"/>
      <c r="BV467" s="90"/>
      <c r="BW467" s="90"/>
      <c r="BX467" s="90"/>
      <c r="BY467" s="90"/>
    </row>
    <row r="468" spans="1:77" ht="15.75" customHeight="1" thickBot="1" x14ac:dyDescent="0.3">
      <c r="A468" s="89"/>
      <c r="B468" s="89"/>
      <c r="C468" s="78"/>
      <c r="D468" s="78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352"/>
      <c r="AA468" s="352"/>
      <c r="AB468" s="352"/>
      <c r="AC468" s="352"/>
      <c r="AD468" s="352"/>
      <c r="AE468" s="352"/>
      <c r="AF468" s="352"/>
      <c r="AG468" s="91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  <c r="BB468" s="90"/>
      <c r="BC468" s="90"/>
      <c r="BD468" s="90"/>
      <c r="BE468" s="90"/>
      <c r="BF468" s="90"/>
      <c r="BG468" s="90"/>
      <c r="BH468" s="90"/>
      <c r="BI468" s="90"/>
      <c r="BJ468" s="90"/>
      <c r="BK468" s="90"/>
      <c r="BL468" s="90"/>
      <c r="BM468" s="90"/>
      <c r="BN468" s="90"/>
      <c r="BO468" s="90"/>
      <c r="BP468" s="90"/>
      <c r="BQ468" s="90"/>
      <c r="BR468" s="90"/>
      <c r="BS468" s="90"/>
      <c r="BT468" s="90"/>
      <c r="BU468" s="90"/>
      <c r="BV468" s="90"/>
      <c r="BW468" s="90"/>
      <c r="BX468" s="90"/>
      <c r="BY468" s="90"/>
    </row>
    <row r="469" spans="1:77" ht="15.75" customHeight="1" thickBot="1" x14ac:dyDescent="0.3">
      <c r="A469" s="89"/>
      <c r="B469" s="89"/>
      <c r="C469" s="78"/>
      <c r="D469" s="78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352"/>
      <c r="AA469" s="352"/>
      <c r="AB469" s="352"/>
      <c r="AC469" s="352"/>
      <c r="AD469" s="352"/>
      <c r="AE469" s="352"/>
      <c r="AF469" s="352"/>
      <c r="AG469" s="91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  <c r="BB469" s="90"/>
      <c r="BC469" s="90"/>
      <c r="BD469" s="90"/>
      <c r="BE469" s="90"/>
      <c r="BF469" s="90"/>
      <c r="BG469" s="90"/>
      <c r="BH469" s="90"/>
      <c r="BI469" s="90"/>
      <c r="BJ469" s="90"/>
      <c r="BK469" s="90"/>
      <c r="BL469" s="90"/>
      <c r="BM469" s="90"/>
      <c r="BN469" s="90"/>
      <c r="BO469" s="90"/>
      <c r="BP469" s="90"/>
      <c r="BQ469" s="90"/>
      <c r="BR469" s="90"/>
      <c r="BS469" s="90"/>
      <c r="BT469" s="90"/>
      <c r="BU469" s="90"/>
      <c r="BV469" s="90"/>
      <c r="BW469" s="90"/>
      <c r="BX469" s="90"/>
      <c r="BY469" s="90"/>
    </row>
    <row r="470" spans="1:77" ht="15.75" customHeight="1" thickBot="1" x14ac:dyDescent="0.3">
      <c r="A470" s="89"/>
      <c r="B470" s="89"/>
      <c r="C470" s="78"/>
      <c r="D470" s="78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352"/>
      <c r="AA470" s="352"/>
      <c r="AB470" s="352"/>
      <c r="AC470" s="352"/>
      <c r="AD470" s="352"/>
      <c r="AE470" s="352"/>
      <c r="AF470" s="352"/>
      <c r="AG470" s="91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  <c r="BB470" s="90"/>
      <c r="BC470" s="90"/>
      <c r="BD470" s="90"/>
      <c r="BE470" s="90"/>
      <c r="BF470" s="90"/>
      <c r="BG470" s="90"/>
      <c r="BH470" s="90"/>
      <c r="BI470" s="90"/>
      <c r="BJ470" s="90"/>
      <c r="BK470" s="90"/>
      <c r="BL470" s="90"/>
      <c r="BM470" s="90"/>
      <c r="BN470" s="90"/>
      <c r="BO470" s="90"/>
      <c r="BP470" s="90"/>
      <c r="BQ470" s="90"/>
      <c r="BR470" s="90"/>
      <c r="BS470" s="90"/>
      <c r="BT470" s="90"/>
      <c r="BU470" s="90"/>
      <c r="BV470" s="90"/>
      <c r="BW470" s="90"/>
      <c r="BX470" s="90"/>
      <c r="BY470" s="90"/>
    </row>
    <row r="471" spans="1:77" ht="15.75" customHeight="1" thickBot="1" x14ac:dyDescent="0.3">
      <c r="A471" s="89"/>
      <c r="B471" s="89"/>
      <c r="C471" s="78"/>
      <c r="D471" s="78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352"/>
      <c r="AA471" s="352"/>
      <c r="AB471" s="352"/>
      <c r="AC471" s="352"/>
      <c r="AD471" s="352"/>
      <c r="AE471" s="352"/>
      <c r="AF471" s="352"/>
      <c r="AG471" s="91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0"/>
      <c r="BC471" s="90"/>
      <c r="BD471" s="90"/>
      <c r="BE471" s="90"/>
      <c r="BF471" s="90"/>
      <c r="BG471" s="90"/>
      <c r="BH471" s="90"/>
      <c r="BI471" s="90"/>
      <c r="BJ471" s="90"/>
      <c r="BK471" s="90"/>
      <c r="BL471" s="90"/>
      <c r="BM471" s="90"/>
      <c r="BN471" s="90"/>
      <c r="BO471" s="90"/>
      <c r="BP471" s="90"/>
      <c r="BQ471" s="90"/>
      <c r="BR471" s="90"/>
      <c r="BS471" s="90"/>
      <c r="BT471" s="90"/>
      <c r="BU471" s="90"/>
      <c r="BV471" s="90"/>
      <c r="BW471" s="90"/>
      <c r="BX471" s="90"/>
      <c r="BY471" s="90"/>
    </row>
    <row r="472" spans="1:77" ht="15.75" customHeight="1" thickBot="1" x14ac:dyDescent="0.3">
      <c r="A472" s="89"/>
      <c r="B472" s="89"/>
      <c r="C472" s="78"/>
      <c r="D472" s="78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352"/>
      <c r="AA472" s="352"/>
      <c r="AB472" s="352"/>
      <c r="AC472" s="352"/>
      <c r="AD472" s="352"/>
      <c r="AE472" s="352"/>
      <c r="AF472" s="352"/>
      <c r="AG472" s="91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  <c r="BF472" s="90"/>
      <c r="BG472" s="90"/>
      <c r="BH472" s="90"/>
      <c r="BI472" s="90"/>
      <c r="BJ472" s="90"/>
      <c r="BK472" s="90"/>
      <c r="BL472" s="90"/>
      <c r="BM472" s="90"/>
      <c r="BN472" s="90"/>
      <c r="BO472" s="90"/>
      <c r="BP472" s="90"/>
      <c r="BQ472" s="90"/>
      <c r="BR472" s="90"/>
      <c r="BS472" s="90"/>
      <c r="BT472" s="90"/>
      <c r="BU472" s="90"/>
      <c r="BV472" s="90"/>
      <c r="BW472" s="90"/>
      <c r="BX472" s="90"/>
      <c r="BY472" s="90"/>
    </row>
    <row r="473" spans="1:77" ht="15.75" customHeight="1" thickBot="1" x14ac:dyDescent="0.3">
      <c r="A473" s="89"/>
      <c r="B473" s="89"/>
      <c r="C473" s="78"/>
      <c r="D473" s="78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352"/>
      <c r="AA473" s="352"/>
      <c r="AB473" s="352"/>
      <c r="AC473" s="352"/>
      <c r="AD473" s="352"/>
      <c r="AE473" s="352"/>
      <c r="AF473" s="352"/>
      <c r="AG473" s="91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  <c r="BB473" s="90"/>
      <c r="BC473" s="90"/>
      <c r="BD473" s="90"/>
      <c r="BE473" s="90"/>
      <c r="BF473" s="90"/>
      <c r="BG473" s="90"/>
      <c r="BH473" s="90"/>
      <c r="BI473" s="90"/>
      <c r="BJ473" s="90"/>
      <c r="BK473" s="90"/>
      <c r="BL473" s="90"/>
      <c r="BM473" s="90"/>
      <c r="BN473" s="90"/>
      <c r="BO473" s="90"/>
      <c r="BP473" s="90"/>
      <c r="BQ473" s="90"/>
      <c r="BR473" s="90"/>
      <c r="BS473" s="90"/>
      <c r="BT473" s="90"/>
      <c r="BU473" s="90"/>
      <c r="BV473" s="90"/>
      <c r="BW473" s="90"/>
      <c r="BX473" s="90"/>
      <c r="BY473" s="90"/>
    </row>
    <row r="474" spans="1:77" ht="15.75" customHeight="1" thickBot="1" x14ac:dyDescent="0.3">
      <c r="A474" s="89"/>
      <c r="B474" s="89"/>
      <c r="C474" s="78"/>
      <c r="D474" s="78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352"/>
      <c r="AA474" s="352"/>
      <c r="AB474" s="352"/>
      <c r="AC474" s="352"/>
      <c r="AD474" s="352"/>
      <c r="AE474" s="352"/>
      <c r="AF474" s="352"/>
      <c r="AG474" s="91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  <c r="BF474" s="90"/>
      <c r="BG474" s="90"/>
      <c r="BH474" s="90"/>
      <c r="BI474" s="90"/>
      <c r="BJ474" s="90"/>
      <c r="BK474" s="90"/>
      <c r="BL474" s="90"/>
      <c r="BM474" s="90"/>
      <c r="BN474" s="90"/>
      <c r="BO474" s="90"/>
      <c r="BP474" s="90"/>
      <c r="BQ474" s="90"/>
      <c r="BR474" s="90"/>
      <c r="BS474" s="90"/>
      <c r="BT474" s="90"/>
      <c r="BU474" s="90"/>
      <c r="BV474" s="90"/>
      <c r="BW474" s="90"/>
      <c r="BX474" s="90"/>
      <c r="BY474" s="90"/>
    </row>
    <row r="475" spans="1:77" ht="15.75" customHeight="1" thickBot="1" x14ac:dyDescent="0.3">
      <c r="A475" s="89"/>
      <c r="B475" s="89"/>
      <c r="C475" s="78"/>
      <c r="D475" s="78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352"/>
      <c r="AA475" s="352"/>
      <c r="AB475" s="352"/>
      <c r="AC475" s="352"/>
      <c r="AD475" s="352"/>
      <c r="AE475" s="352"/>
      <c r="AF475" s="352"/>
      <c r="AG475" s="91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  <c r="BM475" s="90"/>
      <c r="BN475" s="90"/>
      <c r="BO475" s="90"/>
      <c r="BP475" s="90"/>
      <c r="BQ475" s="90"/>
      <c r="BR475" s="90"/>
      <c r="BS475" s="90"/>
      <c r="BT475" s="90"/>
      <c r="BU475" s="90"/>
      <c r="BV475" s="90"/>
      <c r="BW475" s="90"/>
      <c r="BX475" s="90"/>
      <c r="BY475" s="90"/>
    </row>
    <row r="476" spans="1:77" ht="15.75" customHeight="1" thickBot="1" x14ac:dyDescent="0.3">
      <c r="A476" s="89"/>
      <c r="B476" s="89"/>
      <c r="C476" s="78"/>
      <c r="D476" s="78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352"/>
      <c r="AA476" s="352"/>
      <c r="AB476" s="352"/>
      <c r="AC476" s="352"/>
      <c r="AD476" s="352"/>
      <c r="AE476" s="352"/>
      <c r="AF476" s="352"/>
      <c r="AG476" s="91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  <c r="BM476" s="90"/>
      <c r="BN476" s="90"/>
      <c r="BO476" s="90"/>
      <c r="BP476" s="90"/>
      <c r="BQ476" s="90"/>
      <c r="BR476" s="90"/>
      <c r="BS476" s="90"/>
      <c r="BT476" s="90"/>
      <c r="BU476" s="90"/>
      <c r="BV476" s="90"/>
      <c r="BW476" s="90"/>
      <c r="BX476" s="90"/>
      <c r="BY476" s="90"/>
    </row>
    <row r="477" spans="1:77" ht="15.75" customHeight="1" thickBot="1" x14ac:dyDescent="0.3">
      <c r="A477" s="89"/>
      <c r="B477" s="89"/>
      <c r="C477" s="78"/>
      <c r="D477" s="78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352"/>
      <c r="AA477" s="352"/>
      <c r="AB477" s="352"/>
      <c r="AC477" s="352"/>
      <c r="AD477" s="352"/>
      <c r="AE477" s="352"/>
      <c r="AF477" s="352"/>
      <c r="AG477" s="91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  <c r="BI477" s="90"/>
      <c r="BJ477" s="90"/>
      <c r="BK477" s="90"/>
      <c r="BL477" s="90"/>
      <c r="BM477" s="90"/>
      <c r="BN477" s="90"/>
      <c r="BO477" s="90"/>
      <c r="BP477" s="90"/>
      <c r="BQ477" s="90"/>
      <c r="BR477" s="90"/>
      <c r="BS477" s="90"/>
      <c r="BT477" s="90"/>
      <c r="BU477" s="90"/>
      <c r="BV477" s="90"/>
      <c r="BW477" s="90"/>
      <c r="BX477" s="90"/>
      <c r="BY477" s="90"/>
    </row>
    <row r="478" spans="1:77" ht="15.75" customHeight="1" thickBot="1" x14ac:dyDescent="0.3">
      <c r="A478" s="89"/>
      <c r="B478" s="89"/>
      <c r="C478" s="78"/>
      <c r="D478" s="78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352"/>
      <c r="AA478" s="352"/>
      <c r="AB478" s="352"/>
      <c r="AC478" s="352"/>
      <c r="AD478" s="352"/>
      <c r="AE478" s="352"/>
      <c r="AF478" s="352"/>
      <c r="AG478" s="91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  <c r="BF478" s="90"/>
      <c r="BG478" s="90"/>
      <c r="BH478" s="90"/>
      <c r="BI478" s="90"/>
      <c r="BJ478" s="90"/>
      <c r="BK478" s="90"/>
      <c r="BL478" s="90"/>
      <c r="BM478" s="90"/>
      <c r="BN478" s="90"/>
      <c r="BO478" s="90"/>
      <c r="BP478" s="90"/>
      <c r="BQ478" s="90"/>
      <c r="BR478" s="90"/>
      <c r="BS478" s="90"/>
      <c r="BT478" s="90"/>
      <c r="BU478" s="90"/>
      <c r="BV478" s="90"/>
      <c r="BW478" s="90"/>
      <c r="BX478" s="90"/>
      <c r="BY478" s="90"/>
    </row>
    <row r="479" spans="1:77" ht="15.75" customHeight="1" thickBot="1" x14ac:dyDescent="0.3">
      <c r="A479" s="89"/>
      <c r="B479" s="89"/>
      <c r="C479" s="78"/>
      <c r="D479" s="78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352"/>
      <c r="AA479" s="352"/>
      <c r="AB479" s="352"/>
      <c r="AC479" s="352"/>
      <c r="AD479" s="352"/>
      <c r="AE479" s="352"/>
      <c r="AF479" s="352"/>
      <c r="AG479" s="91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0"/>
      <c r="BG479" s="90"/>
      <c r="BH479" s="90"/>
      <c r="BI479" s="90"/>
      <c r="BJ479" s="90"/>
      <c r="BK479" s="90"/>
      <c r="BL479" s="90"/>
      <c r="BM479" s="90"/>
      <c r="BN479" s="90"/>
      <c r="BO479" s="90"/>
      <c r="BP479" s="90"/>
      <c r="BQ479" s="90"/>
      <c r="BR479" s="90"/>
      <c r="BS479" s="90"/>
      <c r="BT479" s="90"/>
      <c r="BU479" s="90"/>
      <c r="BV479" s="90"/>
      <c r="BW479" s="90"/>
      <c r="BX479" s="90"/>
      <c r="BY479" s="90"/>
    </row>
    <row r="480" spans="1:77" ht="15.75" customHeight="1" thickBot="1" x14ac:dyDescent="0.3">
      <c r="A480" s="89"/>
      <c r="B480" s="89"/>
      <c r="C480" s="78"/>
      <c r="D480" s="78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352"/>
      <c r="AA480" s="352"/>
      <c r="AB480" s="352"/>
      <c r="AC480" s="352"/>
      <c r="AD480" s="352"/>
      <c r="AE480" s="352"/>
      <c r="AF480" s="352"/>
      <c r="AG480" s="91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0"/>
      <c r="BG480" s="90"/>
      <c r="BH480" s="90"/>
      <c r="BI480" s="90"/>
      <c r="BJ480" s="90"/>
      <c r="BK480" s="90"/>
      <c r="BL480" s="90"/>
      <c r="BM480" s="90"/>
      <c r="BN480" s="90"/>
      <c r="BO480" s="90"/>
      <c r="BP480" s="90"/>
      <c r="BQ480" s="90"/>
      <c r="BR480" s="90"/>
      <c r="BS480" s="90"/>
      <c r="BT480" s="90"/>
      <c r="BU480" s="90"/>
      <c r="BV480" s="90"/>
      <c r="BW480" s="90"/>
      <c r="BX480" s="90"/>
      <c r="BY480" s="90"/>
    </row>
    <row r="481" spans="1:77" ht="15.75" customHeight="1" thickBot="1" x14ac:dyDescent="0.3">
      <c r="A481" s="89"/>
      <c r="B481" s="89"/>
      <c r="C481" s="78"/>
      <c r="D481" s="78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352"/>
      <c r="AA481" s="352"/>
      <c r="AB481" s="352"/>
      <c r="AC481" s="352"/>
      <c r="AD481" s="352"/>
      <c r="AE481" s="352"/>
      <c r="AF481" s="352"/>
      <c r="AG481" s="91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90"/>
      <c r="BD481" s="90"/>
      <c r="BE481" s="90"/>
      <c r="BF481" s="90"/>
      <c r="BG481" s="90"/>
      <c r="BH481" s="90"/>
      <c r="BI481" s="90"/>
      <c r="BJ481" s="90"/>
      <c r="BK481" s="90"/>
      <c r="BL481" s="90"/>
      <c r="BM481" s="90"/>
      <c r="BN481" s="90"/>
      <c r="BO481" s="90"/>
      <c r="BP481" s="90"/>
      <c r="BQ481" s="90"/>
      <c r="BR481" s="90"/>
      <c r="BS481" s="90"/>
      <c r="BT481" s="90"/>
      <c r="BU481" s="90"/>
      <c r="BV481" s="90"/>
      <c r="BW481" s="90"/>
      <c r="BX481" s="90"/>
      <c r="BY481" s="90"/>
    </row>
    <row r="482" spans="1:77" ht="15.75" customHeight="1" thickBot="1" x14ac:dyDescent="0.3">
      <c r="A482" s="89"/>
      <c r="B482" s="89"/>
      <c r="C482" s="78"/>
      <c r="D482" s="78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352"/>
      <c r="AA482" s="352"/>
      <c r="AB482" s="352"/>
      <c r="AC482" s="352"/>
      <c r="AD482" s="352"/>
      <c r="AE482" s="352"/>
      <c r="AF482" s="352"/>
      <c r="AG482" s="91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  <c r="BB482" s="90"/>
      <c r="BC482" s="90"/>
      <c r="BD482" s="90"/>
      <c r="BE482" s="90"/>
      <c r="BF482" s="90"/>
      <c r="BG482" s="90"/>
      <c r="BH482" s="90"/>
      <c r="BI482" s="90"/>
      <c r="BJ482" s="90"/>
      <c r="BK482" s="90"/>
      <c r="BL482" s="90"/>
      <c r="BM482" s="90"/>
      <c r="BN482" s="90"/>
      <c r="BO482" s="90"/>
      <c r="BP482" s="90"/>
      <c r="BQ482" s="90"/>
      <c r="BR482" s="90"/>
      <c r="BS482" s="90"/>
      <c r="BT482" s="90"/>
      <c r="BU482" s="90"/>
      <c r="BV482" s="90"/>
      <c r="BW482" s="90"/>
      <c r="BX482" s="90"/>
      <c r="BY482" s="90"/>
    </row>
    <row r="483" spans="1:77" ht="15.75" customHeight="1" thickBot="1" x14ac:dyDescent="0.3">
      <c r="A483" s="89"/>
      <c r="B483" s="89"/>
      <c r="C483" s="78"/>
      <c r="D483" s="78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352"/>
      <c r="AA483" s="352"/>
      <c r="AB483" s="352"/>
      <c r="AC483" s="352"/>
      <c r="AD483" s="352"/>
      <c r="AE483" s="352"/>
      <c r="AF483" s="352"/>
      <c r="AG483" s="91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90"/>
      <c r="BD483" s="90"/>
      <c r="BE483" s="90"/>
      <c r="BF483" s="90"/>
      <c r="BG483" s="90"/>
      <c r="BH483" s="90"/>
      <c r="BI483" s="90"/>
      <c r="BJ483" s="90"/>
      <c r="BK483" s="90"/>
      <c r="BL483" s="90"/>
      <c r="BM483" s="90"/>
      <c r="BN483" s="90"/>
      <c r="BO483" s="90"/>
      <c r="BP483" s="90"/>
      <c r="BQ483" s="90"/>
      <c r="BR483" s="90"/>
      <c r="BS483" s="90"/>
      <c r="BT483" s="90"/>
      <c r="BU483" s="90"/>
      <c r="BV483" s="90"/>
      <c r="BW483" s="90"/>
      <c r="BX483" s="90"/>
      <c r="BY483" s="90"/>
    </row>
    <row r="484" spans="1:77" ht="15.75" customHeight="1" thickBot="1" x14ac:dyDescent="0.3">
      <c r="A484" s="89"/>
      <c r="B484" s="89"/>
      <c r="C484" s="78"/>
      <c r="D484" s="78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352"/>
      <c r="AA484" s="352"/>
      <c r="AB484" s="352"/>
      <c r="AC484" s="352"/>
      <c r="AD484" s="352"/>
      <c r="AE484" s="352"/>
      <c r="AF484" s="352"/>
      <c r="AG484" s="91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  <c r="BF484" s="90"/>
      <c r="BG484" s="90"/>
      <c r="BH484" s="90"/>
      <c r="BI484" s="90"/>
      <c r="BJ484" s="90"/>
      <c r="BK484" s="90"/>
      <c r="BL484" s="90"/>
      <c r="BM484" s="90"/>
      <c r="BN484" s="90"/>
      <c r="BO484" s="90"/>
      <c r="BP484" s="90"/>
      <c r="BQ484" s="90"/>
      <c r="BR484" s="90"/>
      <c r="BS484" s="90"/>
      <c r="BT484" s="90"/>
      <c r="BU484" s="90"/>
      <c r="BV484" s="90"/>
      <c r="BW484" s="90"/>
      <c r="BX484" s="90"/>
      <c r="BY484" s="90"/>
    </row>
    <row r="485" spans="1:77" ht="15.75" customHeight="1" thickBot="1" x14ac:dyDescent="0.3">
      <c r="A485" s="89"/>
      <c r="B485" s="89"/>
      <c r="C485" s="78"/>
      <c r="D485" s="78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352"/>
      <c r="AA485" s="352"/>
      <c r="AB485" s="352"/>
      <c r="AC485" s="352"/>
      <c r="AD485" s="352"/>
      <c r="AE485" s="352"/>
      <c r="AF485" s="352"/>
      <c r="AG485" s="91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  <c r="BF485" s="90"/>
      <c r="BG485" s="90"/>
      <c r="BH485" s="90"/>
      <c r="BI485" s="90"/>
      <c r="BJ485" s="90"/>
      <c r="BK485" s="90"/>
      <c r="BL485" s="90"/>
      <c r="BM485" s="90"/>
      <c r="BN485" s="90"/>
      <c r="BO485" s="90"/>
      <c r="BP485" s="90"/>
      <c r="BQ485" s="90"/>
      <c r="BR485" s="90"/>
      <c r="BS485" s="90"/>
      <c r="BT485" s="90"/>
      <c r="BU485" s="90"/>
      <c r="BV485" s="90"/>
      <c r="BW485" s="90"/>
      <c r="BX485" s="90"/>
      <c r="BY485" s="90"/>
    </row>
    <row r="486" spans="1:77" ht="15.75" customHeight="1" thickBot="1" x14ac:dyDescent="0.3">
      <c r="A486" s="89"/>
      <c r="B486" s="89"/>
      <c r="C486" s="78"/>
      <c r="D486" s="78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352"/>
      <c r="AA486" s="352"/>
      <c r="AB486" s="352"/>
      <c r="AC486" s="352"/>
      <c r="AD486" s="352"/>
      <c r="AE486" s="352"/>
      <c r="AF486" s="352"/>
      <c r="AG486" s="91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0"/>
      <c r="BF486" s="90"/>
      <c r="BG486" s="90"/>
      <c r="BH486" s="90"/>
      <c r="BI486" s="90"/>
      <c r="BJ486" s="90"/>
      <c r="BK486" s="90"/>
      <c r="BL486" s="90"/>
      <c r="BM486" s="90"/>
      <c r="BN486" s="90"/>
      <c r="BO486" s="90"/>
      <c r="BP486" s="90"/>
      <c r="BQ486" s="90"/>
      <c r="BR486" s="90"/>
      <c r="BS486" s="90"/>
      <c r="BT486" s="90"/>
      <c r="BU486" s="90"/>
      <c r="BV486" s="90"/>
      <c r="BW486" s="90"/>
      <c r="BX486" s="90"/>
      <c r="BY486" s="90"/>
    </row>
    <row r="487" spans="1:77" ht="15.75" customHeight="1" thickBot="1" x14ac:dyDescent="0.3">
      <c r="A487" s="89"/>
      <c r="B487" s="89"/>
      <c r="C487" s="78"/>
      <c r="D487" s="78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352"/>
      <c r="AA487" s="352"/>
      <c r="AB487" s="352"/>
      <c r="AC487" s="352"/>
      <c r="AD487" s="352"/>
      <c r="AE487" s="352"/>
      <c r="AF487" s="352"/>
      <c r="AG487" s="91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  <c r="BF487" s="90"/>
      <c r="BG487" s="90"/>
      <c r="BH487" s="90"/>
      <c r="BI487" s="90"/>
      <c r="BJ487" s="90"/>
      <c r="BK487" s="90"/>
      <c r="BL487" s="90"/>
      <c r="BM487" s="90"/>
      <c r="BN487" s="90"/>
      <c r="BO487" s="90"/>
      <c r="BP487" s="90"/>
      <c r="BQ487" s="90"/>
      <c r="BR487" s="90"/>
      <c r="BS487" s="90"/>
      <c r="BT487" s="90"/>
      <c r="BU487" s="90"/>
      <c r="BV487" s="90"/>
      <c r="BW487" s="90"/>
      <c r="BX487" s="90"/>
      <c r="BY487" s="90"/>
    </row>
    <row r="488" spans="1:77" ht="15.75" customHeight="1" thickBot="1" x14ac:dyDescent="0.3">
      <c r="A488" s="89"/>
      <c r="B488" s="89"/>
      <c r="C488" s="78"/>
      <c r="D488" s="78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352"/>
      <c r="AA488" s="352"/>
      <c r="AB488" s="352"/>
      <c r="AC488" s="352"/>
      <c r="AD488" s="352"/>
      <c r="AE488" s="352"/>
      <c r="AF488" s="352"/>
      <c r="AG488" s="91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90"/>
      <c r="BC488" s="90"/>
      <c r="BD488" s="90"/>
      <c r="BE488" s="90"/>
      <c r="BF488" s="90"/>
      <c r="BG488" s="90"/>
      <c r="BH488" s="90"/>
      <c r="BI488" s="90"/>
      <c r="BJ488" s="90"/>
      <c r="BK488" s="90"/>
      <c r="BL488" s="90"/>
      <c r="BM488" s="90"/>
      <c r="BN488" s="90"/>
      <c r="BO488" s="90"/>
      <c r="BP488" s="90"/>
      <c r="BQ488" s="90"/>
      <c r="BR488" s="90"/>
      <c r="BS488" s="90"/>
      <c r="BT488" s="90"/>
      <c r="BU488" s="90"/>
      <c r="BV488" s="90"/>
      <c r="BW488" s="90"/>
      <c r="BX488" s="90"/>
      <c r="BY488" s="90"/>
    </row>
    <row r="489" spans="1:77" ht="15.75" customHeight="1" thickBot="1" x14ac:dyDescent="0.3">
      <c r="A489" s="89"/>
      <c r="B489" s="89"/>
      <c r="C489" s="78"/>
      <c r="D489" s="78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352"/>
      <c r="AA489" s="352"/>
      <c r="AB489" s="352"/>
      <c r="AC489" s="352"/>
      <c r="AD489" s="352"/>
      <c r="AE489" s="352"/>
      <c r="AF489" s="352"/>
      <c r="AG489" s="91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  <c r="BB489" s="90"/>
      <c r="BC489" s="90"/>
      <c r="BD489" s="90"/>
      <c r="BE489" s="90"/>
      <c r="BF489" s="90"/>
      <c r="BG489" s="90"/>
      <c r="BH489" s="90"/>
      <c r="BI489" s="90"/>
      <c r="BJ489" s="90"/>
      <c r="BK489" s="90"/>
      <c r="BL489" s="90"/>
      <c r="BM489" s="90"/>
      <c r="BN489" s="90"/>
      <c r="BO489" s="90"/>
      <c r="BP489" s="90"/>
      <c r="BQ489" s="90"/>
      <c r="BR489" s="90"/>
      <c r="BS489" s="90"/>
      <c r="BT489" s="90"/>
      <c r="BU489" s="90"/>
      <c r="BV489" s="90"/>
      <c r="BW489" s="90"/>
      <c r="BX489" s="90"/>
      <c r="BY489" s="90"/>
    </row>
    <row r="490" spans="1:77" ht="15.75" customHeight="1" thickBot="1" x14ac:dyDescent="0.3">
      <c r="A490" s="89"/>
      <c r="B490" s="89"/>
      <c r="C490" s="78"/>
      <c r="D490" s="78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352"/>
      <c r="AA490" s="352"/>
      <c r="AB490" s="352"/>
      <c r="AC490" s="352"/>
      <c r="AD490" s="352"/>
      <c r="AE490" s="352"/>
      <c r="AF490" s="352"/>
      <c r="AG490" s="91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  <c r="BB490" s="90"/>
      <c r="BC490" s="90"/>
      <c r="BD490" s="90"/>
      <c r="BE490" s="90"/>
      <c r="BF490" s="90"/>
      <c r="BG490" s="90"/>
      <c r="BH490" s="90"/>
      <c r="BI490" s="90"/>
      <c r="BJ490" s="90"/>
      <c r="BK490" s="90"/>
      <c r="BL490" s="90"/>
      <c r="BM490" s="90"/>
      <c r="BN490" s="90"/>
      <c r="BO490" s="90"/>
      <c r="BP490" s="90"/>
      <c r="BQ490" s="90"/>
      <c r="BR490" s="90"/>
      <c r="BS490" s="90"/>
      <c r="BT490" s="90"/>
      <c r="BU490" s="90"/>
      <c r="BV490" s="90"/>
      <c r="BW490" s="90"/>
      <c r="BX490" s="90"/>
      <c r="BY490" s="90"/>
    </row>
    <row r="491" spans="1:77" ht="15.75" customHeight="1" thickBot="1" x14ac:dyDescent="0.3">
      <c r="A491" s="89"/>
      <c r="B491" s="89"/>
      <c r="C491" s="78"/>
      <c r="D491" s="78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352"/>
      <c r="AA491" s="352"/>
      <c r="AB491" s="352"/>
      <c r="AC491" s="352"/>
      <c r="AD491" s="352"/>
      <c r="AE491" s="352"/>
      <c r="AF491" s="352"/>
      <c r="AG491" s="91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  <c r="BB491" s="90"/>
      <c r="BC491" s="90"/>
      <c r="BD491" s="90"/>
      <c r="BE491" s="90"/>
      <c r="BF491" s="90"/>
      <c r="BG491" s="90"/>
      <c r="BH491" s="90"/>
      <c r="BI491" s="90"/>
      <c r="BJ491" s="90"/>
      <c r="BK491" s="90"/>
      <c r="BL491" s="90"/>
      <c r="BM491" s="90"/>
      <c r="BN491" s="90"/>
      <c r="BO491" s="90"/>
      <c r="BP491" s="90"/>
      <c r="BQ491" s="90"/>
      <c r="BR491" s="90"/>
      <c r="BS491" s="90"/>
      <c r="BT491" s="90"/>
      <c r="BU491" s="90"/>
      <c r="BV491" s="90"/>
      <c r="BW491" s="90"/>
      <c r="BX491" s="90"/>
      <c r="BY491" s="90"/>
    </row>
    <row r="492" spans="1:77" ht="15.75" customHeight="1" thickBot="1" x14ac:dyDescent="0.3">
      <c r="A492" s="89"/>
      <c r="B492" s="89"/>
      <c r="C492" s="78"/>
      <c r="D492" s="78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352"/>
      <c r="AA492" s="352"/>
      <c r="AB492" s="352"/>
      <c r="AC492" s="352"/>
      <c r="AD492" s="352"/>
      <c r="AE492" s="352"/>
      <c r="AF492" s="352"/>
      <c r="AG492" s="91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90"/>
      <c r="BC492" s="90"/>
      <c r="BD492" s="90"/>
      <c r="BE492" s="90"/>
      <c r="BF492" s="90"/>
      <c r="BG492" s="90"/>
      <c r="BH492" s="90"/>
      <c r="BI492" s="90"/>
      <c r="BJ492" s="90"/>
      <c r="BK492" s="90"/>
      <c r="BL492" s="90"/>
      <c r="BM492" s="90"/>
      <c r="BN492" s="90"/>
      <c r="BO492" s="90"/>
      <c r="BP492" s="90"/>
      <c r="BQ492" s="90"/>
      <c r="BR492" s="90"/>
      <c r="BS492" s="90"/>
      <c r="BT492" s="90"/>
      <c r="BU492" s="90"/>
      <c r="BV492" s="90"/>
      <c r="BW492" s="90"/>
      <c r="BX492" s="90"/>
      <c r="BY492" s="90"/>
    </row>
    <row r="493" spans="1:77" ht="15.75" customHeight="1" thickBot="1" x14ac:dyDescent="0.3">
      <c r="A493" s="89"/>
      <c r="B493" s="89"/>
      <c r="C493" s="78"/>
      <c r="D493" s="78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352"/>
      <c r="AA493" s="352"/>
      <c r="AB493" s="352"/>
      <c r="AC493" s="352"/>
      <c r="AD493" s="352"/>
      <c r="AE493" s="352"/>
      <c r="AF493" s="352"/>
      <c r="AG493" s="91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  <c r="BB493" s="90"/>
      <c r="BC493" s="90"/>
      <c r="BD493" s="90"/>
      <c r="BE493" s="90"/>
      <c r="BF493" s="90"/>
      <c r="BG493" s="90"/>
      <c r="BH493" s="90"/>
      <c r="BI493" s="90"/>
      <c r="BJ493" s="90"/>
      <c r="BK493" s="90"/>
      <c r="BL493" s="90"/>
      <c r="BM493" s="90"/>
      <c r="BN493" s="90"/>
      <c r="BO493" s="90"/>
      <c r="BP493" s="90"/>
      <c r="BQ493" s="90"/>
      <c r="BR493" s="90"/>
      <c r="BS493" s="90"/>
      <c r="BT493" s="90"/>
      <c r="BU493" s="90"/>
      <c r="BV493" s="90"/>
      <c r="BW493" s="90"/>
      <c r="BX493" s="90"/>
      <c r="BY493" s="90"/>
    </row>
    <row r="494" spans="1:77" ht="15.75" customHeight="1" thickBot="1" x14ac:dyDescent="0.3">
      <c r="A494" s="89"/>
      <c r="B494" s="89"/>
      <c r="C494" s="78"/>
      <c r="D494" s="78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352"/>
      <c r="AA494" s="352"/>
      <c r="AB494" s="352"/>
      <c r="AC494" s="352"/>
      <c r="AD494" s="352"/>
      <c r="AE494" s="352"/>
      <c r="AF494" s="352"/>
      <c r="AG494" s="91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  <c r="BB494" s="90"/>
      <c r="BC494" s="90"/>
      <c r="BD494" s="90"/>
      <c r="BE494" s="90"/>
      <c r="BF494" s="90"/>
      <c r="BG494" s="90"/>
      <c r="BH494" s="90"/>
      <c r="BI494" s="90"/>
      <c r="BJ494" s="90"/>
      <c r="BK494" s="90"/>
      <c r="BL494" s="90"/>
      <c r="BM494" s="90"/>
      <c r="BN494" s="90"/>
      <c r="BO494" s="90"/>
      <c r="BP494" s="90"/>
      <c r="BQ494" s="90"/>
      <c r="BR494" s="90"/>
      <c r="BS494" s="90"/>
      <c r="BT494" s="90"/>
      <c r="BU494" s="90"/>
      <c r="BV494" s="90"/>
      <c r="BW494" s="90"/>
      <c r="BX494" s="90"/>
      <c r="BY494" s="90"/>
    </row>
    <row r="495" spans="1:77" ht="15.75" customHeight="1" thickBot="1" x14ac:dyDescent="0.3">
      <c r="A495" s="89"/>
      <c r="B495" s="89"/>
      <c r="C495" s="78"/>
      <c r="D495" s="78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352"/>
      <c r="AA495" s="352"/>
      <c r="AB495" s="352"/>
      <c r="AC495" s="352"/>
      <c r="AD495" s="352"/>
      <c r="AE495" s="352"/>
      <c r="AF495" s="352"/>
      <c r="AG495" s="91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  <c r="BB495" s="90"/>
      <c r="BC495" s="90"/>
      <c r="BD495" s="90"/>
      <c r="BE495" s="90"/>
      <c r="BF495" s="90"/>
      <c r="BG495" s="90"/>
      <c r="BH495" s="90"/>
      <c r="BI495" s="90"/>
      <c r="BJ495" s="90"/>
      <c r="BK495" s="90"/>
      <c r="BL495" s="90"/>
      <c r="BM495" s="90"/>
      <c r="BN495" s="90"/>
      <c r="BO495" s="90"/>
      <c r="BP495" s="90"/>
      <c r="BQ495" s="90"/>
      <c r="BR495" s="90"/>
      <c r="BS495" s="90"/>
      <c r="BT495" s="90"/>
      <c r="BU495" s="90"/>
      <c r="BV495" s="90"/>
      <c r="BW495" s="90"/>
      <c r="BX495" s="90"/>
      <c r="BY495" s="90"/>
    </row>
    <row r="496" spans="1:77" ht="15.75" customHeight="1" thickBot="1" x14ac:dyDescent="0.3">
      <c r="A496" s="89"/>
      <c r="B496" s="89"/>
      <c r="C496" s="78"/>
      <c r="D496" s="78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352"/>
      <c r="AA496" s="352"/>
      <c r="AB496" s="352"/>
      <c r="AC496" s="352"/>
      <c r="AD496" s="352"/>
      <c r="AE496" s="352"/>
      <c r="AF496" s="352"/>
      <c r="AG496" s="91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  <c r="BB496" s="90"/>
      <c r="BC496" s="90"/>
      <c r="BD496" s="90"/>
      <c r="BE496" s="90"/>
      <c r="BF496" s="90"/>
      <c r="BG496" s="90"/>
      <c r="BH496" s="90"/>
      <c r="BI496" s="90"/>
      <c r="BJ496" s="90"/>
      <c r="BK496" s="90"/>
      <c r="BL496" s="90"/>
      <c r="BM496" s="90"/>
      <c r="BN496" s="90"/>
      <c r="BO496" s="90"/>
      <c r="BP496" s="90"/>
      <c r="BQ496" s="90"/>
      <c r="BR496" s="90"/>
      <c r="BS496" s="90"/>
      <c r="BT496" s="90"/>
      <c r="BU496" s="90"/>
      <c r="BV496" s="90"/>
      <c r="BW496" s="90"/>
      <c r="BX496" s="90"/>
      <c r="BY496" s="90"/>
    </row>
    <row r="497" spans="1:77" ht="15.75" customHeight="1" thickBot="1" x14ac:dyDescent="0.3">
      <c r="A497" s="89"/>
      <c r="B497" s="89"/>
      <c r="C497" s="78"/>
      <c r="D497" s="78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352"/>
      <c r="AA497" s="352"/>
      <c r="AB497" s="352"/>
      <c r="AC497" s="352"/>
      <c r="AD497" s="352"/>
      <c r="AE497" s="352"/>
      <c r="AF497" s="352"/>
      <c r="AG497" s="91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90"/>
      <c r="BC497" s="90"/>
      <c r="BD497" s="90"/>
      <c r="BE497" s="90"/>
      <c r="BF497" s="90"/>
      <c r="BG497" s="90"/>
      <c r="BH497" s="90"/>
      <c r="BI497" s="90"/>
      <c r="BJ497" s="90"/>
      <c r="BK497" s="90"/>
      <c r="BL497" s="90"/>
      <c r="BM497" s="90"/>
      <c r="BN497" s="90"/>
      <c r="BO497" s="90"/>
      <c r="BP497" s="90"/>
      <c r="BQ497" s="90"/>
      <c r="BR497" s="90"/>
      <c r="BS497" s="90"/>
      <c r="BT497" s="90"/>
      <c r="BU497" s="90"/>
      <c r="BV497" s="90"/>
      <c r="BW497" s="90"/>
      <c r="BX497" s="90"/>
      <c r="BY497" s="90"/>
    </row>
    <row r="498" spans="1:77" ht="15.75" customHeight="1" thickBot="1" x14ac:dyDescent="0.3">
      <c r="A498" s="89"/>
      <c r="B498" s="89"/>
      <c r="C498" s="78"/>
      <c r="D498" s="78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352"/>
      <c r="AA498" s="352"/>
      <c r="AB498" s="352"/>
      <c r="AC498" s="352"/>
      <c r="AD498" s="352"/>
      <c r="AE498" s="352"/>
      <c r="AF498" s="352"/>
      <c r="AG498" s="91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90"/>
      <c r="BC498" s="90"/>
      <c r="BD498" s="90"/>
      <c r="BE498" s="90"/>
      <c r="BF498" s="90"/>
      <c r="BG498" s="90"/>
      <c r="BH498" s="90"/>
      <c r="BI498" s="90"/>
      <c r="BJ498" s="90"/>
      <c r="BK498" s="90"/>
      <c r="BL498" s="90"/>
      <c r="BM498" s="90"/>
      <c r="BN498" s="90"/>
      <c r="BO498" s="90"/>
      <c r="BP498" s="90"/>
      <c r="BQ498" s="90"/>
      <c r="BR498" s="90"/>
      <c r="BS498" s="90"/>
      <c r="BT498" s="90"/>
      <c r="BU498" s="90"/>
      <c r="BV498" s="90"/>
      <c r="BW498" s="90"/>
      <c r="BX498" s="90"/>
      <c r="BY498" s="90"/>
    </row>
    <row r="499" spans="1:77" ht="15.75" customHeight="1" thickBot="1" x14ac:dyDescent="0.3">
      <c r="A499" s="89"/>
      <c r="B499" s="89"/>
      <c r="C499" s="78"/>
      <c r="D499" s="78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352"/>
      <c r="AA499" s="352"/>
      <c r="AB499" s="352"/>
      <c r="AC499" s="352"/>
      <c r="AD499" s="352"/>
      <c r="AE499" s="352"/>
      <c r="AF499" s="352"/>
      <c r="AG499" s="91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  <c r="BB499" s="90"/>
      <c r="BC499" s="90"/>
      <c r="BD499" s="90"/>
      <c r="BE499" s="90"/>
      <c r="BF499" s="90"/>
      <c r="BG499" s="90"/>
      <c r="BH499" s="90"/>
      <c r="BI499" s="90"/>
      <c r="BJ499" s="90"/>
      <c r="BK499" s="90"/>
      <c r="BL499" s="90"/>
      <c r="BM499" s="90"/>
      <c r="BN499" s="90"/>
      <c r="BO499" s="90"/>
      <c r="BP499" s="90"/>
      <c r="BQ499" s="90"/>
      <c r="BR499" s="90"/>
      <c r="BS499" s="90"/>
      <c r="BT499" s="90"/>
      <c r="BU499" s="90"/>
      <c r="BV499" s="90"/>
      <c r="BW499" s="90"/>
      <c r="BX499" s="90"/>
      <c r="BY499" s="90"/>
    </row>
    <row r="500" spans="1:77" ht="15.75" customHeight="1" thickBot="1" x14ac:dyDescent="0.3">
      <c r="A500" s="89"/>
      <c r="B500" s="89"/>
      <c r="C500" s="78"/>
      <c r="D500" s="78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352"/>
      <c r="AA500" s="352"/>
      <c r="AB500" s="352"/>
      <c r="AC500" s="352"/>
      <c r="AD500" s="352"/>
      <c r="AE500" s="352"/>
      <c r="AF500" s="352"/>
      <c r="AG500" s="91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0"/>
      <c r="BF500" s="90"/>
      <c r="BG500" s="90"/>
      <c r="BH500" s="90"/>
      <c r="BI500" s="90"/>
      <c r="BJ500" s="90"/>
      <c r="BK500" s="90"/>
      <c r="BL500" s="90"/>
      <c r="BM500" s="90"/>
      <c r="BN500" s="90"/>
      <c r="BO500" s="90"/>
      <c r="BP500" s="90"/>
      <c r="BQ500" s="90"/>
      <c r="BR500" s="90"/>
      <c r="BS500" s="90"/>
      <c r="BT500" s="90"/>
      <c r="BU500" s="90"/>
      <c r="BV500" s="90"/>
      <c r="BW500" s="90"/>
      <c r="BX500" s="90"/>
      <c r="BY500" s="90"/>
    </row>
    <row r="501" spans="1:77" ht="15.75" customHeight="1" thickBot="1" x14ac:dyDescent="0.3">
      <c r="A501" s="89"/>
      <c r="B501" s="89"/>
      <c r="C501" s="78"/>
      <c r="D501" s="78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352"/>
      <c r="AA501" s="352"/>
      <c r="AB501" s="352"/>
      <c r="AC501" s="352"/>
      <c r="AD501" s="352"/>
      <c r="AE501" s="352"/>
      <c r="AF501" s="352"/>
      <c r="AG501" s="91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0"/>
      <c r="BC501" s="90"/>
      <c r="BD501" s="90"/>
      <c r="BE501" s="90"/>
      <c r="BF501" s="90"/>
      <c r="BG501" s="90"/>
      <c r="BH501" s="90"/>
      <c r="BI501" s="90"/>
      <c r="BJ501" s="90"/>
      <c r="BK501" s="90"/>
      <c r="BL501" s="90"/>
      <c r="BM501" s="90"/>
      <c r="BN501" s="90"/>
      <c r="BO501" s="90"/>
      <c r="BP501" s="90"/>
      <c r="BQ501" s="90"/>
      <c r="BR501" s="90"/>
      <c r="BS501" s="90"/>
      <c r="BT501" s="90"/>
      <c r="BU501" s="90"/>
      <c r="BV501" s="90"/>
      <c r="BW501" s="90"/>
      <c r="BX501" s="90"/>
      <c r="BY501" s="90"/>
    </row>
    <row r="502" spans="1:77" ht="15.75" customHeight="1" thickBot="1" x14ac:dyDescent="0.3">
      <c r="A502" s="89"/>
      <c r="B502" s="89"/>
      <c r="C502" s="78"/>
      <c r="D502" s="78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352"/>
      <c r="AA502" s="352"/>
      <c r="AB502" s="352"/>
      <c r="AC502" s="352"/>
      <c r="AD502" s="352"/>
      <c r="AE502" s="352"/>
      <c r="AF502" s="352"/>
      <c r="AG502" s="91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  <c r="BB502" s="90"/>
      <c r="BC502" s="90"/>
      <c r="BD502" s="90"/>
      <c r="BE502" s="90"/>
      <c r="BF502" s="90"/>
      <c r="BG502" s="90"/>
      <c r="BH502" s="90"/>
      <c r="BI502" s="90"/>
      <c r="BJ502" s="90"/>
      <c r="BK502" s="90"/>
      <c r="BL502" s="90"/>
      <c r="BM502" s="90"/>
      <c r="BN502" s="90"/>
      <c r="BO502" s="90"/>
      <c r="BP502" s="90"/>
      <c r="BQ502" s="90"/>
      <c r="BR502" s="90"/>
      <c r="BS502" s="90"/>
      <c r="BT502" s="90"/>
      <c r="BU502" s="90"/>
      <c r="BV502" s="90"/>
      <c r="BW502" s="90"/>
      <c r="BX502" s="90"/>
      <c r="BY502" s="90"/>
    </row>
    <row r="503" spans="1:77" ht="15.75" customHeight="1" thickBot="1" x14ac:dyDescent="0.3">
      <c r="A503" s="89"/>
      <c r="B503" s="89"/>
      <c r="C503" s="78"/>
      <c r="D503" s="78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352"/>
      <c r="AA503" s="352"/>
      <c r="AB503" s="352"/>
      <c r="AC503" s="352"/>
      <c r="AD503" s="352"/>
      <c r="AE503" s="352"/>
      <c r="AF503" s="352"/>
      <c r="AG503" s="91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  <c r="BB503" s="90"/>
      <c r="BC503" s="90"/>
      <c r="BD503" s="90"/>
      <c r="BE503" s="90"/>
      <c r="BF503" s="90"/>
      <c r="BG503" s="90"/>
      <c r="BH503" s="90"/>
      <c r="BI503" s="90"/>
      <c r="BJ503" s="90"/>
      <c r="BK503" s="90"/>
      <c r="BL503" s="90"/>
      <c r="BM503" s="90"/>
      <c r="BN503" s="90"/>
      <c r="BO503" s="90"/>
      <c r="BP503" s="90"/>
      <c r="BQ503" s="90"/>
      <c r="BR503" s="90"/>
      <c r="BS503" s="90"/>
      <c r="BT503" s="90"/>
      <c r="BU503" s="90"/>
      <c r="BV503" s="90"/>
      <c r="BW503" s="90"/>
      <c r="BX503" s="90"/>
      <c r="BY503" s="90"/>
    </row>
    <row r="504" spans="1:77" ht="15.75" customHeight="1" thickBot="1" x14ac:dyDescent="0.3">
      <c r="A504" s="89"/>
      <c r="B504" s="89"/>
      <c r="C504" s="78"/>
      <c r="D504" s="78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352"/>
      <c r="AA504" s="352"/>
      <c r="AB504" s="352"/>
      <c r="AC504" s="352"/>
      <c r="AD504" s="352"/>
      <c r="AE504" s="352"/>
      <c r="AF504" s="352"/>
      <c r="AG504" s="91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  <c r="BB504" s="90"/>
      <c r="BC504" s="90"/>
      <c r="BD504" s="90"/>
      <c r="BE504" s="90"/>
      <c r="BF504" s="90"/>
      <c r="BG504" s="90"/>
      <c r="BH504" s="90"/>
      <c r="BI504" s="90"/>
      <c r="BJ504" s="90"/>
      <c r="BK504" s="90"/>
      <c r="BL504" s="90"/>
      <c r="BM504" s="90"/>
      <c r="BN504" s="90"/>
      <c r="BO504" s="90"/>
      <c r="BP504" s="90"/>
      <c r="BQ504" s="90"/>
      <c r="BR504" s="90"/>
      <c r="BS504" s="90"/>
      <c r="BT504" s="90"/>
      <c r="BU504" s="90"/>
      <c r="BV504" s="90"/>
      <c r="BW504" s="90"/>
      <c r="BX504" s="90"/>
      <c r="BY504" s="90"/>
    </row>
    <row r="505" spans="1:77" ht="15.75" customHeight="1" thickBot="1" x14ac:dyDescent="0.3">
      <c r="A505" s="89"/>
      <c r="B505" s="89"/>
      <c r="C505" s="78"/>
      <c r="D505" s="78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352"/>
      <c r="AA505" s="352"/>
      <c r="AB505" s="352"/>
      <c r="AC505" s="352"/>
      <c r="AD505" s="352"/>
      <c r="AE505" s="352"/>
      <c r="AF505" s="352"/>
      <c r="AG505" s="91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  <c r="BB505" s="90"/>
      <c r="BC505" s="90"/>
      <c r="BD505" s="90"/>
      <c r="BE505" s="90"/>
      <c r="BF505" s="90"/>
      <c r="BG505" s="90"/>
      <c r="BH505" s="90"/>
      <c r="BI505" s="90"/>
      <c r="BJ505" s="90"/>
      <c r="BK505" s="90"/>
      <c r="BL505" s="90"/>
      <c r="BM505" s="90"/>
      <c r="BN505" s="90"/>
      <c r="BO505" s="90"/>
      <c r="BP505" s="90"/>
      <c r="BQ505" s="90"/>
      <c r="BR505" s="90"/>
      <c r="BS505" s="90"/>
      <c r="BT505" s="90"/>
      <c r="BU505" s="90"/>
      <c r="BV505" s="90"/>
      <c r="BW505" s="90"/>
      <c r="BX505" s="90"/>
      <c r="BY505" s="90"/>
    </row>
    <row r="506" spans="1:77" ht="15.75" customHeight="1" thickBot="1" x14ac:dyDescent="0.3">
      <c r="A506" s="89"/>
      <c r="B506" s="89"/>
      <c r="C506" s="78"/>
      <c r="D506" s="78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352"/>
      <c r="AA506" s="352"/>
      <c r="AB506" s="352"/>
      <c r="AC506" s="352"/>
      <c r="AD506" s="352"/>
      <c r="AE506" s="352"/>
      <c r="AF506" s="352"/>
      <c r="AG506" s="91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  <c r="BB506" s="90"/>
      <c r="BC506" s="90"/>
      <c r="BD506" s="90"/>
      <c r="BE506" s="90"/>
      <c r="BF506" s="90"/>
      <c r="BG506" s="90"/>
      <c r="BH506" s="90"/>
      <c r="BI506" s="90"/>
      <c r="BJ506" s="90"/>
      <c r="BK506" s="90"/>
      <c r="BL506" s="90"/>
      <c r="BM506" s="90"/>
      <c r="BN506" s="90"/>
      <c r="BO506" s="90"/>
      <c r="BP506" s="90"/>
      <c r="BQ506" s="90"/>
      <c r="BR506" s="90"/>
      <c r="BS506" s="90"/>
      <c r="BT506" s="90"/>
      <c r="BU506" s="90"/>
      <c r="BV506" s="90"/>
      <c r="BW506" s="90"/>
      <c r="BX506" s="90"/>
      <c r="BY506" s="90"/>
    </row>
    <row r="507" spans="1:77" ht="15.75" customHeight="1" thickBot="1" x14ac:dyDescent="0.3">
      <c r="A507" s="89"/>
      <c r="B507" s="89"/>
      <c r="C507" s="78"/>
      <c r="D507" s="78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352"/>
      <c r="AA507" s="352"/>
      <c r="AB507" s="352"/>
      <c r="AC507" s="352"/>
      <c r="AD507" s="352"/>
      <c r="AE507" s="352"/>
      <c r="AF507" s="352"/>
      <c r="AG507" s="91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  <c r="BB507" s="90"/>
      <c r="BC507" s="90"/>
      <c r="BD507" s="90"/>
      <c r="BE507" s="90"/>
      <c r="BF507" s="90"/>
      <c r="BG507" s="90"/>
      <c r="BH507" s="90"/>
      <c r="BI507" s="90"/>
      <c r="BJ507" s="90"/>
      <c r="BK507" s="90"/>
      <c r="BL507" s="90"/>
      <c r="BM507" s="90"/>
      <c r="BN507" s="90"/>
      <c r="BO507" s="90"/>
      <c r="BP507" s="90"/>
      <c r="BQ507" s="90"/>
      <c r="BR507" s="90"/>
      <c r="BS507" s="90"/>
      <c r="BT507" s="90"/>
      <c r="BU507" s="90"/>
      <c r="BV507" s="90"/>
      <c r="BW507" s="90"/>
      <c r="BX507" s="90"/>
      <c r="BY507" s="90"/>
    </row>
    <row r="508" spans="1:77" ht="15.75" customHeight="1" thickBot="1" x14ac:dyDescent="0.3">
      <c r="A508" s="89"/>
      <c r="B508" s="89"/>
      <c r="C508" s="78"/>
      <c r="D508" s="78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352"/>
      <c r="AA508" s="352"/>
      <c r="AB508" s="352"/>
      <c r="AC508" s="352"/>
      <c r="AD508" s="352"/>
      <c r="AE508" s="352"/>
      <c r="AF508" s="352"/>
      <c r="AG508" s="91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  <c r="BB508" s="90"/>
      <c r="BC508" s="90"/>
      <c r="BD508" s="90"/>
      <c r="BE508" s="90"/>
      <c r="BF508" s="90"/>
      <c r="BG508" s="90"/>
      <c r="BH508" s="90"/>
      <c r="BI508" s="90"/>
      <c r="BJ508" s="90"/>
      <c r="BK508" s="90"/>
      <c r="BL508" s="90"/>
      <c r="BM508" s="90"/>
      <c r="BN508" s="90"/>
      <c r="BO508" s="90"/>
      <c r="BP508" s="90"/>
      <c r="BQ508" s="90"/>
      <c r="BR508" s="90"/>
      <c r="BS508" s="90"/>
      <c r="BT508" s="90"/>
      <c r="BU508" s="90"/>
      <c r="BV508" s="90"/>
      <c r="BW508" s="90"/>
      <c r="BX508" s="90"/>
      <c r="BY508" s="90"/>
    </row>
    <row r="509" spans="1:77" ht="15.75" customHeight="1" thickBot="1" x14ac:dyDescent="0.3">
      <c r="A509" s="89"/>
      <c r="B509" s="89"/>
      <c r="C509" s="78"/>
      <c r="D509" s="78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352"/>
      <c r="AA509" s="352"/>
      <c r="AB509" s="352"/>
      <c r="AC509" s="352"/>
      <c r="AD509" s="352"/>
      <c r="AE509" s="352"/>
      <c r="AF509" s="352"/>
      <c r="AG509" s="91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  <c r="BB509" s="90"/>
      <c r="BC509" s="90"/>
      <c r="BD509" s="90"/>
      <c r="BE509" s="90"/>
      <c r="BF509" s="90"/>
      <c r="BG509" s="90"/>
      <c r="BH509" s="90"/>
      <c r="BI509" s="90"/>
      <c r="BJ509" s="90"/>
      <c r="BK509" s="90"/>
      <c r="BL509" s="90"/>
      <c r="BM509" s="90"/>
      <c r="BN509" s="90"/>
      <c r="BO509" s="90"/>
      <c r="BP509" s="90"/>
      <c r="BQ509" s="90"/>
      <c r="BR509" s="90"/>
      <c r="BS509" s="90"/>
      <c r="BT509" s="90"/>
      <c r="BU509" s="90"/>
      <c r="BV509" s="90"/>
      <c r="BW509" s="90"/>
      <c r="BX509" s="90"/>
      <c r="BY509" s="90"/>
    </row>
    <row r="510" spans="1:77" ht="15.75" customHeight="1" thickBot="1" x14ac:dyDescent="0.3">
      <c r="A510" s="89"/>
      <c r="B510" s="89"/>
      <c r="C510" s="78"/>
      <c r="D510" s="78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352"/>
      <c r="AA510" s="352"/>
      <c r="AB510" s="352"/>
      <c r="AC510" s="352"/>
      <c r="AD510" s="352"/>
      <c r="AE510" s="352"/>
      <c r="AF510" s="352"/>
      <c r="AG510" s="91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  <c r="BB510" s="90"/>
      <c r="BC510" s="90"/>
      <c r="BD510" s="90"/>
      <c r="BE510" s="90"/>
      <c r="BF510" s="90"/>
      <c r="BG510" s="90"/>
      <c r="BH510" s="90"/>
      <c r="BI510" s="90"/>
      <c r="BJ510" s="90"/>
      <c r="BK510" s="90"/>
      <c r="BL510" s="90"/>
      <c r="BM510" s="90"/>
      <c r="BN510" s="90"/>
      <c r="BO510" s="90"/>
      <c r="BP510" s="90"/>
      <c r="BQ510" s="90"/>
      <c r="BR510" s="90"/>
      <c r="BS510" s="90"/>
      <c r="BT510" s="90"/>
      <c r="BU510" s="90"/>
      <c r="BV510" s="90"/>
      <c r="BW510" s="90"/>
      <c r="BX510" s="90"/>
      <c r="BY510" s="90"/>
    </row>
    <row r="511" spans="1:77" ht="15.75" customHeight="1" thickBot="1" x14ac:dyDescent="0.3">
      <c r="A511" s="89"/>
      <c r="B511" s="89"/>
      <c r="C511" s="78"/>
      <c r="D511" s="78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352"/>
      <c r="AA511" s="352"/>
      <c r="AB511" s="352"/>
      <c r="AC511" s="352"/>
      <c r="AD511" s="352"/>
      <c r="AE511" s="352"/>
      <c r="AF511" s="352"/>
      <c r="AG511" s="91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  <c r="BB511" s="90"/>
      <c r="BC511" s="90"/>
      <c r="BD511" s="90"/>
      <c r="BE511" s="90"/>
      <c r="BF511" s="90"/>
      <c r="BG511" s="90"/>
      <c r="BH511" s="90"/>
      <c r="BI511" s="90"/>
      <c r="BJ511" s="90"/>
      <c r="BK511" s="90"/>
      <c r="BL511" s="90"/>
      <c r="BM511" s="90"/>
      <c r="BN511" s="90"/>
      <c r="BO511" s="90"/>
      <c r="BP511" s="90"/>
      <c r="BQ511" s="90"/>
      <c r="BR511" s="90"/>
      <c r="BS511" s="90"/>
      <c r="BT511" s="90"/>
      <c r="BU511" s="90"/>
      <c r="BV511" s="90"/>
      <c r="BW511" s="90"/>
      <c r="BX511" s="90"/>
      <c r="BY511" s="90"/>
    </row>
    <row r="512" spans="1:77" ht="15.75" customHeight="1" thickBot="1" x14ac:dyDescent="0.3">
      <c r="A512" s="89"/>
      <c r="B512" s="89"/>
      <c r="C512" s="78"/>
      <c r="D512" s="78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352"/>
      <c r="AA512" s="352"/>
      <c r="AB512" s="352"/>
      <c r="AC512" s="352"/>
      <c r="AD512" s="352"/>
      <c r="AE512" s="352"/>
      <c r="AF512" s="352"/>
      <c r="AG512" s="91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  <c r="BB512" s="90"/>
      <c r="BC512" s="90"/>
      <c r="BD512" s="90"/>
      <c r="BE512" s="90"/>
      <c r="BF512" s="90"/>
      <c r="BG512" s="90"/>
      <c r="BH512" s="90"/>
      <c r="BI512" s="90"/>
      <c r="BJ512" s="90"/>
      <c r="BK512" s="90"/>
      <c r="BL512" s="90"/>
      <c r="BM512" s="90"/>
      <c r="BN512" s="90"/>
      <c r="BO512" s="90"/>
      <c r="BP512" s="90"/>
      <c r="BQ512" s="90"/>
      <c r="BR512" s="90"/>
      <c r="BS512" s="90"/>
      <c r="BT512" s="90"/>
      <c r="BU512" s="90"/>
      <c r="BV512" s="90"/>
      <c r="BW512" s="90"/>
      <c r="BX512" s="90"/>
      <c r="BY512" s="90"/>
    </row>
    <row r="513" spans="1:77" ht="15.75" customHeight="1" thickBot="1" x14ac:dyDescent="0.3">
      <c r="A513" s="89"/>
      <c r="B513" s="89"/>
      <c r="C513" s="78"/>
      <c r="D513" s="78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352"/>
      <c r="AA513" s="352"/>
      <c r="AB513" s="352"/>
      <c r="AC513" s="352"/>
      <c r="AD513" s="352"/>
      <c r="AE513" s="352"/>
      <c r="AF513" s="352"/>
      <c r="AG513" s="91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  <c r="BB513" s="90"/>
      <c r="BC513" s="90"/>
      <c r="BD513" s="90"/>
      <c r="BE513" s="90"/>
      <c r="BF513" s="90"/>
      <c r="BG513" s="90"/>
      <c r="BH513" s="90"/>
      <c r="BI513" s="90"/>
      <c r="BJ513" s="90"/>
      <c r="BK513" s="90"/>
      <c r="BL513" s="90"/>
      <c r="BM513" s="90"/>
      <c r="BN513" s="90"/>
      <c r="BO513" s="90"/>
      <c r="BP513" s="90"/>
      <c r="BQ513" s="90"/>
      <c r="BR513" s="90"/>
      <c r="BS513" s="90"/>
      <c r="BT513" s="90"/>
      <c r="BU513" s="90"/>
      <c r="BV513" s="90"/>
      <c r="BW513" s="90"/>
      <c r="BX513" s="90"/>
      <c r="BY513" s="90"/>
    </row>
    <row r="514" spans="1:77" ht="15.75" customHeight="1" thickBot="1" x14ac:dyDescent="0.3">
      <c r="A514" s="89"/>
      <c r="B514" s="89"/>
      <c r="C514" s="78"/>
      <c r="D514" s="78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352"/>
      <c r="AA514" s="352"/>
      <c r="AB514" s="352"/>
      <c r="AC514" s="352"/>
      <c r="AD514" s="352"/>
      <c r="AE514" s="352"/>
      <c r="AF514" s="352"/>
      <c r="AG514" s="91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90"/>
      <c r="BC514" s="90"/>
      <c r="BD514" s="90"/>
      <c r="BE514" s="90"/>
      <c r="BF514" s="90"/>
      <c r="BG514" s="90"/>
      <c r="BH514" s="90"/>
      <c r="BI514" s="90"/>
      <c r="BJ514" s="90"/>
      <c r="BK514" s="90"/>
      <c r="BL514" s="90"/>
      <c r="BM514" s="90"/>
      <c r="BN514" s="90"/>
      <c r="BO514" s="90"/>
      <c r="BP514" s="90"/>
      <c r="BQ514" s="90"/>
      <c r="BR514" s="90"/>
      <c r="BS514" s="90"/>
      <c r="BT514" s="90"/>
      <c r="BU514" s="90"/>
      <c r="BV514" s="90"/>
      <c r="BW514" s="90"/>
      <c r="BX514" s="90"/>
      <c r="BY514" s="90"/>
    </row>
    <row r="515" spans="1:77" ht="15.75" customHeight="1" thickBot="1" x14ac:dyDescent="0.3">
      <c r="A515" s="89"/>
      <c r="B515" s="89"/>
      <c r="C515" s="78"/>
      <c r="D515" s="78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352"/>
      <c r="AA515" s="352"/>
      <c r="AB515" s="352"/>
      <c r="AC515" s="352"/>
      <c r="AD515" s="352"/>
      <c r="AE515" s="352"/>
      <c r="AF515" s="352"/>
      <c r="AG515" s="91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  <c r="BB515" s="90"/>
      <c r="BC515" s="90"/>
      <c r="BD515" s="90"/>
      <c r="BE515" s="90"/>
      <c r="BF515" s="90"/>
      <c r="BG515" s="90"/>
      <c r="BH515" s="90"/>
      <c r="BI515" s="90"/>
      <c r="BJ515" s="90"/>
      <c r="BK515" s="90"/>
      <c r="BL515" s="90"/>
      <c r="BM515" s="90"/>
      <c r="BN515" s="90"/>
      <c r="BO515" s="90"/>
      <c r="BP515" s="90"/>
      <c r="BQ515" s="90"/>
      <c r="BR515" s="90"/>
      <c r="BS515" s="90"/>
      <c r="BT515" s="90"/>
      <c r="BU515" s="90"/>
      <c r="BV515" s="90"/>
      <c r="BW515" s="90"/>
      <c r="BX515" s="90"/>
      <c r="BY515" s="90"/>
    </row>
    <row r="516" spans="1:77" ht="15.75" customHeight="1" thickBot="1" x14ac:dyDescent="0.3">
      <c r="A516" s="89"/>
      <c r="B516" s="89"/>
      <c r="C516" s="78"/>
      <c r="D516" s="78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352"/>
      <c r="AA516" s="352"/>
      <c r="AB516" s="352"/>
      <c r="AC516" s="352"/>
      <c r="AD516" s="352"/>
      <c r="AE516" s="352"/>
      <c r="AF516" s="352"/>
      <c r="AG516" s="91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90"/>
      <c r="BC516" s="90"/>
      <c r="BD516" s="90"/>
      <c r="BE516" s="90"/>
      <c r="BF516" s="90"/>
      <c r="BG516" s="90"/>
      <c r="BH516" s="90"/>
      <c r="BI516" s="90"/>
      <c r="BJ516" s="90"/>
      <c r="BK516" s="90"/>
      <c r="BL516" s="90"/>
      <c r="BM516" s="90"/>
      <c r="BN516" s="90"/>
      <c r="BO516" s="90"/>
      <c r="BP516" s="90"/>
      <c r="BQ516" s="90"/>
      <c r="BR516" s="90"/>
      <c r="BS516" s="90"/>
      <c r="BT516" s="90"/>
      <c r="BU516" s="90"/>
      <c r="BV516" s="90"/>
      <c r="BW516" s="90"/>
      <c r="BX516" s="90"/>
      <c r="BY516" s="90"/>
    </row>
    <row r="517" spans="1:77" ht="15.75" customHeight="1" thickBot="1" x14ac:dyDescent="0.3">
      <c r="A517" s="89"/>
      <c r="B517" s="89"/>
      <c r="C517" s="78"/>
      <c r="D517" s="78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352"/>
      <c r="AA517" s="352"/>
      <c r="AB517" s="352"/>
      <c r="AC517" s="352"/>
      <c r="AD517" s="352"/>
      <c r="AE517" s="352"/>
      <c r="AF517" s="352"/>
      <c r="AG517" s="91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  <c r="BB517" s="90"/>
      <c r="BC517" s="90"/>
      <c r="BD517" s="90"/>
      <c r="BE517" s="90"/>
      <c r="BF517" s="90"/>
      <c r="BG517" s="90"/>
      <c r="BH517" s="90"/>
      <c r="BI517" s="90"/>
      <c r="BJ517" s="90"/>
      <c r="BK517" s="90"/>
      <c r="BL517" s="90"/>
      <c r="BM517" s="90"/>
      <c r="BN517" s="90"/>
      <c r="BO517" s="90"/>
      <c r="BP517" s="90"/>
      <c r="BQ517" s="90"/>
      <c r="BR517" s="90"/>
      <c r="BS517" s="90"/>
      <c r="BT517" s="90"/>
      <c r="BU517" s="90"/>
      <c r="BV517" s="90"/>
      <c r="BW517" s="90"/>
      <c r="BX517" s="90"/>
      <c r="BY517" s="90"/>
    </row>
    <row r="518" spans="1:77" ht="15.75" customHeight="1" thickBot="1" x14ac:dyDescent="0.3">
      <c r="A518" s="89"/>
      <c r="B518" s="89"/>
      <c r="C518" s="78"/>
      <c r="D518" s="78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352"/>
      <c r="AA518" s="352"/>
      <c r="AB518" s="352"/>
      <c r="AC518" s="352"/>
      <c r="AD518" s="352"/>
      <c r="AE518" s="352"/>
      <c r="AF518" s="352"/>
      <c r="AG518" s="91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  <c r="BB518" s="90"/>
      <c r="BC518" s="90"/>
      <c r="BD518" s="90"/>
      <c r="BE518" s="90"/>
      <c r="BF518" s="90"/>
      <c r="BG518" s="90"/>
      <c r="BH518" s="90"/>
      <c r="BI518" s="90"/>
      <c r="BJ518" s="90"/>
      <c r="BK518" s="90"/>
      <c r="BL518" s="90"/>
      <c r="BM518" s="90"/>
      <c r="BN518" s="90"/>
      <c r="BO518" s="90"/>
      <c r="BP518" s="90"/>
      <c r="BQ518" s="90"/>
      <c r="BR518" s="90"/>
      <c r="BS518" s="90"/>
      <c r="BT518" s="90"/>
      <c r="BU518" s="90"/>
      <c r="BV518" s="90"/>
      <c r="BW518" s="90"/>
      <c r="BX518" s="90"/>
      <c r="BY518" s="90"/>
    </row>
    <row r="519" spans="1:77" ht="15.75" customHeight="1" thickBot="1" x14ac:dyDescent="0.3">
      <c r="A519" s="89"/>
      <c r="B519" s="89"/>
      <c r="C519" s="78"/>
      <c r="D519" s="78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352"/>
      <c r="AA519" s="352"/>
      <c r="AB519" s="352"/>
      <c r="AC519" s="352"/>
      <c r="AD519" s="352"/>
      <c r="AE519" s="352"/>
      <c r="AF519" s="352"/>
      <c r="AG519" s="91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  <c r="BB519" s="90"/>
      <c r="BC519" s="90"/>
      <c r="BD519" s="90"/>
      <c r="BE519" s="90"/>
      <c r="BF519" s="90"/>
      <c r="BG519" s="90"/>
      <c r="BH519" s="90"/>
      <c r="BI519" s="90"/>
      <c r="BJ519" s="90"/>
      <c r="BK519" s="90"/>
      <c r="BL519" s="90"/>
      <c r="BM519" s="90"/>
      <c r="BN519" s="90"/>
      <c r="BO519" s="90"/>
      <c r="BP519" s="90"/>
      <c r="BQ519" s="90"/>
      <c r="BR519" s="90"/>
      <c r="BS519" s="90"/>
      <c r="BT519" s="90"/>
      <c r="BU519" s="90"/>
      <c r="BV519" s="90"/>
      <c r="BW519" s="90"/>
      <c r="BX519" s="90"/>
      <c r="BY519" s="90"/>
    </row>
    <row r="520" spans="1:77" ht="15.75" customHeight="1" thickBot="1" x14ac:dyDescent="0.3">
      <c r="A520" s="89"/>
      <c r="B520" s="89"/>
      <c r="C520" s="78"/>
      <c r="D520" s="78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352"/>
      <c r="AA520" s="352"/>
      <c r="AB520" s="352"/>
      <c r="AC520" s="352"/>
      <c r="AD520" s="352"/>
      <c r="AE520" s="352"/>
      <c r="AF520" s="352"/>
      <c r="AG520" s="91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90"/>
      <c r="BC520" s="90"/>
      <c r="BD520" s="90"/>
      <c r="BE520" s="90"/>
      <c r="BF520" s="90"/>
      <c r="BG520" s="90"/>
      <c r="BH520" s="90"/>
      <c r="BI520" s="90"/>
      <c r="BJ520" s="90"/>
      <c r="BK520" s="90"/>
      <c r="BL520" s="90"/>
      <c r="BM520" s="90"/>
      <c r="BN520" s="90"/>
      <c r="BO520" s="90"/>
      <c r="BP520" s="90"/>
      <c r="BQ520" s="90"/>
      <c r="BR520" s="90"/>
      <c r="BS520" s="90"/>
      <c r="BT520" s="90"/>
      <c r="BU520" s="90"/>
      <c r="BV520" s="90"/>
      <c r="BW520" s="90"/>
      <c r="BX520" s="90"/>
      <c r="BY520" s="90"/>
    </row>
    <row r="521" spans="1:77" ht="15.75" customHeight="1" thickBot="1" x14ac:dyDescent="0.3">
      <c r="A521" s="89"/>
      <c r="B521" s="89"/>
      <c r="C521" s="78"/>
      <c r="D521" s="78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352"/>
      <c r="AA521" s="352"/>
      <c r="AB521" s="352"/>
      <c r="AC521" s="352"/>
      <c r="AD521" s="352"/>
      <c r="AE521" s="352"/>
      <c r="AF521" s="352"/>
      <c r="AG521" s="91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  <c r="BB521" s="90"/>
      <c r="BC521" s="90"/>
      <c r="BD521" s="90"/>
      <c r="BE521" s="90"/>
      <c r="BF521" s="90"/>
      <c r="BG521" s="90"/>
      <c r="BH521" s="90"/>
      <c r="BI521" s="90"/>
      <c r="BJ521" s="90"/>
      <c r="BK521" s="90"/>
      <c r="BL521" s="90"/>
      <c r="BM521" s="90"/>
      <c r="BN521" s="90"/>
      <c r="BO521" s="90"/>
      <c r="BP521" s="90"/>
      <c r="BQ521" s="90"/>
      <c r="BR521" s="90"/>
      <c r="BS521" s="90"/>
      <c r="BT521" s="90"/>
      <c r="BU521" s="90"/>
      <c r="BV521" s="90"/>
      <c r="BW521" s="90"/>
      <c r="BX521" s="90"/>
      <c r="BY521" s="90"/>
    </row>
    <row r="522" spans="1:77" ht="15.75" customHeight="1" thickBot="1" x14ac:dyDescent="0.3">
      <c r="A522" s="89"/>
      <c r="B522" s="89"/>
      <c r="C522" s="78"/>
      <c r="D522" s="78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352"/>
      <c r="AA522" s="352"/>
      <c r="AB522" s="352"/>
      <c r="AC522" s="352"/>
      <c r="AD522" s="352"/>
      <c r="AE522" s="352"/>
      <c r="AF522" s="352"/>
      <c r="AG522" s="91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  <c r="BB522" s="90"/>
      <c r="BC522" s="90"/>
      <c r="BD522" s="90"/>
      <c r="BE522" s="90"/>
      <c r="BF522" s="90"/>
      <c r="BG522" s="90"/>
      <c r="BH522" s="90"/>
      <c r="BI522" s="90"/>
      <c r="BJ522" s="90"/>
      <c r="BK522" s="90"/>
      <c r="BL522" s="90"/>
      <c r="BM522" s="90"/>
      <c r="BN522" s="90"/>
      <c r="BO522" s="90"/>
      <c r="BP522" s="90"/>
      <c r="BQ522" s="90"/>
      <c r="BR522" s="90"/>
      <c r="BS522" s="90"/>
      <c r="BT522" s="90"/>
      <c r="BU522" s="90"/>
      <c r="BV522" s="90"/>
      <c r="BW522" s="90"/>
      <c r="BX522" s="90"/>
      <c r="BY522" s="90"/>
    </row>
    <row r="523" spans="1:77" ht="15.75" customHeight="1" thickBot="1" x14ac:dyDescent="0.3">
      <c r="A523" s="89"/>
      <c r="B523" s="89"/>
      <c r="C523" s="78"/>
      <c r="D523" s="78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352"/>
      <c r="AA523" s="352"/>
      <c r="AB523" s="352"/>
      <c r="AC523" s="352"/>
      <c r="AD523" s="352"/>
      <c r="AE523" s="352"/>
      <c r="AF523" s="352"/>
      <c r="AG523" s="91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90"/>
      <c r="BC523" s="90"/>
      <c r="BD523" s="90"/>
      <c r="BE523" s="90"/>
      <c r="BF523" s="90"/>
      <c r="BG523" s="90"/>
      <c r="BH523" s="90"/>
      <c r="BI523" s="90"/>
      <c r="BJ523" s="90"/>
      <c r="BK523" s="90"/>
      <c r="BL523" s="90"/>
      <c r="BM523" s="90"/>
      <c r="BN523" s="90"/>
      <c r="BO523" s="90"/>
      <c r="BP523" s="90"/>
      <c r="BQ523" s="90"/>
      <c r="BR523" s="90"/>
      <c r="BS523" s="90"/>
      <c r="BT523" s="90"/>
      <c r="BU523" s="90"/>
      <c r="BV523" s="90"/>
      <c r="BW523" s="90"/>
      <c r="BX523" s="90"/>
      <c r="BY523" s="90"/>
    </row>
    <row r="524" spans="1:77" ht="15.75" customHeight="1" thickBot="1" x14ac:dyDescent="0.3">
      <c r="A524" s="89"/>
      <c r="B524" s="89"/>
      <c r="C524" s="78"/>
      <c r="D524" s="78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352"/>
      <c r="AA524" s="352"/>
      <c r="AB524" s="352"/>
      <c r="AC524" s="352"/>
      <c r="AD524" s="352"/>
      <c r="AE524" s="352"/>
      <c r="AF524" s="352"/>
      <c r="AG524" s="91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90"/>
      <c r="BC524" s="90"/>
      <c r="BD524" s="90"/>
      <c r="BE524" s="90"/>
      <c r="BF524" s="90"/>
      <c r="BG524" s="90"/>
      <c r="BH524" s="90"/>
      <c r="BI524" s="90"/>
      <c r="BJ524" s="90"/>
      <c r="BK524" s="90"/>
      <c r="BL524" s="90"/>
      <c r="BM524" s="90"/>
      <c r="BN524" s="90"/>
      <c r="BO524" s="90"/>
      <c r="BP524" s="90"/>
      <c r="BQ524" s="90"/>
      <c r="BR524" s="90"/>
      <c r="BS524" s="90"/>
      <c r="BT524" s="90"/>
      <c r="BU524" s="90"/>
      <c r="BV524" s="90"/>
      <c r="BW524" s="90"/>
      <c r="BX524" s="90"/>
      <c r="BY524" s="90"/>
    </row>
    <row r="525" spans="1:77" ht="15.75" customHeight="1" thickBot="1" x14ac:dyDescent="0.3">
      <c r="A525" s="89"/>
      <c r="B525" s="89"/>
      <c r="C525" s="78"/>
      <c r="D525" s="78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352"/>
      <c r="AA525" s="352"/>
      <c r="AB525" s="352"/>
      <c r="AC525" s="352"/>
      <c r="AD525" s="352"/>
      <c r="AE525" s="352"/>
      <c r="AF525" s="352"/>
      <c r="AG525" s="91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  <c r="BB525" s="90"/>
      <c r="BC525" s="90"/>
      <c r="BD525" s="90"/>
      <c r="BE525" s="90"/>
      <c r="BF525" s="90"/>
      <c r="BG525" s="90"/>
      <c r="BH525" s="90"/>
      <c r="BI525" s="90"/>
      <c r="BJ525" s="90"/>
      <c r="BK525" s="90"/>
      <c r="BL525" s="90"/>
      <c r="BM525" s="90"/>
      <c r="BN525" s="90"/>
      <c r="BO525" s="90"/>
      <c r="BP525" s="90"/>
      <c r="BQ525" s="90"/>
      <c r="BR525" s="90"/>
      <c r="BS525" s="90"/>
      <c r="BT525" s="90"/>
      <c r="BU525" s="90"/>
      <c r="BV525" s="90"/>
      <c r="BW525" s="90"/>
      <c r="BX525" s="90"/>
      <c r="BY525" s="90"/>
    </row>
    <row r="526" spans="1:77" ht="15.75" customHeight="1" thickBot="1" x14ac:dyDescent="0.3">
      <c r="A526" s="89"/>
      <c r="B526" s="89"/>
      <c r="C526" s="78"/>
      <c r="D526" s="78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352"/>
      <c r="AA526" s="352"/>
      <c r="AB526" s="352"/>
      <c r="AC526" s="352"/>
      <c r="AD526" s="352"/>
      <c r="AE526" s="352"/>
      <c r="AF526" s="352"/>
      <c r="AG526" s="91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  <c r="BB526" s="90"/>
      <c r="BC526" s="90"/>
      <c r="BD526" s="90"/>
      <c r="BE526" s="90"/>
      <c r="BF526" s="90"/>
      <c r="BG526" s="90"/>
      <c r="BH526" s="90"/>
      <c r="BI526" s="90"/>
      <c r="BJ526" s="90"/>
      <c r="BK526" s="90"/>
      <c r="BL526" s="90"/>
      <c r="BM526" s="90"/>
      <c r="BN526" s="90"/>
      <c r="BO526" s="90"/>
      <c r="BP526" s="90"/>
      <c r="BQ526" s="90"/>
      <c r="BR526" s="90"/>
      <c r="BS526" s="90"/>
      <c r="BT526" s="90"/>
      <c r="BU526" s="90"/>
      <c r="BV526" s="90"/>
      <c r="BW526" s="90"/>
      <c r="BX526" s="90"/>
      <c r="BY526" s="90"/>
    </row>
    <row r="527" spans="1:77" ht="15.75" customHeight="1" thickBot="1" x14ac:dyDescent="0.3">
      <c r="A527" s="89"/>
      <c r="B527" s="89"/>
      <c r="C527" s="78"/>
      <c r="D527" s="78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352"/>
      <c r="AA527" s="352"/>
      <c r="AB527" s="352"/>
      <c r="AC527" s="352"/>
      <c r="AD527" s="352"/>
      <c r="AE527" s="352"/>
      <c r="AF527" s="352"/>
      <c r="AG527" s="91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0"/>
      <c r="BC527" s="90"/>
      <c r="BD527" s="90"/>
      <c r="BE527" s="90"/>
      <c r="BF527" s="90"/>
      <c r="BG527" s="90"/>
      <c r="BH527" s="90"/>
      <c r="BI527" s="90"/>
      <c r="BJ527" s="90"/>
      <c r="BK527" s="90"/>
      <c r="BL527" s="90"/>
      <c r="BM527" s="90"/>
      <c r="BN527" s="90"/>
      <c r="BO527" s="90"/>
      <c r="BP527" s="90"/>
      <c r="BQ527" s="90"/>
      <c r="BR527" s="90"/>
      <c r="BS527" s="90"/>
      <c r="BT527" s="90"/>
      <c r="BU527" s="90"/>
      <c r="BV527" s="90"/>
      <c r="BW527" s="90"/>
      <c r="BX527" s="90"/>
      <c r="BY527" s="90"/>
    </row>
    <row r="528" spans="1:77" ht="15.75" customHeight="1" thickBot="1" x14ac:dyDescent="0.3">
      <c r="A528" s="89"/>
      <c r="B528" s="89"/>
      <c r="C528" s="78"/>
      <c r="D528" s="78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352"/>
      <c r="AA528" s="352"/>
      <c r="AB528" s="352"/>
      <c r="AC528" s="352"/>
      <c r="AD528" s="352"/>
      <c r="AE528" s="352"/>
      <c r="AF528" s="352"/>
      <c r="AG528" s="91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0"/>
      <c r="BC528" s="90"/>
      <c r="BD528" s="90"/>
      <c r="BE528" s="90"/>
      <c r="BF528" s="90"/>
      <c r="BG528" s="90"/>
      <c r="BH528" s="90"/>
      <c r="BI528" s="90"/>
      <c r="BJ528" s="90"/>
      <c r="BK528" s="90"/>
      <c r="BL528" s="90"/>
      <c r="BM528" s="90"/>
      <c r="BN528" s="90"/>
      <c r="BO528" s="90"/>
      <c r="BP528" s="90"/>
      <c r="BQ528" s="90"/>
      <c r="BR528" s="90"/>
      <c r="BS528" s="90"/>
      <c r="BT528" s="90"/>
      <c r="BU528" s="90"/>
      <c r="BV528" s="90"/>
      <c r="BW528" s="90"/>
      <c r="BX528" s="90"/>
      <c r="BY528" s="90"/>
    </row>
    <row r="529" spans="1:77" ht="15.75" customHeight="1" thickBot="1" x14ac:dyDescent="0.3">
      <c r="A529" s="89"/>
      <c r="B529" s="89"/>
      <c r="C529" s="78"/>
      <c r="D529" s="78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352"/>
      <c r="AA529" s="352"/>
      <c r="AB529" s="352"/>
      <c r="AC529" s="352"/>
      <c r="AD529" s="352"/>
      <c r="AE529" s="352"/>
      <c r="AF529" s="352"/>
      <c r="AG529" s="91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90"/>
      <c r="BC529" s="90"/>
      <c r="BD529" s="90"/>
      <c r="BE529" s="90"/>
      <c r="BF529" s="90"/>
      <c r="BG529" s="90"/>
      <c r="BH529" s="90"/>
      <c r="BI529" s="90"/>
      <c r="BJ529" s="90"/>
      <c r="BK529" s="90"/>
      <c r="BL529" s="90"/>
      <c r="BM529" s="90"/>
      <c r="BN529" s="90"/>
      <c r="BO529" s="90"/>
      <c r="BP529" s="90"/>
      <c r="BQ529" s="90"/>
      <c r="BR529" s="90"/>
      <c r="BS529" s="90"/>
      <c r="BT529" s="90"/>
      <c r="BU529" s="90"/>
      <c r="BV529" s="90"/>
      <c r="BW529" s="90"/>
      <c r="BX529" s="90"/>
      <c r="BY529" s="90"/>
    </row>
    <row r="530" spans="1:77" ht="15.75" customHeight="1" thickBot="1" x14ac:dyDescent="0.3">
      <c r="A530" s="89"/>
      <c r="B530" s="89"/>
      <c r="C530" s="78"/>
      <c r="D530" s="78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352"/>
      <c r="AA530" s="352"/>
      <c r="AB530" s="352"/>
      <c r="AC530" s="352"/>
      <c r="AD530" s="352"/>
      <c r="AE530" s="352"/>
      <c r="AF530" s="352"/>
      <c r="AG530" s="91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  <c r="BB530" s="90"/>
      <c r="BC530" s="90"/>
      <c r="BD530" s="90"/>
      <c r="BE530" s="90"/>
      <c r="BF530" s="90"/>
      <c r="BG530" s="90"/>
      <c r="BH530" s="90"/>
      <c r="BI530" s="90"/>
      <c r="BJ530" s="90"/>
      <c r="BK530" s="90"/>
      <c r="BL530" s="90"/>
      <c r="BM530" s="90"/>
      <c r="BN530" s="90"/>
      <c r="BO530" s="90"/>
      <c r="BP530" s="90"/>
      <c r="BQ530" s="90"/>
      <c r="BR530" s="90"/>
      <c r="BS530" s="90"/>
      <c r="BT530" s="90"/>
      <c r="BU530" s="90"/>
      <c r="BV530" s="90"/>
      <c r="BW530" s="90"/>
      <c r="BX530" s="90"/>
      <c r="BY530" s="90"/>
    </row>
    <row r="531" spans="1:77" ht="15.75" customHeight="1" thickBot="1" x14ac:dyDescent="0.3">
      <c r="A531" s="89"/>
      <c r="B531" s="89"/>
      <c r="C531" s="78"/>
      <c r="D531" s="78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352"/>
      <c r="AA531" s="352"/>
      <c r="AB531" s="352"/>
      <c r="AC531" s="352"/>
      <c r="AD531" s="352"/>
      <c r="AE531" s="352"/>
      <c r="AF531" s="352"/>
      <c r="AG531" s="91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90"/>
      <c r="BC531" s="90"/>
      <c r="BD531" s="90"/>
      <c r="BE531" s="90"/>
      <c r="BF531" s="90"/>
      <c r="BG531" s="90"/>
      <c r="BH531" s="90"/>
      <c r="BI531" s="90"/>
      <c r="BJ531" s="90"/>
      <c r="BK531" s="90"/>
      <c r="BL531" s="90"/>
      <c r="BM531" s="90"/>
      <c r="BN531" s="90"/>
      <c r="BO531" s="90"/>
      <c r="BP531" s="90"/>
      <c r="BQ531" s="90"/>
      <c r="BR531" s="90"/>
      <c r="BS531" s="90"/>
      <c r="BT531" s="90"/>
      <c r="BU531" s="90"/>
      <c r="BV531" s="90"/>
      <c r="BW531" s="90"/>
      <c r="BX531" s="90"/>
      <c r="BY531" s="90"/>
    </row>
    <row r="532" spans="1:77" ht="15.75" customHeight="1" thickBot="1" x14ac:dyDescent="0.3">
      <c r="A532" s="89"/>
      <c r="B532" s="89"/>
      <c r="C532" s="78"/>
      <c r="D532" s="78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352"/>
      <c r="AA532" s="352"/>
      <c r="AB532" s="352"/>
      <c r="AC532" s="352"/>
      <c r="AD532" s="352"/>
      <c r="AE532" s="352"/>
      <c r="AF532" s="352"/>
      <c r="AG532" s="91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  <c r="BB532" s="90"/>
      <c r="BC532" s="90"/>
      <c r="BD532" s="90"/>
      <c r="BE532" s="90"/>
      <c r="BF532" s="90"/>
      <c r="BG532" s="90"/>
      <c r="BH532" s="90"/>
      <c r="BI532" s="90"/>
      <c r="BJ532" s="90"/>
      <c r="BK532" s="90"/>
      <c r="BL532" s="90"/>
      <c r="BM532" s="90"/>
      <c r="BN532" s="90"/>
      <c r="BO532" s="90"/>
      <c r="BP532" s="90"/>
      <c r="BQ532" s="90"/>
      <c r="BR532" s="90"/>
      <c r="BS532" s="90"/>
      <c r="BT532" s="90"/>
      <c r="BU532" s="90"/>
      <c r="BV532" s="90"/>
      <c r="BW532" s="90"/>
      <c r="BX532" s="90"/>
      <c r="BY532" s="90"/>
    </row>
    <row r="533" spans="1:77" ht="15.75" customHeight="1" thickBot="1" x14ac:dyDescent="0.3">
      <c r="A533" s="89"/>
      <c r="B533" s="89"/>
      <c r="C533" s="78"/>
      <c r="D533" s="78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352"/>
      <c r="AA533" s="352"/>
      <c r="AB533" s="352"/>
      <c r="AC533" s="352"/>
      <c r="AD533" s="352"/>
      <c r="AE533" s="352"/>
      <c r="AF533" s="352"/>
      <c r="AG533" s="91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0"/>
      <c r="BD533" s="90"/>
      <c r="BE533" s="90"/>
      <c r="BF533" s="90"/>
      <c r="BG533" s="90"/>
      <c r="BH533" s="90"/>
      <c r="BI533" s="90"/>
      <c r="BJ533" s="90"/>
      <c r="BK533" s="90"/>
      <c r="BL533" s="90"/>
      <c r="BM533" s="90"/>
      <c r="BN533" s="90"/>
      <c r="BO533" s="90"/>
      <c r="BP533" s="90"/>
      <c r="BQ533" s="90"/>
      <c r="BR533" s="90"/>
      <c r="BS533" s="90"/>
      <c r="BT533" s="90"/>
      <c r="BU533" s="90"/>
      <c r="BV533" s="90"/>
      <c r="BW533" s="90"/>
      <c r="BX533" s="90"/>
      <c r="BY533" s="90"/>
    </row>
    <row r="534" spans="1:77" ht="15.75" customHeight="1" thickBot="1" x14ac:dyDescent="0.3">
      <c r="A534" s="89"/>
      <c r="B534" s="89"/>
      <c r="C534" s="78"/>
      <c r="D534" s="78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352"/>
      <c r="AA534" s="352"/>
      <c r="AB534" s="352"/>
      <c r="AC534" s="352"/>
      <c r="AD534" s="352"/>
      <c r="AE534" s="352"/>
      <c r="AF534" s="352"/>
      <c r="AG534" s="91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90"/>
      <c r="BC534" s="90"/>
      <c r="BD534" s="90"/>
      <c r="BE534" s="90"/>
      <c r="BF534" s="90"/>
      <c r="BG534" s="90"/>
      <c r="BH534" s="90"/>
      <c r="BI534" s="90"/>
      <c r="BJ534" s="90"/>
      <c r="BK534" s="90"/>
      <c r="BL534" s="90"/>
      <c r="BM534" s="90"/>
      <c r="BN534" s="90"/>
      <c r="BO534" s="90"/>
      <c r="BP534" s="90"/>
      <c r="BQ534" s="90"/>
      <c r="BR534" s="90"/>
      <c r="BS534" s="90"/>
      <c r="BT534" s="90"/>
      <c r="BU534" s="90"/>
      <c r="BV534" s="90"/>
      <c r="BW534" s="90"/>
      <c r="BX534" s="90"/>
      <c r="BY534" s="90"/>
    </row>
    <row r="535" spans="1:77" ht="15.75" customHeight="1" thickBot="1" x14ac:dyDescent="0.3">
      <c r="A535" s="89"/>
      <c r="B535" s="89"/>
      <c r="C535" s="78"/>
      <c r="D535" s="78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352"/>
      <c r="AA535" s="352"/>
      <c r="AB535" s="352"/>
      <c r="AC535" s="352"/>
      <c r="AD535" s="352"/>
      <c r="AE535" s="352"/>
      <c r="AF535" s="352"/>
      <c r="AG535" s="91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90"/>
      <c r="BC535" s="90"/>
      <c r="BD535" s="90"/>
      <c r="BE535" s="90"/>
      <c r="BF535" s="90"/>
      <c r="BG535" s="90"/>
      <c r="BH535" s="90"/>
      <c r="BI535" s="90"/>
      <c r="BJ535" s="90"/>
      <c r="BK535" s="90"/>
      <c r="BL535" s="90"/>
      <c r="BM535" s="90"/>
      <c r="BN535" s="90"/>
      <c r="BO535" s="90"/>
      <c r="BP535" s="90"/>
      <c r="BQ535" s="90"/>
      <c r="BR535" s="90"/>
      <c r="BS535" s="90"/>
      <c r="BT535" s="90"/>
      <c r="BU535" s="90"/>
      <c r="BV535" s="90"/>
      <c r="BW535" s="90"/>
      <c r="BX535" s="90"/>
      <c r="BY535" s="90"/>
    </row>
    <row r="536" spans="1:77" ht="15.75" customHeight="1" thickBot="1" x14ac:dyDescent="0.3">
      <c r="A536" s="89"/>
      <c r="B536" s="89"/>
      <c r="C536" s="78"/>
      <c r="D536" s="78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352"/>
      <c r="AA536" s="352"/>
      <c r="AB536" s="352"/>
      <c r="AC536" s="352"/>
      <c r="AD536" s="352"/>
      <c r="AE536" s="352"/>
      <c r="AF536" s="352"/>
      <c r="AG536" s="91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0"/>
      <c r="BD536" s="90"/>
      <c r="BE536" s="90"/>
      <c r="BF536" s="90"/>
      <c r="BG536" s="90"/>
      <c r="BH536" s="90"/>
      <c r="BI536" s="90"/>
      <c r="BJ536" s="90"/>
      <c r="BK536" s="90"/>
      <c r="BL536" s="90"/>
      <c r="BM536" s="90"/>
      <c r="BN536" s="90"/>
      <c r="BO536" s="90"/>
      <c r="BP536" s="90"/>
      <c r="BQ536" s="90"/>
      <c r="BR536" s="90"/>
      <c r="BS536" s="90"/>
      <c r="BT536" s="90"/>
      <c r="BU536" s="90"/>
      <c r="BV536" s="90"/>
      <c r="BW536" s="90"/>
      <c r="BX536" s="90"/>
      <c r="BY536" s="90"/>
    </row>
    <row r="537" spans="1:77" ht="15.75" customHeight="1" thickBot="1" x14ac:dyDescent="0.3">
      <c r="A537" s="89"/>
      <c r="B537" s="89"/>
      <c r="C537" s="78"/>
      <c r="D537" s="78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352"/>
      <c r="AA537" s="352"/>
      <c r="AB537" s="352"/>
      <c r="AC537" s="352"/>
      <c r="AD537" s="352"/>
      <c r="AE537" s="352"/>
      <c r="AF537" s="352"/>
      <c r="AG537" s="91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90"/>
      <c r="BC537" s="90"/>
      <c r="BD537" s="90"/>
      <c r="BE537" s="90"/>
      <c r="BF537" s="90"/>
      <c r="BG537" s="90"/>
      <c r="BH537" s="90"/>
      <c r="BI537" s="90"/>
      <c r="BJ537" s="90"/>
      <c r="BK537" s="90"/>
      <c r="BL537" s="90"/>
      <c r="BM537" s="90"/>
      <c r="BN537" s="90"/>
      <c r="BO537" s="90"/>
      <c r="BP537" s="90"/>
      <c r="BQ537" s="90"/>
      <c r="BR537" s="90"/>
      <c r="BS537" s="90"/>
      <c r="BT537" s="90"/>
      <c r="BU537" s="90"/>
      <c r="BV537" s="90"/>
      <c r="BW537" s="90"/>
      <c r="BX537" s="90"/>
      <c r="BY537" s="90"/>
    </row>
    <row r="538" spans="1:77" ht="15.75" customHeight="1" thickBot="1" x14ac:dyDescent="0.3">
      <c r="A538" s="89"/>
      <c r="B538" s="89"/>
      <c r="C538" s="78"/>
      <c r="D538" s="78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352"/>
      <c r="AA538" s="352"/>
      <c r="AB538" s="352"/>
      <c r="AC538" s="352"/>
      <c r="AD538" s="352"/>
      <c r="AE538" s="352"/>
      <c r="AF538" s="352"/>
      <c r="AG538" s="91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90"/>
      <c r="BC538" s="90"/>
      <c r="BD538" s="90"/>
      <c r="BE538" s="90"/>
      <c r="BF538" s="90"/>
      <c r="BG538" s="90"/>
      <c r="BH538" s="90"/>
      <c r="BI538" s="90"/>
      <c r="BJ538" s="90"/>
      <c r="BK538" s="90"/>
      <c r="BL538" s="90"/>
      <c r="BM538" s="90"/>
      <c r="BN538" s="90"/>
      <c r="BO538" s="90"/>
      <c r="BP538" s="90"/>
      <c r="BQ538" s="90"/>
      <c r="BR538" s="90"/>
      <c r="BS538" s="90"/>
      <c r="BT538" s="90"/>
      <c r="BU538" s="90"/>
      <c r="BV538" s="90"/>
      <c r="BW538" s="90"/>
      <c r="BX538" s="90"/>
      <c r="BY538" s="90"/>
    </row>
    <row r="539" spans="1:77" ht="15.75" customHeight="1" thickBot="1" x14ac:dyDescent="0.3">
      <c r="A539" s="89"/>
      <c r="B539" s="89"/>
      <c r="C539" s="78"/>
      <c r="D539" s="78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352"/>
      <c r="AA539" s="352"/>
      <c r="AB539" s="352"/>
      <c r="AC539" s="352"/>
      <c r="AD539" s="352"/>
      <c r="AE539" s="352"/>
      <c r="AF539" s="352"/>
      <c r="AG539" s="91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90"/>
      <c r="BC539" s="90"/>
      <c r="BD539" s="90"/>
      <c r="BE539" s="90"/>
      <c r="BF539" s="90"/>
      <c r="BG539" s="90"/>
      <c r="BH539" s="90"/>
      <c r="BI539" s="90"/>
      <c r="BJ539" s="90"/>
      <c r="BK539" s="90"/>
      <c r="BL539" s="90"/>
      <c r="BM539" s="90"/>
      <c r="BN539" s="90"/>
      <c r="BO539" s="90"/>
      <c r="BP539" s="90"/>
      <c r="BQ539" s="90"/>
      <c r="BR539" s="90"/>
      <c r="BS539" s="90"/>
      <c r="BT539" s="90"/>
      <c r="BU539" s="90"/>
      <c r="BV539" s="90"/>
      <c r="BW539" s="90"/>
      <c r="BX539" s="90"/>
      <c r="BY539" s="90"/>
    </row>
    <row r="540" spans="1:77" ht="15.75" customHeight="1" thickBot="1" x14ac:dyDescent="0.3">
      <c r="A540" s="89"/>
      <c r="B540" s="89"/>
      <c r="C540" s="78"/>
      <c r="D540" s="78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352"/>
      <c r="AA540" s="352"/>
      <c r="AB540" s="352"/>
      <c r="AC540" s="352"/>
      <c r="AD540" s="352"/>
      <c r="AE540" s="352"/>
      <c r="AF540" s="352"/>
      <c r="AG540" s="91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0"/>
      <c r="BD540" s="90"/>
      <c r="BE540" s="90"/>
      <c r="BF540" s="90"/>
      <c r="BG540" s="90"/>
      <c r="BH540" s="90"/>
      <c r="BI540" s="90"/>
      <c r="BJ540" s="90"/>
      <c r="BK540" s="90"/>
      <c r="BL540" s="90"/>
      <c r="BM540" s="90"/>
      <c r="BN540" s="90"/>
      <c r="BO540" s="90"/>
      <c r="BP540" s="90"/>
      <c r="BQ540" s="90"/>
      <c r="BR540" s="90"/>
      <c r="BS540" s="90"/>
      <c r="BT540" s="90"/>
      <c r="BU540" s="90"/>
      <c r="BV540" s="90"/>
      <c r="BW540" s="90"/>
      <c r="BX540" s="90"/>
      <c r="BY540" s="90"/>
    </row>
    <row r="541" spans="1:77" ht="15.75" customHeight="1" thickBot="1" x14ac:dyDescent="0.3">
      <c r="A541" s="89"/>
      <c r="B541" s="89"/>
      <c r="C541" s="78"/>
      <c r="D541" s="78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352"/>
      <c r="AA541" s="352"/>
      <c r="AB541" s="352"/>
      <c r="AC541" s="352"/>
      <c r="AD541" s="352"/>
      <c r="AE541" s="352"/>
      <c r="AF541" s="352"/>
      <c r="AG541" s="91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90"/>
      <c r="BC541" s="90"/>
      <c r="BD541" s="90"/>
      <c r="BE541" s="90"/>
      <c r="BF541" s="90"/>
      <c r="BG541" s="90"/>
      <c r="BH541" s="90"/>
      <c r="BI541" s="90"/>
      <c r="BJ541" s="90"/>
      <c r="BK541" s="90"/>
      <c r="BL541" s="90"/>
      <c r="BM541" s="90"/>
      <c r="BN541" s="90"/>
      <c r="BO541" s="90"/>
      <c r="BP541" s="90"/>
      <c r="BQ541" s="90"/>
      <c r="BR541" s="90"/>
      <c r="BS541" s="90"/>
      <c r="BT541" s="90"/>
      <c r="BU541" s="90"/>
      <c r="BV541" s="90"/>
      <c r="BW541" s="90"/>
      <c r="BX541" s="90"/>
      <c r="BY541" s="90"/>
    </row>
    <row r="542" spans="1:77" ht="15.75" customHeight="1" thickBot="1" x14ac:dyDescent="0.3">
      <c r="A542" s="89"/>
      <c r="B542" s="89"/>
      <c r="C542" s="78"/>
      <c r="D542" s="78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352"/>
      <c r="AA542" s="352"/>
      <c r="AB542" s="352"/>
      <c r="AC542" s="352"/>
      <c r="AD542" s="352"/>
      <c r="AE542" s="352"/>
      <c r="AF542" s="352"/>
      <c r="AG542" s="91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90"/>
      <c r="BC542" s="90"/>
      <c r="BD542" s="90"/>
      <c r="BE542" s="90"/>
      <c r="BF542" s="90"/>
      <c r="BG542" s="90"/>
      <c r="BH542" s="90"/>
      <c r="BI542" s="90"/>
      <c r="BJ542" s="90"/>
      <c r="BK542" s="90"/>
      <c r="BL542" s="90"/>
      <c r="BM542" s="90"/>
      <c r="BN542" s="90"/>
      <c r="BO542" s="90"/>
      <c r="BP542" s="90"/>
      <c r="BQ542" s="90"/>
      <c r="BR542" s="90"/>
      <c r="BS542" s="90"/>
      <c r="BT542" s="90"/>
      <c r="BU542" s="90"/>
      <c r="BV542" s="90"/>
      <c r="BW542" s="90"/>
      <c r="BX542" s="90"/>
      <c r="BY542" s="90"/>
    </row>
    <row r="543" spans="1:77" ht="15.75" customHeight="1" thickBot="1" x14ac:dyDescent="0.3">
      <c r="A543" s="89"/>
      <c r="B543" s="89"/>
      <c r="C543" s="78"/>
      <c r="D543" s="78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352"/>
      <c r="AA543" s="352"/>
      <c r="AB543" s="352"/>
      <c r="AC543" s="352"/>
      <c r="AD543" s="352"/>
      <c r="AE543" s="352"/>
      <c r="AF543" s="352"/>
      <c r="AG543" s="91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  <c r="BF543" s="90"/>
      <c r="BG543" s="90"/>
      <c r="BH543" s="90"/>
      <c r="BI543" s="90"/>
      <c r="BJ543" s="90"/>
      <c r="BK543" s="90"/>
      <c r="BL543" s="90"/>
      <c r="BM543" s="90"/>
      <c r="BN543" s="90"/>
      <c r="BO543" s="90"/>
      <c r="BP543" s="90"/>
      <c r="BQ543" s="90"/>
      <c r="BR543" s="90"/>
      <c r="BS543" s="90"/>
      <c r="BT543" s="90"/>
      <c r="BU543" s="90"/>
      <c r="BV543" s="90"/>
      <c r="BW543" s="90"/>
      <c r="BX543" s="90"/>
      <c r="BY543" s="90"/>
    </row>
    <row r="544" spans="1:77" ht="15.75" customHeight="1" thickBot="1" x14ac:dyDescent="0.3">
      <c r="A544" s="89"/>
      <c r="B544" s="89"/>
      <c r="C544" s="78"/>
      <c r="D544" s="78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352"/>
      <c r="AA544" s="352"/>
      <c r="AB544" s="352"/>
      <c r="AC544" s="352"/>
      <c r="AD544" s="352"/>
      <c r="AE544" s="352"/>
      <c r="AF544" s="352"/>
      <c r="AG544" s="91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  <c r="BA544" s="90"/>
      <c r="BB544" s="90"/>
      <c r="BC544" s="90"/>
      <c r="BD544" s="90"/>
      <c r="BE544" s="90"/>
      <c r="BF544" s="90"/>
      <c r="BG544" s="90"/>
      <c r="BH544" s="90"/>
      <c r="BI544" s="90"/>
      <c r="BJ544" s="90"/>
      <c r="BK544" s="90"/>
      <c r="BL544" s="90"/>
      <c r="BM544" s="90"/>
      <c r="BN544" s="90"/>
      <c r="BO544" s="90"/>
      <c r="BP544" s="90"/>
      <c r="BQ544" s="90"/>
      <c r="BR544" s="90"/>
      <c r="BS544" s="90"/>
      <c r="BT544" s="90"/>
      <c r="BU544" s="90"/>
      <c r="BV544" s="90"/>
      <c r="BW544" s="90"/>
      <c r="BX544" s="90"/>
      <c r="BY544" s="90"/>
    </row>
    <row r="545" spans="1:77" ht="15.75" customHeight="1" thickBot="1" x14ac:dyDescent="0.3">
      <c r="A545" s="89"/>
      <c r="B545" s="89"/>
      <c r="C545" s="78"/>
      <c r="D545" s="78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352"/>
      <c r="AA545" s="352"/>
      <c r="AB545" s="352"/>
      <c r="AC545" s="352"/>
      <c r="AD545" s="352"/>
      <c r="AE545" s="352"/>
      <c r="AF545" s="352"/>
      <c r="AG545" s="91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  <c r="BB545" s="90"/>
      <c r="BC545" s="90"/>
      <c r="BD545" s="90"/>
      <c r="BE545" s="90"/>
      <c r="BF545" s="90"/>
      <c r="BG545" s="90"/>
      <c r="BH545" s="90"/>
      <c r="BI545" s="90"/>
      <c r="BJ545" s="90"/>
      <c r="BK545" s="90"/>
      <c r="BL545" s="90"/>
      <c r="BM545" s="90"/>
      <c r="BN545" s="90"/>
      <c r="BO545" s="90"/>
      <c r="BP545" s="90"/>
      <c r="BQ545" s="90"/>
      <c r="BR545" s="90"/>
      <c r="BS545" s="90"/>
      <c r="BT545" s="90"/>
      <c r="BU545" s="90"/>
      <c r="BV545" s="90"/>
      <c r="BW545" s="90"/>
      <c r="BX545" s="90"/>
      <c r="BY545" s="90"/>
    </row>
    <row r="546" spans="1:77" ht="15.75" customHeight="1" thickBot="1" x14ac:dyDescent="0.3">
      <c r="A546" s="89"/>
      <c r="B546" s="89"/>
      <c r="C546" s="78"/>
      <c r="D546" s="78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352"/>
      <c r="AA546" s="352"/>
      <c r="AB546" s="352"/>
      <c r="AC546" s="352"/>
      <c r="AD546" s="352"/>
      <c r="AE546" s="352"/>
      <c r="AF546" s="352"/>
      <c r="AG546" s="91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  <c r="BA546" s="90"/>
      <c r="BB546" s="90"/>
      <c r="BC546" s="90"/>
      <c r="BD546" s="90"/>
      <c r="BE546" s="90"/>
      <c r="BF546" s="90"/>
      <c r="BG546" s="90"/>
      <c r="BH546" s="90"/>
      <c r="BI546" s="90"/>
      <c r="BJ546" s="90"/>
      <c r="BK546" s="90"/>
      <c r="BL546" s="90"/>
      <c r="BM546" s="90"/>
      <c r="BN546" s="90"/>
      <c r="BO546" s="90"/>
      <c r="BP546" s="90"/>
      <c r="BQ546" s="90"/>
      <c r="BR546" s="90"/>
      <c r="BS546" s="90"/>
      <c r="BT546" s="90"/>
      <c r="BU546" s="90"/>
      <c r="BV546" s="90"/>
      <c r="BW546" s="90"/>
      <c r="BX546" s="90"/>
      <c r="BY546" s="90"/>
    </row>
    <row r="547" spans="1:77" ht="15.75" customHeight="1" thickBot="1" x14ac:dyDescent="0.3">
      <c r="A547" s="89"/>
      <c r="B547" s="89"/>
      <c r="C547" s="78"/>
      <c r="D547" s="78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352"/>
      <c r="AA547" s="352"/>
      <c r="AB547" s="352"/>
      <c r="AC547" s="352"/>
      <c r="AD547" s="352"/>
      <c r="AE547" s="352"/>
      <c r="AF547" s="352"/>
      <c r="AG547" s="91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  <c r="BB547" s="90"/>
      <c r="BC547" s="90"/>
      <c r="BD547" s="90"/>
      <c r="BE547" s="90"/>
      <c r="BF547" s="90"/>
      <c r="BG547" s="90"/>
      <c r="BH547" s="90"/>
      <c r="BI547" s="90"/>
      <c r="BJ547" s="90"/>
      <c r="BK547" s="90"/>
      <c r="BL547" s="90"/>
      <c r="BM547" s="90"/>
      <c r="BN547" s="90"/>
      <c r="BO547" s="90"/>
      <c r="BP547" s="90"/>
      <c r="BQ547" s="90"/>
      <c r="BR547" s="90"/>
      <c r="BS547" s="90"/>
      <c r="BT547" s="90"/>
      <c r="BU547" s="90"/>
      <c r="BV547" s="90"/>
      <c r="BW547" s="90"/>
      <c r="BX547" s="90"/>
      <c r="BY547" s="90"/>
    </row>
    <row r="548" spans="1:77" ht="15.75" customHeight="1" thickBot="1" x14ac:dyDescent="0.3">
      <c r="A548" s="89"/>
      <c r="B548" s="89"/>
      <c r="C548" s="78"/>
      <c r="D548" s="78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352"/>
      <c r="AA548" s="352"/>
      <c r="AB548" s="352"/>
      <c r="AC548" s="352"/>
      <c r="AD548" s="352"/>
      <c r="AE548" s="352"/>
      <c r="AF548" s="352"/>
      <c r="AG548" s="91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  <c r="BB548" s="90"/>
      <c r="BC548" s="90"/>
      <c r="BD548" s="90"/>
      <c r="BE548" s="90"/>
      <c r="BF548" s="90"/>
      <c r="BG548" s="90"/>
      <c r="BH548" s="90"/>
      <c r="BI548" s="90"/>
      <c r="BJ548" s="90"/>
      <c r="BK548" s="90"/>
      <c r="BL548" s="90"/>
      <c r="BM548" s="90"/>
      <c r="BN548" s="90"/>
      <c r="BO548" s="90"/>
      <c r="BP548" s="90"/>
      <c r="BQ548" s="90"/>
      <c r="BR548" s="90"/>
      <c r="BS548" s="90"/>
      <c r="BT548" s="90"/>
      <c r="BU548" s="90"/>
      <c r="BV548" s="90"/>
      <c r="BW548" s="90"/>
      <c r="BX548" s="90"/>
      <c r="BY548" s="90"/>
    </row>
    <row r="549" spans="1:77" ht="15.75" customHeight="1" thickBot="1" x14ac:dyDescent="0.3">
      <c r="A549" s="89"/>
      <c r="B549" s="89"/>
      <c r="C549" s="78"/>
      <c r="D549" s="78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352"/>
      <c r="AA549" s="352"/>
      <c r="AB549" s="352"/>
      <c r="AC549" s="352"/>
      <c r="AD549" s="352"/>
      <c r="AE549" s="352"/>
      <c r="AF549" s="352"/>
      <c r="AG549" s="91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  <c r="BB549" s="90"/>
      <c r="BC549" s="90"/>
      <c r="BD549" s="90"/>
      <c r="BE549" s="90"/>
      <c r="BF549" s="90"/>
      <c r="BG549" s="90"/>
      <c r="BH549" s="90"/>
      <c r="BI549" s="90"/>
      <c r="BJ549" s="90"/>
      <c r="BK549" s="90"/>
      <c r="BL549" s="90"/>
      <c r="BM549" s="90"/>
      <c r="BN549" s="90"/>
      <c r="BO549" s="90"/>
      <c r="BP549" s="90"/>
      <c r="BQ549" s="90"/>
      <c r="BR549" s="90"/>
      <c r="BS549" s="90"/>
      <c r="BT549" s="90"/>
      <c r="BU549" s="90"/>
      <c r="BV549" s="90"/>
      <c r="BW549" s="90"/>
      <c r="BX549" s="90"/>
      <c r="BY549" s="90"/>
    </row>
    <row r="550" spans="1:77" ht="15.75" customHeight="1" thickBot="1" x14ac:dyDescent="0.3">
      <c r="A550" s="89"/>
      <c r="B550" s="89"/>
      <c r="C550" s="78"/>
      <c r="D550" s="78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352"/>
      <c r="AA550" s="352"/>
      <c r="AB550" s="352"/>
      <c r="AC550" s="352"/>
      <c r="AD550" s="352"/>
      <c r="AE550" s="352"/>
      <c r="AF550" s="352"/>
      <c r="AG550" s="91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  <c r="BB550" s="90"/>
      <c r="BC550" s="90"/>
      <c r="BD550" s="90"/>
      <c r="BE550" s="90"/>
      <c r="BF550" s="90"/>
      <c r="BG550" s="90"/>
      <c r="BH550" s="90"/>
      <c r="BI550" s="90"/>
      <c r="BJ550" s="90"/>
      <c r="BK550" s="90"/>
      <c r="BL550" s="90"/>
      <c r="BM550" s="90"/>
      <c r="BN550" s="90"/>
      <c r="BO550" s="90"/>
      <c r="BP550" s="90"/>
      <c r="BQ550" s="90"/>
      <c r="BR550" s="90"/>
      <c r="BS550" s="90"/>
      <c r="BT550" s="90"/>
      <c r="BU550" s="90"/>
      <c r="BV550" s="90"/>
      <c r="BW550" s="90"/>
      <c r="BX550" s="90"/>
      <c r="BY550" s="90"/>
    </row>
    <row r="551" spans="1:77" ht="15.75" customHeight="1" thickBot="1" x14ac:dyDescent="0.3">
      <c r="A551" s="89"/>
      <c r="B551" s="89"/>
      <c r="C551" s="78"/>
      <c r="D551" s="78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352"/>
      <c r="AA551" s="352"/>
      <c r="AB551" s="352"/>
      <c r="AC551" s="352"/>
      <c r="AD551" s="352"/>
      <c r="AE551" s="352"/>
      <c r="AF551" s="352"/>
      <c r="AG551" s="91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  <c r="BB551" s="90"/>
      <c r="BC551" s="90"/>
      <c r="BD551" s="90"/>
      <c r="BE551" s="90"/>
      <c r="BF551" s="90"/>
      <c r="BG551" s="90"/>
      <c r="BH551" s="90"/>
      <c r="BI551" s="90"/>
      <c r="BJ551" s="90"/>
      <c r="BK551" s="90"/>
      <c r="BL551" s="90"/>
      <c r="BM551" s="90"/>
      <c r="BN551" s="90"/>
      <c r="BO551" s="90"/>
      <c r="BP551" s="90"/>
      <c r="BQ551" s="90"/>
      <c r="BR551" s="90"/>
      <c r="BS551" s="90"/>
      <c r="BT551" s="90"/>
      <c r="BU551" s="90"/>
      <c r="BV551" s="90"/>
      <c r="BW551" s="90"/>
      <c r="BX551" s="90"/>
      <c r="BY551" s="90"/>
    </row>
    <row r="552" spans="1:77" ht="15.75" customHeight="1" thickBot="1" x14ac:dyDescent="0.3">
      <c r="A552" s="89"/>
      <c r="B552" s="89"/>
      <c r="C552" s="78"/>
      <c r="D552" s="78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352"/>
      <c r="AA552" s="352"/>
      <c r="AB552" s="352"/>
      <c r="AC552" s="352"/>
      <c r="AD552" s="352"/>
      <c r="AE552" s="352"/>
      <c r="AF552" s="352"/>
      <c r="AG552" s="91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  <c r="BA552" s="90"/>
      <c r="BB552" s="90"/>
      <c r="BC552" s="90"/>
      <c r="BD552" s="90"/>
      <c r="BE552" s="90"/>
      <c r="BF552" s="90"/>
      <c r="BG552" s="90"/>
      <c r="BH552" s="90"/>
      <c r="BI552" s="90"/>
      <c r="BJ552" s="90"/>
      <c r="BK552" s="90"/>
      <c r="BL552" s="90"/>
      <c r="BM552" s="90"/>
      <c r="BN552" s="90"/>
      <c r="BO552" s="90"/>
      <c r="BP552" s="90"/>
      <c r="BQ552" s="90"/>
      <c r="BR552" s="90"/>
      <c r="BS552" s="90"/>
      <c r="BT552" s="90"/>
      <c r="BU552" s="90"/>
      <c r="BV552" s="90"/>
      <c r="BW552" s="90"/>
      <c r="BX552" s="90"/>
      <c r="BY552" s="90"/>
    </row>
    <row r="553" spans="1:77" ht="15.75" customHeight="1" thickBot="1" x14ac:dyDescent="0.3">
      <c r="A553" s="89"/>
      <c r="B553" s="89"/>
      <c r="C553" s="78"/>
      <c r="D553" s="78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352"/>
      <c r="AA553" s="352"/>
      <c r="AB553" s="352"/>
      <c r="AC553" s="352"/>
      <c r="AD553" s="352"/>
      <c r="AE553" s="352"/>
      <c r="AF553" s="352"/>
      <c r="AG553" s="91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  <c r="BA553" s="90"/>
      <c r="BB553" s="90"/>
      <c r="BC553" s="90"/>
      <c r="BD553" s="90"/>
      <c r="BE553" s="90"/>
      <c r="BF553" s="90"/>
      <c r="BG553" s="90"/>
      <c r="BH553" s="90"/>
      <c r="BI553" s="90"/>
      <c r="BJ553" s="90"/>
      <c r="BK553" s="90"/>
      <c r="BL553" s="90"/>
      <c r="BM553" s="90"/>
      <c r="BN553" s="90"/>
      <c r="BO553" s="90"/>
      <c r="BP553" s="90"/>
      <c r="BQ553" s="90"/>
      <c r="BR553" s="90"/>
      <c r="BS553" s="90"/>
      <c r="BT553" s="90"/>
      <c r="BU553" s="90"/>
      <c r="BV553" s="90"/>
      <c r="BW553" s="90"/>
      <c r="BX553" s="90"/>
      <c r="BY553" s="90"/>
    </row>
    <row r="554" spans="1:77" ht="15.75" customHeight="1" thickBot="1" x14ac:dyDescent="0.3">
      <c r="A554" s="89"/>
      <c r="B554" s="89"/>
      <c r="C554" s="78"/>
      <c r="D554" s="78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352"/>
      <c r="AA554" s="352"/>
      <c r="AB554" s="352"/>
      <c r="AC554" s="352"/>
      <c r="AD554" s="352"/>
      <c r="AE554" s="352"/>
      <c r="AF554" s="352"/>
      <c r="AG554" s="91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  <c r="BA554" s="90"/>
      <c r="BB554" s="90"/>
      <c r="BC554" s="90"/>
      <c r="BD554" s="90"/>
      <c r="BE554" s="90"/>
      <c r="BF554" s="90"/>
      <c r="BG554" s="90"/>
      <c r="BH554" s="90"/>
      <c r="BI554" s="90"/>
      <c r="BJ554" s="90"/>
      <c r="BK554" s="90"/>
      <c r="BL554" s="90"/>
      <c r="BM554" s="90"/>
      <c r="BN554" s="90"/>
      <c r="BO554" s="90"/>
      <c r="BP554" s="90"/>
      <c r="BQ554" s="90"/>
      <c r="BR554" s="90"/>
      <c r="BS554" s="90"/>
      <c r="BT554" s="90"/>
      <c r="BU554" s="90"/>
      <c r="BV554" s="90"/>
      <c r="BW554" s="90"/>
      <c r="BX554" s="90"/>
      <c r="BY554" s="90"/>
    </row>
    <row r="555" spans="1:77" ht="15.75" customHeight="1" thickBot="1" x14ac:dyDescent="0.3">
      <c r="A555" s="89"/>
      <c r="B555" s="89"/>
      <c r="C555" s="78"/>
      <c r="D555" s="78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352"/>
      <c r="AA555" s="352"/>
      <c r="AB555" s="352"/>
      <c r="AC555" s="352"/>
      <c r="AD555" s="352"/>
      <c r="AE555" s="352"/>
      <c r="AF555" s="352"/>
      <c r="AG555" s="91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  <c r="BA555" s="90"/>
      <c r="BB555" s="90"/>
      <c r="BC555" s="90"/>
      <c r="BD555" s="90"/>
      <c r="BE555" s="90"/>
      <c r="BF555" s="90"/>
      <c r="BG555" s="90"/>
      <c r="BH555" s="90"/>
      <c r="BI555" s="90"/>
      <c r="BJ555" s="90"/>
      <c r="BK555" s="90"/>
      <c r="BL555" s="90"/>
      <c r="BM555" s="90"/>
      <c r="BN555" s="90"/>
      <c r="BO555" s="90"/>
      <c r="BP555" s="90"/>
      <c r="BQ555" s="90"/>
      <c r="BR555" s="90"/>
      <c r="BS555" s="90"/>
      <c r="BT555" s="90"/>
      <c r="BU555" s="90"/>
      <c r="BV555" s="90"/>
      <c r="BW555" s="90"/>
      <c r="BX555" s="90"/>
      <c r="BY555" s="90"/>
    </row>
    <row r="556" spans="1:77" ht="15.75" customHeight="1" thickBot="1" x14ac:dyDescent="0.3">
      <c r="A556" s="89"/>
      <c r="B556" s="89"/>
      <c r="C556" s="78"/>
      <c r="D556" s="78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352"/>
      <c r="AA556" s="352"/>
      <c r="AB556" s="352"/>
      <c r="AC556" s="352"/>
      <c r="AD556" s="352"/>
      <c r="AE556" s="352"/>
      <c r="AF556" s="352"/>
      <c r="AG556" s="91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  <c r="BB556" s="90"/>
      <c r="BC556" s="90"/>
      <c r="BD556" s="90"/>
      <c r="BE556" s="90"/>
      <c r="BF556" s="90"/>
      <c r="BG556" s="90"/>
      <c r="BH556" s="90"/>
      <c r="BI556" s="90"/>
      <c r="BJ556" s="90"/>
      <c r="BK556" s="90"/>
      <c r="BL556" s="90"/>
      <c r="BM556" s="90"/>
      <c r="BN556" s="90"/>
      <c r="BO556" s="90"/>
      <c r="BP556" s="90"/>
      <c r="BQ556" s="90"/>
      <c r="BR556" s="90"/>
      <c r="BS556" s="90"/>
      <c r="BT556" s="90"/>
      <c r="BU556" s="90"/>
      <c r="BV556" s="90"/>
      <c r="BW556" s="90"/>
      <c r="BX556" s="90"/>
      <c r="BY556" s="90"/>
    </row>
    <row r="557" spans="1:77" ht="15.75" customHeight="1" thickBot="1" x14ac:dyDescent="0.3">
      <c r="A557" s="89"/>
      <c r="B557" s="89"/>
      <c r="C557" s="78"/>
      <c r="D557" s="78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352"/>
      <c r="AA557" s="352"/>
      <c r="AB557" s="352"/>
      <c r="AC557" s="352"/>
      <c r="AD557" s="352"/>
      <c r="AE557" s="352"/>
      <c r="AF557" s="352"/>
      <c r="AG557" s="91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  <c r="BB557" s="90"/>
      <c r="BC557" s="90"/>
      <c r="BD557" s="90"/>
      <c r="BE557" s="90"/>
      <c r="BF557" s="90"/>
      <c r="BG557" s="90"/>
      <c r="BH557" s="90"/>
      <c r="BI557" s="90"/>
      <c r="BJ557" s="90"/>
      <c r="BK557" s="90"/>
      <c r="BL557" s="90"/>
      <c r="BM557" s="90"/>
      <c r="BN557" s="90"/>
      <c r="BO557" s="90"/>
      <c r="BP557" s="90"/>
      <c r="BQ557" s="90"/>
      <c r="BR557" s="90"/>
      <c r="BS557" s="90"/>
      <c r="BT557" s="90"/>
      <c r="BU557" s="90"/>
      <c r="BV557" s="90"/>
      <c r="BW557" s="90"/>
      <c r="BX557" s="90"/>
      <c r="BY557" s="90"/>
    </row>
    <row r="558" spans="1:77" ht="15.75" customHeight="1" thickBot="1" x14ac:dyDescent="0.3">
      <c r="A558" s="89"/>
      <c r="B558" s="89"/>
      <c r="C558" s="78"/>
      <c r="D558" s="78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352"/>
      <c r="AA558" s="352"/>
      <c r="AB558" s="352"/>
      <c r="AC558" s="352"/>
      <c r="AD558" s="352"/>
      <c r="AE558" s="352"/>
      <c r="AF558" s="352"/>
      <c r="AG558" s="91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90"/>
      <c r="BC558" s="90"/>
      <c r="BD558" s="90"/>
      <c r="BE558" s="90"/>
      <c r="BF558" s="90"/>
      <c r="BG558" s="90"/>
      <c r="BH558" s="90"/>
      <c r="BI558" s="90"/>
      <c r="BJ558" s="90"/>
      <c r="BK558" s="90"/>
      <c r="BL558" s="90"/>
      <c r="BM558" s="90"/>
      <c r="BN558" s="90"/>
      <c r="BO558" s="90"/>
      <c r="BP558" s="90"/>
      <c r="BQ558" s="90"/>
      <c r="BR558" s="90"/>
      <c r="BS558" s="90"/>
      <c r="BT558" s="90"/>
      <c r="BU558" s="90"/>
      <c r="BV558" s="90"/>
      <c r="BW558" s="90"/>
      <c r="BX558" s="90"/>
      <c r="BY558" s="90"/>
    </row>
    <row r="559" spans="1:77" ht="15.75" customHeight="1" thickBot="1" x14ac:dyDescent="0.3">
      <c r="A559" s="89"/>
      <c r="B559" s="89"/>
      <c r="C559" s="78"/>
      <c r="D559" s="78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352"/>
      <c r="AA559" s="352"/>
      <c r="AB559" s="352"/>
      <c r="AC559" s="352"/>
      <c r="AD559" s="352"/>
      <c r="AE559" s="352"/>
      <c r="AF559" s="352"/>
      <c r="AG559" s="91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  <c r="BB559" s="90"/>
      <c r="BC559" s="90"/>
      <c r="BD559" s="90"/>
      <c r="BE559" s="90"/>
      <c r="BF559" s="90"/>
      <c r="BG559" s="90"/>
      <c r="BH559" s="90"/>
      <c r="BI559" s="90"/>
      <c r="BJ559" s="90"/>
      <c r="BK559" s="90"/>
      <c r="BL559" s="90"/>
      <c r="BM559" s="90"/>
      <c r="BN559" s="90"/>
      <c r="BO559" s="90"/>
      <c r="BP559" s="90"/>
      <c r="BQ559" s="90"/>
      <c r="BR559" s="90"/>
      <c r="BS559" s="90"/>
      <c r="BT559" s="90"/>
      <c r="BU559" s="90"/>
      <c r="BV559" s="90"/>
      <c r="BW559" s="90"/>
      <c r="BX559" s="90"/>
      <c r="BY559" s="90"/>
    </row>
    <row r="560" spans="1:77" ht="15.75" customHeight="1" thickBot="1" x14ac:dyDescent="0.3">
      <c r="A560" s="89"/>
      <c r="B560" s="89"/>
      <c r="C560" s="78"/>
      <c r="D560" s="78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352"/>
      <c r="AA560" s="352"/>
      <c r="AB560" s="352"/>
      <c r="AC560" s="352"/>
      <c r="AD560" s="352"/>
      <c r="AE560" s="352"/>
      <c r="AF560" s="352"/>
      <c r="AG560" s="91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  <c r="BB560" s="90"/>
      <c r="BC560" s="90"/>
      <c r="BD560" s="90"/>
      <c r="BE560" s="90"/>
      <c r="BF560" s="90"/>
      <c r="BG560" s="90"/>
      <c r="BH560" s="90"/>
      <c r="BI560" s="90"/>
      <c r="BJ560" s="90"/>
      <c r="BK560" s="90"/>
      <c r="BL560" s="90"/>
      <c r="BM560" s="90"/>
      <c r="BN560" s="90"/>
      <c r="BO560" s="90"/>
      <c r="BP560" s="90"/>
      <c r="BQ560" s="90"/>
      <c r="BR560" s="90"/>
      <c r="BS560" s="90"/>
      <c r="BT560" s="90"/>
      <c r="BU560" s="90"/>
      <c r="BV560" s="90"/>
      <c r="BW560" s="90"/>
      <c r="BX560" s="90"/>
      <c r="BY560" s="90"/>
    </row>
    <row r="561" spans="1:77" ht="15.75" customHeight="1" thickBot="1" x14ac:dyDescent="0.3">
      <c r="A561" s="89"/>
      <c r="B561" s="89"/>
      <c r="C561" s="78"/>
      <c r="D561" s="78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352"/>
      <c r="AA561" s="352"/>
      <c r="AB561" s="352"/>
      <c r="AC561" s="352"/>
      <c r="AD561" s="352"/>
      <c r="AE561" s="352"/>
      <c r="AF561" s="352"/>
      <c r="AG561" s="91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90"/>
      <c r="BC561" s="90"/>
      <c r="BD561" s="90"/>
      <c r="BE561" s="90"/>
      <c r="BF561" s="90"/>
      <c r="BG561" s="90"/>
      <c r="BH561" s="90"/>
      <c r="BI561" s="90"/>
      <c r="BJ561" s="90"/>
      <c r="BK561" s="90"/>
      <c r="BL561" s="90"/>
      <c r="BM561" s="90"/>
      <c r="BN561" s="90"/>
      <c r="BO561" s="90"/>
      <c r="BP561" s="90"/>
      <c r="BQ561" s="90"/>
      <c r="BR561" s="90"/>
      <c r="BS561" s="90"/>
      <c r="BT561" s="90"/>
      <c r="BU561" s="90"/>
      <c r="BV561" s="90"/>
      <c r="BW561" s="90"/>
      <c r="BX561" s="90"/>
      <c r="BY561" s="90"/>
    </row>
    <row r="562" spans="1:77" ht="15.75" customHeight="1" thickBot="1" x14ac:dyDescent="0.3">
      <c r="A562" s="89"/>
      <c r="B562" s="89"/>
      <c r="C562" s="78"/>
      <c r="D562" s="78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352"/>
      <c r="AA562" s="352"/>
      <c r="AB562" s="352"/>
      <c r="AC562" s="352"/>
      <c r="AD562" s="352"/>
      <c r="AE562" s="352"/>
      <c r="AF562" s="352"/>
      <c r="AG562" s="91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90"/>
      <c r="BC562" s="90"/>
      <c r="BD562" s="90"/>
      <c r="BE562" s="90"/>
      <c r="BF562" s="90"/>
      <c r="BG562" s="90"/>
      <c r="BH562" s="90"/>
      <c r="BI562" s="90"/>
      <c r="BJ562" s="90"/>
      <c r="BK562" s="90"/>
      <c r="BL562" s="90"/>
      <c r="BM562" s="90"/>
      <c r="BN562" s="90"/>
      <c r="BO562" s="90"/>
      <c r="BP562" s="90"/>
      <c r="BQ562" s="90"/>
      <c r="BR562" s="90"/>
      <c r="BS562" s="90"/>
      <c r="BT562" s="90"/>
      <c r="BU562" s="90"/>
      <c r="BV562" s="90"/>
      <c r="BW562" s="90"/>
      <c r="BX562" s="90"/>
      <c r="BY562" s="90"/>
    </row>
    <row r="563" spans="1:77" ht="15.75" customHeight="1" thickBot="1" x14ac:dyDescent="0.3">
      <c r="A563" s="89"/>
      <c r="B563" s="89"/>
      <c r="C563" s="78"/>
      <c r="D563" s="78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352"/>
      <c r="AA563" s="352"/>
      <c r="AB563" s="352"/>
      <c r="AC563" s="352"/>
      <c r="AD563" s="352"/>
      <c r="AE563" s="352"/>
      <c r="AF563" s="352"/>
      <c r="AG563" s="91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90"/>
      <c r="BC563" s="90"/>
      <c r="BD563" s="90"/>
      <c r="BE563" s="90"/>
      <c r="BF563" s="90"/>
      <c r="BG563" s="90"/>
      <c r="BH563" s="90"/>
      <c r="BI563" s="90"/>
      <c r="BJ563" s="90"/>
      <c r="BK563" s="90"/>
      <c r="BL563" s="90"/>
      <c r="BM563" s="90"/>
      <c r="BN563" s="90"/>
      <c r="BO563" s="90"/>
      <c r="BP563" s="90"/>
      <c r="BQ563" s="90"/>
      <c r="BR563" s="90"/>
      <c r="BS563" s="90"/>
      <c r="BT563" s="90"/>
      <c r="BU563" s="90"/>
      <c r="BV563" s="90"/>
      <c r="BW563" s="90"/>
      <c r="BX563" s="90"/>
      <c r="BY563" s="90"/>
    </row>
    <row r="564" spans="1:77" ht="15.75" customHeight="1" thickBot="1" x14ac:dyDescent="0.3">
      <c r="A564" s="89"/>
      <c r="B564" s="89"/>
      <c r="C564" s="78"/>
      <c r="D564" s="78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352"/>
      <c r="AA564" s="352"/>
      <c r="AB564" s="352"/>
      <c r="AC564" s="352"/>
      <c r="AD564" s="352"/>
      <c r="AE564" s="352"/>
      <c r="AF564" s="352"/>
      <c r="AG564" s="91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90"/>
      <c r="BC564" s="90"/>
      <c r="BD564" s="90"/>
      <c r="BE564" s="90"/>
      <c r="BF564" s="90"/>
      <c r="BG564" s="90"/>
      <c r="BH564" s="90"/>
      <c r="BI564" s="90"/>
      <c r="BJ564" s="90"/>
      <c r="BK564" s="90"/>
      <c r="BL564" s="90"/>
      <c r="BM564" s="90"/>
      <c r="BN564" s="90"/>
      <c r="BO564" s="90"/>
      <c r="BP564" s="90"/>
      <c r="BQ564" s="90"/>
      <c r="BR564" s="90"/>
      <c r="BS564" s="90"/>
      <c r="BT564" s="90"/>
      <c r="BU564" s="90"/>
      <c r="BV564" s="90"/>
      <c r="BW564" s="90"/>
      <c r="BX564" s="90"/>
      <c r="BY564" s="90"/>
    </row>
    <row r="565" spans="1:77" ht="15.75" customHeight="1" thickBot="1" x14ac:dyDescent="0.3">
      <c r="A565" s="89"/>
      <c r="B565" s="89"/>
      <c r="C565" s="78"/>
      <c r="D565" s="78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352"/>
      <c r="AA565" s="352"/>
      <c r="AB565" s="352"/>
      <c r="AC565" s="352"/>
      <c r="AD565" s="352"/>
      <c r="AE565" s="352"/>
      <c r="AF565" s="352"/>
      <c r="AG565" s="91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  <c r="BB565" s="90"/>
      <c r="BC565" s="90"/>
      <c r="BD565" s="90"/>
      <c r="BE565" s="90"/>
      <c r="BF565" s="90"/>
      <c r="BG565" s="90"/>
      <c r="BH565" s="90"/>
      <c r="BI565" s="90"/>
      <c r="BJ565" s="90"/>
      <c r="BK565" s="90"/>
      <c r="BL565" s="90"/>
      <c r="BM565" s="90"/>
      <c r="BN565" s="90"/>
      <c r="BO565" s="90"/>
      <c r="BP565" s="90"/>
      <c r="BQ565" s="90"/>
      <c r="BR565" s="90"/>
      <c r="BS565" s="90"/>
      <c r="BT565" s="90"/>
      <c r="BU565" s="90"/>
      <c r="BV565" s="90"/>
      <c r="BW565" s="90"/>
      <c r="BX565" s="90"/>
      <c r="BY565" s="90"/>
    </row>
    <row r="566" spans="1:77" ht="15.75" customHeight="1" thickBot="1" x14ac:dyDescent="0.3">
      <c r="A566" s="89"/>
      <c r="B566" s="89"/>
      <c r="C566" s="78"/>
      <c r="D566" s="78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352"/>
      <c r="AA566" s="352"/>
      <c r="AB566" s="352"/>
      <c r="AC566" s="352"/>
      <c r="AD566" s="352"/>
      <c r="AE566" s="352"/>
      <c r="AF566" s="352"/>
      <c r="AG566" s="91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  <c r="BB566" s="90"/>
      <c r="BC566" s="90"/>
      <c r="BD566" s="90"/>
      <c r="BE566" s="90"/>
      <c r="BF566" s="90"/>
      <c r="BG566" s="90"/>
      <c r="BH566" s="90"/>
      <c r="BI566" s="90"/>
      <c r="BJ566" s="90"/>
      <c r="BK566" s="90"/>
      <c r="BL566" s="90"/>
      <c r="BM566" s="90"/>
      <c r="BN566" s="90"/>
      <c r="BO566" s="90"/>
      <c r="BP566" s="90"/>
      <c r="BQ566" s="90"/>
      <c r="BR566" s="90"/>
      <c r="BS566" s="90"/>
      <c r="BT566" s="90"/>
      <c r="BU566" s="90"/>
      <c r="BV566" s="90"/>
      <c r="BW566" s="90"/>
      <c r="BX566" s="90"/>
      <c r="BY566" s="90"/>
    </row>
    <row r="567" spans="1:77" ht="15.75" customHeight="1" thickBot="1" x14ac:dyDescent="0.3">
      <c r="A567" s="89"/>
      <c r="B567" s="89"/>
      <c r="C567" s="78"/>
      <c r="D567" s="78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352"/>
      <c r="AA567" s="352"/>
      <c r="AB567" s="352"/>
      <c r="AC567" s="352"/>
      <c r="AD567" s="352"/>
      <c r="AE567" s="352"/>
      <c r="AF567" s="352"/>
      <c r="AG567" s="91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  <c r="BB567" s="90"/>
      <c r="BC567" s="90"/>
      <c r="BD567" s="90"/>
      <c r="BE567" s="90"/>
      <c r="BF567" s="90"/>
      <c r="BG567" s="90"/>
      <c r="BH567" s="90"/>
      <c r="BI567" s="90"/>
      <c r="BJ567" s="90"/>
      <c r="BK567" s="90"/>
      <c r="BL567" s="90"/>
      <c r="BM567" s="90"/>
      <c r="BN567" s="90"/>
      <c r="BO567" s="90"/>
      <c r="BP567" s="90"/>
      <c r="BQ567" s="90"/>
      <c r="BR567" s="90"/>
      <c r="BS567" s="90"/>
      <c r="BT567" s="90"/>
      <c r="BU567" s="90"/>
      <c r="BV567" s="90"/>
      <c r="BW567" s="90"/>
      <c r="BX567" s="90"/>
      <c r="BY567" s="90"/>
    </row>
    <row r="568" spans="1:77" ht="15.75" customHeight="1" thickBot="1" x14ac:dyDescent="0.3">
      <c r="A568" s="89"/>
      <c r="B568" s="89"/>
      <c r="C568" s="78"/>
      <c r="D568" s="78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352"/>
      <c r="AA568" s="352"/>
      <c r="AB568" s="352"/>
      <c r="AC568" s="352"/>
      <c r="AD568" s="352"/>
      <c r="AE568" s="352"/>
      <c r="AF568" s="352"/>
      <c r="AG568" s="91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  <c r="BB568" s="90"/>
      <c r="BC568" s="90"/>
      <c r="BD568" s="90"/>
      <c r="BE568" s="90"/>
      <c r="BF568" s="90"/>
      <c r="BG568" s="90"/>
      <c r="BH568" s="90"/>
      <c r="BI568" s="90"/>
      <c r="BJ568" s="90"/>
      <c r="BK568" s="90"/>
      <c r="BL568" s="90"/>
      <c r="BM568" s="90"/>
      <c r="BN568" s="90"/>
      <c r="BO568" s="90"/>
      <c r="BP568" s="90"/>
      <c r="BQ568" s="90"/>
      <c r="BR568" s="90"/>
      <c r="BS568" s="90"/>
      <c r="BT568" s="90"/>
      <c r="BU568" s="90"/>
      <c r="BV568" s="90"/>
      <c r="BW568" s="90"/>
      <c r="BX568" s="90"/>
      <c r="BY568" s="90"/>
    </row>
    <row r="569" spans="1:77" ht="15.75" customHeight="1" thickBot="1" x14ac:dyDescent="0.3">
      <c r="A569" s="89"/>
      <c r="B569" s="89"/>
      <c r="C569" s="78"/>
      <c r="D569" s="78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352"/>
      <c r="AA569" s="352"/>
      <c r="AB569" s="352"/>
      <c r="AC569" s="352"/>
      <c r="AD569" s="352"/>
      <c r="AE569" s="352"/>
      <c r="AF569" s="352"/>
      <c r="AG569" s="91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  <c r="BB569" s="90"/>
      <c r="BC569" s="90"/>
      <c r="BD569" s="90"/>
      <c r="BE569" s="90"/>
      <c r="BF569" s="90"/>
      <c r="BG569" s="90"/>
      <c r="BH569" s="90"/>
      <c r="BI569" s="90"/>
      <c r="BJ569" s="90"/>
      <c r="BK569" s="90"/>
      <c r="BL569" s="90"/>
      <c r="BM569" s="90"/>
      <c r="BN569" s="90"/>
      <c r="BO569" s="90"/>
      <c r="BP569" s="90"/>
      <c r="BQ569" s="90"/>
      <c r="BR569" s="90"/>
      <c r="BS569" s="90"/>
      <c r="BT569" s="90"/>
      <c r="BU569" s="90"/>
      <c r="BV569" s="90"/>
      <c r="BW569" s="90"/>
      <c r="BX569" s="90"/>
      <c r="BY569" s="90"/>
    </row>
    <row r="570" spans="1:77" ht="15.75" customHeight="1" thickBot="1" x14ac:dyDescent="0.3">
      <c r="A570" s="89"/>
      <c r="B570" s="89"/>
      <c r="C570" s="78"/>
      <c r="D570" s="78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352"/>
      <c r="AA570" s="352"/>
      <c r="AB570" s="352"/>
      <c r="AC570" s="352"/>
      <c r="AD570" s="352"/>
      <c r="AE570" s="352"/>
      <c r="AF570" s="352"/>
      <c r="AG570" s="91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  <c r="BB570" s="90"/>
      <c r="BC570" s="90"/>
      <c r="BD570" s="90"/>
      <c r="BE570" s="90"/>
      <c r="BF570" s="90"/>
      <c r="BG570" s="90"/>
      <c r="BH570" s="90"/>
      <c r="BI570" s="90"/>
      <c r="BJ570" s="90"/>
      <c r="BK570" s="90"/>
      <c r="BL570" s="90"/>
      <c r="BM570" s="90"/>
      <c r="BN570" s="90"/>
      <c r="BO570" s="90"/>
      <c r="BP570" s="90"/>
      <c r="BQ570" s="90"/>
      <c r="BR570" s="90"/>
      <c r="BS570" s="90"/>
      <c r="BT570" s="90"/>
      <c r="BU570" s="90"/>
      <c r="BV570" s="90"/>
      <c r="BW570" s="90"/>
      <c r="BX570" s="90"/>
      <c r="BY570" s="90"/>
    </row>
    <row r="571" spans="1:77" ht="15.75" customHeight="1" thickBot="1" x14ac:dyDescent="0.3">
      <c r="A571" s="89"/>
      <c r="B571" s="89"/>
      <c r="C571" s="78"/>
      <c r="D571" s="78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352"/>
      <c r="AA571" s="352"/>
      <c r="AB571" s="352"/>
      <c r="AC571" s="352"/>
      <c r="AD571" s="352"/>
      <c r="AE571" s="352"/>
      <c r="AF571" s="352"/>
      <c r="AG571" s="91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  <c r="BB571" s="90"/>
      <c r="BC571" s="90"/>
      <c r="BD571" s="90"/>
      <c r="BE571" s="90"/>
      <c r="BF571" s="90"/>
      <c r="BG571" s="90"/>
      <c r="BH571" s="90"/>
      <c r="BI571" s="90"/>
      <c r="BJ571" s="90"/>
      <c r="BK571" s="90"/>
      <c r="BL571" s="90"/>
      <c r="BM571" s="90"/>
      <c r="BN571" s="90"/>
      <c r="BO571" s="90"/>
      <c r="BP571" s="90"/>
      <c r="BQ571" s="90"/>
      <c r="BR571" s="90"/>
      <c r="BS571" s="90"/>
      <c r="BT571" s="90"/>
      <c r="BU571" s="90"/>
      <c r="BV571" s="90"/>
      <c r="BW571" s="90"/>
      <c r="BX571" s="90"/>
      <c r="BY571" s="90"/>
    </row>
    <row r="572" spans="1:77" ht="15.75" customHeight="1" thickBot="1" x14ac:dyDescent="0.3">
      <c r="A572" s="89"/>
      <c r="B572" s="89"/>
      <c r="C572" s="78"/>
      <c r="D572" s="78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352"/>
      <c r="AA572" s="352"/>
      <c r="AB572" s="352"/>
      <c r="AC572" s="352"/>
      <c r="AD572" s="352"/>
      <c r="AE572" s="352"/>
      <c r="AF572" s="352"/>
      <c r="AG572" s="91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  <c r="BB572" s="90"/>
      <c r="BC572" s="90"/>
      <c r="BD572" s="90"/>
      <c r="BE572" s="90"/>
      <c r="BF572" s="90"/>
      <c r="BG572" s="90"/>
      <c r="BH572" s="90"/>
      <c r="BI572" s="90"/>
      <c r="BJ572" s="90"/>
      <c r="BK572" s="90"/>
      <c r="BL572" s="90"/>
      <c r="BM572" s="90"/>
      <c r="BN572" s="90"/>
      <c r="BO572" s="90"/>
      <c r="BP572" s="90"/>
      <c r="BQ572" s="90"/>
      <c r="BR572" s="90"/>
      <c r="BS572" s="90"/>
      <c r="BT572" s="90"/>
      <c r="BU572" s="90"/>
      <c r="BV572" s="90"/>
      <c r="BW572" s="90"/>
      <c r="BX572" s="90"/>
      <c r="BY572" s="90"/>
    </row>
    <row r="573" spans="1:77" ht="15.75" customHeight="1" thickBot="1" x14ac:dyDescent="0.3">
      <c r="A573" s="89"/>
      <c r="B573" s="89"/>
      <c r="C573" s="78"/>
      <c r="D573" s="78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352"/>
      <c r="AA573" s="352"/>
      <c r="AB573" s="352"/>
      <c r="AC573" s="352"/>
      <c r="AD573" s="352"/>
      <c r="AE573" s="352"/>
      <c r="AF573" s="352"/>
      <c r="AG573" s="91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  <c r="BB573" s="90"/>
      <c r="BC573" s="90"/>
      <c r="BD573" s="90"/>
      <c r="BE573" s="90"/>
      <c r="BF573" s="90"/>
      <c r="BG573" s="90"/>
      <c r="BH573" s="90"/>
      <c r="BI573" s="90"/>
      <c r="BJ573" s="90"/>
      <c r="BK573" s="90"/>
      <c r="BL573" s="90"/>
      <c r="BM573" s="90"/>
      <c r="BN573" s="90"/>
      <c r="BO573" s="90"/>
      <c r="BP573" s="90"/>
      <c r="BQ573" s="90"/>
      <c r="BR573" s="90"/>
      <c r="BS573" s="90"/>
      <c r="BT573" s="90"/>
      <c r="BU573" s="90"/>
      <c r="BV573" s="90"/>
      <c r="BW573" s="90"/>
      <c r="BX573" s="90"/>
      <c r="BY573" s="90"/>
    </row>
    <row r="574" spans="1:77" ht="15.75" customHeight="1" thickBot="1" x14ac:dyDescent="0.3">
      <c r="A574" s="89"/>
      <c r="B574" s="89"/>
      <c r="C574" s="78"/>
      <c r="D574" s="78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352"/>
      <c r="AA574" s="352"/>
      <c r="AB574" s="352"/>
      <c r="AC574" s="352"/>
      <c r="AD574" s="352"/>
      <c r="AE574" s="352"/>
      <c r="AF574" s="352"/>
      <c r="AG574" s="91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0"/>
      <c r="BF574" s="90"/>
      <c r="BG574" s="90"/>
      <c r="BH574" s="90"/>
      <c r="BI574" s="90"/>
      <c r="BJ574" s="90"/>
      <c r="BK574" s="90"/>
      <c r="BL574" s="90"/>
      <c r="BM574" s="90"/>
      <c r="BN574" s="90"/>
      <c r="BO574" s="90"/>
      <c r="BP574" s="90"/>
      <c r="BQ574" s="90"/>
      <c r="BR574" s="90"/>
      <c r="BS574" s="90"/>
      <c r="BT574" s="90"/>
      <c r="BU574" s="90"/>
      <c r="BV574" s="90"/>
      <c r="BW574" s="90"/>
      <c r="BX574" s="90"/>
      <c r="BY574" s="90"/>
    </row>
    <row r="575" spans="1:77" ht="15.75" customHeight="1" thickBot="1" x14ac:dyDescent="0.3">
      <c r="A575" s="89"/>
      <c r="B575" s="89"/>
      <c r="C575" s="78"/>
      <c r="D575" s="78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352"/>
      <c r="AA575" s="352"/>
      <c r="AB575" s="352"/>
      <c r="AC575" s="352"/>
      <c r="AD575" s="352"/>
      <c r="AE575" s="352"/>
      <c r="AF575" s="352"/>
      <c r="AG575" s="91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  <c r="BB575" s="90"/>
      <c r="BC575" s="90"/>
      <c r="BD575" s="90"/>
      <c r="BE575" s="90"/>
      <c r="BF575" s="90"/>
      <c r="BG575" s="90"/>
      <c r="BH575" s="90"/>
      <c r="BI575" s="90"/>
      <c r="BJ575" s="90"/>
      <c r="BK575" s="90"/>
      <c r="BL575" s="90"/>
      <c r="BM575" s="90"/>
      <c r="BN575" s="90"/>
      <c r="BO575" s="90"/>
      <c r="BP575" s="90"/>
      <c r="BQ575" s="90"/>
      <c r="BR575" s="90"/>
      <c r="BS575" s="90"/>
      <c r="BT575" s="90"/>
      <c r="BU575" s="90"/>
      <c r="BV575" s="90"/>
      <c r="BW575" s="90"/>
      <c r="BX575" s="90"/>
      <c r="BY575" s="90"/>
    </row>
    <row r="576" spans="1:77" ht="15.75" customHeight="1" thickBot="1" x14ac:dyDescent="0.3">
      <c r="A576" s="89"/>
      <c r="B576" s="89"/>
      <c r="C576" s="78"/>
      <c r="D576" s="78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352"/>
      <c r="AA576" s="352"/>
      <c r="AB576" s="352"/>
      <c r="AC576" s="352"/>
      <c r="AD576" s="352"/>
      <c r="AE576" s="352"/>
      <c r="AF576" s="352"/>
      <c r="AG576" s="91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  <c r="BB576" s="90"/>
      <c r="BC576" s="90"/>
      <c r="BD576" s="90"/>
      <c r="BE576" s="90"/>
      <c r="BF576" s="90"/>
      <c r="BG576" s="90"/>
      <c r="BH576" s="90"/>
      <c r="BI576" s="90"/>
      <c r="BJ576" s="90"/>
      <c r="BK576" s="90"/>
      <c r="BL576" s="90"/>
      <c r="BM576" s="90"/>
      <c r="BN576" s="90"/>
      <c r="BO576" s="90"/>
      <c r="BP576" s="90"/>
      <c r="BQ576" s="90"/>
      <c r="BR576" s="90"/>
      <c r="BS576" s="90"/>
      <c r="BT576" s="90"/>
      <c r="BU576" s="90"/>
      <c r="BV576" s="90"/>
      <c r="BW576" s="90"/>
      <c r="BX576" s="90"/>
      <c r="BY576" s="90"/>
    </row>
    <row r="577" spans="1:77" ht="15.75" customHeight="1" thickBot="1" x14ac:dyDescent="0.3">
      <c r="A577" s="89"/>
      <c r="B577" s="89"/>
      <c r="C577" s="78"/>
      <c r="D577" s="78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352"/>
      <c r="AA577" s="352"/>
      <c r="AB577" s="352"/>
      <c r="AC577" s="352"/>
      <c r="AD577" s="352"/>
      <c r="AE577" s="352"/>
      <c r="AF577" s="352"/>
      <c r="AG577" s="91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  <c r="BB577" s="90"/>
      <c r="BC577" s="90"/>
      <c r="BD577" s="90"/>
      <c r="BE577" s="90"/>
      <c r="BF577" s="90"/>
      <c r="BG577" s="90"/>
      <c r="BH577" s="90"/>
      <c r="BI577" s="90"/>
      <c r="BJ577" s="90"/>
      <c r="BK577" s="90"/>
      <c r="BL577" s="90"/>
      <c r="BM577" s="90"/>
      <c r="BN577" s="90"/>
      <c r="BO577" s="90"/>
      <c r="BP577" s="90"/>
      <c r="BQ577" s="90"/>
      <c r="BR577" s="90"/>
      <c r="BS577" s="90"/>
      <c r="BT577" s="90"/>
      <c r="BU577" s="90"/>
      <c r="BV577" s="90"/>
      <c r="BW577" s="90"/>
      <c r="BX577" s="90"/>
      <c r="BY577" s="90"/>
    </row>
    <row r="578" spans="1:77" ht="15.75" customHeight="1" thickBot="1" x14ac:dyDescent="0.3">
      <c r="A578" s="89"/>
      <c r="B578" s="89"/>
      <c r="C578" s="78"/>
      <c r="D578" s="78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352"/>
      <c r="AA578" s="352"/>
      <c r="AB578" s="352"/>
      <c r="AC578" s="352"/>
      <c r="AD578" s="352"/>
      <c r="AE578" s="352"/>
      <c r="AF578" s="352"/>
      <c r="AG578" s="91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  <c r="BF578" s="90"/>
      <c r="BG578" s="90"/>
      <c r="BH578" s="90"/>
      <c r="BI578" s="90"/>
      <c r="BJ578" s="90"/>
      <c r="BK578" s="90"/>
      <c r="BL578" s="90"/>
      <c r="BM578" s="90"/>
      <c r="BN578" s="90"/>
      <c r="BO578" s="90"/>
      <c r="BP578" s="90"/>
      <c r="BQ578" s="90"/>
      <c r="BR578" s="90"/>
      <c r="BS578" s="90"/>
      <c r="BT578" s="90"/>
      <c r="BU578" s="90"/>
      <c r="BV578" s="90"/>
      <c r="BW578" s="90"/>
      <c r="BX578" s="90"/>
      <c r="BY578" s="90"/>
    </row>
    <row r="579" spans="1:77" ht="15.75" customHeight="1" thickBot="1" x14ac:dyDescent="0.3">
      <c r="A579" s="89"/>
      <c r="B579" s="89"/>
      <c r="C579" s="78"/>
      <c r="D579" s="78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352"/>
      <c r="AA579" s="352"/>
      <c r="AB579" s="352"/>
      <c r="AC579" s="352"/>
      <c r="AD579" s="352"/>
      <c r="AE579" s="352"/>
      <c r="AF579" s="352"/>
      <c r="AG579" s="91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  <c r="BB579" s="90"/>
      <c r="BC579" s="90"/>
      <c r="BD579" s="90"/>
      <c r="BE579" s="90"/>
      <c r="BF579" s="90"/>
      <c r="BG579" s="90"/>
      <c r="BH579" s="90"/>
      <c r="BI579" s="90"/>
      <c r="BJ579" s="90"/>
      <c r="BK579" s="90"/>
      <c r="BL579" s="90"/>
      <c r="BM579" s="90"/>
      <c r="BN579" s="90"/>
      <c r="BO579" s="90"/>
      <c r="BP579" s="90"/>
      <c r="BQ579" s="90"/>
      <c r="BR579" s="90"/>
      <c r="BS579" s="90"/>
      <c r="BT579" s="90"/>
      <c r="BU579" s="90"/>
      <c r="BV579" s="90"/>
      <c r="BW579" s="90"/>
      <c r="BX579" s="90"/>
      <c r="BY579" s="90"/>
    </row>
    <row r="580" spans="1:77" ht="15.75" customHeight="1" thickBot="1" x14ac:dyDescent="0.3">
      <c r="A580" s="89"/>
      <c r="B580" s="89"/>
      <c r="C580" s="78"/>
      <c r="D580" s="78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352"/>
      <c r="AA580" s="352"/>
      <c r="AB580" s="352"/>
      <c r="AC580" s="352"/>
      <c r="AD580" s="352"/>
      <c r="AE580" s="352"/>
      <c r="AF580" s="352"/>
      <c r="AG580" s="91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  <c r="BB580" s="90"/>
      <c r="BC580" s="90"/>
      <c r="BD580" s="90"/>
      <c r="BE580" s="90"/>
      <c r="BF580" s="90"/>
      <c r="BG580" s="90"/>
      <c r="BH580" s="90"/>
      <c r="BI580" s="90"/>
      <c r="BJ580" s="90"/>
      <c r="BK580" s="90"/>
      <c r="BL580" s="90"/>
      <c r="BM580" s="90"/>
      <c r="BN580" s="90"/>
      <c r="BO580" s="90"/>
      <c r="BP580" s="90"/>
      <c r="BQ580" s="90"/>
      <c r="BR580" s="90"/>
      <c r="BS580" s="90"/>
      <c r="BT580" s="90"/>
      <c r="BU580" s="90"/>
      <c r="BV580" s="90"/>
      <c r="BW580" s="90"/>
      <c r="BX580" s="90"/>
      <c r="BY580" s="90"/>
    </row>
    <row r="581" spans="1:77" ht="15.75" customHeight="1" thickBot="1" x14ac:dyDescent="0.3">
      <c r="A581" s="89"/>
      <c r="B581" s="89"/>
      <c r="C581" s="78"/>
      <c r="D581" s="78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352"/>
      <c r="AA581" s="352"/>
      <c r="AB581" s="352"/>
      <c r="AC581" s="352"/>
      <c r="AD581" s="352"/>
      <c r="AE581" s="352"/>
      <c r="AF581" s="352"/>
      <c r="AG581" s="91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90"/>
      <c r="BC581" s="90"/>
      <c r="BD581" s="90"/>
      <c r="BE581" s="90"/>
      <c r="BF581" s="90"/>
      <c r="BG581" s="90"/>
      <c r="BH581" s="90"/>
      <c r="BI581" s="90"/>
      <c r="BJ581" s="90"/>
      <c r="BK581" s="90"/>
      <c r="BL581" s="90"/>
      <c r="BM581" s="90"/>
      <c r="BN581" s="90"/>
      <c r="BO581" s="90"/>
      <c r="BP581" s="90"/>
      <c r="BQ581" s="90"/>
      <c r="BR581" s="90"/>
      <c r="BS581" s="90"/>
      <c r="BT581" s="90"/>
      <c r="BU581" s="90"/>
      <c r="BV581" s="90"/>
      <c r="BW581" s="90"/>
      <c r="BX581" s="90"/>
      <c r="BY581" s="90"/>
    </row>
    <row r="582" spans="1:77" ht="15.75" customHeight="1" thickBot="1" x14ac:dyDescent="0.3">
      <c r="A582" s="89"/>
      <c r="B582" s="89"/>
      <c r="C582" s="78"/>
      <c r="D582" s="78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352"/>
      <c r="AA582" s="352"/>
      <c r="AB582" s="352"/>
      <c r="AC582" s="352"/>
      <c r="AD582" s="352"/>
      <c r="AE582" s="352"/>
      <c r="AF582" s="352"/>
      <c r="AG582" s="91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  <c r="BF582" s="90"/>
      <c r="BG582" s="90"/>
      <c r="BH582" s="90"/>
      <c r="BI582" s="90"/>
      <c r="BJ582" s="90"/>
      <c r="BK582" s="90"/>
      <c r="BL582" s="90"/>
      <c r="BM582" s="90"/>
      <c r="BN582" s="90"/>
      <c r="BO582" s="90"/>
      <c r="BP582" s="90"/>
      <c r="BQ582" s="90"/>
      <c r="BR582" s="90"/>
      <c r="BS582" s="90"/>
      <c r="BT582" s="90"/>
      <c r="BU582" s="90"/>
      <c r="BV582" s="90"/>
      <c r="BW582" s="90"/>
      <c r="BX582" s="90"/>
      <c r="BY582" s="90"/>
    </row>
    <row r="583" spans="1:77" ht="15.75" customHeight="1" thickBot="1" x14ac:dyDescent="0.3">
      <c r="A583" s="89"/>
      <c r="B583" s="89"/>
      <c r="C583" s="78"/>
      <c r="D583" s="78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352"/>
      <c r="AA583" s="352"/>
      <c r="AB583" s="352"/>
      <c r="AC583" s="352"/>
      <c r="AD583" s="352"/>
      <c r="AE583" s="352"/>
      <c r="AF583" s="352"/>
      <c r="AG583" s="91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  <c r="BB583" s="90"/>
      <c r="BC583" s="90"/>
      <c r="BD583" s="90"/>
      <c r="BE583" s="90"/>
      <c r="BF583" s="90"/>
      <c r="BG583" s="90"/>
      <c r="BH583" s="90"/>
      <c r="BI583" s="90"/>
      <c r="BJ583" s="90"/>
      <c r="BK583" s="90"/>
      <c r="BL583" s="90"/>
      <c r="BM583" s="90"/>
      <c r="BN583" s="90"/>
      <c r="BO583" s="90"/>
      <c r="BP583" s="90"/>
      <c r="BQ583" s="90"/>
      <c r="BR583" s="90"/>
      <c r="BS583" s="90"/>
      <c r="BT583" s="90"/>
      <c r="BU583" s="90"/>
      <c r="BV583" s="90"/>
      <c r="BW583" s="90"/>
      <c r="BX583" s="90"/>
      <c r="BY583" s="90"/>
    </row>
    <row r="584" spans="1:77" ht="15.75" customHeight="1" thickBot="1" x14ac:dyDescent="0.3">
      <c r="A584" s="89"/>
      <c r="B584" s="89"/>
      <c r="C584" s="78"/>
      <c r="D584" s="78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352"/>
      <c r="AA584" s="352"/>
      <c r="AB584" s="352"/>
      <c r="AC584" s="352"/>
      <c r="AD584" s="352"/>
      <c r="AE584" s="352"/>
      <c r="AF584" s="352"/>
      <c r="AG584" s="91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90"/>
      <c r="BC584" s="90"/>
      <c r="BD584" s="90"/>
      <c r="BE584" s="90"/>
      <c r="BF584" s="90"/>
      <c r="BG584" s="90"/>
      <c r="BH584" s="90"/>
      <c r="BI584" s="90"/>
      <c r="BJ584" s="90"/>
      <c r="BK584" s="90"/>
      <c r="BL584" s="90"/>
      <c r="BM584" s="90"/>
      <c r="BN584" s="90"/>
      <c r="BO584" s="90"/>
      <c r="BP584" s="90"/>
      <c r="BQ584" s="90"/>
      <c r="BR584" s="90"/>
      <c r="BS584" s="90"/>
      <c r="BT584" s="90"/>
      <c r="BU584" s="90"/>
      <c r="BV584" s="90"/>
      <c r="BW584" s="90"/>
      <c r="BX584" s="90"/>
      <c r="BY584" s="90"/>
    </row>
    <row r="585" spans="1:77" ht="15.75" customHeight="1" thickBot="1" x14ac:dyDescent="0.3">
      <c r="A585" s="89"/>
      <c r="B585" s="89"/>
      <c r="C585" s="78"/>
      <c r="D585" s="78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352"/>
      <c r="AA585" s="352"/>
      <c r="AB585" s="352"/>
      <c r="AC585" s="352"/>
      <c r="AD585" s="352"/>
      <c r="AE585" s="352"/>
      <c r="AF585" s="352"/>
      <c r="AG585" s="91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90"/>
      <c r="BC585" s="90"/>
      <c r="BD585" s="90"/>
      <c r="BE585" s="90"/>
      <c r="BF585" s="90"/>
      <c r="BG585" s="90"/>
      <c r="BH585" s="90"/>
      <c r="BI585" s="90"/>
      <c r="BJ585" s="90"/>
      <c r="BK585" s="90"/>
      <c r="BL585" s="90"/>
      <c r="BM585" s="90"/>
      <c r="BN585" s="90"/>
      <c r="BO585" s="90"/>
      <c r="BP585" s="90"/>
      <c r="BQ585" s="90"/>
      <c r="BR585" s="90"/>
      <c r="BS585" s="90"/>
      <c r="BT585" s="90"/>
      <c r="BU585" s="90"/>
      <c r="BV585" s="90"/>
      <c r="BW585" s="90"/>
      <c r="BX585" s="90"/>
      <c r="BY585" s="90"/>
    </row>
    <row r="586" spans="1:77" ht="15.75" customHeight="1" thickBot="1" x14ac:dyDescent="0.3">
      <c r="A586" s="89"/>
      <c r="B586" s="89"/>
      <c r="C586" s="78"/>
      <c r="D586" s="78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352"/>
      <c r="AA586" s="352"/>
      <c r="AB586" s="352"/>
      <c r="AC586" s="352"/>
      <c r="AD586" s="352"/>
      <c r="AE586" s="352"/>
      <c r="AF586" s="352"/>
      <c r="AG586" s="91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  <c r="BB586" s="90"/>
      <c r="BC586" s="90"/>
      <c r="BD586" s="90"/>
      <c r="BE586" s="90"/>
      <c r="BF586" s="90"/>
      <c r="BG586" s="90"/>
      <c r="BH586" s="90"/>
      <c r="BI586" s="90"/>
      <c r="BJ586" s="90"/>
      <c r="BK586" s="90"/>
      <c r="BL586" s="90"/>
      <c r="BM586" s="90"/>
      <c r="BN586" s="90"/>
      <c r="BO586" s="90"/>
      <c r="BP586" s="90"/>
      <c r="BQ586" s="90"/>
      <c r="BR586" s="90"/>
      <c r="BS586" s="90"/>
      <c r="BT586" s="90"/>
      <c r="BU586" s="90"/>
      <c r="BV586" s="90"/>
      <c r="BW586" s="90"/>
      <c r="BX586" s="90"/>
      <c r="BY586" s="90"/>
    </row>
    <row r="587" spans="1:77" ht="15.75" customHeight="1" thickBot="1" x14ac:dyDescent="0.3">
      <c r="A587" s="89"/>
      <c r="B587" s="89"/>
      <c r="C587" s="78"/>
      <c r="D587" s="78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352"/>
      <c r="AA587" s="352"/>
      <c r="AB587" s="352"/>
      <c r="AC587" s="352"/>
      <c r="AD587" s="352"/>
      <c r="AE587" s="352"/>
      <c r="AF587" s="352"/>
      <c r="AG587" s="91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  <c r="BB587" s="90"/>
      <c r="BC587" s="90"/>
      <c r="BD587" s="90"/>
      <c r="BE587" s="90"/>
      <c r="BF587" s="90"/>
      <c r="BG587" s="90"/>
      <c r="BH587" s="90"/>
      <c r="BI587" s="90"/>
      <c r="BJ587" s="90"/>
      <c r="BK587" s="90"/>
      <c r="BL587" s="90"/>
      <c r="BM587" s="90"/>
      <c r="BN587" s="90"/>
      <c r="BO587" s="90"/>
      <c r="BP587" s="90"/>
      <c r="BQ587" s="90"/>
      <c r="BR587" s="90"/>
      <c r="BS587" s="90"/>
      <c r="BT587" s="90"/>
      <c r="BU587" s="90"/>
      <c r="BV587" s="90"/>
      <c r="BW587" s="90"/>
      <c r="BX587" s="90"/>
      <c r="BY587" s="90"/>
    </row>
    <row r="588" spans="1:77" ht="15.75" customHeight="1" thickBot="1" x14ac:dyDescent="0.3">
      <c r="A588" s="89"/>
      <c r="B588" s="89"/>
      <c r="C588" s="78"/>
      <c r="D588" s="78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352"/>
      <c r="AA588" s="352"/>
      <c r="AB588" s="352"/>
      <c r="AC588" s="352"/>
      <c r="AD588" s="352"/>
      <c r="AE588" s="352"/>
      <c r="AF588" s="352"/>
      <c r="AG588" s="91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  <c r="BA588" s="90"/>
      <c r="BB588" s="90"/>
      <c r="BC588" s="90"/>
      <c r="BD588" s="90"/>
      <c r="BE588" s="90"/>
      <c r="BF588" s="90"/>
      <c r="BG588" s="90"/>
      <c r="BH588" s="90"/>
      <c r="BI588" s="90"/>
      <c r="BJ588" s="90"/>
      <c r="BK588" s="90"/>
      <c r="BL588" s="90"/>
      <c r="BM588" s="90"/>
      <c r="BN588" s="90"/>
      <c r="BO588" s="90"/>
      <c r="BP588" s="90"/>
      <c r="BQ588" s="90"/>
      <c r="BR588" s="90"/>
      <c r="BS588" s="90"/>
      <c r="BT588" s="90"/>
      <c r="BU588" s="90"/>
      <c r="BV588" s="90"/>
      <c r="BW588" s="90"/>
      <c r="BX588" s="90"/>
      <c r="BY588" s="90"/>
    </row>
    <row r="589" spans="1:77" ht="15.75" customHeight="1" thickBot="1" x14ac:dyDescent="0.3">
      <c r="A589" s="89"/>
      <c r="B589" s="89"/>
      <c r="C589" s="78"/>
      <c r="D589" s="78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352"/>
      <c r="AA589" s="352"/>
      <c r="AB589" s="352"/>
      <c r="AC589" s="352"/>
      <c r="AD589" s="352"/>
      <c r="AE589" s="352"/>
      <c r="AF589" s="352"/>
      <c r="AG589" s="91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  <c r="BB589" s="90"/>
      <c r="BC589" s="90"/>
      <c r="BD589" s="90"/>
      <c r="BE589" s="90"/>
      <c r="BF589" s="90"/>
      <c r="BG589" s="90"/>
      <c r="BH589" s="90"/>
      <c r="BI589" s="90"/>
      <c r="BJ589" s="90"/>
      <c r="BK589" s="90"/>
      <c r="BL589" s="90"/>
      <c r="BM589" s="90"/>
      <c r="BN589" s="90"/>
      <c r="BO589" s="90"/>
      <c r="BP589" s="90"/>
      <c r="BQ589" s="90"/>
      <c r="BR589" s="90"/>
      <c r="BS589" s="90"/>
      <c r="BT589" s="90"/>
      <c r="BU589" s="90"/>
      <c r="BV589" s="90"/>
      <c r="BW589" s="90"/>
      <c r="BX589" s="90"/>
      <c r="BY589" s="90"/>
    </row>
    <row r="590" spans="1:77" ht="15.75" customHeight="1" thickBot="1" x14ac:dyDescent="0.3">
      <c r="A590" s="89"/>
      <c r="B590" s="89"/>
      <c r="C590" s="78"/>
      <c r="D590" s="78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352"/>
      <c r="AA590" s="352"/>
      <c r="AB590" s="352"/>
      <c r="AC590" s="352"/>
      <c r="AD590" s="352"/>
      <c r="AE590" s="352"/>
      <c r="AF590" s="352"/>
      <c r="AG590" s="91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  <c r="BB590" s="90"/>
      <c r="BC590" s="90"/>
      <c r="BD590" s="90"/>
      <c r="BE590" s="90"/>
      <c r="BF590" s="90"/>
      <c r="BG590" s="90"/>
      <c r="BH590" s="90"/>
      <c r="BI590" s="90"/>
      <c r="BJ590" s="90"/>
      <c r="BK590" s="90"/>
      <c r="BL590" s="90"/>
      <c r="BM590" s="90"/>
      <c r="BN590" s="90"/>
      <c r="BO590" s="90"/>
      <c r="BP590" s="90"/>
      <c r="BQ590" s="90"/>
      <c r="BR590" s="90"/>
      <c r="BS590" s="90"/>
      <c r="BT590" s="90"/>
      <c r="BU590" s="90"/>
      <c r="BV590" s="90"/>
      <c r="BW590" s="90"/>
      <c r="BX590" s="90"/>
      <c r="BY590" s="90"/>
    </row>
    <row r="591" spans="1:77" ht="15.75" customHeight="1" thickBot="1" x14ac:dyDescent="0.3">
      <c r="A591" s="89"/>
      <c r="B591" s="89"/>
      <c r="C591" s="78"/>
      <c r="D591" s="78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352"/>
      <c r="AA591" s="352"/>
      <c r="AB591" s="352"/>
      <c r="AC591" s="352"/>
      <c r="AD591" s="352"/>
      <c r="AE591" s="352"/>
      <c r="AF591" s="352"/>
      <c r="AG591" s="91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  <c r="BA591" s="90"/>
      <c r="BB591" s="90"/>
      <c r="BC591" s="90"/>
      <c r="BD591" s="90"/>
      <c r="BE591" s="90"/>
      <c r="BF591" s="90"/>
      <c r="BG591" s="90"/>
      <c r="BH591" s="90"/>
      <c r="BI591" s="90"/>
      <c r="BJ591" s="90"/>
      <c r="BK591" s="90"/>
      <c r="BL591" s="90"/>
      <c r="BM591" s="90"/>
      <c r="BN591" s="90"/>
      <c r="BO591" s="90"/>
      <c r="BP591" s="90"/>
      <c r="BQ591" s="90"/>
      <c r="BR591" s="90"/>
      <c r="BS591" s="90"/>
      <c r="BT591" s="90"/>
      <c r="BU591" s="90"/>
      <c r="BV591" s="90"/>
      <c r="BW591" s="90"/>
      <c r="BX591" s="90"/>
      <c r="BY591" s="90"/>
    </row>
    <row r="592" spans="1:77" ht="15.75" customHeight="1" thickBot="1" x14ac:dyDescent="0.3">
      <c r="A592" s="89"/>
      <c r="B592" s="89"/>
      <c r="C592" s="78"/>
      <c r="D592" s="78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352"/>
      <c r="AA592" s="352"/>
      <c r="AB592" s="352"/>
      <c r="AC592" s="352"/>
      <c r="AD592" s="352"/>
      <c r="AE592" s="352"/>
      <c r="AF592" s="352"/>
      <c r="AG592" s="91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  <c r="BA592" s="90"/>
      <c r="BB592" s="90"/>
      <c r="BC592" s="90"/>
      <c r="BD592" s="90"/>
      <c r="BE592" s="90"/>
      <c r="BF592" s="90"/>
      <c r="BG592" s="90"/>
      <c r="BH592" s="90"/>
      <c r="BI592" s="90"/>
      <c r="BJ592" s="90"/>
      <c r="BK592" s="90"/>
      <c r="BL592" s="90"/>
      <c r="BM592" s="90"/>
      <c r="BN592" s="90"/>
      <c r="BO592" s="90"/>
      <c r="BP592" s="90"/>
      <c r="BQ592" s="90"/>
      <c r="BR592" s="90"/>
      <c r="BS592" s="90"/>
      <c r="BT592" s="90"/>
      <c r="BU592" s="90"/>
      <c r="BV592" s="90"/>
      <c r="BW592" s="90"/>
      <c r="BX592" s="90"/>
      <c r="BY592" s="90"/>
    </row>
    <row r="593" spans="1:77" ht="15.75" customHeight="1" thickBot="1" x14ac:dyDescent="0.3">
      <c r="A593" s="89"/>
      <c r="B593" s="89"/>
      <c r="C593" s="78"/>
      <c r="D593" s="78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352"/>
      <c r="AA593" s="352"/>
      <c r="AB593" s="352"/>
      <c r="AC593" s="352"/>
      <c r="AD593" s="352"/>
      <c r="AE593" s="352"/>
      <c r="AF593" s="352"/>
      <c r="AG593" s="91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  <c r="BA593" s="90"/>
      <c r="BB593" s="90"/>
      <c r="BC593" s="90"/>
      <c r="BD593" s="90"/>
      <c r="BE593" s="90"/>
      <c r="BF593" s="90"/>
      <c r="BG593" s="90"/>
      <c r="BH593" s="90"/>
      <c r="BI593" s="90"/>
      <c r="BJ593" s="90"/>
      <c r="BK593" s="90"/>
      <c r="BL593" s="90"/>
      <c r="BM593" s="90"/>
      <c r="BN593" s="90"/>
      <c r="BO593" s="90"/>
      <c r="BP593" s="90"/>
      <c r="BQ593" s="90"/>
      <c r="BR593" s="90"/>
      <c r="BS593" s="90"/>
      <c r="BT593" s="90"/>
      <c r="BU593" s="90"/>
      <c r="BV593" s="90"/>
      <c r="BW593" s="90"/>
      <c r="BX593" s="90"/>
      <c r="BY593" s="90"/>
    </row>
    <row r="594" spans="1:77" ht="15.75" customHeight="1" thickBot="1" x14ac:dyDescent="0.3">
      <c r="A594" s="89"/>
      <c r="B594" s="89"/>
      <c r="C594" s="78"/>
      <c r="D594" s="78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352"/>
      <c r="AA594" s="352"/>
      <c r="AB594" s="352"/>
      <c r="AC594" s="352"/>
      <c r="AD594" s="352"/>
      <c r="AE594" s="352"/>
      <c r="AF594" s="352"/>
      <c r="AG594" s="91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  <c r="BB594" s="90"/>
      <c r="BC594" s="90"/>
      <c r="BD594" s="90"/>
      <c r="BE594" s="90"/>
      <c r="BF594" s="90"/>
      <c r="BG594" s="90"/>
      <c r="BH594" s="90"/>
      <c r="BI594" s="90"/>
      <c r="BJ594" s="90"/>
      <c r="BK594" s="90"/>
      <c r="BL594" s="90"/>
      <c r="BM594" s="90"/>
      <c r="BN594" s="90"/>
      <c r="BO594" s="90"/>
      <c r="BP594" s="90"/>
      <c r="BQ594" s="90"/>
      <c r="BR594" s="90"/>
      <c r="BS594" s="90"/>
      <c r="BT594" s="90"/>
      <c r="BU594" s="90"/>
      <c r="BV594" s="90"/>
      <c r="BW594" s="90"/>
      <c r="BX594" s="90"/>
      <c r="BY594" s="90"/>
    </row>
    <row r="595" spans="1:77" ht="15.75" customHeight="1" thickBot="1" x14ac:dyDescent="0.3">
      <c r="A595" s="89"/>
      <c r="B595" s="89"/>
      <c r="C595" s="78"/>
      <c r="D595" s="78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352"/>
      <c r="AA595" s="352"/>
      <c r="AB595" s="352"/>
      <c r="AC595" s="352"/>
      <c r="AD595" s="352"/>
      <c r="AE595" s="352"/>
      <c r="AF595" s="352"/>
      <c r="AG595" s="91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  <c r="BB595" s="90"/>
      <c r="BC595" s="90"/>
      <c r="BD595" s="90"/>
      <c r="BE595" s="90"/>
      <c r="BF595" s="90"/>
      <c r="BG595" s="90"/>
      <c r="BH595" s="90"/>
      <c r="BI595" s="90"/>
      <c r="BJ595" s="90"/>
      <c r="BK595" s="90"/>
      <c r="BL595" s="90"/>
      <c r="BM595" s="90"/>
      <c r="BN595" s="90"/>
      <c r="BO595" s="90"/>
      <c r="BP595" s="90"/>
      <c r="BQ595" s="90"/>
      <c r="BR595" s="90"/>
      <c r="BS595" s="90"/>
      <c r="BT595" s="90"/>
      <c r="BU595" s="90"/>
      <c r="BV595" s="90"/>
      <c r="BW595" s="90"/>
      <c r="BX595" s="90"/>
      <c r="BY595" s="90"/>
    </row>
    <row r="596" spans="1:77" ht="15.75" customHeight="1" thickBot="1" x14ac:dyDescent="0.3">
      <c r="A596" s="89"/>
      <c r="B596" s="89"/>
      <c r="C596" s="78"/>
      <c r="D596" s="78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352"/>
      <c r="AA596" s="352"/>
      <c r="AB596" s="352"/>
      <c r="AC596" s="352"/>
      <c r="AD596" s="352"/>
      <c r="AE596" s="352"/>
      <c r="AF596" s="352"/>
      <c r="AG596" s="91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  <c r="BB596" s="90"/>
      <c r="BC596" s="90"/>
      <c r="BD596" s="90"/>
      <c r="BE596" s="90"/>
      <c r="BF596" s="90"/>
      <c r="BG596" s="90"/>
      <c r="BH596" s="90"/>
      <c r="BI596" s="90"/>
      <c r="BJ596" s="90"/>
      <c r="BK596" s="90"/>
      <c r="BL596" s="90"/>
      <c r="BM596" s="90"/>
      <c r="BN596" s="90"/>
      <c r="BO596" s="90"/>
      <c r="BP596" s="90"/>
      <c r="BQ596" s="90"/>
      <c r="BR596" s="90"/>
      <c r="BS596" s="90"/>
      <c r="BT596" s="90"/>
      <c r="BU596" s="90"/>
      <c r="BV596" s="90"/>
      <c r="BW596" s="90"/>
      <c r="BX596" s="90"/>
      <c r="BY596" s="90"/>
    </row>
    <row r="597" spans="1:77" ht="15.75" customHeight="1" thickBot="1" x14ac:dyDescent="0.3">
      <c r="A597" s="89"/>
      <c r="B597" s="89"/>
      <c r="C597" s="78"/>
      <c r="D597" s="78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352"/>
      <c r="AA597" s="352"/>
      <c r="AB597" s="352"/>
      <c r="AC597" s="352"/>
      <c r="AD597" s="352"/>
      <c r="AE597" s="352"/>
      <c r="AF597" s="352"/>
      <c r="AG597" s="91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  <c r="BA597" s="90"/>
      <c r="BB597" s="90"/>
      <c r="BC597" s="90"/>
      <c r="BD597" s="90"/>
      <c r="BE597" s="90"/>
      <c r="BF597" s="90"/>
      <c r="BG597" s="90"/>
      <c r="BH597" s="90"/>
      <c r="BI597" s="90"/>
      <c r="BJ597" s="90"/>
      <c r="BK597" s="90"/>
      <c r="BL597" s="90"/>
      <c r="BM597" s="90"/>
      <c r="BN597" s="90"/>
      <c r="BO597" s="90"/>
      <c r="BP597" s="90"/>
      <c r="BQ597" s="90"/>
      <c r="BR597" s="90"/>
      <c r="BS597" s="90"/>
      <c r="BT597" s="90"/>
      <c r="BU597" s="90"/>
      <c r="BV597" s="90"/>
      <c r="BW597" s="90"/>
      <c r="BX597" s="90"/>
      <c r="BY597" s="90"/>
    </row>
    <row r="598" spans="1:77" ht="15.75" customHeight="1" thickBot="1" x14ac:dyDescent="0.3">
      <c r="A598" s="89"/>
      <c r="B598" s="89"/>
      <c r="C598" s="78"/>
      <c r="D598" s="78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352"/>
      <c r="AA598" s="352"/>
      <c r="AB598" s="352"/>
      <c r="AC598" s="352"/>
      <c r="AD598" s="352"/>
      <c r="AE598" s="352"/>
      <c r="AF598" s="352"/>
      <c r="AG598" s="91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90"/>
      <c r="BC598" s="90"/>
      <c r="BD598" s="90"/>
      <c r="BE598" s="90"/>
      <c r="BF598" s="90"/>
      <c r="BG598" s="90"/>
      <c r="BH598" s="90"/>
      <c r="BI598" s="90"/>
      <c r="BJ598" s="90"/>
      <c r="BK598" s="90"/>
      <c r="BL598" s="90"/>
      <c r="BM598" s="90"/>
      <c r="BN598" s="90"/>
      <c r="BO598" s="90"/>
      <c r="BP598" s="90"/>
      <c r="BQ598" s="90"/>
      <c r="BR598" s="90"/>
      <c r="BS598" s="90"/>
      <c r="BT598" s="90"/>
      <c r="BU598" s="90"/>
      <c r="BV598" s="90"/>
      <c r="BW598" s="90"/>
      <c r="BX598" s="90"/>
      <c r="BY598" s="90"/>
    </row>
    <row r="599" spans="1:77" ht="15.75" customHeight="1" thickBot="1" x14ac:dyDescent="0.3">
      <c r="A599" s="89"/>
      <c r="B599" s="89"/>
      <c r="C599" s="78"/>
      <c r="D599" s="78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352"/>
      <c r="AA599" s="352"/>
      <c r="AB599" s="352"/>
      <c r="AC599" s="352"/>
      <c r="AD599" s="352"/>
      <c r="AE599" s="352"/>
      <c r="AF599" s="352"/>
      <c r="AG599" s="91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90"/>
      <c r="BC599" s="90"/>
      <c r="BD599" s="90"/>
      <c r="BE599" s="90"/>
      <c r="BF599" s="90"/>
      <c r="BG599" s="90"/>
      <c r="BH599" s="90"/>
      <c r="BI599" s="90"/>
      <c r="BJ599" s="90"/>
      <c r="BK599" s="90"/>
      <c r="BL599" s="90"/>
      <c r="BM599" s="90"/>
      <c r="BN599" s="90"/>
      <c r="BO599" s="90"/>
      <c r="BP599" s="90"/>
      <c r="BQ599" s="90"/>
      <c r="BR599" s="90"/>
      <c r="BS599" s="90"/>
      <c r="BT599" s="90"/>
      <c r="BU599" s="90"/>
      <c r="BV599" s="90"/>
      <c r="BW599" s="90"/>
      <c r="BX599" s="90"/>
      <c r="BY599" s="90"/>
    </row>
    <row r="600" spans="1:77" ht="15.75" customHeight="1" thickBot="1" x14ac:dyDescent="0.3">
      <c r="A600" s="89"/>
      <c r="B600" s="89"/>
      <c r="C600" s="78"/>
      <c r="D600" s="78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352"/>
      <c r="AA600" s="352"/>
      <c r="AB600" s="352"/>
      <c r="AC600" s="352"/>
      <c r="AD600" s="352"/>
      <c r="AE600" s="352"/>
      <c r="AF600" s="352"/>
      <c r="AG600" s="91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0"/>
      <c r="BF600" s="90"/>
      <c r="BG600" s="90"/>
      <c r="BH600" s="90"/>
      <c r="BI600" s="90"/>
      <c r="BJ600" s="90"/>
      <c r="BK600" s="90"/>
      <c r="BL600" s="90"/>
      <c r="BM600" s="90"/>
      <c r="BN600" s="90"/>
      <c r="BO600" s="90"/>
      <c r="BP600" s="90"/>
      <c r="BQ600" s="90"/>
      <c r="BR600" s="90"/>
      <c r="BS600" s="90"/>
      <c r="BT600" s="90"/>
      <c r="BU600" s="90"/>
      <c r="BV600" s="90"/>
      <c r="BW600" s="90"/>
      <c r="BX600" s="90"/>
      <c r="BY600" s="90"/>
    </row>
    <row r="601" spans="1:77" ht="15.75" customHeight="1" thickBot="1" x14ac:dyDescent="0.3">
      <c r="A601" s="89"/>
      <c r="B601" s="89"/>
      <c r="C601" s="78"/>
      <c r="D601" s="78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352"/>
      <c r="AA601" s="352"/>
      <c r="AB601" s="352"/>
      <c r="AC601" s="352"/>
      <c r="AD601" s="352"/>
      <c r="AE601" s="352"/>
      <c r="AF601" s="352"/>
      <c r="AG601" s="91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  <c r="BB601" s="90"/>
      <c r="BC601" s="90"/>
      <c r="BD601" s="90"/>
      <c r="BE601" s="90"/>
      <c r="BF601" s="90"/>
      <c r="BG601" s="90"/>
      <c r="BH601" s="90"/>
      <c r="BI601" s="90"/>
      <c r="BJ601" s="90"/>
      <c r="BK601" s="90"/>
      <c r="BL601" s="90"/>
      <c r="BM601" s="90"/>
      <c r="BN601" s="90"/>
      <c r="BO601" s="90"/>
      <c r="BP601" s="90"/>
      <c r="BQ601" s="90"/>
      <c r="BR601" s="90"/>
      <c r="BS601" s="90"/>
      <c r="BT601" s="90"/>
      <c r="BU601" s="90"/>
      <c r="BV601" s="90"/>
      <c r="BW601" s="90"/>
      <c r="BX601" s="90"/>
      <c r="BY601" s="90"/>
    </row>
    <row r="602" spans="1:77" ht="15.75" customHeight="1" thickBot="1" x14ac:dyDescent="0.3">
      <c r="A602" s="89"/>
      <c r="B602" s="89"/>
      <c r="C602" s="78"/>
      <c r="D602" s="78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352"/>
      <c r="AA602" s="352"/>
      <c r="AB602" s="352"/>
      <c r="AC602" s="352"/>
      <c r="AD602" s="352"/>
      <c r="AE602" s="352"/>
      <c r="AF602" s="352"/>
      <c r="AG602" s="91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90"/>
      <c r="BC602" s="90"/>
      <c r="BD602" s="90"/>
      <c r="BE602" s="90"/>
      <c r="BF602" s="90"/>
      <c r="BG602" s="90"/>
      <c r="BH602" s="90"/>
      <c r="BI602" s="90"/>
      <c r="BJ602" s="90"/>
      <c r="BK602" s="90"/>
      <c r="BL602" s="90"/>
      <c r="BM602" s="90"/>
      <c r="BN602" s="90"/>
      <c r="BO602" s="90"/>
      <c r="BP602" s="90"/>
      <c r="BQ602" s="90"/>
      <c r="BR602" s="90"/>
      <c r="BS602" s="90"/>
      <c r="BT602" s="90"/>
      <c r="BU602" s="90"/>
      <c r="BV602" s="90"/>
      <c r="BW602" s="90"/>
      <c r="BX602" s="90"/>
      <c r="BY602" s="90"/>
    </row>
    <row r="603" spans="1:77" ht="15.75" customHeight="1" thickBot="1" x14ac:dyDescent="0.3">
      <c r="A603" s="89"/>
      <c r="B603" s="89"/>
      <c r="C603" s="78"/>
      <c r="D603" s="78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352"/>
      <c r="AA603" s="352"/>
      <c r="AB603" s="352"/>
      <c r="AC603" s="352"/>
      <c r="AD603" s="352"/>
      <c r="AE603" s="352"/>
      <c r="AF603" s="352"/>
      <c r="AG603" s="91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  <c r="BB603" s="90"/>
      <c r="BC603" s="90"/>
      <c r="BD603" s="90"/>
      <c r="BE603" s="90"/>
      <c r="BF603" s="90"/>
      <c r="BG603" s="90"/>
      <c r="BH603" s="90"/>
      <c r="BI603" s="90"/>
      <c r="BJ603" s="90"/>
      <c r="BK603" s="90"/>
      <c r="BL603" s="90"/>
      <c r="BM603" s="90"/>
      <c r="BN603" s="90"/>
      <c r="BO603" s="90"/>
      <c r="BP603" s="90"/>
      <c r="BQ603" s="90"/>
      <c r="BR603" s="90"/>
      <c r="BS603" s="90"/>
      <c r="BT603" s="90"/>
      <c r="BU603" s="90"/>
      <c r="BV603" s="90"/>
      <c r="BW603" s="90"/>
      <c r="BX603" s="90"/>
      <c r="BY603" s="90"/>
    </row>
    <row r="604" spans="1:77" ht="15.75" customHeight="1" thickBot="1" x14ac:dyDescent="0.3">
      <c r="A604" s="89"/>
      <c r="B604" s="89"/>
      <c r="C604" s="78"/>
      <c r="D604" s="78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352"/>
      <c r="AA604" s="352"/>
      <c r="AB604" s="352"/>
      <c r="AC604" s="352"/>
      <c r="AD604" s="352"/>
      <c r="AE604" s="352"/>
      <c r="AF604" s="352"/>
      <c r="AG604" s="91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90"/>
      <c r="BC604" s="90"/>
      <c r="BD604" s="90"/>
      <c r="BE604" s="90"/>
      <c r="BF604" s="90"/>
      <c r="BG604" s="90"/>
      <c r="BH604" s="90"/>
      <c r="BI604" s="90"/>
      <c r="BJ604" s="90"/>
      <c r="BK604" s="90"/>
      <c r="BL604" s="90"/>
      <c r="BM604" s="90"/>
      <c r="BN604" s="90"/>
      <c r="BO604" s="90"/>
      <c r="BP604" s="90"/>
      <c r="BQ604" s="90"/>
      <c r="BR604" s="90"/>
      <c r="BS604" s="90"/>
      <c r="BT604" s="90"/>
      <c r="BU604" s="90"/>
      <c r="BV604" s="90"/>
      <c r="BW604" s="90"/>
      <c r="BX604" s="90"/>
      <c r="BY604" s="90"/>
    </row>
    <row r="605" spans="1:77" ht="15.75" customHeight="1" thickBot="1" x14ac:dyDescent="0.3">
      <c r="A605" s="89"/>
      <c r="B605" s="89"/>
      <c r="C605" s="78"/>
      <c r="D605" s="78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352"/>
      <c r="AA605" s="352"/>
      <c r="AB605" s="352"/>
      <c r="AC605" s="352"/>
      <c r="AD605" s="352"/>
      <c r="AE605" s="352"/>
      <c r="AF605" s="352"/>
      <c r="AG605" s="91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90"/>
      <c r="BC605" s="90"/>
      <c r="BD605" s="90"/>
      <c r="BE605" s="90"/>
      <c r="BF605" s="90"/>
      <c r="BG605" s="90"/>
      <c r="BH605" s="90"/>
      <c r="BI605" s="90"/>
      <c r="BJ605" s="90"/>
      <c r="BK605" s="90"/>
      <c r="BL605" s="90"/>
      <c r="BM605" s="90"/>
      <c r="BN605" s="90"/>
      <c r="BO605" s="90"/>
      <c r="BP605" s="90"/>
      <c r="BQ605" s="90"/>
      <c r="BR605" s="90"/>
      <c r="BS605" s="90"/>
      <c r="BT605" s="90"/>
      <c r="BU605" s="90"/>
      <c r="BV605" s="90"/>
      <c r="BW605" s="90"/>
      <c r="BX605" s="90"/>
      <c r="BY605" s="90"/>
    </row>
    <row r="606" spans="1:77" ht="15.75" customHeight="1" thickBot="1" x14ac:dyDescent="0.3">
      <c r="A606" s="89"/>
      <c r="B606" s="89"/>
      <c r="C606" s="78"/>
      <c r="D606" s="78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352"/>
      <c r="AA606" s="352"/>
      <c r="AB606" s="352"/>
      <c r="AC606" s="352"/>
      <c r="AD606" s="352"/>
      <c r="AE606" s="352"/>
      <c r="AF606" s="352"/>
      <c r="AG606" s="91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90"/>
      <c r="BC606" s="90"/>
      <c r="BD606" s="90"/>
      <c r="BE606" s="90"/>
      <c r="BF606" s="90"/>
      <c r="BG606" s="90"/>
      <c r="BH606" s="90"/>
      <c r="BI606" s="90"/>
      <c r="BJ606" s="90"/>
      <c r="BK606" s="90"/>
      <c r="BL606" s="90"/>
      <c r="BM606" s="90"/>
      <c r="BN606" s="90"/>
      <c r="BO606" s="90"/>
      <c r="BP606" s="90"/>
      <c r="BQ606" s="90"/>
      <c r="BR606" s="90"/>
      <c r="BS606" s="90"/>
      <c r="BT606" s="90"/>
      <c r="BU606" s="90"/>
      <c r="BV606" s="90"/>
      <c r="BW606" s="90"/>
      <c r="BX606" s="90"/>
      <c r="BY606" s="90"/>
    </row>
    <row r="607" spans="1:77" ht="15.75" customHeight="1" thickBot="1" x14ac:dyDescent="0.3">
      <c r="A607" s="89"/>
      <c r="B607" s="89"/>
      <c r="C607" s="78"/>
      <c r="D607" s="78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352"/>
      <c r="AA607" s="352"/>
      <c r="AB607" s="352"/>
      <c r="AC607" s="352"/>
      <c r="AD607" s="352"/>
      <c r="AE607" s="352"/>
      <c r="AF607" s="352"/>
      <c r="AG607" s="91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90"/>
      <c r="BC607" s="90"/>
      <c r="BD607" s="90"/>
      <c r="BE607" s="90"/>
      <c r="BF607" s="90"/>
      <c r="BG607" s="90"/>
      <c r="BH607" s="90"/>
      <c r="BI607" s="90"/>
      <c r="BJ607" s="90"/>
      <c r="BK607" s="90"/>
      <c r="BL607" s="90"/>
      <c r="BM607" s="90"/>
      <c r="BN607" s="90"/>
      <c r="BO607" s="90"/>
      <c r="BP607" s="90"/>
      <c r="BQ607" s="90"/>
      <c r="BR607" s="90"/>
      <c r="BS607" s="90"/>
      <c r="BT607" s="90"/>
      <c r="BU607" s="90"/>
      <c r="BV607" s="90"/>
      <c r="BW607" s="90"/>
      <c r="BX607" s="90"/>
      <c r="BY607" s="90"/>
    </row>
    <row r="608" spans="1:77" ht="15.75" customHeight="1" thickBot="1" x14ac:dyDescent="0.3">
      <c r="A608" s="89"/>
      <c r="B608" s="89"/>
      <c r="C608" s="78"/>
      <c r="D608" s="78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352"/>
      <c r="AA608" s="352"/>
      <c r="AB608" s="352"/>
      <c r="AC608" s="352"/>
      <c r="AD608" s="352"/>
      <c r="AE608" s="352"/>
      <c r="AF608" s="352"/>
      <c r="AG608" s="91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90"/>
      <c r="BC608" s="90"/>
      <c r="BD608" s="90"/>
      <c r="BE608" s="90"/>
      <c r="BF608" s="90"/>
      <c r="BG608" s="90"/>
      <c r="BH608" s="90"/>
      <c r="BI608" s="90"/>
      <c r="BJ608" s="90"/>
      <c r="BK608" s="90"/>
      <c r="BL608" s="90"/>
      <c r="BM608" s="90"/>
      <c r="BN608" s="90"/>
      <c r="BO608" s="90"/>
      <c r="BP608" s="90"/>
      <c r="BQ608" s="90"/>
      <c r="BR608" s="90"/>
      <c r="BS608" s="90"/>
      <c r="BT608" s="90"/>
      <c r="BU608" s="90"/>
      <c r="BV608" s="90"/>
      <c r="BW608" s="90"/>
      <c r="BX608" s="90"/>
      <c r="BY608" s="90"/>
    </row>
    <row r="609" spans="1:77" ht="15.75" customHeight="1" thickBot="1" x14ac:dyDescent="0.3">
      <c r="A609" s="89"/>
      <c r="B609" s="89"/>
      <c r="C609" s="78"/>
      <c r="D609" s="78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352"/>
      <c r="AA609" s="352"/>
      <c r="AB609" s="352"/>
      <c r="AC609" s="352"/>
      <c r="AD609" s="352"/>
      <c r="AE609" s="352"/>
      <c r="AF609" s="352"/>
      <c r="AG609" s="91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90"/>
      <c r="BC609" s="90"/>
      <c r="BD609" s="90"/>
      <c r="BE609" s="90"/>
      <c r="BF609" s="90"/>
      <c r="BG609" s="90"/>
      <c r="BH609" s="90"/>
      <c r="BI609" s="90"/>
      <c r="BJ609" s="90"/>
      <c r="BK609" s="90"/>
      <c r="BL609" s="90"/>
      <c r="BM609" s="90"/>
      <c r="BN609" s="90"/>
      <c r="BO609" s="90"/>
      <c r="BP609" s="90"/>
      <c r="BQ609" s="90"/>
      <c r="BR609" s="90"/>
      <c r="BS609" s="90"/>
      <c r="BT609" s="90"/>
      <c r="BU609" s="90"/>
      <c r="BV609" s="90"/>
      <c r="BW609" s="90"/>
      <c r="BX609" s="90"/>
      <c r="BY609" s="90"/>
    </row>
    <row r="610" spans="1:77" ht="15.75" customHeight="1" thickBot="1" x14ac:dyDescent="0.3">
      <c r="A610" s="89"/>
      <c r="B610" s="89"/>
      <c r="C610" s="78"/>
      <c r="D610" s="78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352"/>
      <c r="AA610" s="352"/>
      <c r="AB610" s="352"/>
      <c r="AC610" s="352"/>
      <c r="AD610" s="352"/>
      <c r="AE610" s="352"/>
      <c r="AF610" s="352"/>
      <c r="AG610" s="91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90"/>
      <c r="BC610" s="90"/>
      <c r="BD610" s="90"/>
      <c r="BE610" s="90"/>
      <c r="BF610" s="90"/>
      <c r="BG610" s="90"/>
      <c r="BH610" s="90"/>
      <c r="BI610" s="90"/>
      <c r="BJ610" s="90"/>
      <c r="BK610" s="90"/>
      <c r="BL610" s="90"/>
      <c r="BM610" s="90"/>
      <c r="BN610" s="90"/>
      <c r="BO610" s="90"/>
      <c r="BP610" s="90"/>
      <c r="BQ610" s="90"/>
      <c r="BR610" s="90"/>
      <c r="BS610" s="90"/>
      <c r="BT610" s="90"/>
      <c r="BU610" s="90"/>
      <c r="BV610" s="90"/>
      <c r="BW610" s="90"/>
      <c r="BX610" s="90"/>
      <c r="BY610" s="90"/>
    </row>
    <row r="611" spans="1:77" ht="15.75" customHeight="1" thickBot="1" x14ac:dyDescent="0.3">
      <c r="A611" s="89"/>
      <c r="B611" s="89"/>
      <c r="C611" s="78"/>
      <c r="D611" s="78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352"/>
      <c r="AA611" s="352"/>
      <c r="AB611" s="352"/>
      <c r="AC611" s="352"/>
      <c r="AD611" s="352"/>
      <c r="AE611" s="352"/>
      <c r="AF611" s="352"/>
      <c r="AG611" s="91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  <c r="BB611" s="90"/>
      <c r="BC611" s="90"/>
      <c r="BD611" s="90"/>
      <c r="BE611" s="90"/>
      <c r="BF611" s="90"/>
      <c r="BG611" s="90"/>
      <c r="BH611" s="90"/>
      <c r="BI611" s="90"/>
      <c r="BJ611" s="90"/>
      <c r="BK611" s="90"/>
      <c r="BL611" s="90"/>
      <c r="BM611" s="90"/>
      <c r="BN611" s="90"/>
      <c r="BO611" s="90"/>
      <c r="BP611" s="90"/>
      <c r="BQ611" s="90"/>
      <c r="BR611" s="90"/>
      <c r="BS611" s="90"/>
      <c r="BT611" s="90"/>
      <c r="BU611" s="90"/>
      <c r="BV611" s="90"/>
      <c r="BW611" s="90"/>
      <c r="BX611" s="90"/>
      <c r="BY611" s="90"/>
    </row>
    <row r="612" spans="1:77" ht="15.75" customHeight="1" thickBot="1" x14ac:dyDescent="0.3">
      <c r="A612" s="89"/>
      <c r="B612" s="89"/>
      <c r="C612" s="78"/>
      <c r="D612" s="78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352"/>
      <c r="AA612" s="352"/>
      <c r="AB612" s="352"/>
      <c r="AC612" s="352"/>
      <c r="AD612" s="352"/>
      <c r="AE612" s="352"/>
      <c r="AF612" s="352"/>
      <c r="AG612" s="91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90"/>
      <c r="BC612" s="90"/>
      <c r="BD612" s="90"/>
      <c r="BE612" s="90"/>
      <c r="BF612" s="90"/>
      <c r="BG612" s="90"/>
      <c r="BH612" s="90"/>
      <c r="BI612" s="90"/>
      <c r="BJ612" s="90"/>
      <c r="BK612" s="90"/>
      <c r="BL612" s="90"/>
      <c r="BM612" s="90"/>
      <c r="BN612" s="90"/>
      <c r="BO612" s="90"/>
      <c r="BP612" s="90"/>
      <c r="BQ612" s="90"/>
      <c r="BR612" s="90"/>
      <c r="BS612" s="90"/>
      <c r="BT612" s="90"/>
      <c r="BU612" s="90"/>
      <c r="BV612" s="90"/>
      <c r="BW612" s="90"/>
      <c r="BX612" s="90"/>
      <c r="BY612" s="90"/>
    </row>
    <row r="613" spans="1:77" ht="15.75" customHeight="1" thickBot="1" x14ac:dyDescent="0.3">
      <c r="A613" s="89"/>
      <c r="B613" s="89"/>
      <c r="C613" s="78"/>
      <c r="D613" s="78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352"/>
      <c r="AA613" s="352"/>
      <c r="AB613" s="352"/>
      <c r="AC613" s="352"/>
      <c r="AD613" s="352"/>
      <c r="AE613" s="352"/>
      <c r="AF613" s="352"/>
      <c r="AG613" s="91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90"/>
      <c r="BC613" s="90"/>
      <c r="BD613" s="90"/>
      <c r="BE613" s="90"/>
      <c r="BF613" s="90"/>
      <c r="BG613" s="90"/>
      <c r="BH613" s="90"/>
      <c r="BI613" s="90"/>
      <c r="BJ613" s="90"/>
      <c r="BK613" s="90"/>
      <c r="BL613" s="90"/>
      <c r="BM613" s="90"/>
      <c r="BN613" s="90"/>
      <c r="BO613" s="90"/>
      <c r="BP613" s="90"/>
      <c r="BQ613" s="90"/>
      <c r="BR613" s="90"/>
      <c r="BS613" s="90"/>
      <c r="BT613" s="90"/>
      <c r="BU613" s="90"/>
      <c r="BV613" s="90"/>
      <c r="BW613" s="90"/>
      <c r="BX613" s="90"/>
      <c r="BY613" s="90"/>
    </row>
    <row r="614" spans="1:77" ht="15.75" customHeight="1" thickBot="1" x14ac:dyDescent="0.3">
      <c r="A614" s="89"/>
      <c r="B614" s="89"/>
      <c r="C614" s="78"/>
      <c r="D614" s="78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352"/>
      <c r="AA614" s="352"/>
      <c r="AB614" s="352"/>
      <c r="AC614" s="352"/>
      <c r="AD614" s="352"/>
      <c r="AE614" s="352"/>
      <c r="AF614" s="352"/>
      <c r="AG614" s="91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  <c r="BB614" s="90"/>
      <c r="BC614" s="90"/>
      <c r="BD614" s="90"/>
      <c r="BE614" s="90"/>
      <c r="BF614" s="90"/>
      <c r="BG614" s="90"/>
      <c r="BH614" s="90"/>
      <c r="BI614" s="90"/>
      <c r="BJ614" s="90"/>
      <c r="BK614" s="90"/>
      <c r="BL614" s="90"/>
      <c r="BM614" s="90"/>
      <c r="BN614" s="90"/>
      <c r="BO614" s="90"/>
      <c r="BP614" s="90"/>
      <c r="BQ614" s="90"/>
      <c r="BR614" s="90"/>
      <c r="BS614" s="90"/>
      <c r="BT614" s="90"/>
      <c r="BU614" s="90"/>
      <c r="BV614" s="90"/>
      <c r="BW614" s="90"/>
      <c r="BX614" s="90"/>
      <c r="BY614" s="90"/>
    </row>
    <row r="615" spans="1:77" ht="15.75" customHeight="1" thickBot="1" x14ac:dyDescent="0.3">
      <c r="A615" s="89"/>
      <c r="B615" s="89"/>
      <c r="C615" s="78"/>
      <c r="D615" s="78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352"/>
      <c r="AA615" s="352"/>
      <c r="AB615" s="352"/>
      <c r="AC615" s="352"/>
      <c r="AD615" s="352"/>
      <c r="AE615" s="352"/>
      <c r="AF615" s="352"/>
      <c r="AG615" s="91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90"/>
      <c r="BC615" s="90"/>
      <c r="BD615" s="90"/>
      <c r="BE615" s="90"/>
      <c r="BF615" s="90"/>
      <c r="BG615" s="90"/>
      <c r="BH615" s="90"/>
      <c r="BI615" s="90"/>
      <c r="BJ615" s="90"/>
      <c r="BK615" s="90"/>
      <c r="BL615" s="90"/>
      <c r="BM615" s="90"/>
      <c r="BN615" s="90"/>
      <c r="BO615" s="90"/>
      <c r="BP615" s="90"/>
      <c r="BQ615" s="90"/>
      <c r="BR615" s="90"/>
      <c r="BS615" s="90"/>
      <c r="BT615" s="90"/>
      <c r="BU615" s="90"/>
      <c r="BV615" s="90"/>
      <c r="BW615" s="90"/>
      <c r="BX615" s="90"/>
      <c r="BY615" s="90"/>
    </row>
    <row r="616" spans="1:77" ht="15.75" customHeight="1" thickBot="1" x14ac:dyDescent="0.3">
      <c r="A616" s="89"/>
      <c r="B616" s="89"/>
      <c r="C616" s="78"/>
      <c r="D616" s="78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352"/>
      <c r="AA616" s="352"/>
      <c r="AB616" s="352"/>
      <c r="AC616" s="352"/>
      <c r="AD616" s="352"/>
      <c r="AE616" s="352"/>
      <c r="AF616" s="352"/>
      <c r="AG616" s="91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  <c r="BB616" s="90"/>
      <c r="BC616" s="90"/>
      <c r="BD616" s="90"/>
      <c r="BE616" s="90"/>
      <c r="BF616" s="90"/>
      <c r="BG616" s="90"/>
      <c r="BH616" s="90"/>
      <c r="BI616" s="90"/>
      <c r="BJ616" s="90"/>
      <c r="BK616" s="90"/>
      <c r="BL616" s="90"/>
      <c r="BM616" s="90"/>
      <c r="BN616" s="90"/>
      <c r="BO616" s="90"/>
      <c r="BP616" s="90"/>
      <c r="BQ616" s="90"/>
      <c r="BR616" s="90"/>
      <c r="BS616" s="90"/>
      <c r="BT616" s="90"/>
      <c r="BU616" s="90"/>
      <c r="BV616" s="90"/>
      <c r="BW616" s="90"/>
      <c r="BX616" s="90"/>
      <c r="BY616" s="90"/>
    </row>
    <row r="617" spans="1:77" ht="15.75" customHeight="1" thickBot="1" x14ac:dyDescent="0.3">
      <c r="A617" s="89"/>
      <c r="B617" s="89"/>
      <c r="C617" s="78"/>
      <c r="D617" s="78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352"/>
      <c r="AA617" s="352"/>
      <c r="AB617" s="352"/>
      <c r="AC617" s="352"/>
      <c r="AD617" s="352"/>
      <c r="AE617" s="352"/>
      <c r="AF617" s="352"/>
      <c r="AG617" s="91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  <c r="BB617" s="90"/>
      <c r="BC617" s="90"/>
      <c r="BD617" s="90"/>
      <c r="BE617" s="90"/>
      <c r="BF617" s="90"/>
      <c r="BG617" s="90"/>
      <c r="BH617" s="90"/>
      <c r="BI617" s="90"/>
      <c r="BJ617" s="90"/>
      <c r="BK617" s="90"/>
      <c r="BL617" s="90"/>
      <c r="BM617" s="90"/>
      <c r="BN617" s="90"/>
      <c r="BO617" s="90"/>
      <c r="BP617" s="90"/>
      <c r="BQ617" s="90"/>
      <c r="BR617" s="90"/>
      <c r="BS617" s="90"/>
      <c r="BT617" s="90"/>
      <c r="BU617" s="90"/>
      <c r="BV617" s="90"/>
      <c r="BW617" s="90"/>
      <c r="BX617" s="90"/>
      <c r="BY617" s="90"/>
    </row>
    <row r="618" spans="1:77" ht="15.75" customHeight="1" thickBot="1" x14ac:dyDescent="0.3">
      <c r="A618" s="89"/>
      <c r="B618" s="89"/>
      <c r="C618" s="78"/>
      <c r="D618" s="78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352"/>
      <c r="AA618" s="352"/>
      <c r="AB618" s="352"/>
      <c r="AC618" s="352"/>
      <c r="AD618" s="352"/>
      <c r="AE618" s="352"/>
      <c r="AF618" s="352"/>
      <c r="AG618" s="91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90"/>
      <c r="BC618" s="90"/>
      <c r="BD618" s="90"/>
      <c r="BE618" s="90"/>
      <c r="BF618" s="90"/>
      <c r="BG618" s="90"/>
      <c r="BH618" s="90"/>
      <c r="BI618" s="90"/>
      <c r="BJ618" s="90"/>
      <c r="BK618" s="90"/>
      <c r="BL618" s="90"/>
      <c r="BM618" s="90"/>
      <c r="BN618" s="90"/>
      <c r="BO618" s="90"/>
      <c r="BP618" s="90"/>
      <c r="BQ618" s="90"/>
      <c r="BR618" s="90"/>
      <c r="BS618" s="90"/>
      <c r="BT618" s="90"/>
      <c r="BU618" s="90"/>
      <c r="BV618" s="90"/>
      <c r="BW618" s="90"/>
      <c r="BX618" s="90"/>
      <c r="BY618" s="90"/>
    </row>
    <row r="619" spans="1:77" ht="15.75" customHeight="1" thickBot="1" x14ac:dyDescent="0.3">
      <c r="A619" s="89"/>
      <c r="B619" s="89"/>
      <c r="C619" s="78"/>
      <c r="D619" s="78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352"/>
      <c r="AA619" s="352"/>
      <c r="AB619" s="352"/>
      <c r="AC619" s="352"/>
      <c r="AD619" s="352"/>
      <c r="AE619" s="352"/>
      <c r="AF619" s="352"/>
      <c r="AG619" s="91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90"/>
      <c r="BC619" s="90"/>
      <c r="BD619" s="90"/>
      <c r="BE619" s="90"/>
      <c r="BF619" s="90"/>
      <c r="BG619" s="90"/>
      <c r="BH619" s="90"/>
      <c r="BI619" s="90"/>
      <c r="BJ619" s="90"/>
      <c r="BK619" s="90"/>
      <c r="BL619" s="90"/>
      <c r="BM619" s="90"/>
      <c r="BN619" s="90"/>
      <c r="BO619" s="90"/>
      <c r="BP619" s="90"/>
      <c r="BQ619" s="90"/>
      <c r="BR619" s="90"/>
      <c r="BS619" s="90"/>
      <c r="BT619" s="90"/>
      <c r="BU619" s="90"/>
      <c r="BV619" s="90"/>
      <c r="BW619" s="90"/>
      <c r="BX619" s="90"/>
      <c r="BY619" s="90"/>
    </row>
    <row r="620" spans="1:77" ht="15.75" customHeight="1" thickBot="1" x14ac:dyDescent="0.3">
      <c r="A620" s="89"/>
      <c r="B620" s="89"/>
      <c r="C620" s="78"/>
      <c r="D620" s="78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352"/>
      <c r="AA620" s="352"/>
      <c r="AB620" s="352"/>
      <c r="AC620" s="352"/>
      <c r="AD620" s="352"/>
      <c r="AE620" s="352"/>
      <c r="AF620" s="352"/>
      <c r="AG620" s="91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90"/>
      <c r="BC620" s="90"/>
      <c r="BD620" s="90"/>
      <c r="BE620" s="90"/>
      <c r="BF620" s="90"/>
      <c r="BG620" s="90"/>
      <c r="BH620" s="90"/>
      <c r="BI620" s="90"/>
      <c r="BJ620" s="90"/>
      <c r="BK620" s="90"/>
      <c r="BL620" s="90"/>
      <c r="BM620" s="90"/>
      <c r="BN620" s="90"/>
      <c r="BO620" s="90"/>
      <c r="BP620" s="90"/>
      <c r="BQ620" s="90"/>
      <c r="BR620" s="90"/>
      <c r="BS620" s="90"/>
      <c r="BT620" s="90"/>
      <c r="BU620" s="90"/>
      <c r="BV620" s="90"/>
      <c r="BW620" s="90"/>
      <c r="BX620" s="90"/>
      <c r="BY620" s="90"/>
    </row>
    <row r="621" spans="1:77" ht="15.75" customHeight="1" thickBot="1" x14ac:dyDescent="0.3">
      <c r="A621" s="89"/>
      <c r="B621" s="89"/>
      <c r="C621" s="78"/>
      <c r="D621" s="78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352"/>
      <c r="AA621" s="352"/>
      <c r="AB621" s="352"/>
      <c r="AC621" s="352"/>
      <c r="AD621" s="352"/>
      <c r="AE621" s="352"/>
      <c r="AF621" s="352"/>
      <c r="AG621" s="91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0"/>
      <c r="BF621" s="90"/>
      <c r="BG621" s="90"/>
      <c r="BH621" s="90"/>
      <c r="BI621" s="90"/>
      <c r="BJ621" s="90"/>
      <c r="BK621" s="90"/>
      <c r="BL621" s="90"/>
      <c r="BM621" s="90"/>
      <c r="BN621" s="90"/>
      <c r="BO621" s="90"/>
      <c r="BP621" s="90"/>
      <c r="BQ621" s="90"/>
      <c r="BR621" s="90"/>
      <c r="BS621" s="90"/>
      <c r="BT621" s="90"/>
      <c r="BU621" s="90"/>
      <c r="BV621" s="90"/>
      <c r="BW621" s="90"/>
      <c r="BX621" s="90"/>
      <c r="BY621" s="90"/>
    </row>
    <row r="622" spans="1:77" ht="15.75" customHeight="1" thickBot="1" x14ac:dyDescent="0.3">
      <c r="A622" s="89"/>
      <c r="B622" s="89"/>
      <c r="C622" s="78"/>
      <c r="D622" s="78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352"/>
      <c r="AA622" s="352"/>
      <c r="AB622" s="352"/>
      <c r="AC622" s="352"/>
      <c r="AD622" s="352"/>
      <c r="AE622" s="352"/>
      <c r="AF622" s="352"/>
      <c r="AG622" s="91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90"/>
      <c r="BC622" s="90"/>
      <c r="BD622" s="90"/>
      <c r="BE622" s="90"/>
      <c r="BF622" s="90"/>
      <c r="BG622" s="90"/>
      <c r="BH622" s="90"/>
      <c r="BI622" s="90"/>
      <c r="BJ622" s="90"/>
      <c r="BK622" s="90"/>
      <c r="BL622" s="90"/>
      <c r="BM622" s="90"/>
      <c r="BN622" s="90"/>
      <c r="BO622" s="90"/>
      <c r="BP622" s="90"/>
      <c r="BQ622" s="90"/>
      <c r="BR622" s="90"/>
      <c r="BS622" s="90"/>
      <c r="BT622" s="90"/>
      <c r="BU622" s="90"/>
      <c r="BV622" s="90"/>
      <c r="BW622" s="90"/>
      <c r="BX622" s="90"/>
      <c r="BY622" s="90"/>
    </row>
    <row r="623" spans="1:77" ht="15.75" customHeight="1" thickBot="1" x14ac:dyDescent="0.3">
      <c r="A623" s="89"/>
      <c r="B623" s="89"/>
      <c r="C623" s="78"/>
      <c r="D623" s="78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352"/>
      <c r="AA623" s="352"/>
      <c r="AB623" s="352"/>
      <c r="AC623" s="352"/>
      <c r="AD623" s="352"/>
      <c r="AE623" s="352"/>
      <c r="AF623" s="352"/>
      <c r="AG623" s="91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90"/>
      <c r="BC623" s="90"/>
      <c r="BD623" s="90"/>
      <c r="BE623" s="90"/>
      <c r="BF623" s="90"/>
      <c r="BG623" s="90"/>
      <c r="BH623" s="90"/>
      <c r="BI623" s="90"/>
      <c r="BJ623" s="90"/>
      <c r="BK623" s="90"/>
      <c r="BL623" s="90"/>
      <c r="BM623" s="90"/>
      <c r="BN623" s="90"/>
      <c r="BO623" s="90"/>
      <c r="BP623" s="90"/>
      <c r="BQ623" s="90"/>
      <c r="BR623" s="90"/>
      <c r="BS623" s="90"/>
      <c r="BT623" s="90"/>
      <c r="BU623" s="90"/>
      <c r="BV623" s="90"/>
      <c r="BW623" s="90"/>
      <c r="BX623" s="90"/>
      <c r="BY623" s="90"/>
    </row>
    <row r="624" spans="1:77" ht="15.75" customHeight="1" thickBot="1" x14ac:dyDescent="0.3">
      <c r="A624" s="89"/>
      <c r="B624" s="89"/>
      <c r="C624" s="78"/>
      <c r="D624" s="78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352"/>
      <c r="AA624" s="352"/>
      <c r="AB624" s="352"/>
      <c r="AC624" s="352"/>
      <c r="AD624" s="352"/>
      <c r="AE624" s="352"/>
      <c r="AF624" s="352"/>
      <c r="AG624" s="91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90"/>
      <c r="BC624" s="90"/>
      <c r="BD624" s="90"/>
      <c r="BE624" s="90"/>
      <c r="BF624" s="90"/>
      <c r="BG624" s="90"/>
      <c r="BH624" s="90"/>
      <c r="BI624" s="90"/>
      <c r="BJ624" s="90"/>
      <c r="BK624" s="90"/>
      <c r="BL624" s="90"/>
      <c r="BM624" s="90"/>
      <c r="BN624" s="90"/>
      <c r="BO624" s="90"/>
      <c r="BP624" s="90"/>
      <c r="BQ624" s="90"/>
      <c r="BR624" s="90"/>
      <c r="BS624" s="90"/>
      <c r="BT624" s="90"/>
      <c r="BU624" s="90"/>
      <c r="BV624" s="90"/>
      <c r="BW624" s="90"/>
      <c r="BX624" s="90"/>
      <c r="BY624" s="90"/>
    </row>
    <row r="625" spans="1:77" ht="15.75" customHeight="1" thickBot="1" x14ac:dyDescent="0.3">
      <c r="A625" s="89"/>
      <c r="B625" s="89"/>
      <c r="C625" s="78"/>
      <c r="D625" s="78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352"/>
      <c r="AA625" s="352"/>
      <c r="AB625" s="352"/>
      <c r="AC625" s="352"/>
      <c r="AD625" s="352"/>
      <c r="AE625" s="352"/>
      <c r="AF625" s="352"/>
      <c r="AG625" s="91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  <c r="BB625" s="90"/>
      <c r="BC625" s="90"/>
      <c r="BD625" s="90"/>
      <c r="BE625" s="90"/>
      <c r="BF625" s="90"/>
      <c r="BG625" s="90"/>
      <c r="BH625" s="90"/>
      <c r="BI625" s="90"/>
      <c r="BJ625" s="90"/>
      <c r="BK625" s="90"/>
      <c r="BL625" s="90"/>
      <c r="BM625" s="90"/>
      <c r="BN625" s="90"/>
      <c r="BO625" s="90"/>
      <c r="BP625" s="90"/>
      <c r="BQ625" s="90"/>
      <c r="BR625" s="90"/>
      <c r="BS625" s="90"/>
      <c r="BT625" s="90"/>
      <c r="BU625" s="90"/>
      <c r="BV625" s="90"/>
      <c r="BW625" s="90"/>
      <c r="BX625" s="90"/>
      <c r="BY625" s="90"/>
    </row>
    <row r="626" spans="1:77" ht="15.75" customHeight="1" thickBot="1" x14ac:dyDescent="0.3">
      <c r="A626" s="89"/>
      <c r="B626" s="89"/>
      <c r="C626" s="78"/>
      <c r="D626" s="78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352"/>
      <c r="AA626" s="352"/>
      <c r="AB626" s="352"/>
      <c r="AC626" s="352"/>
      <c r="AD626" s="352"/>
      <c r="AE626" s="352"/>
      <c r="AF626" s="352"/>
      <c r="AG626" s="91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  <c r="BB626" s="90"/>
      <c r="BC626" s="90"/>
      <c r="BD626" s="90"/>
      <c r="BE626" s="90"/>
      <c r="BF626" s="90"/>
      <c r="BG626" s="90"/>
      <c r="BH626" s="90"/>
      <c r="BI626" s="90"/>
      <c r="BJ626" s="90"/>
      <c r="BK626" s="90"/>
      <c r="BL626" s="90"/>
      <c r="BM626" s="90"/>
      <c r="BN626" s="90"/>
      <c r="BO626" s="90"/>
      <c r="BP626" s="90"/>
      <c r="BQ626" s="90"/>
      <c r="BR626" s="90"/>
      <c r="BS626" s="90"/>
      <c r="BT626" s="90"/>
      <c r="BU626" s="90"/>
      <c r="BV626" s="90"/>
      <c r="BW626" s="90"/>
      <c r="BX626" s="90"/>
      <c r="BY626" s="90"/>
    </row>
    <row r="627" spans="1:77" ht="15.75" customHeight="1" thickBot="1" x14ac:dyDescent="0.3">
      <c r="A627" s="89"/>
      <c r="B627" s="89"/>
      <c r="C627" s="78"/>
      <c r="D627" s="78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352"/>
      <c r="AA627" s="352"/>
      <c r="AB627" s="352"/>
      <c r="AC627" s="352"/>
      <c r="AD627" s="352"/>
      <c r="AE627" s="352"/>
      <c r="AF627" s="352"/>
      <c r="AG627" s="91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  <c r="BB627" s="90"/>
      <c r="BC627" s="90"/>
      <c r="BD627" s="90"/>
      <c r="BE627" s="90"/>
      <c r="BF627" s="90"/>
      <c r="BG627" s="90"/>
      <c r="BH627" s="90"/>
      <c r="BI627" s="90"/>
      <c r="BJ627" s="90"/>
      <c r="BK627" s="90"/>
      <c r="BL627" s="90"/>
      <c r="BM627" s="90"/>
      <c r="BN627" s="90"/>
      <c r="BO627" s="90"/>
      <c r="BP627" s="90"/>
      <c r="BQ627" s="90"/>
      <c r="BR627" s="90"/>
      <c r="BS627" s="90"/>
      <c r="BT627" s="90"/>
      <c r="BU627" s="90"/>
      <c r="BV627" s="90"/>
      <c r="BW627" s="90"/>
      <c r="BX627" s="90"/>
      <c r="BY627" s="90"/>
    </row>
    <row r="628" spans="1:77" ht="15.75" customHeight="1" thickBot="1" x14ac:dyDescent="0.3">
      <c r="A628" s="89"/>
      <c r="B628" s="89"/>
      <c r="C628" s="78"/>
      <c r="D628" s="78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352"/>
      <c r="AA628" s="352"/>
      <c r="AB628" s="352"/>
      <c r="AC628" s="352"/>
      <c r="AD628" s="352"/>
      <c r="AE628" s="352"/>
      <c r="AF628" s="352"/>
      <c r="AG628" s="91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  <c r="BA628" s="90"/>
      <c r="BB628" s="90"/>
      <c r="BC628" s="90"/>
      <c r="BD628" s="90"/>
      <c r="BE628" s="90"/>
      <c r="BF628" s="90"/>
      <c r="BG628" s="90"/>
      <c r="BH628" s="90"/>
      <c r="BI628" s="90"/>
      <c r="BJ628" s="90"/>
      <c r="BK628" s="90"/>
      <c r="BL628" s="90"/>
      <c r="BM628" s="90"/>
      <c r="BN628" s="90"/>
      <c r="BO628" s="90"/>
      <c r="BP628" s="90"/>
      <c r="BQ628" s="90"/>
      <c r="BR628" s="90"/>
      <c r="BS628" s="90"/>
      <c r="BT628" s="90"/>
      <c r="BU628" s="90"/>
      <c r="BV628" s="90"/>
      <c r="BW628" s="90"/>
      <c r="BX628" s="90"/>
      <c r="BY628" s="90"/>
    </row>
    <row r="629" spans="1:77" ht="15.75" customHeight="1" thickBot="1" x14ac:dyDescent="0.3">
      <c r="A629" s="89"/>
      <c r="B629" s="89"/>
      <c r="C629" s="78"/>
      <c r="D629" s="78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352"/>
      <c r="AA629" s="352"/>
      <c r="AB629" s="352"/>
      <c r="AC629" s="352"/>
      <c r="AD629" s="352"/>
      <c r="AE629" s="352"/>
      <c r="AF629" s="352"/>
      <c r="AG629" s="91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  <c r="BA629" s="90"/>
      <c r="BB629" s="90"/>
      <c r="BC629" s="90"/>
      <c r="BD629" s="90"/>
      <c r="BE629" s="90"/>
      <c r="BF629" s="90"/>
      <c r="BG629" s="90"/>
      <c r="BH629" s="90"/>
      <c r="BI629" s="90"/>
      <c r="BJ629" s="90"/>
      <c r="BK629" s="90"/>
      <c r="BL629" s="90"/>
      <c r="BM629" s="90"/>
      <c r="BN629" s="90"/>
      <c r="BO629" s="90"/>
      <c r="BP629" s="90"/>
      <c r="BQ629" s="90"/>
      <c r="BR629" s="90"/>
      <c r="BS629" s="90"/>
      <c r="BT629" s="90"/>
      <c r="BU629" s="90"/>
      <c r="BV629" s="90"/>
      <c r="BW629" s="90"/>
      <c r="BX629" s="90"/>
      <c r="BY629" s="90"/>
    </row>
    <row r="630" spans="1:77" ht="15.75" customHeight="1" thickBot="1" x14ac:dyDescent="0.3">
      <c r="A630" s="89"/>
      <c r="B630" s="89"/>
      <c r="C630" s="78"/>
      <c r="D630" s="78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352"/>
      <c r="AA630" s="352"/>
      <c r="AB630" s="352"/>
      <c r="AC630" s="352"/>
      <c r="AD630" s="352"/>
      <c r="AE630" s="352"/>
      <c r="AF630" s="352"/>
      <c r="AG630" s="91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  <c r="BA630" s="90"/>
      <c r="BB630" s="90"/>
      <c r="BC630" s="90"/>
      <c r="BD630" s="90"/>
      <c r="BE630" s="90"/>
      <c r="BF630" s="90"/>
      <c r="BG630" s="90"/>
      <c r="BH630" s="90"/>
      <c r="BI630" s="90"/>
      <c r="BJ630" s="90"/>
      <c r="BK630" s="90"/>
      <c r="BL630" s="90"/>
      <c r="BM630" s="90"/>
      <c r="BN630" s="90"/>
      <c r="BO630" s="90"/>
      <c r="BP630" s="90"/>
      <c r="BQ630" s="90"/>
      <c r="BR630" s="90"/>
      <c r="BS630" s="90"/>
      <c r="BT630" s="90"/>
      <c r="BU630" s="90"/>
      <c r="BV630" s="90"/>
      <c r="BW630" s="90"/>
      <c r="BX630" s="90"/>
      <c r="BY630" s="90"/>
    </row>
    <row r="631" spans="1:77" ht="15.75" customHeight="1" thickBot="1" x14ac:dyDescent="0.3">
      <c r="A631" s="89"/>
      <c r="B631" s="89"/>
      <c r="C631" s="78"/>
      <c r="D631" s="78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352"/>
      <c r="AA631" s="352"/>
      <c r="AB631" s="352"/>
      <c r="AC631" s="352"/>
      <c r="AD631" s="352"/>
      <c r="AE631" s="352"/>
      <c r="AF631" s="352"/>
      <c r="AG631" s="91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  <c r="BA631" s="90"/>
      <c r="BB631" s="90"/>
      <c r="BC631" s="90"/>
      <c r="BD631" s="90"/>
      <c r="BE631" s="90"/>
      <c r="BF631" s="90"/>
      <c r="BG631" s="90"/>
      <c r="BH631" s="90"/>
      <c r="BI631" s="90"/>
      <c r="BJ631" s="90"/>
      <c r="BK631" s="90"/>
      <c r="BL631" s="90"/>
      <c r="BM631" s="90"/>
      <c r="BN631" s="90"/>
      <c r="BO631" s="90"/>
      <c r="BP631" s="90"/>
      <c r="BQ631" s="90"/>
      <c r="BR631" s="90"/>
      <c r="BS631" s="90"/>
      <c r="BT631" s="90"/>
      <c r="BU631" s="90"/>
      <c r="BV631" s="90"/>
      <c r="BW631" s="90"/>
      <c r="BX631" s="90"/>
      <c r="BY631" s="90"/>
    </row>
    <row r="632" spans="1:77" ht="15.75" customHeight="1" thickBot="1" x14ac:dyDescent="0.3">
      <c r="A632" s="89"/>
      <c r="B632" s="89"/>
      <c r="C632" s="78"/>
      <c r="D632" s="78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352"/>
      <c r="AA632" s="352"/>
      <c r="AB632" s="352"/>
      <c r="AC632" s="352"/>
      <c r="AD632" s="352"/>
      <c r="AE632" s="352"/>
      <c r="AF632" s="352"/>
      <c r="AG632" s="91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  <c r="BA632" s="90"/>
      <c r="BB632" s="90"/>
      <c r="BC632" s="90"/>
      <c r="BD632" s="90"/>
      <c r="BE632" s="90"/>
      <c r="BF632" s="90"/>
      <c r="BG632" s="90"/>
      <c r="BH632" s="90"/>
      <c r="BI632" s="90"/>
      <c r="BJ632" s="90"/>
      <c r="BK632" s="90"/>
      <c r="BL632" s="90"/>
      <c r="BM632" s="90"/>
      <c r="BN632" s="90"/>
      <c r="BO632" s="90"/>
      <c r="BP632" s="90"/>
      <c r="BQ632" s="90"/>
      <c r="BR632" s="90"/>
      <c r="BS632" s="90"/>
      <c r="BT632" s="90"/>
      <c r="BU632" s="90"/>
      <c r="BV632" s="90"/>
      <c r="BW632" s="90"/>
      <c r="BX632" s="90"/>
      <c r="BY632" s="90"/>
    </row>
    <row r="633" spans="1:77" ht="15.75" customHeight="1" thickBot="1" x14ac:dyDescent="0.3">
      <c r="A633" s="89"/>
      <c r="B633" s="89"/>
      <c r="C633" s="78"/>
      <c r="D633" s="78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352"/>
      <c r="AA633" s="352"/>
      <c r="AB633" s="352"/>
      <c r="AC633" s="352"/>
      <c r="AD633" s="352"/>
      <c r="AE633" s="352"/>
      <c r="AF633" s="352"/>
      <c r="AG633" s="91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  <c r="BA633" s="90"/>
      <c r="BB633" s="90"/>
      <c r="BC633" s="90"/>
      <c r="BD633" s="90"/>
      <c r="BE633" s="90"/>
      <c r="BF633" s="90"/>
      <c r="BG633" s="90"/>
      <c r="BH633" s="90"/>
      <c r="BI633" s="90"/>
      <c r="BJ633" s="90"/>
      <c r="BK633" s="90"/>
      <c r="BL633" s="90"/>
      <c r="BM633" s="90"/>
      <c r="BN633" s="90"/>
      <c r="BO633" s="90"/>
      <c r="BP633" s="90"/>
      <c r="BQ633" s="90"/>
      <c r="BR633" s="90"/>
      <c r="BS633" s="90"/>
      <c r="BT633" s="90"/>
      <c r="BU633" s="90"/>
      <c r="BV633" s="90"/>
      <c r="BW633" s="90"/>
      <c r="BX633" s="90"/>
      <c r="BY633" s="90"/>
    </row>
    <row r="634" spans="1:77" ht="15.75" customHeight="1" thickBot="1" x14ac:dyDescent="0.3">
      <c r="A634" s="89"/>
      <c r="B634" s="89"/>
      <c r="C634" s="78"/>
      <c r="D634" s="78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352"/>
      <c r="AA634" s="352"/>
      <c r="AB634" s="352"/>
      <c r="AC634" s="352"/>
      <c r="AD634" s="352"/>
      <c r="AE634" s="352"/>
      <c r="AF634" s="352"/>
      <c r="AG634" s="91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  <c r="BA634" s="90"/>
      <c r="BB634" s="90"/>
      <c r="BC634" s="90"/>
      <c r="BD634" s="90"/>
      <c r="BE634" s="90"/>
      <c r="BF634" s="90"/>
      <c r="BG634" s="90"/>
      <c r="BH634" s="90"/>
      <c r="BI634" s="90"/>
      <c r="BJ634" s="90"/>
      <c r="BK634" s="90"/>
      <c r="BL634" s="90"/>
      <c r="BM634" s="90"/>
      <c r="BN634" s="90"/>
      <c r="BO634" s="90"/>
      <c r="BP634" s="90"/>
      <c r="BQ634" s="90"/>
      <c r="BR634" s="90"/>
      <c r="BS634" s="90"/>
      <c r="BT634" s="90"/>
      <c r="BU634" s="90"/>
      <c r="BV634" s="90"/>
      <c r="BW634" s="90"/>
      <c r="BX634" s="90"/>
      <c r="BY634" s="90"/>
    </row>
    <row r="635" spans="1:77" ht="15.75" customHeight="1" thickBot="1" x14ac:dyDescent="0.3">
      <c r="A635" s="89"/>
      <c r="B635" s="89"/>
      <c r="C635" s="78"/>
      <c r="D635" s="78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352"/>
      <c r="AA635" s="352"/>
      <c r="AB635" s="352"/>
      <c r="AC635" s="352"/>
      <c r="AD635" s="352"/>
      <c r="AE635" s="352"/>
      <c r="AF635" s="352"/>
      <c r="AG635" s="91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  <c r="BA635" s="90"/>
      <c r="BB635" s="90"/>
      <c r="BC635" s="90"/>
      <c r="BD635" s="90"/>
      <c r="BE635" s="90"/>
      <c r="BF635" s="90"/>
      <c r="BG635" s="90"/>
      <c r="BH635" s="90"/>
      <c r="BI635" s="90"/>
      <c r="BJ635" s="90"/>
      <c r="BK635" s="90"/>
      <c r="BL635" s="90"/>
      <c r="BM635" s="90"/>
      <c r="BN635" s="90"/>
      <c r="BO635" s="90"/>
      <c r="BP635" s="90"/>
      <c r="BQ635" s="90"/>
      <c r="BR635" s="90"/>
      <c r="BS635" s="90"/>
      <c r="BT635" s="90"/>
      <c r="BU635" s="90"/>
      <c r="BV635" s="90"/>
      <c r="BW635" s="90"/>
      <c r="BX635" s="90"/>
      <c r="BY635" s="90"/>
    </row>
    <row r="636" spans="1:77" ht="15.75" customHeight="1" thickBot="1" x14ac:dyDescent="0.3">
      <c r="A636" s="89"/>
      <c r="B636" s="89"/>
      <c r="C636" s="78"/>
      <c r="D636" s="78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352"/>
      <c r="AA636" s="352"/>
      <c r="AB636" s="352"/>
      <c r="AC636" s="352"/>
      <c r="AD636" s="352"/>
      <c r="AE636" s="352"/>
      <c r="AF636" s="352"/>
      <c r="AG636" s="91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  <c r="BA636" s="90"/>
      <c r="BB636" s="90"/>
      <c r="BC636" s="90"/>
      <c r="BD636" s="90"/>
      <c r="BE636" s="90"/>
      <c r="BF636" s="90"/>
      <c r="BG636" s="90"/>
      <c r="BH636" s="90"/>
      <c r="BI636" s="90"/>
      <c r="BJ636" s="90"/>
      <c r="BK636" s="90"/>
      <c r="BL636" s="90"/>
      <c r="BM636" s="90"/>
      <c r="BN636" s="90"/>
      <c r="BO636" s="90"/>
      <c r="BP636" s="90"/>
      <c r="BQ636" s="90"/>
      <c r="BR636" s="90"/>
      <c r="BS636" s="90"/>
      <c r="BT636" s="90"/>
      <c r="BU636" s="90"/>
      <c r="BV636" s="90"/>
      <c r="BW636" s="90"/>
      <c r="BX636" s="90"/>
      <c r="BY636" s="90"/>
    </row>
    <row r="637" spans="1:77" ht="15.75" customHeight="1" thickBot="1" x14ac:dyDescent="0.3">
      <c r="A637" s="89"/>
      <c r="B637" s="89"/>
      <c r="C637" s="78"/>
      <c r="D637" s="78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352"/>
      <c r="AA637" s="352"/>
      <c r="AB637" s="352"/>
      <c r="AC637" s="352"/>
      <c r="AD637" s="352"/>
      <c r="AE637" s="352"/>
      <c r="AF637" s="352"/>
      <c r="AG637" s="91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  <c r="BA637" s="90"/>
      <c r="BB637" s="90"/>
      <c r="BC637" s="90"/>
      <c r="BD637" s="90"/>
      <c r="BE637" s="90"/>
      <c r="BF637" s="90"/>
      <c r="BG637" s="90"/>
      <c r="BH637" s="90"/>
      <c r="BI637" s="90"/>
      <c r="BJ637" s="90"/>
      <c r="BK637" s="90"/>
      <c r="BL637" s="90"/>
      <c r="BM637" s="90"/>
      <c r="BN637" s="90"/>
      <c r="BO637" s="90"/>
      <c r="BP637" s="90"/>
      <c r="BQ637" s="90"/>
      <c r="BR637" s="90"/>
      <c r="BS637" s="90"/>
      <c r="BT637" s="90"/>
      <c r="BU637" s="90"/>
      <c r="BV637" s="90"/>
      <c r="BW637" s="90"/>
      <c r="BX637" s="90"/>
      <c r="BY637" s="90"/>
    </row>
    <row r="638" spans="1:77" ht="15.75" customHeight="1" thickBot="1" x14ac:dyDescent="0.3">
      <c r="A638" s="89"/>
      <c r="B638" s="89"/>
      <c r="C638" s="78"/>
      <c r="D638" s="78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352"/>
      <c r="AA638" s="352"/>
      <c r="AB638" s="352"/>
      <c r="AC638" s="352"/>
      <c r="AD638" s="352"/>
      <c r="AE638" s="352"/>
      <c r="AF638" s="352"/>
      <c r="AG638" s="91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  <c r="BA638" s="90"/>
      <c r="BB638" s="90"/>
      <c r="BC638" s="90"/>
      <c r="BD638" s="90"/>
      <c r="BE638" s="90"/>
      <c r="BF638" s="90"/>
      <c r="BG638" s="90"/>
      <c r="BH638" s="90"/>
      <c r="BI638" s="90"/>
      <c r="BJ638" s="90"/>
      <c r="BK638" s="90"/>
      <c r="BL638" s="90"/>
      <c r="BM638" s="90"/>
      <c r="BN638" s="90"/>
      <c r="BO638" s="90"/>
      <c r="BP638" s="90"/>
      <c r="BQ638" s="90"/>
      <c r="BR638" s="90"/>
      <c r="BS638" s="90"/>
      <c r="BT638" s="90"/>
      <c r="BU638" s="90"/>
      <c r="BV638" s="90"/>
      <c r="BW638" s="90"/>
      <c r="BX638" s="90"/>
      <c r="BY638" s="90"/>
    </row>
    <row r="639" spans="1:77" ht="15.75" customHeight="1" thickBot="1" x14ac:dyDescent="0.3">
      <c r="A639" s="89"/>
      <c r="B639" s="89"/>
      <c r="C639" s="78"/>
      <c r="D639" s="78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352"/>
      <c r="AA639" s="352"/>
      <c r="AB639" s="352"/>
      <c r="AC639" s="352"/>
      <c r="AD639" s="352"/>
      <c r="AE639" s="352"/>
      <c r="AF639" s="352"/>
      <c r="AG639" s="91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  <c r="BA639" s="90"/>
      <c r="BB639" s="90"/>
      <c r="BC639" s="90"/>
      <c r="BD639" s="90"/>
      <c r="BE639" s="90"/>
      <c r="BF639" s="90"/>
      <c r="BG639" s="90"/>
      <c r="BH639" s="90"/>
      <c r="BI639" s="90"/>
      <c r="BJ639" s="90"/>
      <c r="BK639" s="90"/>
      <c r="BL639" s="90"/>
      <c r="BM639" s="90"/>
      <c r="BN639" s="90"/>
      <c r="BO639" s="90"/>
      <c r="BP639" s="90"/>
      <c r="BQ639" s="90"/>
      <c r="BR639" s="90"/>
      <c r="BS639" s="90"/>
      <c r="BT639" s="90"/>
      <c r="BU639" s="90"/>
      <c r="BV639" s="90"/>
      <c r="BW639" s="90"/>
      <c r="BX639" s="90"/>
      <c r="BY639" s="90"/>
    </row>
    <row r="640" spans="1:77" ht="15.75" customHeight="1" thickBot="1" x14ac:dyDescent="0.3">
      <c r="A640" s="89"/>
      <c r="B640" s="89"/>
      <c r="C640" s="78"/>
      <c r="D640" s="78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352"/>
      <c r="AA640" s="352"/>
      <c r="AB640" s="352"/>
      <c r="AC640" s="352"/>
      <c r="AD640" s="352"/>
      <c r="AE640" s="352"/>
      <c r="AF640" s="352"/>
      <c r="AG640" s="91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  <c r="BB640" s="90"/>
      <c r="BC640" s="90"/>
      <c r="BD640" s="90"/>
      <c r="BE640" s="90"/>
      <c r="BF640" s="90"/>
      <c r="BG640" s="90"/>
      <c r="BH640" s="90"/>
      <c r="BI640" s="90"/>
      <c r="BJ640" s="90"/>
      <c r="BK640" s="90"/>
      <c r="BL640" s="90"/>
      <c r="BM640" s="90"/>
      <c r="BN640" s="90"/>
      <c r="BO640" s="90"/>
      <c r="BP640" s="90"/>
      <c r="BQ640" s="90"/>
      <c r="BR640" s="90"/>
      <c r="BS640" s="90"/>
      <c r="BT640" s="90"/>
      <c r="BU640" s="90"/>
      <c r="BV640" s="90"/>
      <c r="BW640" s="90"/>
      <c r="BX640" s="90"/>
      <c r="BY640" s="90"/>
    </row>
    <row r="641" spans="1:77" ht="15.75" customHeight="1" thickBot="1" x14ac:dyDescent="0.3">
      <c r="A641" s="89"/>
      <c r="B641" s="89"/>
      <c r="C641" s="78"/>
      <c r="D641" s="78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352"/>
      <c r="AA641" s="352"/>
      <c r="AB641" s="352"/>
      <c r="AC641" s="352"/>
      <c r="AD641" s="352"/>
      <c r="AE641" s="352"/>
      <c r="AF641" s="352"/>
      <c r="AG641" s="91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  <c r="BB641" s="90"/>
      <c r="BC641" s="90"/>
      <c r="BD641" s="90"/>
      <c r="BE641" s="90"/>
      <c r="BF641" s="90"/>
      <c r="BG641" s="90"/>
      <c r="BH641" s="90"/>
      <c r="BI641" s="90"/>
      <c r="BJ641" s="90"/>
      <c r="BK641" s="90"/>
      <c r="BL641" s="90"/>
      <c r="BM641" s="90"/>
      <c r="BN641" s="90"/>
      <c r="BO641" s="90"/>
      <c r="BP641" s="90"/>
      <c r="BQ641" s="90"/>
      <c r="BR641" s="90"/>
      <c r="BS641" s="90"/>
      <c r="BT641" s="90"/>
      <c r="BU641" s="90"/>
      <c r="BV641" s="90"/>
      <c r="BW641" s="90"/>
      <c r="BX641" s="90"/>
      <c r="BY641" s="90"/>
    </row>
    <row r="642" spans="1:77" ht="15.75" customHeight="1" thickBot="1" x14ac:dyDescent="0.3">
      <c r="A642" s="89"/>
      <c r="B642" s="89"/>
      <c r="C642" s="78"/>
      <c r="D642" s="78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352"/>
      <c r="AA642" s="352"/>
      <c r="AB642" s="352"/>
      <c r="AC642" s="352"/>
      <c r="AD642" s="352"/>
      <c r="AE642" s="352"/>
      <c r="AF642" s="352"/>
      <c r="AG642" s="91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  <c r="BB642" s="90"/>
      <c r="BC642" s="90"/>
      <c r="BD642" s="90"/>
      <c r="BE642" s="90"/>
      <c r="BF642" s="90"/>
      <c r="BG642" s="90"/>
      <c r="BH642" s="90"/>
      <c r="BI642" s="90"/>
      <c r="BJ642" s="90"/>
      <c r="BK642" s="90"/>
      <c r="BL642" s="90"/>
      <c r="BM642" s="90"/>
      <c r="BN642" s="90"/>
      <c r="BO642" s="90"/>
      <c r="BP642" s="90"/>
      <c r="BQ642" s="90"/>
      <c r="BR642" s="90"/>
      <c r="BS642" s="90"/>
      <c r="BT642" s="90"/>
      <c r="BU642" s="90"/>
      <c r="BV642" s="90"/>
      <c r="BW642" s="90"/>
      <c r="BX642" s="90"/>
      <c r="BY642" s="90"/>
    </row>
    <row r="643" spans="1:77" ht="15.75" customHeight="1" thickBot="1" x14ac:dyDescent="0.3">
      <c r="A643" s="89"/>
      <c r="B643" s="89"/>
      <c r="C643" s="78"/>
      <c r="D643" s="78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352"/>
      <c r="AA643" s="352"/>
      <c r="AB643" s="352"/>
      <c r="AC643" s="352"/>
      <c r="AD643" s="352"/>
      <c r="AE643" s="352"/>
      <c r="AF643" s="352"/>
      <c r="AG643" s="91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  <c r="BB643" s="90"/>
      <c r="BC643" s="90"/>
      <c r="BD643" s="90"/>
      <c r="BE643" s="90"/>
      <c r="BF643" s="90"/>
      <c r="BG643" s="90"/>
      <c r="BH643" s="90"/>
      <c r="BI643" s="90"/>
      <c r="BJ643" s="90"/>
      <c r="BK643" s="90"/>
      <c r="BL643" s="90"/>
      <c r="BM643" s="90"/>
      <c r="BN643" s="90"/>
      <c r="BO643" s="90"/>
      <c r="BP643" s="90"/>
      <c r="BQ643" s="90"/>
      <c r="BR643" s="90"/>
      <c r="BS643" s="90"/>
      <c r="BT643" s="90"/>
      <c r="BU643" s="90"/>
      <c r="BV643" s="90"/>
      <c r="BW643" s="90"/>
      <c r="BX643" s="90"/>
      <c r="BY643" s="90"/>
    </row>
    <row r="644" spans="1:77" ht="15.75" customHeight="1" thickBot="1" x14ac:dyDescent="0.3">
      <c r="A644" s="89"/>
      <c r="B644" s="89"/>
      <c r="C644" s="78"/>
      <c r="D644" s="78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352"/>
      <c r="AA644" s="352"/>
      <c r="AB644" s="352"/>
      <c r="AC644" s="352"/>
      <c r="AD644" s="352"/>
      <c r="AE644" s="352"/>
      <c r="AF644" s="352"/>
      <c r="AG644" s="91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  <c r="BB644" s="90"/>
      <c r="BC644" s="90"/>
      <c r="BD644" s="90"/>
      <c r="BE644" s="90"/>
      <c r="BF644" s="90"/>
      <c r="BG644" s="90"/>
      <c r="BH644" s="90"/>
      <c r="BI644" s="90"/>
      <c r="BJ644" s="90"/>
      <c r="BK644" s="90"/>
      <c r="BL644" s="90"/>
      <c r="BM644" s="90"/>
      <c r="BN644" s="90"/>
      <c r="BO644" s="90"/>
      <c r="BP644" s="90"/>
      <c r="BQ644" s="90"/>
      <c r="BR644" s="90"/>
      <c r="BS644" s="90"/>
      <c r="BT644" s="90"/>
      <c r="BU644" s="90"/>
      <c r="BV644" s="90"/>
      <c r="BW644" s="90"/>
      <c r="BX644" s="90"/>
      <c r="BY644" s="90"/>
    </row>
    <row r="645" spans="1:77" ht="15.75" customHeight="1" thickBot="1" x14ac:dyDescent="0.3">
      <c r="A645" s="89"/>
      <c r="B645" s="89"/>
      <c r="C645" s="78"/>
      <c r="D645" s="78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352"/>
      <c r="AA645" s="352"/>
      <c r="AB645" s="352"/>
      <c r="AC645" s="352"/>
      <c r="AD645" s="352"/>
      <c r="AE645" s="352"/>
      <c r="AF645" s="352"/>
      <c r="AG645" s="91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  <c r="BB645" s="90"/>
      <c r="BC645" s="90"/>
      <c r="BD645" s="90"/>
      <c r="BE645" s="90"/>
      <c r="BF645" s="90"/>
      <c r="BG645" s="90"/>
      <c r="BH645" s="90"/>
      <c r="BI645" s="90"/>
      <c r="BJ645" s="90"/>
      <c r="BK645" s="90"/>
      <c r="BL645" s="90"/>
      <c r="BM645" s="90"/>
      <c r="BN645" s="90"/>
      <c r="BO645" s="90"/>
      <c r="BP645" s="90"/>
      <c r="BQ645" s="90"/>
      <c r="BR645" s="90"/>
      <c r="BS645" s="90"/>
      <c r="BT645" s="90"/>
      <c r="BU645" s="90"/>
      <c r="BV645" s="90"/>
      <c r="BW645" s="90"/>
      <c r="BX645" s="90"/>
      <c r="BY645" s="90"/>
    </row>
    <row r="646" spans="1:77" ht="15.75" customHeight="1" thickBot="1" x14ac:dyDescent="0.3">
      <c r="A646" s="89"/>
      <c r="B646" s="89"/>
      <c r="C646" s="78"/>
      <c r="D646" s="78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352"/>
      <c r="AA646" s="352"/>
      <c r="AB646" s="352"/>
      <c r="AC646" s="352"/>
      <c r="AD646" s="352"/>
      <c r="AE646" s="352"/>
      <c r="AF646" s="352"/>
      <c r="AG646" s="91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  <c r="BB646" s="90"/>
      <c r="BC646" s="90"/>
      <c r="BD646" s="90"/>
      <c r="BE646" s="90"/>
      <c r="BF646" s="90"/>
      <c r="BG646" s="90"/>
      <c r="BH646" s="90"/>
      <c r="BI646" s="90"/>
      <c r="BJ646" s="90"/>
      <c r="BK646" s="90"/>
      <c r="BL646" s="90"/>
      <c r="BM646" s="90"/>
      <c r="BN646" s="90"/>
      <c r="BO646" s="90"/>
      <c r="BP646" s="90"/>
      <c r="BQ646" s="90"/>
      <c r="BR646" s="90"/>
      <c r="BS646" s="90"/>
      <c r="BT646" s="90"/>
      <c r="BU646" s="90"/>
      <c r="BV646" s="90"/>
      <c r="BW646" s="90"/>
      <c r="BX646" s="90"/>
      <c r="BY646" s="90"/>
    </row>
    <row r="647" spans="1:77" ht="15.75" customHeight="1" thickBot="1" x14ac:dyDescent="0.3">
      <c r="A647" s="89"/>
      <c r="B647" s="89"/>
      <c r="C647" s="78"/>
      <c r="D647" s="78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352"/>
      <c r="AA647" s="352"/>
      <c r="AB647" s="352"/>
      <c r="AC647" s="352"/>
      <c r="AD647" s="352"/>
      <c r="AE647" s="352"/>
      <c r="AF647" s="352"/>
      <c r="AG647" s="91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90"/>
      <c r="BC647" s="90"/>
      <c r="BD647" s="90"/>
      <c r="BE647" s="90"/>
      <c r="BF647" s="90"/>
      <c r="BG647" s="90"/>
      <c r="BH647" s="90"/>
      <c r="BI647" s="90"/>
      <c r="BJ647" s="90"/>
      <c r="BK647" s="90"/>
      <c r="BL647" s="90"/>
      <c r="BM647" s="90"/>
      <c r="BN647" s="90"/>
      <c r="BO647" s="90"/>
      <c r="BP647" s="90"/>
      <c r="BQ647" s="90"/>
      <c r="BR647" s="90"/>
      <c r="BS647" s="90"/>
      <c r="BT647" s="90"/>
      <c r="BU647" s="90"/>
      <c r="BV647" s="90"/>
      <c r="BW647" s="90"/>
      <c r="BX647" s="90"/>
      <c r="BY647" s="90"/>
    </row>
    <row r="648" spans="1:77" ht="15.75" customHeight="1" thickBot="1" x14ac:dyDescent="0.3">
      <c r="A648" s="89"/>
      <c r="B648" s="89"/>
      <c r="C648" s="78"/>
      <c r="D648" s="78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352"/>
      <c r="AA648" s="352"/>
      <c r="AB648" s="352"/>
      <c r="AC648" s="352"/>
      <c r="AD648" s="352"/>
      <c r="AE648" s="352"/>
      <c r="AF648" s="352"/>
      <c r="AG648" s="91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90"/>
      <c r="BC648" s="90"/>
      <c r="BD648" s="90"/>
      <c r="BE648" s="90"/>
      <c r="BF648" s="90"/>
      <c r="BG648" s="90"/>
      <c r="BH648" s="90"/>
      <c r="BI648" s="90"/>
      <c r="BJ648" s="90"/>
      <c r="BK648" s="90"/>
      <c r="BL648" s="90"/>
      <c r="BM648" s="90"/>
      <c r="BN648" s="90"/>
      <c r="BO648" s="90"/>
      <c r="BP648" s="90"/>
      <c r="BQ648" s="90"/>
      <c r="BR648" s="90"/>
      <c r="BS648" s="90"/>
      <c r="BT648" s="90"/>
      <c r="BU648" s="90"/>
      <c r="BV648" s="90"/>
      <c r="BW648" s="90"/>
      <c r="BX648" s="90"/>
      <c r="BY648" s="90"/>
    </row>
    <row r="649" spans="1:77" ht="15.75" customHeight="1" thickBot="1" x14ac:dyDescent="0.3">
      <c r="A649" s="89"/>
      <c r="B649" s="89"/>
      <c r="C649" s="78"/>
      <c r="D649" s="78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352"/>
      <c r="AA649" s="352"/>
      <c r="AB649" s="352"/>
      <c r="AC649" s="352"/>
      <c r="AD649" s="352"/>
      <c r="AE649" s="352"/>
      <c r="AF649" s="352"/>
      <c r="AG649" s="91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90"/>
      <c r="BC649" s="90"/>
      <c r="BD649" s="90"/>
      <c r="BE649" s="90"/>
      <c r="BF649" s="90"/>
      <c r="BG649" s="90"/>
      <c r="BH649" s="90"/>
      <c r="BI649" s="90"/>
      <c r="BJ649" s="90"/>
      <c r="BK649" s="90"/>
      <c r="BL649" s="90"/>
      <c r="BM649" s="90"/>
      <c r="BN649" s="90"/>
      <c r="BO649" s="90"/>
      <c r="BP649" s="90"/>
      <c r="BQ649" s="90"/>
      <c r="BR649" s="90"/>
      <c r="BS649" s="90"/>
      <c r="BT649" s="90"/>
      <c r="BU649" s="90"/>
      <c r="BV649" s="90"/>
      <c r="BW649" s="90"/>
      <c r="BX649" s="90"/>
      <c r="BY649" s="90"/>
    </row>
    <row r="650" spans="1:77" ht="15.75" customHeight="1" thickBot="1" x14ac:dyDescent="0.3">
      <c r="A650" s="89"/>
      <c r="B650" s="89"/>
      <c r="C650" s="78"/>
      <c r="D650" s="78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352"/>
      <c r="AA650" s="352"/>
      <c r="AB650" s="352"/>
      <c r="AC650" s="352"/>
      <c r="AD650" s="352"/>
      <c r="AE650" s="352"/>
      <c r="AF650" s="352"/>
      <c r="AG650" s="91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  <c r="BB650" s="90"/>
      <c r="BC650" s="90"/>
      <c r="BD650" s="90"/>
      <c r="BE650" s="90"/>
      <c r="BF650" s="90"/>
      <c r="BG650" s="90"/>
      <c r="BH650" s="90"/>
      <c r="BI650" s="90"/>
      <c r="BJ650" s="90"/>
      <c r="BK650" s="90"/>
      <c r="BL650" s="90"/>
      <c r="BM650" s="90"/>
      <c r="BN650" s="90"/>
      <c r="BO650" s="90"/>
      <c r="BP650" s="90"/>
      <c r="BQ650" s="90"/>
      <c r="BR650" s="90"/>
      <c r="BS650" s="90"/>
      <c r="BT650" s="90"/>
      <c r="BU650" s="90"/>
      <c r="BV650" s="90"/>
      <c r="BW650" s="90"/>
      <c r="BX650" s="90"/>
      <c r="BY650" s="90"/>
    </row>
    <row r="651" spans="1:77" ht="15.75" customHeight="1" thickBot="1" x14ac:dyDescent="0.3">
      <c r="A651" s="89"/>
      <c r="B651" s="89"/>
      <c r="C651" s="78"/>
      <c r="D651" s="78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352"/>
      <c r="AA651" s="352"/>
      <c r="AB651" s="352"/>
      <c r="AC651" s="352"/>
      <c r="AD651" s="352"/>
      <c r="AE651" s="352"/>
      <c r="AF651" s="352"/>
      <c r="AG651" s="91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90"/>
      <c r="BC651" s="90"/>
      <c r="BD651" s="90"/>
      <c r="BE651" s="90"/>
      <c r="BF651" s="90"/>
      <c r="BG651" s="90"/>
      <c r="BH651" s="90"/>
      <c r="BI651" s="90"/>
      <c r="BJ651" s="90"/>
      <c r="BK651" s="90"/>
      <c r="BL651" s="90"/>
      <c r="BM651" s="90"/>
      <c r="BN651" s="90"/>
      <c r="BO651" s="90"/>
      <c r="BP651" s="90"/>
      <c r="BQ651" s="90"/>
      <c r="BR651" s="90"/>
      <c r="BS651" s="90"/>
      <c r="BT651" s="90"/>
      <c r="BU651" s="90"/>
      <c r="BV651" s="90"/>
      <c r="BW651" s="90"/>
      <c r="BX651" s="90"/>
      <c r="BY651" s="90"/>
    </row>
    <row r="652" spans="1:77" ht="15.75" customHeight="1" thickBot="1" x14ac:dyDescent="0.3">
      <c r="A652" s="89"/>
      <c r="B652" s="89"/>
      <c r="C652" s="78"/>
      <c r="D652" s="78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352"/>
      <c r="AA652" s="352"/>
      <c r="AB652" s="352"/>
      <c r="AC652" s="352"/>
      <c r="AD652" s="352"/>
      <c r="AE652" s="352"/>
      <c r="AF652" s="352"/>
      <c r="AG652" s="91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90"/>
      <c r="BC652" s="90"/>
      <c r="BD652" s="90"/>
      <c r="BE652" s="90"/>
      <c r="BF652" s="90"/>
      <c r="BG652" s="90"/>
      <c r="BH652" s="90"/>
      <c r="BI652" s="90"/>
      <c r="BJ652" s="90"/>
      <c r="BK652" s="90"/>
      <c r="BL652" s="90"/>
      <c r="BM652" s="90"/>
      <c r="BN652" s="90"/>
      <c r="BO652" s="90"/>
      <c r="BP652" s="90"/>
      <c r="BQ652" s="90"/>
      <c r="BR652" s="90"/>
      <c r="BS652" s="90"/>
      <c r="BT652" s="90"/>
      <c r="BU652" s="90"/>
      <c r="BV652" s="90"/>
      <c r="BW652" s="90"/>
      <c r="BX652" s="90"/>
      <c r="BY652" s="90"/>
    </row>
    <row r="653" spans="1:77" ht="15.75" customHeight="1" thickBot="1" x14ac:dyDescent="0.3">
      <c r="A653" s="89"/>
      <c r="B653" s="89"/>
      <c r="C653" s="78"/>
      <c r="D653" s="78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352"/>
      <c r="AA653" s="352"/>
      <c r="AB653" s="352"/>
      <c r="AC653" s="352"/>
      <c r="AD653" s="352"/>
      <c r="AE653" s="352"/>
      <c r="AF653" s="352"/>
      <c r="AG653" s="91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  <c r="BB653" s="90"/>
      <c r="BC653" s="90"/>
      <c r="BD653" s="90"/>
      <c r="BE653" s="90"/>
      <c r="BF653" s="90"/>
      <c r="BG653" s="90"/>
      <c r="BH653" s="90"/>
      <c r="BI653" s="90"/>
      <c r="BJ653" s="90"/>
      <c r="BK653" s="90"/>
      <c r="BL653" s="90"/>
      <c r="BM653" s="90"/>
      <c r="BN653" s="90"/>
      <c r="BO653" s="90"/>
      <c r="BP653" s="90"/>
      <c r="BQ653" s="90"/>
      <c r="BR653" s="90"/>
      <c r="BS653" s="90"/>
      <c r="BT653" s="90"/>
      <c r="BU653" s="90"/>
      <c r="BV653" s="90"/>
      <c r="BW653" s="90"/>
      <c r="BX653" s="90"/>
      <c r="BY653" s="90"/>
    </row>
    <row r="654" spans="1:77" ht="15.75" customHeight="1" thickBot="1" x14ac:dyDescent="0.3">
      <c r="A654" s="89"/>
      <c r="B654" s="89"/>
      <c r="C654" s="78"/>
      <c r="D654" s="78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352"/>
      <c r="AA654" s="352"/>
      <c r="AB654" s="352"/>
      <c r="AC654" s="352"/>
      <c r="AD654" s="352"/>
      <c r="AE654" s="352"/>
      <c r="AF654" s="352"/>
      <c r="AG654" s="91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90"/>
      <c r="BC654" s="90"/>
      <c r="BD654" s="90"/>
      <c r="BE654" s="90"/>
      <c r="BF654" s="90"/>
      <c r="BG654" s="90"/>
      <c r="BH654" s="90"/>
      <c r="BI654" s="90"/>
      <c r="BJ654" s="90"/>
      <c r="BK654" s="90"/>
      <c r="BL654" s="90"/>
      <c r="BM654" s="90"/>
      <c r="BN654" s="90"/>
      <c r="BO654" s="90"/>
      <c r="BP654" s="90"/>
      <c r="BQ654" s="90"/>
      <c r="BR654" s="90"/>
      <c r="BS654" s="90"/>
      <c r="BT654" s="90"/>
      <c r="BU654" s="90"/>
      <c r="BV654" s="90"/>
      <c r="BW654" s="90"/>
      <c r="BX654" s="90"/>
      <c r="BY654" s="90"/>
    </row>
    <row r="655" spans="1:77" ht="15.75" customHeight="1" thickBot="1" x14ac:dyDescent="0.3">
      <c r="A655" s="89"/>
      <c r="B655" s="89"/>
      <c r="C655" s="78"/>
      <c r="D655" s="78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352"/>
      <c r="AA655" s="352"/>
      <c r="AB655" s="352"/>
      <c r="AC655" s="352"/>
      <c r="AD655" s="352"/>
      <c r="AE655" s="352"/>
      <c r="AF655" s="352"/>
      <c r="AG655" s="91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  <c r="BB655" s="90"/>
      <c r="BC655" s="90"/>
      <c r="BD655" s="90"/>
      <c r="BE655" s="90"/>
      <c r="BF655" s="90"/>
      <c r="BG655" s="90"/>
      <c r="BH655" s="90"/>
      <c r="BI655" s="90"/>
      <c r="BJ655" s="90"/>
      <c r="BK655" s="90"/>
      <c r="BL655" s="90"/>
      <c r="BM655" s="90"/>
      <c r="BN655" s="90"/>
      <c r="BO655" s="90"/>
      <c r="BP655" s="90"/>
      <c r="BQ655" s="90"/>
      <c r="BR655" s="90"/>
      <c r="BS655" s="90"/>
      <c r="BT655" s="90"/>
      <c r="BU655" s="90"/>
      <c r="BV655" s="90"/>
      <c r="BW655" s="90"/>
      <c r="BX655" s="90"/>
      <c r="BY655" s="90"/>
    </row>
    <row r="656" spans="1:77" ht="15.75" customHeight="1" thickBot="1" x14ac:dyDescent="0.3">
      <c r="A656" s="89"/>
      <c r="B656" s="89"/>
      <c r="C656" s="78"/>
      <c r="D656" s="78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352"/>
      <c r="AA656" s="352"/>
      <c r="AB656" s="352"/>
      <c r="AC656" s="352"/>
      <c r="AD656" s="352"/>
      <c r="AE656" s="352"/>
      <c r="AF656" s="352"/>
      <c r="AG656" s="91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  <c r="BB656" s="90"/>
      <c r="BC656" s="90"/>
      <c r="BD656" s="90"/>
      <c r="BE656" s="90"/>
      <c r="BF656" s="90"/>
      <c r="BG656" s="90"/>
      <c r="BH656" s="90"/>
      <c r="BI656" s="90"/>
      <c r="BJ656" s="90"/>
      <c r="BK656" s="90"/>
      <c r="BL656" s="90"/>
      <c r="BM656" s="90"/>
      <c r="BN656" s="90"/>
      <c r="BO656" s="90"/>
      <c r="BP656" s="90"/>
      <c r="BQ656" s="90"/>
      <c r="BR656" s="90"/>
      <c r="BS656" s="90"/>
      <c r="BT656" s="90"/>
      <c r="BU656" s="90"/>
      <c r="BV656" s="90"/>
      <c r="BW656" s="90"/>
      <c r="BX656" s="90"/>
      <c r="BY656" s="90"/>
    </row>
    <row r="657" spans="1:77" ht="15.75" customHeight="1" thickBot="1" x14ac:dyDescent="0.3">
      <c r="A657" s="89"/>
      <c r="B657" s="89"/>
      <c r="C657" s="78"/>
      <c r="D657" s="78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352"/>
      <c r="AA657" s="352"/>
      <c r="AB657" s="352"/>
      <c r="AC657" s="352"/>
      <c r="AD657" s="352"/>
      <c r="AE657" s="352"/>
      <c r="AF657" s="352"/>
      <c r="AG657" s="91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0"/>
      <c r="BF657" s="90"/>
      <c r="BG657" s="90"/>
      <c r="BH657" s="90"/>
      <c r="BI657" s="90"/>
      <c r="BJ657" s="90"/>
      <c r="BK657" s="90"/>
      <c r="BL657" s="90"/>
      <c r="BM657" s="90"/>
      <c r="BN657" s="90"/>
      <c r="BO657" s="90"/>
      <c r="BP657" s="90"/>
      <c r="BQ657" s="90"/>
      <c r="BR657" s="90"/>
      <c r="BS657" s="90"/>
      <c r="BT657" s="90"/>
      <c r="BU657" s="90"/>
      <c r="BV657" s="90"/>
      <c r="BW657" s="90"/>
      <c r="BX657" s="90"/>
      <c r="BY657" s="90"/>
    </row>
    <row r="658" spans="1:77" ht="15.75" customHeight="1" thickBot="1" x14ac:dyDescent="0.3">
      <c r="A658" s="89"/>
      <c r="B658" s="89"/>
      <c r="C658" s="78"/>
      <c r="D658" s="78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352"/>
      <c r="AA658" s="352"/>
      <c r="AB658" s="352"/>
      <c r="AC658" s="352"/>
      <c r="AD658" s="352"/>
      <c r="AE658" s="352"/>
      <c r="AF658" s="352"/>
      <c r="AG658" s="91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0"/>
      <c r="BF658" s="90"/>
      <c r="BG658" s="90"/>
      <c r="BH658" s="90"/>
      <c r="BI658" s="90"/>
      <c r="BJ658" s="90"/>
      <c r="BK658" s="90"/>
      <c r="BL658" s="90"/>
      <c r="BM658" s="90"/>
      <c r="BN658" s="90"/>
      <c r="BO658" s="90"/>
      <c r="BP658" s="90"/>
      <c r="BQ658" s="90"/>
      <c r="BR658" s="90"/>
      <c r="BS658" s="90"/>
      <c r="BT658" s="90"/>
      <c r="BU658" s="90"/>
      <c r="BV658" s="90"/>
      <c r="BW658" s="90"/>
      <c r="BX658" s="90"/>
      <c r="BY658" s="90"/>
    </row>
    <row r="659" spans="1:77" ht="15.75" customHeight="1" thickBot="1" x14ac:dyDescent="0.3">
      <c r="A659" s="89"/>
      <c r="B659" s="89"/>
      <c r="C659" s="78"/>
      <c r="D659" s="78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352"/>
      <c r="AA659" s="352"/>
      <c r="AB659" s="352"/>
      <c r="AC659" s="352"/>
      <c r="AD659" s="352"/>
      <c r="AE659" s="352"/>
      <c r="AF659" s="352"/>
      <c r="AG659" s="91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  <c r="BF659" s="90"/>
      <c r="BG659" s="90"/>
      <c r="BH659" s="90"/>
      <c r="BI659" s="90"/>
      <c r="BJ659" s="90"/>
      <c r="BK659" s="90"/>
      <c r="BL659" s="90"/>
      <c r="BM659" s="90"/>
      <c r="BN659" s="90"/>
      <c r="BO659" s="90"/>
      <c r="BP659" s="90"/>
      <c r="BQ659" s="90"/>
      <c r="BR659" s="90"/>
      <c r="BS659" s="90"/>
      <c r="BT659" s="90"/>
      <c r="BU659" s="90"/>
      <c r="BV659" s="90"/>
      <c r="BW659" s="90"/>
      <c r="BX659" s="90"/>
      <c r="BY659" s="90"/>
    </row>
    <row r="660" spans="1:77" ht="15.75" customHeight="1" thickBot="1" x14ac:dyDescent="0.3">
      <c r="A660" s="89"/>
      <c r="B660" s="89"/>
      <c r="C660" s="78"/>
      <c r="D660" s="78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352"/>
      <c r="AA660" s="352"/>
      <c r="AB660" s="352"/>
      <c r="AC660" s="352"/>
      <c r="AD660" s="352"/>
      <c r="AE660" s="352"/>
      <c r="AF660" s="352"/>
      <c r="AG660" s="91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  <c r="BB660" s="90"/>
      <c r="BC660" s="90"/>
      <c r="BD660" s="90"/>
      <c r="BE660" s="90"/>
      <c r="BF660" s="90"/>
      <c r="BG660" s="90"/>
      <c r="BH660" s="90"/>
      <c r="BI660" s="90"/>
      <c r="BJ660" s="90"/>
      <c r="BK660" s="90"/>
      <c r="BL660" s="90"/>
      <c r="BM660" s="90"/>
      <c r="BN660" s="90"/>
      <c r="BO660" s="90"/>
      <c r="BP660" s="90"/>
      <c r="BQ660" s="90"/>
      <c r="BR660" s="90"/>
      <c r="BS660" s="90"/>
      <c r="BT660" s="90"/>
      <c r="BU660" s="90"/>
      <c r="BV660" s="90"/>
      <c r="BW660" s="90"/>
      <c r="BX660" s="90"/>
      <c r="BY660" s="90"/>
    </row>
    <row r="661" spans="1:77" ht="15.75" customHeight="1" thickBot="1" x14ac:dyDescent="0.3">
      <c r="A661" s="89"/>
      <c r="B661" s="89"/>
      <c r="C661" s="78"/>
      <c r="D661" s="78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352"/>
      <c r="AA661" s="352"/>
      <c r="AB661" s="352"/>
      <c r="AC661" s="352"/>
      <c r="AD661" s="352"/>
      <c r="AE661" s="352"/>
      <c r="AF661" s="352"/>
      <c r="AG661" s="91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  <c r="BB661" s="90"/>
      <c r="BC661" s="90"/>
      <c r="BD661" s="90"/>
      <c r="BE661" s="90"/>
      <c r="BF661" s="90"/>
      <c r="BG661" s="90"/>
      <c r="BH661" s="90"/>
      <c r="BI661" s="90"/>
      <c r="BJ661" s="90"/>
      <c r="BK661" s="90"/>
      <c r="BL661" s="90"/>
      <c r="BM661" s="90"/>
      <c r="BN661" s="90"/>
      <c r="BO661" s="90"/>
      <c r="BP661" s="90"/>
      <c r="BQ661" s="90"/>
      <c r="BR661" s="90"/>
      <c r="BS661" s="90"/>
      <c r="BT661" s="90"/>
      <c r="BU661" s="90"/>
      <c r="BV661" s="90"/>
      <c r="BW661" s="90"/>
      <c r="BX661" s="90"/>
      <c r="BY661" s="90"/>
    </row>
    <row r="662" spans="1:77" ht="15.75" customHeight="1" thickBot="1" x14ac:dyDescent="0.3">
      <c r="A662" s="89"/>
      <c r="B662" s="89"/>
      <c r="C662" s="78"/>
      <c r="D662" s="78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352"/>
      <c r="AA662" s="352"/>
      <c r="AB662" s="352"/>
      <c r="AC662" s="352"/>
      <c r="AD662" s="352"/>
      <c r="AE662" s="352"/>
      <c r="AF662" s="352"/>
      <c r="AG662" s="91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  <c r="BB662" s="90"/>
      <c r="BC662" s="90"/>
      <c r="BD662" s="90"/>
      <c r="BE662" s="90"/>
      <c r="BF662" s="90"/>
      <c r="BG662" s="90"/>
      <c r="BH662" s="90"/>
      <c r="BI662" s="90"/>
      <c r="BJ662" s="90"/>
      <c r="BK662" s="90"/>
      <c r="BL662" s="90"/>
      <c r="BM662" s="90"/>
      <c r="BN662" s="90"/>
      <c r="BO662" s="90"/>
      <c r="BP662" s="90"/>
      <c r="BQ662" s="90"/>
      <c r="BR662" s="90"/>
      <c r="BS662" s="90"/>
      <c r="BT662" s="90"/>
      <c r="BU662" s="90"/>
      <c r="BV662" s="90"/>
      <c r="BW662" s="90"/>
      <c r="BX662" s="90"/>
      <c r="BY662" s="90"/>
    </row>
    <row r="663" spans="1:77" ht="15.75" customHeight="1" thickBot="1" x14ac:dyDescent="0.3">
      <c r="A663" s="89"/>
      <c r="B663" s="89"/>
      <c r="C663" s="78"/>
      <c r="D663" s="78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352"/>
      <c r="AA663" s="352"/>
      <c r="AB663" s="352"/>
      <c r="AC663" s="352"/>
      <c r="AD663" s="352"/>
      <c r="AE663" s="352"/>
      <c r="AF663" s="352"/>
      <c r="AG663" s="91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90"/>
      <c r="BC663" s="90"/>
      <c r="BD663" s="90"/>
      <c r="BE663" s="90"/>
      <c r="BF663" s="90"/>
      <c r="BG663" s="90"/>
      <c r="BH663" s="90"/>
      <c r="BI663" s="90"/>
      <c r="BJ663" s="90"/>
      <c r="BK663" s="90"/>
      <c r="BL663" s="90"/>
      <c r="BM663" s="90"/>
      <c r="BN663" s="90"/>
      <c r="BO663" s="90"/>
      <c r="BP663" s="90"/>
      <c r="BQ663" s="90"/>
      <c r="BR663" s="90"/>
      <c r="BS663" s="90"/>
      <c r="BT663" s="90"/>
      <c r="BU663" s="90"/>
      <c r="BV663" s="90"/>
      <c r="BW663" s="90"/>
      <c r="BX663" s="90"/>
      <c r="BY663" s="90"/>
    </row>
    <row r="664" spans="1:77" ht="15.75" customHeight="1" thickBot="1" x14ac:dyDescent="0.3">
      <c r="A664" s="89"/>
      <c r="B664" s="89"/>
      <c r="C664" s="78"/>
      <c r="D664" s="78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352"/>
      <c r="AA664" s="352"/>
      <c r="AB664" s="352"/>
      <c r="AC664" s="352"/>
      <c r="AD664" s="352"/>
      <c r="AE664" s="352"/>
      <c r="AF664" s="352"/>
      <c r="AG664" s="91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  <c r="BB664" s="90"/>
      <c r="BC664" s="90"/>
      <c r="BD664" s="90"/>
      <c r="BE664" s="90"/>
      <c r="BF664" s="90"/>
      <c r="BG664" s="90"/>
      <c r="BH664" s="90"/>
      <c r="BI664" s="90"/>
      <c r="BJ664" s="90"/>
      <c r="BK664" s="90"/>
      <c r="BL664" s="90"/>
      <c r="BM664" s="90"/>
      <c r="BN664" s="90"/>
      <c r="BO664" s="90"/>
      <c r="BP664" s="90"/>
      <c r="BQ664" s="90"/>
      <c r="BR664" s="90"/>
      <c r="BS664" s="90"/>
      <c r="BT664" s="90"/>
      <c r="BU664" s="90"/>
      <c r="BV664" s="90"/>
      <c r="BW664" s="90"/>
      <c r="BX664" s="90"/>
      <c r="BY664" s="90"/>
    </row>
    <row r="665" spans="1:77" ht="15.75" customHeight="1" thickBot="1" x14ac:dyDescent="0.3">
      <c r="A665" s="89"/>
      <c r="B665" s="89"/>
      <c r="C665" s="78"/>
      <c r="D665" s="78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352"/>
      <c r="AA665" s="352"/>
      <c r="AB665" s="352"/>
      <c r="AC665" s="352"/>
      <c r="AD665" s="352"/>
      <c r="AE665" s="352"/>
      <c r="AF665" s="352"/>
      <c r="AG665" s="91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  <c r="BB665" s="90"/>
      <c r="BC665" s="90"/>
      <c r="BD665" s="90"/>
      <c r="BE665" s="90"/>
      <c r="BF665" s="90"/>
      <c r="BG665" s="90"/>
      <c r="BH665" s="90"/>
      <c r="BI665" s="90"/>
      <c r="BJ665" s="90"/>
      <c r="BK665" s="90"/>
      <c r="BL665" s="90"/>
      <c r="BM665" s="90"/>
      <c r="BN665" s="90"/>
      <c r="BO665" s="90"/>
      <c r="BP665" s="90"/>
      <c r="BQ665" s="90"/>
      <c r="BR665" s="90"/>
      <c r="BS665" s="90"/>
      <c r="BT665" s="90"/>
      <c r="BU665" s="90"/>
      <c r="BV665" s="90"/>
      <c r="BW665" s="90"/>
      <c r="BX665" s="90"/>
      <c r="BY665" s="90"/>
    </row>
    <row r="666" spans="1:77" ht="15.75" customHeight="1" thickBot="1" x14ac:dyDescent="0.3">
      <c r="A666" s="89"/>
      <c r="B666" s="89"/>
      <c r="C666" s="78"/>
      <c r="D666" s="78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352"/>
      <c r="AA666" s="352"/>
      <c r="AB666" s="352"/>
      <c r="AC666" s="352"/>
      <c r="AD666" s="352"/>
      <c r="AE666" s="352"/>
      <c r="AF666" s="352"/>
      <c r="AG666" s="91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  <c r="BB666" s="90"/>
      <c r="BC666" s="90"/>
      <c r="BD666" s="90"/>
      <c r="BE666" s="90"/>
      <c r="BF666" s="90"/>
      <c r="BG666" s="90"/>
      <c r="BH666" s="90"/>
      <c r="BI666" s="90"/>
      <c r="BJ666" s="90"/>
      <c r="BK666" s="90"/>
      <c r="BL666" s="90"/>
      <c r="BM666" s="90"/>
      <c r="BN666" s="90"/>
      <c r="BO666" s="90"/>
      <c r="BP666" s="90"/>
      <c r="BQ666" s="90"/>
      <c r="BR666" s="90"/>
      <c r="BS666" s="90"/>
      <c r="BT666" s="90"/>
      <c r="BU666" s="90"/>
      <c r="BV666" s="90"/>
      <c r="BW666" s="90"/>
      <c r="BX666" s="90"/>
      <c r="BY666" s="90"/>
    </row>
    <row r="667" spans="1:77" ht="15.75" customHeight="1" thickBot="1" x14ac:dyDescent="0.3">
      <c r="A667" s="89"/>
      <c r="B667" s="89"/>
      <c r="C667" s="78"/>
      <c r="D667" s="78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352"/>
      <c r="AA667" s="352"/>
      <c r="AB667" s="352"/>
      <c r="AC667" s="352"/>
      <c r="AD667" s="352"/>
      <c r="AE667" s="352"/>
      <c r="AF667" s="352"/>
      <c r="AG667" s="91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  <c r="BB667" s="90"/>
      <c r="BC667" s="90"/>
      <c r="BD667" s="90"/>
      <c r="BE667" s="90"/>
      <c r="BF667" s="90"/>
      <c r="BG667" s="90"/>
      <c r="BH667" s="90"/>
      <c r="BI667" s="90"/>
      <c r="BJ667" s="90"/>
      <c r="BK667" s="90"/>
      <c r="BL667" s="90"/>
      <c r="BM667" s="90"/>
      <c r="BN667" s="90"/>
      <c r="BO667" s="90"/>
      <c r="BP667" s="90"/>
      <c r="BQ667" s="90"/>
      <c r="BR667" s="90"/>
      <c r="BS667" s="90"/>
      <c r="BT667" s="90"/>
      <c r="BU667" s="90"/>
      <c r="BV667" s="90"/>
      <c r="BW667" s="90"/>
      <c r="BX667" s="90"/>
      <c r="BY667" s="90"/>
    </row>
    <row r="668" spans="1:77" ht="15.75" customHeight="1" thickBot="1" x14ac:dyDescent="0.3">
      <c r="A668" s="89"/>
      <c r="B668" s="89"/>
      <c r="C668" s="78"/>
      <c r="D668" s="78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352"/>
      <c r="AA668" s="352"/>
      <c r="AB668" s="352"/>
      <c r="AC668" s="352"/>
      <c r="AD668" s="352"/>
      <c r="AE668" s="352"/>
      <c r="AF668" s="352"/>
      <c r="AG668" s="91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  <c r="BB668" s="90"/>
      <c r="BC668" s="90"/>
      <c r="BD668" s="90"/>
      <c r="BE668" s="90"/>
      <c r="BF668" s="90"/>
      <c r="BG668" s="90"/>
      <c r="BH668" s="90"/>
      <c r="BI668" s="90"/>
      <c r="BJ668" s="90"/>
      <c r="BK668" s="90"/>
      <c r="BL668" s="90"/>
      <c r="BM668" s="90"/>
      <c r="BN668" s="90"/>
      <c r="BO668" s="90"/>
      <c r="BP668" s="90"/>
      <c r="BQ668" s="90"/>
      <c r="BR668" s="90"/>
      <c r="BS668" s="90"/>
      <c r="BT668" s="90"/>
      <c r="BU668" s="90"/>
      <c r="BV668" s="90"/>
      <c r="BW668" s="90"/>
      <c r="BX668" s="90"/>
      <c r="BY668" s="90"/>
    </row>
    <row r="669" spans="1:77" ht="15.75" customHeight="1" thickBot="1" x14ac:dyDescent="0.3">
      <c r="A669" s="89"/>
      <c r="B669" s="89"/>
      <c r="C669" s="78"/>
      <c r="D669" s="78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352"/>
      <c r="AA669" s="352"/>
      <c r="AB669" s="352"/>
      <c r="AC669" s="352"/>
      <c r="AD669" s="352"/>
      <c r="AE669" s="352"/>
      <c r="AF669" s="352"/>
      <c r="AG669" s="91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  <c r="BB669" s="90"/>
      <c r="BC669" s="90"/>
      <c r="BD669" s="90"/>
      <c r="BE669" s="90"/>
      <c r="BF669" s="90"/>
      <c r="BG669" s="90"/>
      <c r="BH669" s="90"/>
      <c r="BI669" s="90"/>
      <c r="BJ669" s="90"/>
      <c r="BK669" s="90"/>
      <c r="BL669" s="90"/>
      <c r="BM669" s="90"/>
      <c r="BN669" s="90"/>
      <c r="BO669" s="90"/>
      <c r="BP669" s="90"/>
      <c r="BQ669" s="90"/>
      <c r="BR669" s="90"/>
      <c r="BS669" s="90"/>
      <c r="BT669" s="90"/>
      <c r="BU669" s="90"/>
      <c r="BV669" s="90"/>
      <c r="BW669" s="90"/>
      <c r="BX669" s="90"/>
      <c r="BY669" s="90"/>
    </row>
    <row r="670" spans="1:77" ht="15.75" customHeight="1" thickBot="1" x14ac:dyDescent="0.3">
      <c r="A670" s="89"/>
      <c r="B670" s="89"/>
      <c r="C670" s="78"/>
      <c r="D670" s="78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352"/>
      <c r="AA670" s="352"/>
      <c r="AB670" s="352"/>
      <c r="AC670" s="352"/>
      <c r="AD670" s="352"/>
      <c r="AE670" s="352"/>
      <c r="AF670" s="352"/>
      <c r="AG670" s="91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  <c r="BA670" s="90"/>
      <c r="BB670" s="90"/>
      <c r="BC670" s="90"/>
      <c r="BD670" s="90"/>
      <c r="BE670" s="90"/>
      <c r="BF670" s="90"/>
      <c r="BG670" s="90"/>
      <c r="BH670" s="90"/>
      <c r="BI670" s="90"/>
      <c r="BJ670" s="90"/>
      <c r="BK670" s="90"/>
      <c r="BL670" s="90"/>
      <c r="BM670" s="90"/>
      <c r="BN670" s="90"/>
      <c r="BO670" s="90"/>
      <c r="BP670" s="90"/>
      <c r="BQ670" s="90"/>
      <c r="BR670" s="90"/>
      <c r="BS670" s="90"/>
      <c r="BT670" s="90"/>
      <c r="BU670" s="90"/>
      <c r="BV670" s="90"/>
      <c r="BW670" s="90"/>
      <c r="BX670" s="90"/>
      <c r="BY670" s="90"/>
    </row>
    <row r="671" spans="1:77" ht="15.75" customHeight="1" thickBot="1" x14ac:dyDescent="0.3">
      <c r="A671" s="89"/>
      <c r="B671" s="89"/>
      <c r="C671" s="78"/>
      <c r="D671" s="78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352"/>
      <c r="AA671" s="352"/>
      <c r="AB671" s="352"/>
      <c r="AC671" s="352"/>
      <c r="AD671" s="352"/>
      <c r="AE671" s="352"/>
      <c r="AF671" s="352"/>
      <c r="AG671" s="91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  <c r="BA671" s="90"/>
      <c r="BB671" s="90"/>
      <c r="BC671" s="90"/>
      <c r="BD671" s="90"/>
      <c r="BE671" s="90"/>
      <c r="BF671" s="90"/>
      <c r="BG671" s="90"/>
      <c r="BH671" s="90"/>
      <c r="BI671" s="90"/>
      <c r="BJ671" s="90"/>
      <c r="BK671" s="90"/>
      <c r="BL671" s="90"/>
      <c r="BM671" s="90"/>
      <c r="BN671" s="90"/>
      <c r="BO671" s="90"/>
      <c r="BP671" s="90"/>
      <c r="BQ671" s="90"/>
      <c r="BR671" s="90"/>
      <c r="BS671" s="90"/>
      <c r="BT671" s="90"/>
      <c r="BU671" s="90"/>
      <c r="BV671" s="90"/>
      <c r="BW671" s="90"/>
      <c r="BX671" s="90"/>
      <c r="BY671" s="90"/>
    </row>
    <row r="672" spans="1:77" ht="15.75" customHeight="1" thickBot="1" x14ac:dyDescent="0.3">
      <c r="A672" s="89"/>
      <c r="B672" s="89"/>
      <c r="C672" s="78"/>
      <c r="D672" s="78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352"/>
      <c r="AA672" s="352"/>
      <c r="AB672" s="352"/>
      <c r="AC672" s="352"/>
      <c r="AD672" s="352"/>
      <c r="AE672" s="352"/>
      <c r="AF672" s="352"/>
      <c r="AG672" s="91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  <c r="BB672" s="90"/>
      <c r="BC672" s="90"/>
      <c r="BD672" s="90"/>
      <c r="BE672" s="90"/>
      <c r="BF672" s="90"/>
      <c r="BG672" s="90"/>
      <c r="BH672" s="90"/>
      <c r="BI672" s="90"/>
      <c r="BJ672" s="90"/>
      <c r="BK672" s="90"/>
      <c r="BL672" s="90"/>
      <c r="BM672" s="90"/>
      <c r="BN672" s="90"/>
      <c r="BO672" s="90"/>
      <c r="BP672" s="90"/>
      <c r="BQ672" s="90"/>
      <c r="BR672" s="90"/>
      <c r="BS672" s="90"/>
      <c r="BT672" s="90"/>
      <c r="BU672" s="90"/>
      <c r="BV672" s="90"/>
      <c r="BW672" s="90"/>
      <c r="BX672" s="90"/>
      <c r="BY672" s="90"/>
    </row>
    <row r="673" spans="1:77" ht="15.75" customHeight="1" thickBot="1" x14ac:dyDescent="0.3">
      <c r="A673" s="89"/>
      <c r="B673" s="89"/>
      <c r="C673" s="78"/>
      <c r="D673" s="78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352"/>
      <c r="AA673" s="352"/>
      <c r="AB673" s="352"/>
      <c r="AC673" s="352"/>
      <c r="AD673" s="352"/>
      <c r="AE673" s="352"/>
      <c r="AF673" s="352"/>
      <c r="AG673" s="91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  <c r="BA673" s="90"/>
      <c r="BB673" s="90"/>
      <c r="BC673" s="90"/>
      <c r="BD673" s="90"/>
      <c r="BE673" s="90"/>
      <c r="BF673" s="90"/>
      <c r="BG673" s="90"/>
      <c r="BH673" s="90"/>
      <c r="BI673" s="90"/>
      <c r="BJ673" s="90"/>
      <c r="BK673" s="90"/>
      <c r="BL673" s="90"/>
      <c r="BM673" s="90"/>
      <c r="BN673" s="90"/>
      <c r="BO673" s="90"/>
      <c r="BP673" s="90"/>
      <c r="BQ673" s="90"/>
      <c r="BR673" s="90"/>
      <c r="BS673" s="90"/>
      <c r="BT673" s="90"/>
      <c r="BU673" s="90"/>
      <c r="BV673" s="90"/>
      <c r="BW673" s="90"/>
      <c r="BX673" s="90"/>
      <c r="BY673" s="90"/>
    </row>
    <row r="674" spans="1:77" ht="15.75" customHeight="1" thickBot="1" x14ac:dyDescent="0.3">
      <c r="A674" s="89"/>
      <c r="B674" s="89"/>
      <c r="C674" s="78"/>
      <c r="D674" s="78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352"/>
      <c r="AA674" s="352"/>
      <c r="AB674" s="352"/>
      <c r="AC674" s="352"/>
      <c r="AD674" s="352"/>
      <c r="AE674" s="352"/>
      <c r="AF674" s="352"/>
      <c r="AG674" s="91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  <c r="BA674" s="90"/>
      <c r="BB674" s="90"/>
      <c r="BC674" s="90"/>
      <c r="BD674" s="90"/>
      <c r="BE674" s="90"/>
      <c r="BF674" s="90"/>
      <c r="BG674" s="90"/>
      <c r="BH674" s="90"/>
      <c r="BI674" s="90"/>
      <c r="BJ674" s="90"/>
      <c r="BK674" s="90"/>
      <c r="BL674" s="90"/>
      <c r="BM674" s="90"/>
      <c r="BN674" s="90"/>
      <c r="BO674" s="90"/>
      <c r="BP674" s="90"/>
      <c r="BQ674" s="90"/>
      <c r="BR674" s="90"/>
      <c r="BS674" s="90"/>
      <c r="BT674" s="90"/>
      <c r="BU674" s="90"/>
      <c r="BV674" s="90"/>
      <c r="BW674" s="90"/>
      <c r="BX674" s="90"/>
      <c r="BY674" s="90"/>
    </row>
    <row r="675" spans="1:77" ht="15.75" customHeight="1" thickBot="1" x14ac:dyDescent="0.3">
      <c r="A675" s="89"/>
      <c r="B675" s="89"/>
      <c r="C675" s="78"/>
      <c r="D675" s="78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352"/>
      <c r="AA675" s="352"/>
      <c r="AB675" s="352"/>
      <c r="AC675" s="352"/>
      <c r="AD675" s="352"/>
      <c r="AE675" s="352"/>
      <c r="AF675" s="352"/>
      <c r="AG675" s="91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  <c r="BB675" s="90"/>
      <c r="BC675" s="90"/>
      <c r="BD675" s="90"/>
      <c r="BE675" s="90"/>
      <c r="BF675" s="90"/>
      <c r="BG675" s="90"/>
      <c r="BH675" s="90"/>
      <c r="BI675" s="90"/>
      <c r="BJ675" s="90"/>
      <c r="BK675" s="90"/>
      <c r="BL675" s="90"/>
      <c r="BM675" s="90"/>
      <c r="BN675" s="90"/>
      <c r="BO675" s="90"/>
      <c r="BP675" s="90"/>
      <c r="BQ675" s="90"/>
      <c r="BR675" s="90"/>
      <c r="BS675" s="90"/>
      <c r="BT675" s="90"/>
      <c r="BU675" s="90"/>
      <c r="BV675" s="90"/>
      <c r="BW675" s="90"/>
      <c r="BX675" s="90"/>
      <c r="BY675" s="90"/>
    </row>
    <row r="676" spans="1:77" ht="15.75" customHeight="1" thickBot="1" x14ac:dyDescent="0.3">
      <c r="A676" s="89"/>
      <c r="B676" s="89"/>
      <c r="C676" s="78"/>
      <c r="D676" s="78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352"/>
      <c r="AA676" s="352"/>
      <c r="AB676" s="352"/>
      <c r="AC676" s="352"/>
      <c r="AD676" s="352"/>
      <c r="AE676" s="352"/>
      <c r="AF676" s="352"/>
      <c r="AG676" s="91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  <c r="BB676" s="90"/>
      <c r="BC676" s="90"/>
      <c r="BD676" s="90"/>
      <c r="BE676" s="90"/>
      <c r="BF676" s="90"/>
      <c r="BG676" s="90"/>
      <c r="BH676" s="90"/>
      <c r="BI676" s="90"/>
      <c r="BJ676" s="90"/>
      <c r="BK676" s="90"/>
      <c r="BL676" s="90"/>
      <c r="BM676" s="90"/>
      <c r="BN676" s="90"/>
      <c r="BO676" s="90"/>
      <c r="BP676" s="90"/>
      <c r="BQ676" s="90"/>
      <c r="BR676" s="90"/>
      <c r="BS676" s="90"/>
      <c r="BT676" s="90"/>
      <c r="BU676" s="90"/>
      <c r="BV676" s="90"/>
      <c r="BW676" s="90"/>
      <c r="BX676" s="90"/>
      <c r="BY676" s="90"/>
    </row>
    <row r="677" spans="1:77" ht="15.75" customHeight="1" thickBot="1" x14ac:dyDescent="0.3">
      <c r="A677" s="89"/>
      <c r="B677" s="89"/>
      <c r="C677" s="78"/>
      <c r="D677" s="78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352"/>
      <c r="AA677" s="352"/>
      <c r="AB677" s="352"/>
      <c r="AC677" s="352"/>
      <c r="AD677" s="352"/>
      <c r="AE677" s="352"/>
      <c r="AF677" s="352"/>
      <c r="AG677" s="91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  <c r="BB677" s="90"/>
      <c r="BC677" s="90"/>
      <c r="BD677" s="90"/>
      <c r="BE677" s="90"/>
      <c r="BF677" s="90"/>
      <c r="BG677" s="90"/>
      <c r="BH677" s="90"/>
      <c r="BI677" s="90"/>
      <c r="BJ677" s="90"/>
      <c r="BK677" s="90"/>
      <c r="BL677" s="90"/>
      <c r="BM677" s="90"/>
      <c r="BN677" s="90"/>
      <c r="BO677" s="90"/>
      <c r="BP677" s="90"/>
      <c r="BQ677" s="90"/>
      <c r="BR677" s="90"/>
      <c r="BS677" s="90"/>
      <c r="BT677" s="90"/>
      <c r="BU677" s="90"/>
      <c r="BV677" s="90"/>
      <c r="BW677" s="90"/>
      <c r="BX677" s="90"/>
      <c r="BY677" s="90"/>
    </row>
    <row r="678" spans="1:77" ht="15.75" customHeight="1" thickBot="1" x14ac:dyDescent="0.3">
      <c r="A678" s="89"/>
      <c r="B678" s="89"/>
      <c r="C678" s="78"/>
      <c r="D678" s="78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352"/>
      <c r="AA678" s="352"/>
      <c r="AB678" s="352"/>
      <c r="AC678" s="352"/>
      <c r="AD678" s="352"/>
      <c r="AE678" s="352"/>
      <c r="AF678" s="352"/>
      <c r="AG678" s="91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  <c r="BA678" s="90"/>
      <c r="BB678" s="90"/>
      <c r="BC678" s="90"/>
      <c r="BD678" s="90"/>
      <c r="BE678" s="90"/>
      <c r="BF678" s="90"/>
      <c r="BG678" s="90"/>
      <c r="BH678" s="90"/>
      <c r="BI678" s="90"/>
      <c r="BJ678" s="90"/>
      <c r="BK678" s="90"/>
      <c r="BL678" s="90"/>
      <c r="BM678" s="90"/>
      <c r="BN678" s="90"/>
      <c r="BO678" s="90"/>
      <c r="BP678" s="90"/>
      <c r="BQ678" s="90"/>
      <c r="BR678" s="90"/>
      <c r="BS678" s="90"/>
      <c r="BT678" s="90"/>
      <c r="BU678" s="90"/>
      <c r="BV678" s="90"/>
      <c r="BW678" s="90"/>
      <c r="BX678" s="90"/>
      <c r="BY678" s="90"/>
    </row>
    <row r="679" spans="1:77" ht="15.75" customHeight="1" thickBot="1" x14ac:dyDescent="0.3">
      <c r="A679" s="89"/>
      <c r="B679" s="89"/>
      <c r="C679" s="78"/>
      <c r="D679" s="78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352"/>
      <c r="AA679" s="352"/>
      <c r="AB679" s="352"/>
      <c r="AC679" s="352"/>
      <c r="AD679" s="352"/>
      <c r="AE679" s="352"/>
      <c r="AF679" s="352"/>
      <c r="AG679" s="91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  <c r="BA679" s="90"/>
      <c r="BB679" s="90"/>
      <c r="BC679" s="90"/>
      <c r="BD679" s="90"/>
      <c r="BE679" s="90"/>
      <c r="BF679" s="90"/>
      <c r="BG679" s="90"/>
      <c r="BH679" s="90"/>
      <c r="BI679" s="90"/>
      <c r="BJ679" s="90"/>
      <c r="BK679" s="90"/>
      <c r="BL679" s="90"/>
      <c r="BM679" s="90"/>
      <c r="BN679" s="90"/>
      <c r="BO679" s="90"/>
      <c r="BP679" s="90"/>
      <c r="BQ679" s="90"/>
      <c r="BR679" s="90"/>
      <c r="BS679" s="90"/>
      <c r="BT679" s="90"/>
      <c r="BU679" s="90"/>
      <c r="BV679" s="90"/>
      <c r="BW679" s="90"/>
      <c r="BX679" s="90"/>
      <c r="BY679" s="90"/>
    </row>
    <row r="680" spans="1:77" ht="15.75" customHeight="1" thickBot="1" x14ac:dyDescent="0.3">
      <c r="A680" s="89"/>
      <c r="B680" s="89"/>
      <c r="C680" s="78"/>
      <c r="D680" s="78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352"/>
      <c r="AA680" s="352"/>
      <c r="AB680" s="352"/>
      <c r="AC680" s="352"/>
      <c r="AD680" s="352"/>
      <c r="AE680" s="352"/>
      <c r="AF680" s="352"/>
      <c r="AG680" s="91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  <c r="BA680" s="90"/>
      <c r="BB680" s="90"/>
      <c r="BC680" s="90"/>
      <c r="BD680" s="90"/>
      <c r="BE680" s="90"/>
      <c r="BF680" s="90"/>
      <c r="BG680" s="90"/>
      <c r="BH680" s="90"/>
      <c r="BI680" s="90"/>
      <c r="BJ680" s="90"/>
      <c r="BK680" s="90"/>
      <c r="BL680" s="90"/>
      <c r="BM680" s="90"/>
      <c r="BN680" s="90"/>
      <c r="BO680" s="90"/>
      <c r="BP680" s="90"/>
      <c r="BQ680" s="90"/>
      <c r="BR680" s="90"/>
      <c r="BS680" s="90"/>
      <c r="BT680" s="90"/>
      <c r="BU680" s="90"/>
      <c r="BV680" s="90"/>
      <c r="BW680" s="90"/>
      <c r="BX680" s="90"/>
      <c r="BY680" s="90"/>
    </row>
    <row r="681" spans="1:77" ht="15.75" customHeight="1" thickBot="1" x14ac:dyDescent="0.3">
      <c r="A681" s="89"/>
      <c r="B681" s="89"/>
      <c r="C681" s="78"/>
      <c r="D681" s="78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352"/>
      <c r="AA681" s="352"/>
      <c r="AB681" s="352"/>
      <c r="AC681" s="352"/>
      <c r="AD681" s="352"/>
      <c r="AE681" s="352"/>
      <c r="AF681" s="352"/>
      <c r="AG681" s="91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  <c r="AX681" s="90"/>
      <c r="AY681" s="90"/>
      <c r="AZ681" s="90"/>
      <c r="BA681" s="90"/>
      <c r="BB681" s="90"/>
      <c r="BC681" s="90"/>
      <c r="BD681" s="90"/>
      <c r="BE681" s="90"/>
      <c r="BF681" s="90"/>
      <c r="BG681" s="90"/>
      <c r="BH681" s="90"/>
      <c r="BI681" s="90"/>
      <c r="BJ681" s="90"/>
      <c r="BK681" s="90"/>
      <c r="BL681" s="90"/>
      <c r="BM681" s="90"/>
      <c r="BN681" s="90"/>
      <c r="BO681" s="90"/>
      <c r="BP681" s="90"/>
      <c r="BQ681" s="90"/>
      <c r="BR681" s="90"/>
      <c r="BS681" s="90"/>
      <c r="BT681" s="90"/>
      <c r="BU681" s="90"/>
      <c r="BV681" s="90"/>
      <c r="BW681" s="90"/>
      <c r="BX681" s="90"/>
      <c r="BY681" s="90"/>
    </row>
    <row r="682" spans="1:77" ht="15.75" customHeight="1" thickBot="1" x14ac:dyDescent="0.3">
      <c r="A682" s="89"/>
      <c r="B682" s="89"/>
      <c r="C682" s="78"/>
      <c r="D682" s="78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352"/>
      <c r="AA682" s="352"/>
      <c r="AB682" s="352"/>
      <c r="AC682" s="352"/>
      <c r="AD682" s="352"/>
      <c r="AE682" s="352"/>
      <c r="AF682" s="352"/>
      <c r="AG682" s="91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90"/>
      <c r="BC682" s="90"/>
      <c r="BD682" s="90"/>
      <c r="BE682" s="90"/>
      <c r="BF682" s="90"/>
      <c r="BG682" s="90"/>
      <c r="BH682" s="90"/>
      <c r="BI682" s="90"/>
      <c r="BJ682" s="90"/>
      <c r="BK682" s="90"/>
      <c r="BL682" s="90"/>
      <c r="BM682" s="90"/>
      <c r="BN682" s="90"/>
      <c r="BO682" s="90"/>
      <c r="BP682" s="90"/>
      <c r="BQ682" s="90"/>
      <c r="BR682" s="90"/>
      <c r="BS682" s="90"/>
      <c r="BT682" s="90"/>
      <c r="BU682" s="90"/>
      <c r="BV682" s="90"/>
      <c r="BW682" s="90"/>
      <c r="BX682" s="90"/>
      <c r="BY682" s="90"/>
    </row>
    <row r="683" spans="1:77" ht="15.75" customHeight="1" thickBot="1" x14ac:dyDescent="0.3">
      <c r="A683" s="89"/>
      <c r="B683" s="89"/>
      <c r="C683" s="78"/>
      <c r="D683" s="78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352"/>
      <c r="AA683" s="352"/>
      <c r="AB683" s="352"/>
      <c r="AC683" s="352"/>
      <c r="AD683" s="352"/>
      <c r="AE683" s="352"/>
      <c r="AF683" s="352"/>
      <c r="AG683" s="91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90"/>
      <c r="BC683" s="90"/>
      <c r="BD683" s="90"/>
      <c r="BE683" s="90"/>
      <c r="BF683" s="90"/>
      <c r="BG683" s="90"/>
      <c r="BH683" s="90"/>
      <c r="BI683" s="90"/>
      <c r="BJ683" s="90"/>
      <c r="BK683" s="90"/>
      <c r="BL683" s="90"/>
      <c r="BM683" s="90"/>
      <c r="BN683" s="90"/>
      <c r="BO683" s="90"/>
      <c r="BP683" s="90"/>
      <c r="BQ683" s="90"/>
      <c r="BR683" s="90"/>
      <c r="BS683" s="90"/>
      <c r="BT683" s="90"/>
      <c r="BU683" s="90"/>
      <c r="BV683" s="90"/>
      <c r="BW683" s="90"/>
      <c r="BX683" s="90"/>
      <c r="BY683" s="90"/>
    </row>
    <row r="684" spans="1:77" ht="15.75" customHeight="1" thickBot="1" x14ac:dyDescent="0.3">
      <c r="A684" s="89"/>
      <c r="B684" s="89"/>
      <c r="C684" s="78"/>
      <c r="D684" s="78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352"/>
      <c r="AA684" s="352"/>
      <c r="AB684" s="352"/>
      <c r="AC684" s="352"/>
      <c r="AD684" s="352"/>
      <c r="AE684" s="352"/>
      <c r="AF684" s="352"/>
      <c r="AG684" s="91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90"/>
      <c r="BB684" s="90"/>
      <c r="BC684" s="90"/>
      <c r="BD684" s="90"/>
      <c r="BE684" s="90"/>
      <c r="BF684" s="90"/>
      <c r="BG684" s="90"/>
      <c r="BH684" s="90"/>
      <c r="BI684" s="90"/>
      <c r="BJ684" s="90"/>
      <c r="BK684" s="90"/>
      <c r="BL684" s="90"/>
      <c r="BM684" s="90"/>
      <c r="BN684" s="90"/>
      <c r="BO684" s="90"/>
      <c r="BP684" s="90"/>
      <c r="BQ684" s="90"/>
      <c r="BR684" s="90"/>
      <c r="BS684" s="90"/>
      <c r="BT684" s="90"/>
      <c r="BU684" s="90"/>
      <c r="BV684" s="90"/>
      <c r="BW684" s="90"/>
      <c r="BX684" s="90"/>
      <c r="BY684" s="90"/>
    </row>
    <row r="685" spans="1:77" ht="15.75" customHeight="1" thickBot="1" x14ac:dyDescent="0.3">
      <c r="A685" s="89"/>
      <c r="B685" s="89"/>
      <c r="C685" s="78"/>
      <c r="D685" s="78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352"/>
      <c r="AA685" s="352"/>
      <c r="AB685" s="352"/>
      <c r="AC685" s="352"/>
      <c r="AD685" s="352"/>
      <c r="AE685" s="352"/>
      <c r="AF685" s="352"/>
      <c r="AG685" s="91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90"/>
      <c r="BB685" s="90"/>
      <c r="BC685" s="90"/>
      <c r="BD685" s="90"/>
      <c r="BE685" s="90"/>
      <c r="BF685" s="90"/>
      <c r="BG685" s="90"/>
      <c r="BH685" s="90"/>
      <c r="BI685" s="90"/>
      <c r="BJ685" s="90"/>
      <c r="BK685" s="90"/>
      <c r="BL685" s="90"/>
      <c r="BM685" s="90"/>
      <c r="BN685" s="90"/>
      <c r="BO685" s="90"/>
      <c r="BP685" s="90"/>
      <c r="BQ685" s="90"/>
      <c r="BR685" s="90"/>
      <c r="BS685" s="90"/>
      <c r="BT685" s="90"/>
      <c r="BU685" s="90"/>
      <c r="BV685" s="90"/>
      <c r="BW685" s="90"/>
      <c r="BX685" s="90"/>
      <c r="BY685" s="90"/>
    </row>
    <row r="686" spans="1:77" ht="15.75" customHeight="1" thickBot="1" x14ac:dyDescent="0.3">
      <c r="A686" s="89"/>
      <c r="B686" s="89"/>
      <c r="C686" s="78"/>
      <c r="D686" s="78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352"/>
      <c r="AA686" s="352"/>
      <c r="AB686" s="352"/>
      <c r="AC686" s="352"/>
      <c r="AD686" s="352"/>
      <c r="AE686" s="352"/>
      <c r="AF686" s="352"/>
      <c r="AG686" s="91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0"/>
      <c r="BF686" s="90"/>
      <c r="BG686" s="90"/>
      <c r="BH686" s="90"/>
      <c r="BI686" s="90"/>
      <c r="BJ686" s="90"/>
      <c r="BK686" s="90"/>
      <c r="BL686" s="90"/>
      <c r="BM686" s="90"/>
      <c r="BN686" s="90"/>
      <c r="BO686" s="90"/>
      <c r="BP686" s="90"/>
      <c r="BQ686" s="90"/>
      <c r="BR686" s="90"/>
      <c r="BS686" s="90"/>
      <c r="BT686" s="90"/>
      <c r="BU686" s="90"/>
      <c r="BV686" s="90"/>
      <c r="BW686" s="90"/>
      <c r="BX686" s="90"/>
      <c r="BY686" s="90"/>
    </row>
    <row r="687" spans="1:77" ht="15.75" customHeight="1" thickBot="1" x14ac:dyDescent="0.3">
      <c r="A687" s="89"/>
      <c r="B687" s="89"/>
      <c r="C687" s="78"/>
      <c r="D687" s="78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352"/>
      <c r="AA687" s="352"/>
      <c r="AB687" s="352"/>
      <c r="AC687" s="352"/>
      <c r="AD687" s="352"/>
      <c r="AE687" s="352"/>
      <c r="AF687" s="352"/>
      <c r="AG687" s="91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90"/>
      <c r="BC687" s="90"/>
      <c r="BD687" s="90"/>
      <c r="BE687" s="90"/>
      <c r="BF687" s="90"/>
      <c r="BG687" s="90"/>
      <c r="BH687" s="90"/>
      <c r="BI687" s="90"/>
      <c r="BJ687" s="90"/>
      <c r="BK687" s="90"/>
      <c r="BL687" s="90"/>
      <c r="BM687" s="90"/>
      <c r="BN687" s="90"/>
      <c r="BO687" s="90"/>
      <c r="BP687" s="90"/>
      <c r="BQ687" s="90"/>
      <c r="BR687" s="90"/>
      <c r="BS687" s="90"/>
      <c r="BT687" s="90"/>
      <c r="BU687" s="90"/>
      <c r="BV687" s="90"/>
      <c r="BW687" s="90"/>
      <c r="BX687" s="90"/>
      <c r="BY687" s="90"/>
    </row>
    <row r="688" spans="1:77" ht="15.75" customHeight="1" thickBot="1" x14ac:dyDescent="0.3">
      <c r="A688" s="89"/>
      <c r="B688" s="89"/>
      <c r="C688" s="78"/>
      <c r="D688" s="78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352"/>
      <c r="AA688" s="352"/>
      <c r="AB688" s="352"/>
      <c r="AC688" s="352"/>
      <c r="AD688" s="352"/>
      <c r="AE688" s="352"/>
      <c r="AF688" s="352"/>
      <c r="AG688" s="91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90"/>
      <c r="BC688" s="90"/>
      <c r="BD688" s="90"/>
      <c r="BE688" s="90"/>
      <c r="BF688" s="90"/>
      <c r="BG688" s="90"/>
      <c r="BH688" s="90"/>
      <c r="BI688" s="90"/>
      <c r="BJ688" s="90"/>
      <c r="BK688" s="90"/>
      <c r="BL688" s="90"/>
      <c r="BM688" s="90"/>
      <c r="BN688" s="90"/>
      <c r="BO688" s="90"/>
      <c r="BP688" s="90"/>
      <c r="BQ688" s="90"/>
      <c r="BR688" s="90"/>
      <c r="BS688" s="90"/>
      <c r="BT688" s="90"/>
      <c r="BU688" s="90"/>
      <c r="BV688" s="90"/>
      <c r="BW688" s="90"/>
      <c r="BX688" s="90"/>
      <c r="BY688" s="90"/>
    </row>
    <row r="689" spans="1:77" ht="15.75" customHeight="1" thickBot="1" x14ac:dyDescent="0.3">
      <c r="A689" s="89"/>
      <c r="B689" s="89"/>
      <c r="C689" s="78"/>
      <c r="D689" s="78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352"/>
      <c r="AA689" s="352"/>
      <c r="AB689" s="352"/>
      <c r="AC689" s="352"/>
      <c r="AD689" s="352"/>
      <c r="AE689" s="352"/>
      <c r="AF689" s="352"/>
      <c r="AG689" s="91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90"/>
      <c r="BC689" s="90"/>
      <c r="BD689" s="90"/>
      <c r="BE689" s="90"/>
      <c r="BF689" s="90"/>
      <c r="BG689" s="90"/>
      <c r="BH689" s="90"/>
      <c r="BI689" s="90"/>
      <c r="BJ689" s="90"/>
      <c r="BK689" s="90"/>
      <c r="BL689" s="90"/>
      <c r="BM689" s="90"/>
      <c r="BN689" s="90"/>
      <c r="BO689" s="90"/>
      <c r="BP689" s="90"/>
      <c r="BQ689" s="90"/>
      <c r="BR689" s="90"/>
      <c r="BS689" s="90"/>
      <c r="BT689" s="90"/>
      <c r="BU689" s="90"/>
      <c r="BV689" s="90"/>
      <c r="BW689" s="90"/>
      <c r="BX689" s="90"/>
      <c r="BY689" s="90"/>
    </row>
    <row r="690" spans="1:77" ht="15.75" customHeight="1" thickBot="1" x14ac:dyDescent="0.3">
      <c r="A690" s="89"/>
      <c r="B690" s="89"/>
      <c r="C690" s="78"/>
      <c r="D690" s="78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352"/>
      <c r="AA690" s="352"/>
      <c r="AB690" s="352"/>
      <c r="AC690" s="352"/>
      <c r="AD690" s="352"/>
      <c r="AE690" s="352"/>
      <c r="AF690" s="352"/>
      <c r="AG690" s="91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90"/>
      <c r="BB690" s="90"/>
      <c r="BC690" s="90"/>
      <c r="BD690" s="90"/>
      <c r="BE690" s="90"/>
      <c r="BF690" s="90"/>
      <c r="BG690" s="90"/>
      <c r="BH690" s="90"/>
      <c r="BI690" s="90"/>
      <c r="BJ690" s="90"/>
      <c r="BK690" s="90"/>
      <c r="BL690" s="90"/>
      <c r="BM690" s="90"/>
      <c r="BN690" s="90"/>
      <c r="BO690" s="90"/>
      <c r="BP690" s="90"/>
      <c r="BQ690" s="90"/>
      <c r="BR690" s="90"/>
      <c r="BS690" s="90"/>
      <c r="BT690" s="90"/>
      <c r="BU690" s="90"/>
      <c r="BV690" s="90"/>
      <c r="BW690" s="90"/>
      <c r="BX690" s="90"/>
      <c r="BY690" s="90"/>
    </row>
    <row r="691" spans="1:77" ht="15.75" customHeight="1" thickBot="1" x14ac:dyDescent="0.3">
      <c r="A691" s="89"/>
      <c r="B691" s="89"/>
      <c r="C691" s="78"/>
      <c r="D691" s="78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352"/>
      <c r="AA691" s="352"/>
      <c r="AB691" s="352"/>
      <c r="AC691" s="352"/>
      <c r="AD691" s="352"/>
      <c r="AE691" s="352"/>
      <c r="AF691" s="352"/>
      <c r="AG691" s="91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90"/>
      <c r="BB691" s="90"/>
      <c r="BC691" s="90"/>
      <c r="BD691" s="90"/>
      <c r="BE691" s="90"/>
      <c r="BF691" s="90"/>
      <c r="BG691" s="90"/>
      <c r="BH691" s="90"/>
      <c r="BI691" s="90"/>
      <c r="BJ691" s="90"/>
      <c r="BK691" s="90"/>
      <c r="BL691" s="90"/>
      <c r="BM691" s="90"/>
      <c r="BN691" s="90"/>
      <c r="BO691" s="90"/>
      <c r="BP691" s="90"/>
      <c r="BQ691" s="90"/>
      <c r="BR691" s="90"/>
      <c r="BS691" s="90"/>
      <c r="BT691" s="90"/>
      <c r="BU691" s="90"/>
      <c r="BV691" s="90"/>
      <c r="BW691" s="90"/>
      <c r="BX691" s="90"/>
      <c r="BY691" s="90"/>
    </row>
    <row r="692" spans="1:77" ht="15.75" customHeight="1" thickBot="1" x14ac:dyDescent="0.3">
      <c r="A692" s="89"/>
      <c r="B692" s="89"/>
      <c r="C692" s="78"/>
      <c r="D692" s="78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352"/>
      <c r="AA692" s="352"/>
      <c r="AB692" s="352"/>
      <c r="AC692" s="352"/>
      <c r="AD692" s="352"/>
      <c r="AE692" s="352"/>
      <c r="AF692" s="352"/>
      <c r="AG692" s="91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90"/>
      <c r="BB692" s="90"/>
      <c r="BC692" s="90"/>
      <c r="BD692" s="90"/>
      <c r="BE692" s="90"/>
      <c r="BF692" s="90"/>
      <c r="BG692" s="90"/>
      <c r="BH692" s="90"/>
      <c r="BI692" s="90"/>
      <c r="BJ692" s="90"/>
      <c r="BK692" s="90"/>
      <c r="BL692" s="90"/>
      <c r="BM692" s="90"/>
      <c r="BN692" s="90"/>
      <c r="BO692" s="90"/>
      <c r="BP692" s="90"/>
      <c r="BQ692" s="90"/>
      <c r="BR692" s="90"/>
      <c r="BS692" s="90"/>
      <c r="BT692" s="90"/>
      <c r="BU692" s="90"/>
      <c r="BV692" s="90"/>
      <c r="BW692" s="90"/>
      <c r="BX692" s="90"/>
      <c r="BY692" s="90"/>
    </row>
    <row r="693" spans="1:77" ht="15.75" customHeight="1" thickBot="1" x14ac:dyDescent="0.3">
      <c r="A693" s="89"/>
      <c r="B693" s="89"/>
      <c r="C693" s="78"/>
      <c r="D693" s="78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352"/>
      <c r="AA693" s="352"/>
      <c r="AB693" s="352"/>
      <c r="AC693" s="352"/>
      <c r="AD693" s="352"/>
      <c r="AE693" s="352"/>
      <c r="AF693" s="352"/>
      <c r="AG693" s="91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90"/>
      <c r="BC693" s="90"/>
      <c r="BD693" s="90"/>
      <c r="BE693" s="90"/>
      <c r="BF693" s="90"/>
      <c r="BG693" s="90"/>
      <c r="BH693" s="90"/>
      <c r="BI693" s="90"/>
      <c r="BJ693" s="90"/>
      <c r="BK693" s="90"/>
      <c r="BL693" s="90"/>
      <c r="BM693" s="90"/>
      <c r="BN693" s="90"/>
      <c r="BO693" s="90"/>
      <c r="BP693" s="90"/>
      <c r="BQ693" s="90"/>
      <c r="BR693" s="90"/>
      <c r="BS693" s="90"/>
      <c r="BT693" s="90"/>
      <c r="BU693" s="90"/>
      <c r="BV693" s="90"/>
      <c r="BW693" s="90"/>
      <c r="BX693" s="90"/>
      <c r="BY693" s="90"/>
    </row>
    <row r="694" spans="1:77" ht="15.75" customHeight="1" thickBot="1" x14ac:dyDescent="0.3">
      <c r="A694" s="89"/>
      <c r="B694" s="89"/>
      <c r="C694" s="78"/>
      <c r="D694" s="78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352"/>
      <c r="AA694" s="352"/>
      <c r="AB694" s="352"/>
      <c r="AC694" s="352"/>
      <c r="AD694" s="352"/>
      <c r="AE694" s="352"/>
      <c r="AF694" s="352"/>
      <c r="AG694" s="91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90"/>
      <c r="BC694" s="90"/>
      <c r="BD694" s="90"/>
      <c r="BE694" s="90"/>
      <c r="BF694" s="90"/>
      <c r="BG694" s="90"/>
      <c r="BH694" s="90"/>
      <c r="BI694" s="90"/>
      <c r="BJ694" s="90"/>
      <c r="BK694" s="90"/>
      <c r="BL694" s="90"/>
      <c r="BM694" s="90"/>
      <c r="BN694" s="90"/>
      <c r="BO694" s="90"/>
      <c r="BP694" s="90"/>
      <c r="BQ694" s="90"/>
      <c r="BR694" s="90"/>
      <c r="BS694" s="90"/>
      <c r="BT694" s="90"/>
      <c r="BU694" s="90"/>
      <c r="BV694" s="90"/>
      <c r="BW694" s="90"/>
      <c r="BX694" s="90"/>
      <c r="BY694" s="90"/>
    </row>
    <row r="695" spans="1:77" ht="15.75" customHeight="1" thickBot="1" x14ac:dyDescent="0.3">
      <c r="A695" s="89"/>
      <c r="B695" s="89"/>
      <c r="C695" s="78"/>
      <c r="D695" s="78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352"/>
      <c r="AA695" s="352"/>
      <c r="AB695" s="352"/>
      <c r="AC695" s="352"/>
      <c r="AD695" s="352"/>
      <c r="AE695" s="352"/>
      <c r="AF695" s="352"/>
      <c r="AG695" s="91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90"/>
      <c r="BC695" s="90"/>
      <c r="BD695" s="90"/>
      <c r="BE695" s="90"/>
      <c r="BF695" s="90"/>
      <c r="BG695" s="90"/>
      <c r="BH695" s="90"/>
      <c r="BI695" s="90"/>
      <c r="BJ695" s="90"/>
      <c r="BK695" s="90"/>
      <c r="BL695" s="90"/>
      <c r="BM695" s="90"/>
      <c r="BN695" s="90"/>
      <c r="BO695" s="90"/>
      <c r="BP695" s="90"/>
      <c r="BQ695" s="90"/>
      <c r="BR695" s="90"/>
      <c r="BS695" s="90"/>
      <c r="BT695" s="90"/>
      <c r="BU695" s="90"/>
      <c r="BV695" s="90"/>
      <c r="BW695" s="90"/>
      <c r="BX695" s="90"/>
      <c r="BY695" s="90"/>
    </row>
    <row r="696" spans="1:77" ht="15.75" customHeight="1" thickBot="1" x14ac:dyDescent="0.3">
      <c r="A696" s="89"/>
      <c r="B696" s="89"/>
      <c r="C696" s="78"/>
      <c r="D696" s="78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352"/>
      <c r="AA696" s="352"/>
      <c r="AB696" s="352"/>
      <c r="AC696" s="352"/>
      <c r="AD696" s="352"/>
      <c r="AE696" s="352"/>
      <c r="AF696" s="352"/>
      <c r="AG696" s="91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90"/>
      <c r="BC696" s="90"/>
      <c r="BD696" s="90"/>
      <c r="BE696" s="90"/>
      <c r="BF696" s="90"/>
      <c r="BG696" s="90"/>
      <c r="BH696" s="90"/>
      <c r="BI696" s="90"/>
      <c r="BJ696" s="90"/>
      <c r="BK696" s="90"/>
      <c r="BL696" s="90"/>
      <c r="BM696" s="90"/>
      <c r="BN696" s="90"/>
      <c r="BO696" s="90"/>
      <c r="BP696" s="90"/>
      <c r="BQ696" s="90"/>
      <c r="BR696" s="90"/>
      <c r="BS696" s="90"/>
      <c r="BT696" s="90"/>
      <c r="BU696" s="90"/>
      <c r="BV696" s="90"/>
      <c r="BW696" s="90"/>
      <c r="BX696" s="90"/>
      <c r="BY696" s="90"/>
    </row>
    <row r="697" spans="1:77" ht="15.75" customHeight="1" thickBot="1" x14ac:dyDescent="0.3">
      <c r="A697" s="89"/>
      <c r="B697" s="89"/>
      <c r="C697" s="78"/>
      <c r="D697" s="78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352"/>
      <c r="AA697" s="352"/>
      <c r="AB697" s="352"/>
      <c r="AC697" s="352"/>
      <c r="AD697" s="352"/>
      <c r="AE697" s="352"/>
      <c r="AF697" s="352"/>
      <c r="AG697" s="91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90"/>
      <c r="BB697" s="90"/>
      <c r="BC697" s="90"/>
      <c r="BD697" s="90"/>
      <c r="BE697" s="90"/>
      <c r="BF697" s="90"/>
      <c r="BG697" s="90"/>
      <c r="BH697" s="90"/>
      <c r="BI697" s="90"/>
      <c r="BJ697" s="90"/>
      <c r="BK697" s="90"/>
      <c r="BL697" s="90"/>
      <c r="BM697" s="90"/>
      <c r="BN697" s="90"/>
      <c r="BO697" s="90"/>
      <c r="BP697" s="90"/>
      <c r="BQ697" s="90"/>
      <c r="BR697" s="90"/>
      <c r="BS697" s="90"/>
      <c r="BT697" s="90"/>
      <c r="BU697" s="90"/>
      <c r="BV697" s="90"/>
      <c r="BW697" s="90"/>
      <c r="BX697" s="90"/>
      <c r="BY697" s="90"/>
    </row>
    <row r="698" spans="1:77" ht="15.75" customHeight="1" thickBot="1" x14ac:dyDescent="0.3">
      <c r="A698" s="89"/>
      <c r="B698" s="89"/>
      <c r="C698" s="78"/>
      <c r="D698" s="78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352"/>
      <c r="AA698" s="352"/>
      <c r="AB698" s="352"/>
      <c r="AC698" s="352"/>
      <c r="AD698" s="352"/>
      <c r="AE698" s="352"/>
      <c r="AF698" s="352"/>
      <c r="AG698" s="91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90"/>
      <c r="BB698" s="90"/>
      <c r="BC698" s="90"/>
      <c r="BD698" s="90"/>
      <c r="BE698" s="90"/>
      <c r="BF698" s="90"/>
      <c r="BG698" s="90"/>
      <c r="BH698" s="90"/>
      <c r="BI698" s="90"/>
      <c r="BJ698" s="90"/>
      <c r="BK698" s="90"/>
      <c r="BL698" s="90"/>
      <c r="BM698" s="90"/>
      <c r="BN698" s="90"/>
      <c r="BO698" s="90"/>
      <c r="BP698" s="90"/>
      <c r="BQ698" s="90"/>
      <c r="BR698" s="90"/>
      <c r="BS698" s="90"/>
      <c r="BT698" s="90"/>
      <c r="BU698" s="90"/>
      <c r="BV698" s="90"/>
      <c r="BW698" s="90"/>
      <c r="BX698" s="90"/>
      <c r="BY698" s="90"/>
    </row>
    <row r="699" spans="1:77" ht="15.75" customHeight="1" thickBot="1" x14ac:dyDescent="0.3">
      <c r="A699" s="89"/>
      <c r="B699" s="89"/>
      <c r="C699" s="78"/>
      <c r="D699" s="78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352"/>
      <c r="AA699" s="352"/>
      <c r="AB699" s="352"/>
      <c r="AC699" s="352"/>
      <c r="AD699" s="352"/>
      <c r="AE699" s="352"/>
      <c r="AF699" s="352"/>
      <c r="AG699" s="91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90"/>
      <c r="BB699" s="90"/>
      <c r="BC699" s="90"/>
      <c r="BD699" s="90"/>
      <c r="BE699" s="90"/>
      <c r="BF699" s="90"/>
      <c r="BG699" s="90"/>
      <c r="BH699" s="90"/>
      <c r="BI699" s="90"/>
      <c r="BJ699" s="90"/>
      <c r="BK699" s="90"/>
      <c r="BL699" s="90"/>
      <c r="BM699" s="90"/>
      <c r="BN699" s="90"/>
      <c r="BO699" s="90"/>
      <c r="BP699" s="90"/>
      <c r="BQ699" s="90"/>
      <c r="BR699" s="90"/>
      <c r="BS699" s="90"/>
      <c r="BT699" s="90"/>
      <c r="BU699" s="90"/>
      <c r="BV699" s="90"/>
      <c r="BW699" s="90"/>
      <c r="BX699" s="90"/>
      <c r="BY699" s="90"/>
    </row>
    <row r="700" spans="1:77" ht="15.75" customHeight="1" thickBot="1" x14ac:dyDescent="0.3">
      <c r="A700" s="89"/>
      <c r="B700" s="89"/>
      <c r="C700" s="78"/>
      <c r="D700" s="78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352"/>
      <c r="AA700" s="352"/>
      <c r="AB700" s="352"/>
      <c r="AC700" s="352"/>
      <c r="AD700" s="352"/>
      <c r="AE700" s="352"/>
      <c r="AF700" s="352"/>
      <c r="AG700" s="91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90"/>
      <c r="BB700" s="90"/>
      <c r="BC700" s="90"/>
      <c r="BD700" s="90"/>
      <c r="BE700" s="90"/>
      <c r="BF700" s="90"/>
      <c r="BG700" s="90"/>
      <c r="BH700" s="90"/>
      <c r="BI700" s="90"/>
      <c r="BJ700" s="90"/>
      <c r="BK700" s="90"/>
      <c r="BL700" s="90"/>
      <c r="BM700" s="90"/>
      <c r="BN700" s="90"/>
      <c r="BO700" s="90"/>
      <c r="BP700" s="90"/>
      <c r="BQ700" s="90"/>
      <c r="BR700" s="90"/>
      <c r="BS700" s="90"/>
      <c r="BT700" s="90"/>
      <c r="BU700" s="90"/>
      <c r="BV700" s="90"/>
      <c r="BW700" s="90"/>
      <c r="BX700" s="90"/>
      <c r="BY700" s="90"/>
    </row>
    <row r="701" spans="1:77" ht="15.75" customHeight="1" thickBot="1" x14ac:dyDescent="0.3">
      <c r="A701" s="89"/>
      <c r="B701" s="89"/>
      <c r="C701" s="78"/>
      <c r="D701" s="78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352"/>
      <c r="AA701" s="352"/>
      <c r="AB701" s="352"/>
      <c r="AC701" s="352"/>
      <c r="AD701" s="352"/>
      <c r="AE701" s="352"/>
      <c r="AF701" s="352"/>
      <c r="AG701" s="91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90"/>
      <c r="BB701" s="90"/>
      <c r="BC701" s="90"/>
      <c r="BD701" s="90"/>
      <c r="BE701" s="90"/>
      <c r="BF701" s="90"/>
      <c r="BG701" s="90"/>
      <c r="BH701" s="90"/>
      <c r="BI701" s="90"/>
      <c r="BJ701" s="90"/>
      <c r="BK701" s="90"/>
      <c r="BL701" s="90"/>
      <c r="BM701" s="90"/>
      <c r="BN701" s="90"/>
      <c r="BO701" s="90"/>
      <c r="BP701" s="90"/>
      <c r="BQ701" s="90"/>
      <c r="BR701" s="90"/>
      <c r="BS701" s="90"/>
      <c r="BT701" s="90"/>
      <c r="BU701" s="90"/>
      <c r="BV701" s="90"/>
      <c r="BW701" s="90"/>
      <c r="BX701" s="90"/>
      <c r="BY701" s="90"/>
    </row>
    <row r="702" spans="1:77" ht="15.75" customHeight="1" thickBot="1" x14ac:dyDescent="0.3">
      <c r="A702" s="89"/>
      <c r="B702" s="89"/>
      <c r="C702" s="78"/>
      <c r="D702" s="78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352"/>
      <c r="AA702" s="352"/>
      <c r="AB702" s="352"/>
      <c r="AC702" s="352"/>
      <c r="AD702" s="352"/>
      <c r="AE702" s="352"/>
      <c r="AF702" s="352"/>
      <c r="AG702" s="91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90"/>
      <c r="BB702" s="90"/>
      <c r="BC702" s="90"/>
      <c r="BD702" s="90"/>
      <c r="BE702" s="90"/>
      <c r="BF702" s="90"/>
      <c r="BG702" s="90"/>
      <c r="BH702" s="90"/>
      <c r="BI702" s="90"/>
      <c r="BJ702" s="90"/>
      <c r="BK702" s="90"/>
      <c r="BL702" s="90"/>
      <c r="BM702" s="90"/>
      <c r="BN702" s="90"/>
      <c r="BO702" s="90"/>
      <c r="BP702" s="90"/>
      <c r="BQ702" s="90"/>
      <c r="BR702" s="90"/>
      <c r="BS702" s="90"/>
      <c r="BT702" s="90"/>
      <c r="BU702" s="90"/>
      <c r="BV702" s="90"/>
      <c r="BW702" s="90"/>
      <c r="BX702" s="90"/>
      <c r="BY702" s="90"/>
    </row>
    <row r="703" spans="1:77" ht="15.75" customHeight="1" thickBot="1" x14ac:dyDescent="0.3">
      <c r="A703" s="89"/>
      <c r="B703" s="89"/>
      <c r="C703" s="78"/>
      <c r="D703" s="78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352"/>
      <c r="AA703" s="352"/>
      <c r="AB703" s="352"/>
      <c r="AC703" s="352"/>
      <c r="AD703" s="352"/>
      <c r="AE703" s="352"/>
      <c r="AF703" s="352"/>
      <c r="AG703" s="91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90"/>
      <c r="BC703" s="90"/>
      <c r="BD703" s="90"/>
      <c r="BE703" s="90"/>
      <c r="BF703" s="90"/>
      <c r="BG703" s="90"/>
      <c r="BH703" s="90"/>
      <c r="BI703" s="90"/>
      <c r="BJ703" s="90"/>
      <c r="BK703" s="90"/>
      <c r="BL703" s="90"/>
      <c r="BM703" s="90"/>
      <c r="BN703" s="90"/>
      <c r="BO703" s="90"/>
      <c r="BP703" s="90"/>
      <c r="BQ703" s="90"/>
      <c r="BR703" s="90"/>
      <c r="BS703" s="90"/>
      <c r="BT703" s="90"/>
      <c r="BU703" s="90"/>
      <c r="BV703" s="90"/>
      <c r="BW703" s="90"/>
      <c r="BX703" s="90"/>
      <c r="BY703" s="90"/>
    </row>
    <row r="704" spans="1:77" ht="15.75" customHeight="1" thickBot="1" x14ac:dyDescent="0.3">
      <c r="A704" s="89"/>
      <c r="B704" s="89"/>
      <c r="C704" s="78"/>
      <c r="D704" s="78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352"/>
      <c r="AA704" s="352"/>
      <c r="AB704" s="352"/>
      <c r="AC704" s="352"/>
      <c r="AD704" s="352"/>
      <c r="AE704" s="352"/>
      <c r="AF704" s="352"/>
      <c r="AG704" s="91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0"/>
      <c r="BF704" s="90"/>
      <c r="BG704" s="90"/>
      <c r="BH704" s="90"/>
      <c r="BI704" s="90"/>
      <c r="BJ704" s="90"/>
      <c r="BK704" s="90"/>
      <c r="BL704" s="90"/>
      <c r="BM704" s="90"/>
      <c r="BN704" s="90"/>
      <c r="BO704" s="90"/>
      <c r="BP704" s="90"/>
      <c r="BQ704" s="90"/>
      <c r="BR704" s="90"/>
      <c r="BS704" s="90"/>
      <c r="BT704" s="90"/>
      <c r="BU704" s="90"/>
      <c r="BV704" s="90"/>
      <c r="BW704" s="90"/>
      <c r="BX704" s="90"/>
      <c r="BY704" s="90"/>
    </row>
    <row r="705" spans="1:77" ht="15.75" customHeight="1" thickBot="1" x14ac:dyDescent="0.3">
      <c r="A705" s="89"/>
      <c r="B705" s="89"/>
      <c r="C705" s="78"/>
      <c r="D705" s="78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352"/>
      <c r="AA705" s="352"/>
      <c r="AB705" s="352"/>
      <c r="AC705" s="352"/>
      <c r="AD705" s="352"/>
      <c r="AE705" s="352"/>
      <c r="AF705" s="352"/>
      <c r="AG705" s="91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  <c r="BF705" s="90"/>
      <c r="BG705" s="90"/>
      <c r="BH705" s="90"/>
      <c r="BI705" s="90"/>
      <c r="BJ705" s="90"/>
      <c r="BK705" s="90"/>
      <c r="BL705" s="90"/>
      <c r="BM705" s="90"/>
      <c r="BN705" s="90"/>
      <c r="BO705" s="90"/>
      <c r="BP705" s="90"/>
      <c r="BQ705" s="90"/>
      <c r="BR705" s="90"/>
      <c r="BS705" s="90"/>
      <c r="BT705" s="90"/>
      <c r="BU705" s="90"/>
      <c r="BV705" s="90"/>
      <c r="BW705" s="90"/>
      <c r="BX705" s="90"/>
      <c r="BY705" s="90"/>
    </row>
    <row r="706" spans="1:77" ht="15.75" customHeight="1" thickBot="1" x14ac:dyDescent="0.3">
      <c r="A706" s="89"/>
      <c r="B706" s="89"/>
      <c r="C706" s="78"/>
      <c r="D706" s="78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352"/>
      <c r="AA706" s="352"/>
      <c r="AB706" s="352"/>
      <c r="AC706" s="352"/>
      <c r="AD706" s="352"/>
      <c r="AE706" s="352"/>
      <c r="AF706" s="352"/>
      <c r="AG706" s="91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0"/>
      <c r="BF706" s="90"/>
      <c r="BG706" s="90"/>
      <c r="BH706" s="90"/>
      <c r="BI706" s="90"/>
      <c r="BJ706" s="90"/>
      <c r="BK706" s="90"/>
      <c r="BL706" s="90"/>
      <c r="BM706" s="90"/>
      <c r="BN706" s="90"/>
      <c r="BO706" s="90"/>
      <c r="BP706" s="90"/>
      <c r="BQ706" s="90"/>
      <c r="BR706" s="90"/>
      <c r="BS706" s="90"/>
      <c r="BT706" s="90"/>
      <c r="BU706" s="90"/>
      <c r="BV706" s="90"/>
      <c r="BW706" s="90"/>
      <c r="BX706" s="90"/>
      <c r="BY706" s="90"/>
    </row>
    <row r="707" spans="1:77" ht="15.75" customHeight="1" thickBot="1" x14ac:dyDescent="0.3">
      <c r="A707" s="89"/>
      <c r="B707" s="89"/>
      <c r="C707" s="78"/>
      <c r="D707" s="78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352"/>
      <c r="AA707" s="352"/>
      <c r="AB707" s="352"/>
      <c r="AC707" s="352"/>
      <c r="AD707" s="352"/>
      <c r="AE707" s="352"/>
      <c r="AF707" s="352"/>
      <c r="AG707" s="91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90"/>
      <c r="BB707" s="90"/>
      <c r="BC707" s="90"/>
      <c r="BD707" s="90"/>
      <c r="BE707" s="90"/>
      <c r="BF707" s="90"/>
      <c r="BG707" s="90"/>
      <c r="BH707" s="90"/>
      <c r="BI707" s="90"/>
      <c r="BJ707" s="90"/>
      <c r="BK707" s="90"/>
      <c r="BL707" s="90"/>
      <c r="BM707" s="90"/>
      <c r="BN707" s="90"/>
      <c r="BO707" s="90"/>
      <c r="BP707" s="90"/>
      <c r="BQ707" s="90"/>
      <c r="BR707" s="90"/>
      <c r="BS707" s="90"/>
      <c r="BT707" s="90"/>
      <c r="BU707" s="90"/>
      <c r="BV707" s="90"/>
      <c r="BW707" s="90"/>
      <c r="BX707" s="90"/>
      <c r="BY707" s="90"/>
    </row>
    <row r="708" spans="1:77" ht="15.75" customHeight="1" thickBot="1" x14ac:dyDescent="0.3">
      <c r="A708" s="89"/>
      <c r="B708" s="89"/>
      <c r="C708" s="78"/>
      <c r="D708" s="78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352"/>
      <c r="AA708" s="352"/>
      <c r="AB708" s="352"/>
      <c r="AC708" s="352"/>
      <c r="AD708" s="352"/>
      <c r="AE708" s="352"/>
      <c r="AF708" s="352"/>
      <c r="AG708" s="91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90"/>
      <c r="BC708" s="90"/>
      <c r="BD708" s="90"/>
      <c r="BE708" s="90"/>
      <c r="BF708" s="90"/>
      <c r="BG708" s="90"/>
      <c r="BH708" s="90"/>
      <c r="BI708" s="90"/>
      <c r="BJ708" s="90"/>
      <c r="BK708" s="90"/>
      <c r="BL708" s="90"/>
      <c r="BM708" s="90"/>
      <c r="BN708" s="90"/>
      <c r="BO708" s="90"/>
      <c r="BP708" s="90"/>
      <c r="BQ708" s="90"/>
      <c r="BR708" s="90"/>
      <c r="BS708" s="90"/>
      <c r="BT708" s="90"/>
      <c r="BU708" s="90"/>
      <c r="BV708" s="90"/>
      <c r="BW708" s="90"/>
      <c r="BX708" s="90"/>
      <c r="BY708" s="90"/>
    </row>
    <row r="709" spans="1:77" ht="15.75" customHeight="1" thickBot="1" x14ac:dyDescent="0.3">
      <c r="A709" s="89"/>
      <c r="B709" s="89"/>
      <c r="C709" s="78"/>
      <c r="D709" s="78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352"/>
      <c r="AA709" s="352"/>
      <c r="AB709" s="352"/>
      <c r="AC709" s="352"/>
      <c r="AD709" s="352"/>
      <c r="AE709" s="352"/>
      <c r="AF709" s="352"/>
      <c r="AG709" s="91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0"/>
      <c r="BG709" s="90"/>
      <c r="BH709" s="90"/>
      <c r="BI709" s="90"/>
      <c r="BJ709" s="90"/>
      <c r="BK709" s="90"/>
      <c r="BL709" s="90"/>
      <c r="BM709" s="90"/>
      <c r="BN709" s="90"/>
      <c r="BO709" s="90"/>
      <c r="BP709" s="90"/>
      <c r="BQ709" s="90"/>
      <c r="BR709" s="90"/>
      <c r="BS709" s="90"/>
      <c r="BT709" s="90"/>
      <c r="BU709" s="90"/>
      <c r="BV709" s="90"/>
      <c r="BW709" s="90"/>
      <c r="BX709" s="90"/>
      <c r="BY709" s="90"/>
    </row>
    <row r="710" spans="1:77" ht="15.75" customHeight="1" thickBot="1" x14ac:dyDescent="0.3">
      <c r="A710" s="89"/>
      <c r="B710" s="89"/>
      <c r="C710" s="78"/>
      <c r="D710" s="78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352"/>
      <c r="AA710" s="352"/>
      <c r="AB710" s="352"/>
      <c r="AC710" s="352"/>
      <c r="AD710" s="352"/>
      <c r="AE710" s="352"/>
      <c r="AF710" s="352"/>
      <c r="AG710" s="91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90"/>
      <c r="BB710" s="90"/>
      <c r="BC710" s="90"/>
      <c r="BD710" s="90"/>
      <c r="BE710" s="90"/>
      <c r="BF710" s="90"/>
      <c r="BG710" s="90"/>
      <c r="BH710" s="90"/>
      <c r="BI710" s="90"/>
      <c r="BJ710" s="90"/>
      <c r="BK710" s="90"/>
      <c r="BL710" s="90"/>
      <c r="BM710" s="90"/>
      <c r="BN710" s="90"/>
      <c r="BO710" s="90"/>
      <c r="BP710" s="90"/>
      <c r="BQ710" s="90"/>
      <c r="BR710" s="90"/>
      <c r="BS710" s="90"/>
      <c r="BT710" s="90"/>
      <c r="BU710" s="90"/>
      <c r="BV710" s="90"/>
      <c r="BW710" s="90"/>
      <c r="BX710" s="90"/>
      <c r="BY710" s="90"/>
    </row>
    <row r="711" spans="1:77" ht="15.75" customHeight="1" thickBot="1" x14ac:dyDescent="0.3">
      <c r="A711" s="89"/>
      <c r="B711" s="89"/>
      <c r="C711" s="78"/>
      <c r="D711" s="78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352"/>
      <c r="AA711" s="352"/>
      <c r="AB711" s="352"/>
      <c r="AC711" s="352"/>
      <c r="AD711" s="352"/>
      <c r="AE711" s="352"/>
      <c r="AF711" s="352"/>
      <c r="AG711" s="91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90"/>
      <c r="BB711" s="90"/>
      <c r="BC711" s="90"/>
      <c r="BD711" s="90"/>
      <c r="BE711" s="90"/>
      <c r="BF711" s="90"/>
      <c r="BG711" s="90"/>
      <c r="BH711" s="90"/>
      <c r="BI711" s="90"/>
      <c r="BJ711" s="90"/>
      <c r="BK711" s="90"/>
      <c r="BL711" s="90"/>
      <c r="BM711" s="90"/>
      <c r="BN711" s="90"/>
      <c r="BO711" s="90"/>
      <c r="BP711" s="90"/>
      <c r="BQ711" s="90"/>
      <c r="BR711" s="90"/>
      <c r="BS711" s="90"/>
      <c r="BT711" s="90"/>
      <c r="BU711" s="90"/>
      <c r="BV711" s="90"/>
      <c r="BW711" s="90"/>
      <c r="BX711" s="90"/>
      <c r="BY711" s="90"/>
    </row>
    <row r="712" spans="1:77" ht="15.75" customHeight="1" thickBot="1" x14ac:dyDescent="0.3">
      <c r="A712" s="89"/>
      <c r="B712" s="89"/>
      <c r="C712" s="78"/>
      <c r="D712" s="78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352"/>
      <c r="AA712" s="352"/>
      <c r="AB712" s="352"/>
      <c r="AC712" s="352"/>
      <c r="AD712" s="352"/>
      <c r="AE712" s="352"/>
      <c r="AF712" s="352"/>
      <c r="AG712" s="91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  <c r="BA712" s="90"/>
      <c r="BB712" s="90"/>
      <c r="BC712" s="90"/>
      <c r="BD712" s="90"/>
      <c r="BE712" s="90"/>
      <c r="BF712" s="90"/>
      <c r="BG712" s="90"/>
      <c r="BH712" s="90"/>
      <c r="BI712" s="90"/>
      <c r="BJ712" s="90"/>
      <c r="BK712" s="90"/>
      <c r="BL712" s="90"/>
      <c r="BM712" s="90"/>
      <c r="BN712" s="90"/>
      <c r="BO712" s="90"/>
      <c r="BP712" s="90"/>
      <c r="BQ712" s="90"/>
      <c r="BR712" s="90"/>
      <c r="BS712" s="90"/>
      <c r="BT712" s="90"/>
      <c r="BU712" s="90"/>
      <c r="BV712" s="90"/>
      <c r="BW712" s="90"/>
      <c r="BX712" s="90"/>
      <c r="BY712" s="90"/>
    </row>
    <row r="713" spans="1:77" ht="15.75" customHeight="1" thickBot="1" x14ac:dyDescent="0.3">
      <c r="A713" s="89"/>
      <c r="B713" s="89"/>
      <c r="C713" s="78"/>
      <c r="D713" s="78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352"/>
      <c r="AA713" s="352"/>
      <c r="AB713" s="352"/>
      <c r="AC713" s="352"/>
      <c r="AD713" s="352"/>
      <c r="AE713" s="352"/>
      <c r="AF713" s="352"/>
      <c r="AG713" s="91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  <c r="BA713" s="90"/>
      <c r="BB713" s="90"/>
      <c r="BC713" s="90"/>
      <c r="BD713" s="90"/>
      <c r="BE713" s="90"/>
      <c r="BF713" s="90"/>
      <c r="BG713" s="90"/>
      <c r="BH713" s="90"/>
      <c r="BI713" s="90"/>
      <c r="BJ713" s="90"/>
      <c r="BK713" s="90"/>
      <c r="BL713" s="90"/>
      <c r="BM713" s="90"/>
      <c r="BN713" s="90"/>
      <c r="BO713" s="90"/>
      <c r="BP713" s="90"/>
      <c r="BQ713" s="90"/>
      <c r="BR713" s="90"/>
      <c r="BS713" s="90"/>
      <c r="BT713" s="90"/>
      <c r="BU713" s="90"/>
      <c r="BV713" s="90"/>
      <c r="BW713" s="90"/>
      <c r="BX713" s="90"/>
      <c r="BY713" s="90"/>
    </row>
    <row r="714" spans="1:77" ht="15.75" customHeight="1" thickBot="1" x14ac:dyDescent="0.3">
      <c r="A714" s="89"/>
      <c r="B714" s="89"/>
      <c r="C714" s="78"/>
      <c r="D714" s="78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352"/>
      <c r="AA714" s="352"/>
      <c r="AB714" s="352"/>
      <c r="AC714" s="352"/>
      <c r="AD714" s="352"/>
      <c r="AE714" s="352"/>
      <c r="AF714" s="352"/>
      <c r="AG714" s="91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  <c r="BA714" s="90"/>
      <c r="BB714" s="90"/>
      <c r="BC714" s="90"/>
      <c r="BD714" s="90"/>
      <c r="BE714" s="90"/>
      <c r="BF714" s="90"/>
      <c r="BG714" s="90"/>
      <c r="BH714" s="90"/>
      <c r="BI714" s="90"/>
      <c r="BJ714" s="90"/>
      <c r="BK714" s="90"/>
      <c r="BL714" s="90"/>
      <c r="BM714" s="90"/>
      <c r="BN714" s="90"/>
      <c r="BO714" s="90"/>
      <c r="BP714" s="90"/>
      <c r="BQ714" s="90"/>
      <c r="BR714" s="90"/>
      <c r="BS714" s="90"/>
      <c r="BT714" s="90"/>
      <c r="BU714" s="90"/>
      <c r="BV714" s="90"/>
      <c r="BW714" s="90"/>
      <c r="BX714" s="90"/>
      <c r="BY714" s="90"/>
    </row>
    <row r="715" spans="1:77" ht="15.75" customHeight="1" thickBot="1" x14ac:dyDescent="0.3">
      <c r="A715" s="89"/>
      <c r="B715" s="89"/>
      <c r="C715" s="78"/>
      <c r="D715" s="78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352"/>
      <c r="AA715" s="352"/>
      <c r="AB715" s="352"/>
      <c r="AC715" s="352"/>
      <c r="AD715" s="352"/>
      <c r="AE715" s="352"/>
      <c r="AF715" s="352"/>
      <c r="AG715" s="91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  <c r="BA715" s="90"/>
      <c r="BB715" s="90"/>
      <c r="BC715" s="90"/>
      <c r="BD715" s="90"/>
      <c r="BE715" s="90"/>
      <c r="BF715" s="90"/>
      <c r="BG715" s="90"/>
      <c r="BH715" s="90"/>
      <c r="BI715" s="90"/>
      <c r="BJ715" s="90"/>
      <c r="BK715" s="90"/>
      <c r="BL715" s="90"/>
      <c r="BM715" s="90"/>
      <c r="BN715" s="90"/>
      <c r="BO715" s="90"/>
      <c r="BP715" s="90"/>
      <c r="BQ715" s="90"/>
      <c r="BR715" s="90"/>
      <c r="BS715" s="90"/>
      <c r="BT715" s="90"/>
      <c r="BU715" s="90"/>
      <c r="BV715" s="90"/>
      <c r="BW715" s="90"/>
      <c r="BX715" s="90"/>
      <c r="BY715" s="90"/>
    </row>
    <row r="716" spans="1:77" ht="15.75" customHeight="1" thickBot="1" x14ac:dyDescent="0.3">
      <c r="A716" s="89"/>
      <c r="B716" s="89"/>
      <c r="C716" s="78"/>
      <c r="D716" s="78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352"/>
      <c r="AA716" s="352"/>
      <c r="AB716" s="352"/>
      <c r="AC716" s="352"/>
      <c r="AD716" s="352"/>
      <c r="AE716" s="352"/>
      <c r="AF716" s="352"/>
      <c r="AG716" s="91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0"/>
      <c r="BA716" s="90"/>
      <c r="BB716" s="90"/>
      <c r="BC716" s="90"/>
      <c r="BD716" s="90"/>
      <c r="BE716" s="90"/>
      <c r="BF716" s="90"/>
      <c r="BG716" s="90"/>
      <c r="BH716" s="90"/>
      <c r="BI716" s="90"/>
      <c r="BJ716" s="90"/>
      <c r="BK716" s="90"/>
      <c r="BL716" s="90"/>
      <c r="BM716" s="90"/>
      <c r="BN716" s="90"/>
      <c r="BO716" s="90"/>
      <c r="BP716" s="90"/>
      <c r="BQ716" s="90"/>
      <c r="BR716" s="90"/>
      <c r="BS716" s="90"/>
      <c r="BT716" s="90"/>
      <c r="BU716" s="90"/>
      <c r="BV716" s="90"/>
      <c r="BW716" s="90"/>
      <c r="BX716" s="90"/>
      <c r="BY716" s="90"/>
    </row>
    <row r="717" spans="1:77" ht="15.75" customHeight="1" thickBot="1" x14ac:dyDescent="0.3">
      <c r="A717" s="89"/>
      <c r="B717" s="89"/>
      <c r="C717" s="78"/>
      <c r="D717" s="78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352"/>
      <c r="AA717" s="352"/>
      <c r="AB717" s="352"/>
      <c r="AC717" s="352"/>
      <c r="AD717" s="352"/>
      <c r="AE717" s="352"/>
      <c r="AF717" s="352"/>
      <c r="AG717" s="91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0"/>
      <c r="BF717" s="90"/>
      <c r="BG717" s="90"/>
      <c r="BH717" s="90"/>
      <c r="BI717" s="90"/>
      <c r="BJ717" s="90"/>
      <c r="BK717" s="90"/>
      <c r="BL717" s="90"/>
      <c r="BM717" s="90"/>
      <c r="BN717" s="90"/>
      <c r="BO717" s="90"/>
      <c r="BP717" s="90"/>
      <c r="BQ717" s="90"/>
      <c r="BR717" s="90"/>
      <c r="BS717" s="90"/>
      <c r="BT717" s="90"/>
      <c r="BU717" s="90"/>
      <c r="BV717" s="90"/>
      <c r="BW717" s="90"/>
      <c r="BX717" s="90"/>
      <c r="BY717" s="90"/>
    </row>
    <row r="718" spans="1:77" ht="15.75" customHeight="1" thickBot="1" x14ac:dyDescent="0.3">
      <c r="A718" s="89"/>
      <c r="B718" s="89"/>
      <c r="C718" s="78"/>
      <c r="D718" s="78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352"/>
      <c r="AA718" s="352"/>
      <c r="AB718" s="352"/>
      <c r="AC718" s="352"/>
      <c r="AD718" s="352"/>
      <c r="AE718" s="352"/>
      <c r="AF718" s="352"/>
      <c r="AG718" s="91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  <c r="BA718" s="90"/>
      <c r="BB718" s="90"/>
      <c r="BC718" s="90"/>
      <c r="BD718" s="90"/>
      <c r="BE718" s="90"/>
      <c r="BF718" s="90"/>
      <c r="BG718" s="90"/>
      <c r="BH718" s="90"/>
      <c r="BI718" s="90"/>
      <c r="BJ718" s="90"/>
      <c r="BK718" s="90"/>
      <c r="BL718" s="90"/>
      <c r="BM718" s="90"/>
      <c r="BN718" s="90"/>
      <c r="BO718" s="90"/>
      <c r="BP718" s="90"/>
      <c r="BQ718" s="90"/>
      <c r="BR718" s="90"/>
      <c r="BS718" s="90"/>
      <c r="BT718" s="90"/>
      <c r="BU718" s="90"/>
      <c r="BV718" s="90"/>
      <c r="BW718" s="90"/>
      <c r="BX718" s="90"/>
      <c r="BY718" s="90"/>
    </row>
    <row r="719" spans="1:77" ht="15.75" customHeight="1" thickBot="1" x14ac:dyDescent="0.3">
      <c r="A719" s="89"/>
      <c r="B719" s="89"/>
      <c r="C719" s="78"/>
      <c r="D719" s="78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352"/>
      <c r="AA719" s="352"/>
      <c r="AB719" s="352"/>
      <c r="AC719" s="352"/>
      <c r="AD719" s="352"/>
      <c r="AE719" s="352"/>
      <c r="AF719" s="352"/>
      <c r="AG719" s="91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  <c r="BA719" s="90"/>
      <c r="BB719" s="90"/>
      <c r="BC719" s="90"/>
      <c r="BD719" s="90"/>
      <c r="BE719" s="90"/>
      <c r="BF719" s="90"/>
      <c r="BG719" s="90"/>
      <c r="BH719" s="90"/>
      <c r="BI719" s="90"/>
      <c r="BJ719" s="90"/>
      <c r="BK719" s="90"/>
      <c r="BL719" s="90"/>
      <c r="BM719" s="90"/>
      <c r="BN719" s="90"/>
      <c r="BO719" s="90"/>
      <c r="BP719" s="90"/>
      <c r="BQ719" s="90"/>
      <c r="BR719" s="90"/>
      <c r="BS719" s="90"/>
      <c r="BT719" s="90"/>
      <c r="BU719" s="90"/>
      <c r="BV719" s="90"/>
      <c r="BW719" s="90"/>
      <c r="BX719" s="90"/>
      <c r="BY719" s="90"/>
    </row>
    <row r="720" spans="1:77" ht="15.75" customHeight="1" thickBot="1" x14ac:dyDescent="0.3">
      <c r="A720" s="89"/>
      <c r="B720" s="89"/>
      <c r="C720" s="78"/>
      <c r="D720" s="78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352"/>
      <c r="AA720" s="352"/>
      <c r="AB720" s="352"/>
      <c r="AC720" s="352"/>
      <c r="AD720" s="352"/>
      <c r="AE720" s="352"/>
      <c r="AF720" s="352"/>
      <c r="AG720" s="91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  <c r="BA720" s="90"/>
      <c r="BB720" s="90"/>
      <c r="BC720" s="90"/>
      <c r="BD720" s="90"/>
      <c r="BE720" s="90"/>
      <c r="BF720" s="90"/>
      <c r="BG720" s="90"/>
      <c r="BH720" s="90"/>
      <c r="BI720" s="90"/>
      <c r="BJ720" s="90"/>
      <c r="BK720" s="90"/>
      <c r="BL720" s="90"/>
      <c r="BM720" s="90"/>
      <c r="BN720" s="90"/>
      <c r="BO720" s="90"/>
      <c r="BP720" s="90"/>
      <c r="BQ720" s="90"/>
      <c r="BR720" s="90"/>
      <c r="BS720" s="90"/>
      <c r="BT720" s="90"/>
      <c r="BU720" s="90"/>
      <c r="BV720" s="90"/>
      <c r="BW720" s="90"/>
      <c r="BX720" s="90"/>
      <c r="BY720" s="90"/>
    </row>
    <row r="721" spans="1:77" ht="15.75" customHeight="1" thickBot="1" x14ac:dyDescent="0.3">
      <c r="A721" s="89"/>
      <c r="B721" s="89"/>
      <c r="C721" s="78"/>
      <c r="D721" s="78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352"/>
      <c r="AA721" s="352"/>
      <c r="AB721" s="352"/>
      <c r="AC721" s="352"/>
      <c r="AD721" s="352"/>
      <c r="AE721" s="352"/>
      <c r="AF721" s="352"/>
      <c r="AG721" s="91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  <c r="BA721" s="90"/>
      <c r="BB721" s="90"/>
      <c r="BC721" s="90"/>
      <c r="BD721" s="90"/>
      <c r="BE721" s="90"/>
      <c r="BF721" s="90"/>
      <c r="BG721" s="90"/>
      <c r="BH721" s="90"/>
      <c r="BI721" s="90"/>
      <c r="BJ721" s="90"/>
      <c r="BK721" s="90"/>
      <c r="BL721" s="90"/>
      <c r="BM721" s="90"/>
      <c r="BN721" s="90"/>
      <c r="BO721" s="90"/>
      <c r="BP721" s="90"/>
      <c r="BQ721" s="90"/>
      <c r="BR721" s="90"/>
      <c r="BS721" s="90"/>
      <c r="BT721" s="90"/>
      <c r="BU721" s="90"/>
      <c r="BV721" s="90"/>
      <c r="BW721" s="90"/>
      <c r="BX721" s="90"/>
      <c r="BY721" s="90"/>
    </row>
    <row r="722" spans="1:77" ht="15.75" customHeight="1" thickBot="1" x14ac:dyDescent="0.3">
      <c r="A722" s="89"/>
      <c r="B722" s="89"/>
      <c r="C722" s="78"/>
      <c r="D722" s="78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352"/>
      <c r="AA722" s="352"/>
      <c r="AB722" s="352"/>
      <c r="AC722" s="352"/>
      <c r="AD722" s="352"/>
      <c r="AE722" s="352"/>
      <c r="AF722" s="352"/>
      <c r="AG722" s="91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  <c r="BA722" s="90"/>
      <c r="BB722" s="90"/>
      <c r="BC722" s="90"/>
      <c r="BD722" s="90"/>
      <c r="BE722" s="90"/>
      <c r="BF722" s="90"/>
      <c r="BG722" s="90"/>
      <c r="BH722" s="90"/>
      <c r="BI722" s="90"/>
      <c r="BJ722" s="90"/>
      <c r="BK722" s="90"/>
      <c r="BL722" s="90"/>
      <c r="BM722" s="90"/>
      <c r="BN722" s="90"/>
      <c r="BO722" s="90"/>
      <c r="BP722" s="90"/>
      <c r="BQ722" s="90"/>
      <c r="BR722" s="90"/>
      <c r="BS722" s="90"/>
      <c r="BT722" s="90"/>
      <c r="BU722" s="90"/>
      <c r="BV722" s="90"/>
      <c r="BW722" s="90"/>
      <c r="BX722" s="90"/>
      <c r="BY722" s="90"/>
    </row>
    <row r="723" spans="1:77" ht="15.75" customHeight="1" thickBot="1" x14ac:dyDescent="0.3">
      <c r="A723" s="89"/>
      <c r="B723" s="89"/>
      <c r="C723" s="78"/>
      <c r="D723" s="78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352"/>
      <c r="AA723" s="352"/>
      <c r="AB723" s="352"/>
      <c r="AC723" s="352"/>
      <c r="AD723" s="352"/>
      <c r="AE723" s="352"/>
      <c r="AF723" s="352"/>
      <c r="AG723" s="91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90"/>
      <c r="BC723" s="90"/>
      <c r="BD723" s="90"/>
      <c r="BE723" s="90"/>
      <c r="BF723" s="90"/>
      <c r="BG723" s="90"/>
      <c r="BH723" s="90"/>
      <c r="BI723" s="90"/>
      <c r="BJ723" s="90"/>
      <c r="BK723" s="90"/>
      <c r="BL723" s="90"/>
      <c r="BM723" s="90"/>
      <c r="BN723" s="90"/>
      <c r="BO723" s="90"/>
      <c r="BP723" s="90"/>
      <c r="BQ723" s="90"/>
      <c r="BR723" s="90"/>
      <c r="BS723" s="90"/>
      <c r="BT723" s="90"/>
      <c r="BU723" s="90"/>
      <c r="BV723" s="90"/>
      <c r="BW723" s="90"/>
      <c r="BX723" s="90"/>
      <c r="BY723" s="90"/>
    </row>
    <row r="724" spans="1:77" ht="15.75" customHeight="1" thickBot="1" x14ac:dyDescent="0.3">
      <c r="A724" s="89"/>
      <c r="B724" s="89"/>
      <c r="C724" s="78"/>
      <c r="D724" s="78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352"/>
      <c r="AA724" s="352"/>
      <c r="AB724" s="352"/>
      <c r="AC724" s="352"/>
      <c r="AD724" s="352"/>
      <c r="AE724" s="352"/>
      <c r="AF724" s="352"/>
      <c r="AG724" s="91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90"/>
      <c r="BB724" s="90"/>
      <c r="BC724" s="90"/>
      <c r="BD724" s="90"/>
      <c r="BE724" s="90"/>
      <c r="BF724" s="90"/>
      <c r="BG724" s="90"/>
      <c r="BH724" s="90"/>
      <c r="BI724" s="90"/>
      <c r="BJ724" s="90"/>
      <c r="BK724" s="90"/>
      <c r="BL724" s="90"/>
      <c r="BM724" s="90"/>
      <c r="BN724" s="90"/>
      <c r="BO724" s="90"/>
      <c r="BP724" s="90"/>
      <c r="BQ724" s="90"/>
      <c r="BR724" s="90"/>
      <c r="BS724" s="90"/>
      <c r="BT724" s="90"/>
      <c r="BU724" s="90"/>
      <c r="BV724" s="90"/>
      <c r="BW724" s="90"/>
      <c r="BX724" s="90"/>
      <c r="BY724" s="90"/>
    </row>
    <row r="725" spans="1:77" ht="15.75" customHeight="1" thickBot="1" x14ac:dyDescent="0.3">
      <c r="A725" s="89"/>
      <c r="B725" s="89"/>
      <c r="C725" s="78"/>
      <c r="D725" s="78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352"/>
      <c r="AA725" s="352"/>
      <c r="AB725" s="352"/>
      <c r="AC725" s="352"/>
      <c r="AD725" s="352"/>
      <c r="AE725" s="352"/>
      <c r="AF725" s="352"/>
      <c r="AG725" s="91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90"/>
      <c r="BB725" s="90"/>
      <c r="BC725" s="90"/>
      <c r="BD725" s="90"/>
      <c r="BE725" s="90"/>
      <c r="BF725" s="90"/>
      <c r="BG725" s="90"/>
      <c r="BH725" s="90"/>
      <c r="BI725" s="90"/>
      <c r="BJ725" s="90"/>
      <c r="BK725" s="90"/>
      <c r="BL725" s="90"/>
      <c r="BM725" s="90"/>
      <c r="BN725" s="90"/>
      <c r="BO725" s="90"/>
      <c r="BP725" s="90"/>
      <c r="BQ725" s="90"/>
      <c r="BR725" s="90"/>
      <c r="BS725" s="90"/>
      <c r="BT725" s="90"/>
      <c r="BU725" s="90"/>
      <c r="BV725" s="90"/>
      <c r="BW725" s="90"/>
      <c r="BX725" s="90"/>
      <c r="BY725" s="90"/>
    </row>
    <row r="726" spans="1:77" ht="15.75" customHeight="1" thickBot="1" x14ac:dyDescent="0.3">
      <c r="A726" s="89"/>
      <c r="B726" s="89"/>
      <c r="C726" s="78"/>
      <c r="D726" s="78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352"/>
      <c r="AA726" s="352"/>
      <c r="AB726" s="352"/>
      <c r="AC726" s="352"/>
      <c r="AD726" s="352"/>
      <c r="AE726" s="352"/>
      <c r="AF726" s="352"/>
      <c r="AG726" s="91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90"/>
      <c r="BB726" s="90"/>
      <c r="BC726" s="90"/>
      <c r="BD726" s="90"/>
      <c r="BE726" s="90"/>
      <c r="BF726" s="90"/>
      <c r="BG726" s="90"/>
      <c r="BH726" s="90"/>
      <c r="BI726" s="90"/>
      <c r="BJ726" s="90"/>
      <c r="BK726" s="90"/>
      <c r="BL726" s="90"/>
      <c r="BM726" s="90"/>
      <c r="BN726" s="90"/>
      <c r="BO726" s="90"/>
      <c r="BP726" s="90"/>
      <c r="BQ726" s="90"/>
      <c r="BR726" s="90"/>
      <c r="BS726" s="90"/>
      <c r="BT726" s="90"/>
      <c r="BU726" s="90"/>
      <c r="BV726" s="90"/>
      <c r="BW726" s="90"/>
      <c r="BX726" s="90"/>
      <c r="BY726" s="90"/>
    </row>
    <row r="727" spans="1:77" ht="15.75" customHeight="1" thickBot="1" x14ac:dyDescent="0.3">
      <c r="A727" s="89"/>
      <c r="B727" s="89"/>
      <c r="C727" s="78"/>
      <c r="D727" s="78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352"/>
      <c r="AA727" s="352"/>
      <c r="AB727" s="352"/>
      <c r="AC727" s="352"/>
      <c r="AD727" s="352"/>
      <c r="AE727" s="352"/>
      <c r="AF727" s="352"/>
      <c r="AG727" s="91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90"/>
      <c r="BB727" s="90"/>
      <c r="BC727" s="90"/>
      <c r="BD727" s="90"/>
      <c r="BE727" s="90"/>
      <c r="BF727" s="90"/>
      <c r="BG727" s="90"/>
      <c r="BH727" s="90"/>
      <c r="BI727" s="90"/>
      <c r="BJ727" s="90"/>
      <c r="BK727" s="90"/>
      <c r="BL727" s="90"/>
      <c r="BM727" s="90"/>
      <c r="BN727" s="90"/>
      <c r="BO727" s="90"/>
      <c r="BP727" s="90"/>
      <c r="BQ727" s="90"/>
      <c r="BR727" s="90"/>
      <c r="BS727" s="90"/>
      <c r="BT727" s="90"/>
      <c r="BU727" s="90"/>
      <c r="BV727" s="90"/>
      <c r="BW727" s="90"/>
      <c r="BX727" s="90"/>
      <c r="BY727" s="90"/>
    </row>
    <row r="728" spans="1:77" ht="15.75" customHeight="1" thickBot="1" x14ac:dyDescent="0.3">
      <c r="A728" s="89"/>
      <c r="B728" s="89"/>
      <c r="C728" s="78"/>
      <c r="D728" s="78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352"/>
      <c r="AA728" s="352"/>
      <c r="AB728" s="352"/>
      <c r="AC728" s="352"/>
      <c r="AD728" s="352"/>
      <c r="AE728" s="352"/>
      <c r="AF728" s="352"/>
      <c r="AG728" s="91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90"/>
      <c r="BB728" s="90"/>
      <c r="BC728" s="90"/>
      <c r="BD728" s="90"/>
      <c r="BE728" s="90"/>
      <c r="BF728" s="90"/>
      <c r="BG728" s="90"/>
      <c r="BH728" s="90"/>
      <c r="BI728" s="90"/>
      <c r="BJ728" s="90"/>
      <c r="BK728" s="90"/>
      <c r="BL728" s="90"/>
      <c r="BM728" s="90"/>
      <c r="BN728" s="90"/>
      <c r="BO728" s="90"/>
      <c r="BP728" s="90"/>
      <c r="BQ728" s="90"/>
      <c r="BR728" s="90"/>
      <c r="BS728" s="90"/>
      <c r="BT728" s="90"/>
      <c r="BU728" s="90"/>
      <c r="BV728" s="90"/>
      <c r="BW728" s="90"/>
      <c r="BX728" s="90"/>
      <c r="BY728" s="90"/>
    </row>
    <row r="729" spans="1:77" ht="15.75" customHeight="1" thickBot="1" x14ac:dyDescent="0.3">
      <c r="A729" s="89"/>
      <c r="B729" s="89"/>
      <c r="C729" s="78"/>
      <c r="D729" s="78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352"/>
      <c r="AA729" s="352"/>
      <c r="AB729" s="352"/>
      <c r="AC729" s="352"/>
      <c r="AD729" s="352"/>
      <c r="AE729" s="352"/>
      <c r="AF729" s="352"/>
      <c r="AG729" s="91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0"/>
      <c r="BF729" s="90"/>
      <c r="BG729" s="90"/>
      <c r="BH729" s="90"/>
      <c r="BI729" s="90"/>
      <c r="BJ729" s="90"/>
      <c r="BK729" s="90"/>
      <c r="BL729" s="90"/>
      <c r="BM729" s="90"/>
      <c r="BN729" s="90"/>
      <c r="BO729" s="90"/>
      <c r="BP729" s="90"/>
      <c r="BQ729" s="90"/>
      <c r="BR729" s="90"/>
      <c r="BS729" s="90"/>
      <c r="BT729" s="90"/>
      <c r="BU729" s="90"/>
      <c r="BV729" s="90"/>
      <c r="BW729" s="90"/>
      <c r="BX729" s="90"/>
      <c r="BY729" s="90"/>
    </row>
    <row r="730" spans="1:77" ht="15.75" customHeight="1" thickBot="1" x14ac:dyDescent="0.3">
      <c r="A730" s="89"/>
      <c r="B730" s="89"/>
      <c r="C730" s="78"/>
      <c r="D730" s="78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352"/>
      <c r="AA730" s="352"/>
      <c r="AB730" s="352"/>
      <c r="AC730" s="352"/>
      <c r="AD730" s="352"/>
      <c r="AE730" s="352"/>
      <c r="AF730" s="352"/>
      <c r="AG730" s="91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  <c r="BA730" s="90"/>
      <c r="BB730" s="90"/>
      <c r="BC730" s="90"/>
      <c r="BD730" s="90"/>
      <c r="BE730" s="90"/>
      <c r="BF730" s="90"/>
      <c r="BG730" s="90"/>
      <c r="BH730" s="90"/>
      <c r="BI730" s="90"/>
      <c r="BJ730" s="90"/>
      <c r="BK730" s="90"/>
      <c r="BL730" s="90"/>
      <c r="BM730" s="90"/>
      <c r="BN730" s="90"/>
      <c r="BO730" s="90"/>
      <c r="BP730" s="90"/>
      <c r="BQ730" s="90"/>
      <c r="BR730" s="90"/>
      <c r="BS730" s="90"/>
      <c r="BT730" s="90"/>
      <c r="BU730" s="90"/>
      <c r="BV730" s="90"/>
      <c r="BW730" s="90"/>
      <c r="BX730" s="90"/>
      <c r="BY730" s="90"/>
    </row>
    <row r="731" spans="1:77" ht="15.75" customHeight="1" thickBot="1" x14ac:dyDescent="0.3">
      <c r="A731" s="89"/>
      <c r="B731" s="89"/>
      <c r="C731" s="78"/>
      <c r="D731" s="78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352"/>
      <c r="AA731" s="352"/>
      <c r="AB731" s="352"/>
      <c r="AC731" s="352"/>
      <c r="AD731" s="352"/>
      <c r="AE731" s="352"/>
      <c r="AF731" s="352"/>
      <c r="AG731" s="91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90"/>
      <c r="BC731" s="90"/>
      <c r="BD731" s="90"/>
      <c r="BE731" s="90"/>
      <c r="BF731" s="90"/>
      <c r="BG731" s="90"/>
      <c r="BH731" s="90"/>
      <c r="BI731" s="90"/>
      <c r="BJ731" s="90"/>
      <c r="BK731" s="90"/>
      <c r="BL731" s="90"/>
      <c r="BM731" s="90"/>
      <c r="BN731" s="90"/>
      <c r="BO731" s="90"/>
      <c r="BP731" s="90"/>
      <c r="BQ731" s="90"/>
      <c r="BR731" s="90"/>
      <c r="BS731" s="90"/>
      <c r="BT731" s="90"/>
      <c r="BU731" s="90"/>
      <c r="BV731" s="90"/>
      <c r="BW731" s="90"/>
      <c r="BX731" s="90"/>
      <c r="BY731" s="90"/>
    </row>
    <row r="732" spans="1:77" ht="15.75" customHeight="1" thickBot="1" x14ac:dyDescent="0.3">
      <c r="A732" s="89"/>
      <c r="B732" s="89"/>
      <c r="C732" s="78"/>
      <c r="D732" s="78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352"/>
      <c r="AA732" s="352"/>
      <c r="AB732" s="352"/>
      <c r="AC732" s="352"/>
      <c r="AD732" s="352"/>
      <c r="AE732" s="352"/>
      <c r="AF732" s="352"/>
      <c r="AG732" s="91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90"/>
      <c r="BC732" s="90"/>
      <c r="BD732" s="90"/>
      <c r="BE732" s="90"/>
      <c r="BF732" s="90"/>
      <c r="BG732" s="90"/>
      <c r="BH732" s="90"/>
      <c r="BI732" s="90"/>
      <c r="BJ732" s="90"/>
      <c r="BK732" s="90"/>
      <c r="BL732" s="90"/>
      <c r="BM732" s="90"/>
      <c r="BN732" s="90"/>
      <c r="BO732" s="90"/>
      <c r="BP732" s="90"/>
      <c r="BQ732" s="90"/>
      <c r="BR732" s="90"/>
      <c r="BS732" s="90"/>
      <c r="BT732" s="90"/>
      <c r="BU732" s="90"/>
      <c r="BV732" s="90"/>
      <c r="BW732" s="90"/>
      <c r="BX732" s="90"/>
      <c r="BY732" s="90"/>
    </row>
    <row r="733" spans="1:77" ht="15.75" customHeight="1" thickBot="1" x14ac:dyDescent="0.3">
      <c r="A733" s="89"/>
      <c r="B733" s="89"/>
      <c r="C733" s="78"/>
      <c r="D733" s="78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352"/>
      <c r="AA733" s="352"/>
      <c r="AB733" s="352"/>
      <c r="AC733" s="352"/>
      <c r="AD733" s="352"/>
      <c r="AE733" s="352"/>
      <c r="AF733" s="352"/>
      <c r="AG733" s="91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  <c r="BA733" s="90"/>
      <c r="BB733" s="90"/>
      <c r="BC733" s="90"/>
      <c r="BD733" s="90"/>
      <c r="BE733" s="90"/>
      <c r="BF733" s="90"/>
      <c r="BG733" s="90"/>
      <c r="BH733" s="90"/>
      <c r="BI733" s="90"/>
      <c r="BJ733" s="90"/>
      <c r="BK733" s="90"/>
      <c r="BL733" s="90"/>
      <c r="BM733" s="90"/>
      <c r="BN733" s="90"/>
      <c r="BO733" s="90"/>
      <c r="BP733" s="90"/>
      <c r="BQ733" s="90"/>
      <c r="BR733" s="90"/>
      <c r="BS733" s="90"/>
      <c r="BT733" s="90"/>
      <c r="BU733" s="90"/>
      <c r="BV733" s="90"/>
      <c r="BW733" s="90"/>
      <c r="BX733" s="90"/>
      <c r="BY733" s="90"/>
    </row>
    <row r="734" spans="1:77" ht="15.75" customHeight="1" thickBot="1" x14ac:dyDescent="0.3">
      <c r="A734" s="89"/>
      <c r="B734" s="89"/>
      <c r="C734" s="78"/>
      <c r="D734" s="78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352"/>
      <c r="AA734" s="352"/>
      <c r="AB734" s="352"/>
      <c r="AC734" s="352"/>
      <c r="AD734" s="352"/>
      <c r="AE734" s="352"/>
      <c r="AF734" s="352"/>
      <c r="AG734" s="91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90"/>
      <c r="BC734" s="90"/>
      <c r="BD734" s="90"/>
      <c r="BE734" s="90"/>
      <c r="BF734" s="90"/>
      <c r="BG734" s="90"/>
      <c r="BH734" s="90"/>
      <c r="BI734" s="90"/>
      <c r="BJ734" s="90"/>
      <c r="BK734" s="90"/>
      <c r="BL734" s="90"/>
      <c r="BM734" s="90"/>
      <c r="BN734" s="90"/>
      <c r="BO734" s="90"/>
      <c r="BP734" s="90"/>
      <c r="BQ734" s="90"/>
      <c r="BR734" s="90"/>
      <c r="BS734" s="90"/>
      <c r="BT734" s="90"/>
      <c r="BU734" s="90"/>
      <c r="BV734" s="90"/>
      <c r="BW734" s="90"/>
      <c r="BX734" s="90"/>
      <c r="BY734" s="90"/>
    </row>
    <row r="735" spans="1:77" ht="15.75" customHeight="1" thickBot="1" x14ac:dyDescent="0.3">
      <c r="A735" s="89"/>
      <c r="B735" s="89"/>
      <c r="C735" s="78"/>
      <c r="D735" s="78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352"/>
      <c r="AA735" s="352"/>
      <c r="AB735" s="352"/>
      <c r="AC735" s="352"/>
      <c r="AD735" s="352"/>
      <c r="AE735" s="352"/>
      <c r="AF735" s="352"/>
      <c r="AG735" s="91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90"/>
      <c r="BC735" s="90"/>
      <c r="BD735" s="90"/>
      <c r="BE735" s="90"/>
      <c r="BF735" s="90"/>
      <c r="BG735" s="90"/>
      <c r="BH735" s="90"/>
      <c r="BI735" s="90"/>
      <c r="BJ735" s="90"/>
      <c r="BK735" s="90"/>
      <c r="BL735" s="90"/>
      <c r="BM735" s="90"/>
      <c r="BN735" s="90"/>
      <c r="BO735" s="90"/>
      <c r="BP735" s="90"/>
      <c r="BQ735" s="90"/>
      <c r="BR735" s="90"/>
      <c r="BS735" s="90"/>
      <c r="BT735" s="90"/>
      <c r="BU735" s="90"/>
      <c r="BV735" s="90"/>
      <c r="BW735" s="90"/>
      <c r="BX735" s="90"/>
      <c r="BY735" s="90"/>
    </row>
    <row r="736" spans="1:77" ht="15.75" customHeight="1" thickBot="1" x14ac:dyDescent="0.3">
      <c r="A736" s="89"/>
      <c r="B736" s="89"/>
      <c r="C736" s="78"/>
      <c r="D736" s="78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352"/>
      <c r="AA736" s="352"/>
      <c r="AB736" s="352"/>
      <c r="AC736" s="352"/>
      <c r="AD736" s="352"/>
      <c r="AE736" s="352"/>
      <c r="AF736" s="352"/>
      <c r="AG736" s="91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  <c r="BA736" s="90"/>
      <c r="BB736" s="90"/>
      <c r="BC736" s="90"/>
      <c r="BD736" s="90"/>
      <c r="BE736" s="90"/>
      <c r="BF736" s="90"/>
      <c r="BG736" s="90"/>
      <c r="BH736" s="90"/>
      <c r="BI736" s="90"/>
      <c r="BJ736" s="90"/>
      <c r="BK736" s="90"/>
      <c r="BL736" s="90"/>
      <c r="BM736" s="90"/>
      <c r="BN736" s="90"/>
      <c r="BO736" s="90"/>
      <c r="BP736" s="90"/>
      <c r="BQ736" s="90"/>
      <c r="BR736" s="90"/>
      <c r="BS736" s="90"/>
      <c r="BT736" s="90"/>
      <c r="BU736" s="90"/>
      <c r="BV736" s="90"/>
      <c r="BW736" s="90"/>
      <c r="BX736" s="90"/>
      <c r="BY736" s="90"/>
    </row>
    <row r="737" spans="1:77" ht="15.75" customHeight="1" thickBot="1" x14ac:dyDescent="0.3">
      <c r="A737" s="89"/>
      <c r="B737" s="89"/>
      <c r="C737" s="78"/>
      <c r="D737" s="78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352"/>
      <c r="AA737" s="352"/>
      <c r="AB737" s="352"/>
      <c r="AC737" s="352"/>
      <c r="AD737" s="352"/>
      <c r="AE737" s="352"/>
      <c r="AF737" s="352"/>
      <c r="AG737" s="91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  <c r="BA737" s="90"/>
      <c r="BB737" s="90"/>
      <c r="BC737" s="90"/>
      <c r="BD737" s="90"/>
      <c r="BE737" s="90"/>
      <c r="BF737" s="90"/>
      <c r="BG737" s="90"/>
      <c r="BH737" s="90"/>
      <c r="BI737" s="90"/>
      <c r="BJ737" s="90"/>
      <c r="BK737" s="90"/>
      <c r="BL737" s="90"/>
      <c r="BM737" s="90"/>
      <c r="BN737" s="90"/>
      <c r="BO737" s="90"/>
      <c r="BP737" s="90"/>
      <c r="BQ737" s="90"/>
      <c r="BR737" s="90"/>
      <c r="BS737" s="90"/>
      <c r="BT737" s="90"/>
      <c r="BU737" s="90"/>
      <c r="BV737" s="90"/>
      <c r="BW737" s="90"/>
      <c r="BX737" s="90"/>
      <c r="BY737" s="90"/>
    </row>
    <row r="738" spans="1:77" ht="15.75" customHeight="1" thickBot="1" x14ac:dyDescent="0.3">
      <c r="A738" s="89"/>
      <c r="B738" s="89"/>
      <c r="C738" s="78"/>
      <c r="D738" s="78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352"/>
      <c r="AA738" s="352"/>
      <c r="AB738" s="352"/>
      <c r="AC738" s="352"/>
      <c r="AD738" s="352"/>
      <c r="AE738" s="352"/>
      <c r="AF738" s="352"/>
      <c r="AG738" s="91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  <c r="BA738" s="90"/>
      <c r="BB738" s="90"/>
      <c r="BC738" s="90"/>
      <c r="BD738" s="90"/>
      <c r="BE738" s="90"/>
      <c r="BF738" s="90"/>
      <c r="BG738" s="90"/>
      <c r="BH738" s="90"/>
      <c r="BI738" s="90"/>
      <c r="BJ738" s="90"/>
      <c r="BK738" s="90"/>
      <c r="BL738" s="90"/>
      <c r="BM738" s="90"/>
      <c r="BN738" s="90"/>
      <c r="BO738" s="90"/>
      <c r="BP738" s="90"/>
      <c r="BQ738" s="90"/>
      <c r="BR738" s="90"/>
      <c r="BS738" s="90"/>
      <c r="BT738" s="90"/>
      <c r="BU738" s="90"/>
      <c r="BV738" s="90"/>
      <c r="BW738" s="90"/>
      <c r="BX738" s="90"/>
      <c r="BY738" s="90"/>
    </row>
    <row r="739" spans="1:77" ht="15.75" customHeight="1" thickBot="1" x14ac:dyDescent="0.3">
      <c r="A739" s="89"/>
      <c r="B739" s="89"/>
      <c r="C739" s="78"/>
      <c r="D739" s="78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352"/>
      <c r="AA739" s="352"/>
      <c r="AB739" s="352"/>
      <c r="AC739" s="352"/>
      <c r="AD739" s="352"/>
      <c r="AE739" s="352"/>
      <c r="AF739" s="352"/>
      <c r="AG739" s="91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  <c r="BA739" s="90"/>
      <c r="BB739" s="90"/>
      <c r="BC739" s="90"/>
      <c r="BD739" s="90"/>
      <c r="BE739" s="90"/>
      <c r="BF739" s="90"/>
      <c r="BG739" s="90"/>
      <c r="BH739" s="90"/>
      <c r="BI739" s="90"/>
      <c r="BJ739" s="90"/>
      <c r="BK739" s="90"/>
      <c r="BL739" s="90"/>
      <c r="BM739" s="90"/>
      <c r="BN739" s="90"/>
      <c r="BO739" s="90"/>
      <c r="BP739" s="90"/>
      <c r="BQ739" s="90"/>
      <c r="BR739" s="90"/>
      <c r="BS739" s="90"/>
      <c r="BT739" s="90"/>
      <c r="BU739" s="90"/>
      <c r="BV739" s="90"/>
      <c r="BW739" s="90"/>
      <c r="BX739" s="90"/>
      <c r="BY739" s="90"/>
    </row>
    <row r="740" spans="1:77" ht="15.75" customHeight="1" thickBot="1" x14ac:dyDescent="0.3">
      <c r="A740" s="89"/>
      <c r="B740" s="89"/>
      <c r="C740" s="78"/>
      <c r="D740" s="78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352"/>
      <c r="AA740" s="352"/>
      <c r="AB740" s="352"/>
      <c r="AC740" s="352"/>
      <c r="AD740" s="352"/>
      <c r="AE740" s="352"/>
      <c r="AF740" s="352"/>
      <c r="AG740" s="91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90"/>
      <c r="BC740" s="90"/>
      <c r="BD740" s="90"/>
      <c r="BE740" s="90"/>
      <c r="BF740" s="90"/>
      <c r="BG740" s="90"/>
      <c r="BH740" s="90"/>
      <c r="BI740" s="90"/>
      <c r="BJ740" s="90"/>
      <c r="BK740" s="90"/>
      <c r="BL740" s="90"/>
      <c r="BM740" s="90"/>
      <c r="BN740" s="90"/>
      <c r="BO740" s="90"/>
      <c r="BP740" s="90"/>
      <c r="BQ740" s="90"/>
      <c r="BR740" s="90"/>
      <c r="BS740" s="90"/>
      <c r="BT740" s="90"/>
      <c r="BU740" s="90"/>
      <c r="BV740" s="90"/>
      <c r="BW740" s="90"/>
      <c r="BX740" s="90"/>
      <c r="BY740" s="90"/>
    </row>
    <row r="741" spans="1:77" ht="15.75" customHeight="1" thickBot="1" x14ac:dyDescent="0.3">
      <c r="A741" s="89"/>
      <c r="B741" s="89"/>
      <c r="C741" s="78"/>
      <c r="D741" s="78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352"/>
      <c r="AA741" s="352"/>
      <c r="AB741" s="352"/>
      <c r="AC741" s="352"/>
      <c r="AD741" s="352"/>
      <c r="AE741" s="352"/>
      <c r="AF741" s="352"/>
      <c r="AG741" s="91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90"/>
      <c r="BC741" s="90"/>
      <c r="BD741" s="90"/>
      <c r="BE741" s="90"/>
      <c r="BF741" s="90"/>
      <c r="BG741" s="90"/>
      <c r="BH741" s="90"/>
      <c r="BI741" s="90"/>
      <c r="BJ741" s="90"/>
      <c r="BK741" s="90"/>
      <c r="BL741" s="90"/>
      <c r="BM741" s="90"/>
      <c r="BN741" s="90"/>
      <c r="BO741" s="90"/>
      <c r="BP741" s="90"/>
      <c r="BQ741" s="90"/>
      <c r="BR741" s="90"/>
      <c r="BS741" s="90"/>
      <c r="BT741" s="90"/>
      <c r="BU741" s="90"/>
      <c r="BV741" s="90"/>
      <c r="BW741" s="90"/>
      <c r="BX741" s="90"/>
      <c r="BY741" s="90"/>
    </row>
    <row r="742" spans="1:77" ht="15.75" customHeight="1" thickBot="1" x14ac:dyDescent="0.3">
      <c r="A742" s="89"/>
      <c r="B742" s="89"/>
      <c r="C742" s="78"/>
      <c r="D742" s="78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352"/>
      <c r="AA742" s="352"/>
      <c r="AB742" s="352"/>
      <c r="AC742" s="352"/>
      <c r="AD742" s="352"/>
      <c r="AE742" s="352"/>
      <c r="AF742" s="352"/>
      <c r="AG742" s="91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  <c r="BA742" s="90"/>
      <c r="BB742" s="90"/>
      <c r="BC742" s="90"/>
      <c r="BD742" s="90"/>
      <c r="BE742" s="90"/>
      <c r="BF742" s="90"/>
      <c r="BG742" s="90"/>
      <c r="BH742" s="90"/>
      <c r="BI742" s="90"/>
      <c r="BJ742" s="90"/>
      <c r="BK742" s="90"/>
      <c r="BL742" s="90"/>
      <c r="BM742" s="90"/>
      <c r="BN742" s="90"/>
      <c r="BO742" s="90"/>
      <c r="BP742" s="90"/>
      <c r="BQ742" s="90"/>
      <c r="BR742" s="90"/>
      <c r="BS742" s="90"/>
      <c r="BT742" s="90"/>
      <c r="BU742" s="90"/>
      <c r="BV742" s="90"/>
      <c r="BW742" s="90"/>
      <c r="BX742" s="90"/>
      <c r="BY742" s="90"/>
    </row>
    <row r="743" spans="1:77" ht="15.75" customHeight="1" thickBot="1" x14ac:dyDescent="0.3">
      <c r="A743" s="89"/>
      <c r="B743" s="89"/>
      <c r="C743" s="78"/>
      <c r="D743" s="78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352"/>
      <c r="AA743" s="352"/>
      <c r="AB743" s="352"/>
      <c r="AC743" s="352"/>
      <c r="AD743" s="352"/>
      <c r="AE743" s="352"/>
      <c r="AF743" s="352"/>
      <c r="AG743" s="91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0"/>
      <c r="BF743" s="90"/>
      <c r="BG743" s="90"/>
      <c r="BH743" s="90"/>
      <c r="BI743" s="90"/>
      <c r="BJ743" s="90"/>
      <c r="BK743" s="90"/>
      <c r="BL743" s="90"/>
      <c r="BM743" s="90"/>
      <c r="BN743" s="90"/>
      <c r="BO743" s="90"/>
      <c r="BP743" s="90"/>
      <c r="BQ743" s="90"/>
      <c r="BR743" s="90"/>
      <c r="BS743" s="90"/>
      <c r="BT743" s="90"/>
      <c r="BU743" s="90"/>
      <c r="BV743" s="90"/>
      <c r="BW743" s="90"/>
      <c r="BX743" s="90"/>
      <c r="BY743" s="90"/>
    </row>
    <row r="744" spans="1:77" ht="15.75" customHeight="1" thickBot="1" x14ac:dyDescent="0.3">
      <c r="A744" s="89"/>
      <c r="B744" s="89"/>
      <c r="C744" s="78"/>
      <c r="D744" s="78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352"/>
      <c r="AA744" s="352"/>
      <c r="AB744" s="352"/>
      <c r="AC744" s="352"/>
      <c r="AD744" s="352"/>
      <c r="AE744" s="352"/>
      <c r="AF744" s="352"/>
      <c r="AG744" s="91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90"/>
      <c r="BC744" s="90"/>
      <c r="BD744" s="90"/>
      <c r="BE744" s="90"/>
      <c r="BF744" s="90"/>
      <c r="BG744" s="90"/>
      <c r="BH744" s="90"/>
      <c r="BI744" s="90"/>
      <c r="BJ744" s="90"/>
      <c r="BK744" s="90"/>
      <c r="BL744" s="90"/>
      <c r="BM744" s="90"/>
      <c r="BN744" s="90"/>
      <c r="BO744" s="90"/>
      <c r="BP744" s="90"/>
      <c r="BQ744" s="90"/>
      <c r="BR744" s="90"/>
      <c r="BS744" s="90"/>
      <c r="BT744" s="90"/>
      <c r="BU744" s="90"/>
      <c r="BV744" s="90"/>
      <c r="BW744" s="90"/>
      <c r="BX744" s="90"/>
      <c r="BY744" s="90"/>
    </row>
    <row r="745" spans="1:77" ht="15.75" customHeight="1" thickBot="1" x14ac:dyDescent="0.3">
      <c r="A745" s="89"/>
      <c r="B745" s="89"/>
      <c r="C745" s="78"/>
      <c r="D745" s="78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352"/>
      <c r="AA745" s="352"/>
      <c r="AB745" s="352"/>
      <c r="AC745" s="352"/>
      <c r="AD745" s="352"/>
      <c r="AE745" s="352"/>
      <c r="AF745" s="352"/>
      <c r="AG745" s="91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90"/>
      <c r="BC745" s="90"/>
      <c r="BD745" s="90"/>
      <c r="BE745" s="90"/>
      <c r="BF745" s="90"/>
      <c r="BG745" s="90"/>
      <c r="BH745" s="90"/>
      <c r="BI745" s="90"/>
      <c r="BJ745" s="90"/>
      <c r="BK745" s="90"/>
      <c r="BL745" s="90"/>
      <c r="BM745" s="90"/>
      <c r="BN745" s="90"/>
      <c r="BO745" s="90"/>
      <c r="BP745" s="90"/>
      <c r="BQ745" s="90"/>
      <c r="BR745" s="90"/>
      <c r="BS745" s="90"/>
      <c r="BT745" s="90"/>
      <c r="BU745" s="90"/>
      <c r="BV745" s="90"/>
      <c r="BW745" s="90"/>
      <c r="BX745" s="90"/>
      <c r="BY745" s="90"/>
    </row>
    <row r="746" spans="1:77" ht="15.75" customHeight="1" thickBot="1" x14ac:dyDescent="0.3">
      <c r="A746" s="89"/>
      <c r="B746" s="89"/>
      <c r="C746" s="78"/>
      <c r="D746" s="78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352"/>
      <c r="AA746" s="352"/>
      <c r="AB746" s="352"/>
      <c r="AC746" s="352"/>
      <c r="AD746" s="352"/>
      <c r="AE746" s="352"/>
      <c r="AF746" s="352"/>
      <c r="AG746" s="91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90"/>
      <c r="BC746" s="90"/>
      <c r="BD746" s="90"/>
      <c r="BE746" s="90"/>
      <c r="BF746" s="90"/>
      <c r="BG746" s="90"/>
      <c r="BH746" s="90"/>
      <c r="BI746" s="90"/>
      <c r="BJ746" s="90"/>
      <c r="BK746" s="90"/>
      <c r="BL746" s="90"/>
      <c r="BM746" s="90"/>
      <c r="BN746" s="90"/>
      <c r="BO746" s="90"/>
      <c r="BP746" s="90"/>
      <c r="BQ746" s="90"/>
      <c r="BR746" s="90"/>
      <c r="BS746" s="90"/>
      <c r="BT746" s="90"/>
      <c r="BU746" s="90"/>
      <c r="BV746" s="90"/>
      <c r="BW746" s="90"/>
      <c r="BX746" s="90"/>
      <c r="BY746" s="90"/>
    </row>
    <row r="747" spans="1:77" ht="15.75" customHeight="1" thickBot="1" x14ac:dyDescent="0.3">
      <c r="A747" s="89"/>
      <c r="B747" s="89"/>
      <c r="C747" s="78"/>
      <c r="D747" s="78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352"/>
      <c r="AA747" s="352"/>
      <c r="AB747" s="352"/>
      <c r="AC747" s="352"/>
      <c r="AD747" s="352"/>
      <c r="AE747" s="352"/>
      <c r="AF747" s="352"/>
      <c r="AG747" s="91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90"/>
      <c r="BC747" s="90"/>
      <c r="BD747" s="90"/>
      <c r="BE747" s="90"/>
      <c r="BF747" s="90"/>
      <c r="BG747" s="90"/>
      <c r="BH747" s="90"/>
      <c r="BI747" s="90"/>
      <c r="BJ747" s="90"/>
      <c r="BK747" s="90"/>
      <c r="BL747" s="90"/>
      <c r="BM747" s="90"/>
      <c r="BN747" s="90"/>
      <c r="BO747" s="90"/>
      <c r="BP747" s="90"/>
      <c r="BQ747" s="90"/>
      <c r="BR747" s="90"/>
      <c r="BS747" s="90"/>
      <c r="BT747" s="90"/>
      <c r="BU747" s="90"/>
      <c r="BV747" s="90"/>
      <c r="BW747" s="90"/>
      <c r="BX747" s="90"/>
      <c r="BY747" s="90"/>
    </row>
    <row r="748" spans="1:77" ht="15.75" customHeight="1" thickBot="1" x14ac:dyDescent="0.3">
      <c r="A748" s="89"/>
      <c r="B748" s="89"/>
      <c r="C748" s="78"/>
      <c r="D748" s="78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352"/>
      <c r="AA748" s="352"/>
      <c r="AB748" s="352"/>
      <c r="AC748" s="352"/>
      <c r="AD748" s="352"/>
      <c r="AE748" s="352"/>
      <c r="AF748" s="352"/>
      <c r="AG748" s="91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90"/>
      <c r="BC748" s="90"/>
      <c r="BD748" s="90"/>
      <c r="BE748" s="90"/>
      <c r="BF748" s="90"/>
      <c r="BG748" s="90"/>
      <c r="BH748" s="90"/>
      <c r="BI748" s="90"/>
      <c r="BJ748" s="90"/>
      <c r="BK748" s="90"/>
      <c r="BL748" s="90"/>
      <c r="BM748" s="90"/>
      <c r="BN748" s="90"/>
      <c r="BO748" s="90"/>
      <c r="BP748" s="90"/>
      <c r="BQ748" s="90"/>
      <c r="BR748" s="90"/>
      <c r="BS748" s="90"/>
      <c r="BT748" s="90"/>
      <c r="BU748" s="90"/>
      <c r="BV748" s="90"/>
      <c r="BW748" s="90"/>
      <c r="BX748" s="90"/>
      <c r="BY748" s="90"/>
    </row>
    <row r="749" spans="1:77" ht="15.75" customHeight="1" thickBot="1" x14ac:dyDescent="0.3">
      <c r="A749" s="89"/>
      <c r="B749" s="89"/>
      <c r="C749" s="78"/>
      <c r="D749" s="78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352"/>
      <c r="AA749" s="352"/>
      <c r="AB749" s="352"/>
      <c r="AC749" s="352"/>
      <c r="AD749" s="352"/>
      <c r="AE749" s="352"/>
      <c r="AF749" s="352"/>
      <c r="AG749" s="91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90"/>
      <c r="BC749" s="90"/>
      <c r="BD749" s="90"/>
      <c r="BE749" s="90"/>
      <c r="BF749" s="90"/>
      <c r="BG749" s="90"/>
      <c r="BH749" s="90"/>
      <c r="BI749" s="90"/>
      <c r="BJ749" s="90"/>
      <c r="BK749" s="90"/>
      <c r="BL749" s="90"/>
      <c r="BM749" s="90"/>
      <c r="BN749" s="90"/>
      <c r="BO749" s="90"/>
      <c r="BP749" s="90"/>
      <c r="BQ749" s="90"/>
      <c r="BR749" s="90"/>
      <c r="BS749" s="90"/>
      <c r="BT749" s="90"/>
      <c r="BU749" s="90"/>
      <c r="BV749" s="90"/>
      <c r="BW749" s="90"/>
      <c r="BX749" s="90"/>
      <c r="BY749" s="90"/>
    </row>
    <row r="750" spans="1:77" ht="15.75" customHeight="1" thickBot="1" x14ac:dyDescent="0.3">
      <c r="A750" s="89"/>
      <c r="B750" s="89"/>
      <c r="C750" s="78"/>
      <c r="D750" s="78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352"/>
      <c r="AA750" s="352"/>
      <c r="AB750" s="352"/>
      <c r="AC750" s="352"/>
      <c r="AD750" s="352"/>
      <c r="AE750" s="352"/>
      <c r="AF750" s="352"/>
      <c r="AG750" s="91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90"/>
      <c r="BC750" s="90"/>
      <c r="BD750" s="90"/>
      <c r="BE750" s="90"/>
      <c r="BF750" s="90"/>
      <c r="BG750" s="90"/>
      <c r="BH750" s="90"/>
      <c r="BI750" s="90"/>
      <c r="BJ750" s="90"/>
      <c r="BK750" s="90"/>
      <c r="BL750" s="90"/>
      <c r="BM750" s="90"/>
      <c r="BN750" s="90"/>
      <c r="BO750" s="90"/>
      <c r="BP750" s="90"/>
      <c r="BQ750" s="90"/>
      <c r="BR750" s="90"/>
      <c r="BS750" s="90"/>
      <c r="BT750" s="90"/>
      <c r="BU750" s="90"/>
      <c r="BV750" s="90"/>
      <c r="BW750" s="90"/>
      <c r="BX750" s="90"/>
      <c r="BY750" s="90"/>
    </row>
    <row r="751" spans="1:77" ht="15.75" customHeight="1" thickBot="1" x14ac:dyDescent="0.3">
      <c r="A751" s="89"/>
      <c r="B751" s="89"/>
      <c r="C751" s="78"/>
      <c r="D751" s="78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352"/>
      <c r="AA751" s="352"/>
      <c r="AB751" s="352"/>
      <c r="AC751" s="352"/>
      <c r="AD751" s="352"/>
      <c r="AE751" s="352"/>
      <c r="AF751" s="352"/>
      <c r="AG751" s="91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90"/>
      <c r="BC751" s="90"/>
      <c r="BD751" s="90"/>
      <c r="BE751" s="90"/>
      <c r="BF751" s="90"/>
      <c r="BG751" s="90"/>
      <c r="BH751" s="90"/>
      <c r="BI751" s="90"/>
      <c r="BJ751" s="90"/>
      <c r="BK751" s="90"/>
      <c r="BL751" s="90"/>
      <c r="BM751" s="90"/>
      <c r="BN751" s="90"/>
      <c r="BO751" s="90"/>
      <c r="BP751" s="90"/>
      <c r="BQ751" s="90"/>
      <c r="BR751" s="90"/>
      <c r="BS751" s="90"/>
      <c r="BT751" s="90"/>
      <c r="BU751" s="90"/>
      <c r="BV751" s="90"/>
      <c r="BW751" s="90"/>
      <c r="BX751" s="90"/>
      <c r="BY751" s="90"/>
    </row>
    <row r="752" spans="1:77" ht="15.75" customHeight="1" thickBot="1" x14ac:dyDescent="0.3">
      <c r="A752" s="89"/>
      <c r="B752" s="89"/>
      <c r="C752" s="78"/>
      <c r="D752" s="78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352"/>
      <c r="AA752" s="352"/>
      <c r="AB752" s="352"/>
      <c r="AC752" s="352"/>
      <c r="AD752" s="352"/>
      <c r="AE752" s="352"/>
      <c r="AF752" s="352"/>
      <c r="AG752" s="91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90"/>
      <c r="BC752" s="90"/>
      <c r="BD752" s="90"/>
      <c r="BE752" s="90"/>
      <c r="BF752" s="90"/>
      <c r="BG752" s="90"/>
      <c r="BH752" s="90"/>
      <c r="BI752" s="90"/>
      <c r="BJ752" s="90"/>
      <c r="BK752" s="90"/>
      <c r="BL752" s="90"/>
      <c r="BM752" s="90"/>
      <c r="BN752" s="90"/>
      <c r="BO752" s="90"/>
      <c r="BP752" s="90"/>
      <c r="BQ752" s="90"/>
      <c r="BR752" s="90"/>
      <c r="BS752" s="90"/>
      <c r="BT752" s="90"/>
      <c r="BU752" s="90"/>
      <c r="BV752" s="90"/>
      <c r="BW752" s="90"/>
      <c r="BX752" s="90"/>
      <c r="BY752" s="90"/>
    </row>
    <row r="753" spans="1:77" ht="15.75" customHeight="1" thickBot="1" x14ac:dyDescent="0.3">
      <c r="A753" s="89"/>
      <c r="B753" s="89"/>
      <c r="C753" s="78"/>
      <c r="D753" s="78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352"/>
      <c r="AA753" s="352"/>
      <c r="AB753" s="352"/>
      <c r="AC753" s="352"/>
      <c r="AD753" s="352"/>
      <c r="AE753" s="352"/>
      <c r="AF753" s="352"/>
      <c r="AG753" s="91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90"/>
      <c r="BC753" s="90"/>
      <c r="BD753" s="90"/>
      <c r="BE753" s="90"/>
      <c r="BF753" s="90"/>
      <c r="BG753" s="90"/>
      <c r="BH753" s="90"/>
      <c r="BI753" s="90"/>
      <c r="BJ753" s="90"/>
      <c r="BK753" s="90"/>
      <c r="BL753" s="90"/>
      <c r="BM753" s="90"/>
      <c r="BN753" s="90"/>
      <c r="BO753" s="90"/>
      <c r="BP753" s="90"/>
      <c r="BQ753" s="90"/>
      <c r="BR753" s="90"/>
      <c r="BS753" s="90"/>
      <c r="BT753" s="90"/>
      <c r="BU753" s="90"/>
      <c r="BV753" s="90"/>
      <c r="BW753" s="90"/>
      <c r="BX753" s="90"/>
      <c r="BY753" s="90"/>
    </row>
    <row r="754" spans="1:77" ht="15.75" customHeight="1" thickBot="1" x14ac:dyDescent="0.3">
      <c r="A754" s="89"/>
      <c r="B754" s="89"/>
      <c r="C754" s="78"/>
      <c r="D754" s="78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352"/>
      <c r="AA754" s="352"/>
      <c r="AB754" s="352"/>
      <c r="AC754" s="352"/>
      <c r="AD754" s="352"/>
      <c r="AE754" s="352"/>
      <c r="AF754" s="352"/>
      <c r="AG754" s="91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  <c r="BA754" s="90"/>
      <c r="BB754" s="90"/>
      <c r="BC754" s="90"/>
      <c r="BD754" s="90"/>
      <c r="BE754" s="90"/>
      <c r="BF754" s="90"/>
      <c r="BG754" s="90"/>
      <c r="BH754" s="90"/>
      <c r="BI754" s="90"/>
      <c r="BJ754" s="90"/>
      <c r="BK754" s="90"/>
      <c r="BL754" s="90"/>
      <c r="BM754" s="90"/>
      <c r="BN754" s="90"/>
      <c r="BO754" s="90"/>
      <c r="BP754" s="90"/>
      <c r="BQ754" s="90"/>
      <c r="BR754" s="90"/>
      <c r="BS754" s="90"/>
      <c r="BT754" s="90"/>
      <c r="BU754" s="90"/>
      <c r="BV754" s="90"/>
      <c r="BW754" s="90"/>
      <c r="BX754" s="90"/>
      <c r="BY754" s="90"/>
    </row>
    <row r="755" spans="1:77" ht="15.75" customHeight="1" thickBot="1" x14ac:dyDescent="0.3">
      <c r="A755" s="89"/>
      <c r="B755" s="89"/>
      <c r="C755" s="78"/>
      <c r="D755" s="78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352"/>
      <c r="AA755" s="352"/>
      <c r="AB755" s="352"/>
      <c r="AC755" s="352"/>
      <c r="AD755" s="352"/>
      <c r="AE755" s="352"/>
      <c r="AF755" s="352"/>
      <c r="AG755" s="91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  <c r="BA755" s="90"/>
      <c r="BB755" s="90"/>
      <c r="BC755" s="90"/>
      <c r="BD755" s="90"/>
      <c r="BE755" s="90"/>
      <c r="BF755" s="90"/>
      <c r="BG755" s="90"/>
      <c r="BH755" s="90"/>
      <c r="BI755" s="90"/>
      <c r="BJ755" s="90"/>
      <c r="BK755" s="90"/>
      <c r="BL755" s="90"/>
      <c r="BM755" s="90"/>
      <c r="BN755" s="90"/>
      <c r="BO755" s="90"/>
      <c r="BP755" s="90"/>
      <c r="BQ755" s="90"/>
      <c r="BR755" s="90"/>
      <c r="BS755" s="90"/>
      <c r="BT755" s="90"/>
      <c r="BU755" s="90"/>
      <c r="BV755" s="90"/>
      <c r="BW755" s="90"/>
      <c r="BX755" s="90"/>
      <c r="BY755" s="90"/>
    </row>
    <row r="756" spans="1:77" ht="15.75" customHeight="1" thickBot="1" x14ac:dyDescent="0.3">
      <c r="A756" s="89"/>
      <c r="B756" s="89"/>
      <c r="C756" s="78"/>
      <c r="D756" s="78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352"/>
      <c r="AA756" s="352"/>
      <c r="AB756" s="352"/>
      <c r="AC756" s="352"/>
      <c r="AD756" s="352"/>
      <c r="AE756" s="352"/>
      <c r="AF756" s="352"/>
      <c r="AG756" s="91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  <c r="BA756" s="90"/>
      <c r="BB756" s="90"/>
      <c r="BC756" s="90"/>
      <c r="BD756" s="90"/>
      <c r="BE756" s="90"/>
      <c r="BF756" s="90"/>
      <c r="BG756" s="90"/>
      <c r="BH756" s="90"/>
      <c r="BI756" s="90"/>
      <c r="BJ756" s="90"/>
      <c r="BK756" s="90"/>
      <c r="BL756" s="90"/>
      <c r="BM756" s="90"/>
      <c r="BN756" s="90"/>
      <c r="BO756" s="90"/>
      <c r="BP756" s="90"/>
      <c r="BQ756" s="90"/>
      <c r="BR756" s="90"/>
      <c r="BS756" s="90"/>
      <c r="BT756" s="90"/>
      <c r="BU756" s="90"/>
      <c r="BV756" s="90"/>
      <c r="BW756" s="90"/>
      <c r="BX756" s="90"/>
      <c r="BY756" s="90"/>
    </row>
    <row r="757" spans="1:77" thickBot="1" x14ac:dyDescent="0.3"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352"/>
      <c r="AA757" s="352"/>
      <c r="AB757" s="352"/>
      <c r="AC757" s="352"/>
      <c r="AD757" s="352"/>
      <c r="AE757" s="352"/>
      <c r="AF757" s="352"/>
      <c r="AG757" s="91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  <c r="BA757" s="90"/>
      <c r="BB757" s="90"/>
      <c r="BC757" s="90"/>
      <c r="BD757" s="90"/>
      <c r="BE757" s="90"/>
      <c r="BF757" s="90"/>
      <c r="BG757" s="90"/>
      <c r="BH757" s="90"/>
      <c r="BI757" s="90"/>
      <c r="BJ757" s="90"/>
      <c r="BK757" s="90"/>
      <c r="BL757" s="90"/>
      <c r="BM757" s="90"/>
      <c r="BN757" s="90"/>
      <c r="BO757" s="90"/>
      <c r="BP757" s="90"/>
      <c r="BQ757" s="90"/>
      <c r="BR757" s="90"/>
      <c r="BS757" s="90"/>
      <c r="BT757" s="90"/>
      <c r="BU757" s="90"/>
      <c r="BV757" s="90"/>
      <c r="BW757" s="90"/>
      <c r="BX757" s="90"/>
      <c r="BY757" s="90"/>
    </row>
    <row r="758" spans="1:77" thickBot="1" x14ac:dyDescent="0.3"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352"/>
      <c r="AA758" s="352"/>
      <c r="AB758" s="352"/>
      <c r="AC758" s="352"/>
      <c r="AD758" s="352"/>
      <c r="AE758" s="352"/>
      <c r="AF758" s="352"/>
      <c r="AG758" s="91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  <c r="BA758" s="90"/>
      <c r="BB758" s="90"/>
      <c r="BC758" s="90"/>
      <c r="BD758" s="90"/>
      <c r="BE758" s="90"/>
      <c r="BF758" s="90"/>
      <c r="BG758" s="90"/>
      <c r="BH758" s="90"/>
      <c r="BI758" s="90"/>
      <c r="BJ758" s="90"/>
      <c r="BK758" s="90"/>
      <c r="BL758" s="90"/>
      <c r="BM758" s="90"/>
      <c r="BN758" s="90"/>
      <c r="BO758" s="90"/>
      <c r="BP758" s="90"/>
      <c r="BQ758" s="90"/>
      <c r="BR758" s="90"/>
      <c r="BS758" s="90"/>
      <c r="BT758" s="90"/>
      <c r="BU758" s="90"/>
      <c r="BV758" s="90"/>
      <c r="BW758" s="90"/>
      <c r="BX758" s="90"/>
      <c r="BY758" s="90"/>
    </row>
    <row r="759" spans="1:77" thickBot="1" x14ac:dyDescent="0.3"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352"/>
      <c r="AA759" s="352"/>
      <c r="AB759" s="352"/>
      <c r="AC759" s="352"/>
      <c r="AD759" s="352"/>
      <c r="AE759" s="352"/>
      <c r="AF759" s="352"/>
      <c r="AG759" s="91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  <c r="BA759" s="90"/>
      <c r="BB759" s="90"/>
      <c r="BC759" s="90"/>
      <c r="BD759" s="90"/>
      <c r="BE759" s="90"/>
      <c r="BF759" s="90"/>
      <c r="BG759" s="90"/>
      <c r="BH759" s="90"/>
      <c r="BI759" s="90"/>
      <c r="BJ759" s="90"/>
      <c r="BK759" s="90"/>
      <c r="BL759" s="90"/>
      <c r="BM759" s="90"/>
      <c r="BN759" s="90"/>
      <c r="BO759" s="90"/>
      <c r="BP759" s="90"/>
      <c r="BQ759" s="90"/>
      <c r="BR759" s="90"/>
      <c r="BS759" s="90"/>
      <c r="BT759" s="90"/>
      <c r="BU759" s="90"/>
      <c r="BV759" s="90"/>
      <c r="BW759" s="90"/>
      <c r="BX759" s="90"/>
      <c r="BY759" s="90"/>
    </row>
    <row r="760" spans="1:77" thickBot="1" x14ac:dyDescent="0.3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352"/>
      <c r="AA760" s="352"/>
      <c r="AB760" s="352"/>
      <c r="AC760" s="352"/>
      <c r="AD760" s="352"/>
      <c r="AE760" s="352"/>
      <c r="AF760" s="352"/>
      <c r="AG760" s="91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  <c r="AX760" s="90"/>
      <c r="AY760" s="90"/>
      <c r="AZ760" s="90"/>
      <c r="BA760" s="90"/>
      <c r="BB760" s="90"/>
      <c r="BC760" s="90"/>
      <c r="BD760" s="90"/>
      <c r="BE760" s="90"/>
      <c r="BF760" s="90"/>
      <c r="BG760" s="90"/>
      <c r="BH760" s="90"/>
      <c r="BI760" s="90"/>
      <c r="BJ760" s="90"/>
      <c r="BK760" s="90"/>
      <c r="BL760" s="90"/>
      <c r="BM760" s="90"/>
      <c r="BN760" s="90"/>
      <c r="BO760" s="90"/>
      <c r="BP760" s="90"/>
      <c r="BQ760" s="90"/>
      <c r="BR760" s="90"/>
      <c r="BS760" s="90"/>
      <c r="BT760" s="90"/>
      <c r="BU760" s="90"/>
      <c r="BV760" s="90"/>
      <c r="BW760" s="90"/>
      <c r="BX760" s="90"/>
      <c r="BY760" s="90"/>
    </row>
    <row r="761" spans="1:77" thickBot="1" x14ac:dyDescent="0.3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352"/>
      <c r="AA761" s="352"/>
      <c r="AB761" s="352"/>
      <c r="AC761" s="352"/>
      <c r="AD761" s="352"/>
      <c r="AE761" s="352"/>
      <c r="AF761" s="352"/>
      <c r="AG761" s="91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  <c r="BA761" s="90"/>
      <c r="BB761" s="90"/>
      <c r="BC761" s="90"/>
      <c r="BD761" s="90"/>
      <c r="BE761" s="90"/>
      <c r="BF761" s="90"/>
      <c r="BG761" s="90"/>
      <c r="BH761" s="90"/>
      <c r="BI761" s="90"/>
      <c r="BJ761" s="90"/>
      <c r="BK761" s="90"/>
      <c r="BL761" s="90"/>
      <c r="BM761" s="90"/>
      <c r="BN761" s="90"/>
      <c r="BO761" s="90"/>
      <c r="BP761" s="90"/>
      <c r="BQ761" s="90"/>
      <c r="BR761" s="90"/>
      <c r="BS761" s="90"/>
      <c r="BT761" s="90"/>
      <c r="BU761" s="90"/>
      <c r="BV761" s="90"/>
      <c r="BW761" s="90"/>
      <c r="BX761" s="90"/>
      <c r="BY761" s="90"/>
    </row>
    <row r="762" spans="1:77" thickBot="1" x14ac:dyDescent="0.3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352"/>
      <c r="AA762" s="352"/>
      <c r="AB762" s="352"/>
      <c r="AC762" s="352"/>
      <c r="AD762" s="352"/>
      <c r="AE762" s="352"/>
      <c r="AF762" s="352"/>
      <c r="AG762" s="91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  <c r="BA762" s="90"/>
      <c r="BB762" s="90"/>
      <c r="BC762" s="90"/>
      <c r="BD762" s="90"/>
      <c r="BE762" s="90"/>
      <c r="BF762" s="90"/>
      <c r="BG762" s="90"/>
      <c r="BH762" s="90"/>
      <c r="BI762" s="90"/>
      <c r="BJ762" s="90"/>
      <c r="BK762" s="90"/>
      <c r="BL762" s="90"/>
      <c r="BM762" s="90"/>
      <c r="BN762" s="90"/>
      <c r="BO762" s="90"/>
      <c r="BP762" s="90"/>
      <c r="BQ762" s="90"/>
      <c r="BR762" s="90"/>
      <c r="BS762" s="90"/>
      <c r="BT762" s="90"/>
      <c r="BU762" s="90"/>
      <c r="BV762" s="90"/>
      <c r="BW762" s="90"/>
      <c r="BX762" s="90"/>
      <c r="BY762" s="90"/>
    </row>
    <row r="763" spans="1:77" thickBot="1" x14ac:dyDescent="0.3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352"/>
      <c r="AA763" s="352"/>
      <c r="AB763" s="352"/>
      <c r="AC763" s="352"/>
      <c r="AD763" s="352"/>
      <c r="AE763" s="352"/>
      <c r="AF763" s="352"/>
      <c r="AG763" s="91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  <c r="BA763" s="90"/>
      <c r="BB763" s="90"/>
      <c r="BC763" s="90"/>
      <c r="BD763" s="90"/>
      <c r="BE763" s="90"/>
      <c r="BF763" s="90"/>
      <c r="BG763" s="90"/>
      <c r="BH763" s="90"/>
      <c r="BI763" s="90"/>
      <c r="BJ763" s="90"/>
      <c r="BK763" s="90"/>
      <c r="BL763" s="90"/>
      <c r="BM763" s="90"/>
      <c r="BN763" s="90"/>
      <c r="BO763" s="90"/>
      <c r="BP763" s="90"/>
      <c r="BQ763" s="90"/>
      <c r="BR763" s="90"/>
      <c r="BS763" s="90"/>
      <c r="BT763" s="90"/>
      <c r="BU763" s="90"/>
      <c r="BV763" s="90"/>
      <c r="BW763" s="90"/>
      <c r="BX763" s="90"/>
      <c r="BY763" s="90"/>
    </row>
    <row r="764" spans="1:77" thickBot="1" x14ac:dyDescent="0.3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352"/>
      <c r="AA764" s="352"/>
      <c r="AB764" s="352"/>
      <c r="AC764" s="352"/>
      <c r="AD764" s="352"/>
      <c r="AE764" s="352"/>
      <c r="AF764" s="352"/>
      <c r="AG764" s="91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  <c r="BA764" s="90"/>
      <c r="BB764" s="90"/>
      <c r="BC764" s="90"/>
      <c r="BD764" s="90"/>
      <c r="BE764" s="90"/>
      <c r="BF764" s="90"/>
      <c r="BG764" s="90"/>
      <c r="BH764" s="90"/>
      <c r="BI764" s="90"/>
      <c r="BJ764" s="90"/>
      <c r="BK764" s="90"/>
      <c r="BL764" s="90"/>
      <c r="BM764" s="90"/>
      <c r="BN764" s="90"/>
      <c r="BO764" s="90"/>
      <c r="BP764" s="90"/>
      <c r="BQ764" s="90"/>
      <c r="BR764" s="90"/>
      <c r="BS764" s="90"/>
      <c r="BT764" s="90"/>
      <c r="BU764" s="90"/>
      <c r="BV764" s="90"/>
      <c r="BW764" s="90"/>
      <c r="BX764" s="90"/>
      <c r="BY764" s="90"/>
    </row>
    <row r="765" spans="1:77" thickBot="1" x14ac:dyDescent="0.3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352"/>
      <c r="AA765" s="352"/>
      <c r="AB765" s="352"/>
      <c r="AC765" s="352"/>
      <c r="AD765" s="352"/>
      <c r="AE765" s="352"/>
      <c r="AF765" s="352"/>
      <c r="AG765" s="91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  <c r="BA765" s="90"/>
      <c r="BB765" s="90"/>
      <c r="BC765" s="90"/>
      <c r="BD765" s="90"/>
      <c r="BE765" s="90"/>
      <c r="BF765" s="90"/>
      <c r="BG765" s="90"/>
      <c r="BH765" s="90"/>
      <c r="BI765" s="90"/>
      <c r="BJ765" s="90"/>
      <c r="BK765" s="90"/>
      <c r="BL765" s="90"/>
      <c r="BM765" s="90"/>
      <c r="BN765" s="90"/>
      <c r="BO765" s="90"/>
      <c r="BP765" s="90"/>
      <c r="BQ765" s="90"/>
      <c r="BR765" s="90"/>
      <c r="BS765" s="90"/>
      <c r="BT765" s="90"/>
      <c r="BU765" s="90"/>
      <c r="BV765" s="90"/>
      <c r="BW765" s="90"/>
      <c r="BX765" s="90"/>
      <c r="BY765" s="90"/>
    </row>
    <row r="766" spans="1:77" thickBot="1" x14ac:dyDescent="0.3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352"/>
      <c r="AA766" s="352"/>
      <c r="AB766" s="352"/>
      <c r="AC766" s="352"/>
      <c r="AD766" s="352"/>
      <c r="AE766" s="352"/>
      <c r="AF766" s="352"/>
      <c r="AG766" s="91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0"/>
      <c r="BF766" s="90"/>
      <c r="BG766" s="90"/>
      <c r="BH766" s="90"/>
      <c r="BI766" s="90"/>
      <c r="BJ766" s="90"/>
      <c r="BK766" s="90"/>
      <c r="BL766" s="90"/>
      <c r="BM766" s="90"/>
      <c r="BN766" s="90"/>
      <c r="BO766" s="90"/>
      <c r="BP766" s="90"/>
      <c r="BQ766" s="90"/>
      <c r="BR766" s="90"/>
      <c r="BS766" s="90"/>
      <c r="BT766" s="90"/>
      <c r="BU766" s="90"/>
      <c r="BV766" s="90"/>
      <c r="BW766" s="90"/>
      <c r="BX766" s="90"/>
      <c r="BY766" s="90"/>
    </row>
    <row r="767" spans="1:77" thickBot="1" x14ac:dyDescent="0.3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352"/>
      <c r="AA767" s="352"/>
      <c r="AB767" s="352"/>
      <c r="AC767" s="352"/>
      <c r="AD767" s="352"/>
      <c r="AE767" s="352"/>
      <c r="AF767" s="352"/>
      <c r="AG767" s="91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90"/>
      <c r="BC767" s="90"/>
      <c r="BD767" s="90"/>
      <c r="BE767" s="90"/>
      <c r="BF767" s="90"/>
      <c r="BG767" s="90"/>
      <c r="BH767" s="90"/>
      <c r="BI767" s="90"/>
      <c r="BJ767" s="90"/>
      <c r="BK767" s="90"/>
      <c r="BL767" s="90"/>
      <c r="BM767" s="90"/>
      <c r="BN767" s="90"/>
      <c r="BO767" s="90"/>
      <c r="BP767" s="90"/>
      <c r="BQ767" s="90"/>
      <c r="BR767" s="90"/>
      <c r="BS767" s="90"/>
      <c r="BT767" s="90"/>
      <c r="BU767" s="90"/>
      <c r="BV767" s="90"/>
      <c r="BW767" s="90"/>
      <c r="BX767" s="90"/>
      <c r="BY767" s="90"/>
    </row>
    <row r="768" spans="1:77" thickBot="1" x14ac:dyDescent="0.3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352"/>
      <c r="AA768" s="352"/>
      <c r="AB768" s="352"/>
      <c r="AC768" s="352"/>
      <c r="AD768" s="352"/>
      <c r="AE768" s="352"/>
      <c r="AF768" s="352"/>
      <c r="AG768" s="91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90"/>
      <c r="BC768" s="90"/>
      <c r="BD768" s="90"/>
      <c r="BE768" s="90"/>
      <c r="BF768" s="90"/>
      <c r="BG768" s="90"/>
      <c r="BH768" s="90"/>
      <c r="BI768" s="90"/>
      <c r="BJ768" s="90"/>
      <c r="BK768" s="90"/>
      <c r="BL768" s="90"/>
      <c r="BM768" s="90"/>
      <c r="BN768" s="90"/>
      <c r="BO768" s="90"/>
      <c r="BP768" s="90"/>
      <c r="BQ768" s="90"/>
      <c r="BR768" s="90"/>
      <c r="BS768" s="90"/>
      <c r="BT768" s="90"/>
      <c r="BU768" s="90"/>
      <c r="BV768" s="90"/>
      <c r="BW768" s="90"/>
      <c r="BX768" s="90"/>
      <c r="BY768" s="90"/>
    </row>
    <row r="769" spans="1:77" thickBot="1" x14ac:dyDescent="0.3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352"/>
      <c r="AA769" s="352"/>
      <c r="AB769" s="352"/>
      <c r="AC769" s="352"/>
      <c r="AD769" s="352"/>
      <c r="AE769" s="352"/>
      <c r="AF769" s="352"/>
      <c r="AG769" s="91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0"/>
      <c r="BF769" s="90"/>
      <c r="BG769" s="90"/>
      <c r="BH769" s="90"/>
      <c r="BI769" s="90"/>
      <c r="BJ769" s="90"/>
      <c r="BK769" s="90"/>
      <c r="BL769" s="90"/>
      <c r="BM769" s="90"/>
      <c r="BN769" s="90"/>
      <c r="BO769" s="90"/>
      <c r="BP769" s="90"/>
      <c r="BQ769" s="90"/>
      <c r="BR769" s="90"/>
      <c r="BS769" s="90"/>
      <c r="BT769" s="90"/>
      <c r="BU769" s="90"/>
      <c r="BV769" s="90"/>
      <c r="BW769" s="90"/>
      <c r="BX769" s="90"/>
      <c r="BY769" s="90"/>
    </row>
    <row r="770" spans="1:77" thickBot="1" x14ac:dyDescent="0.3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352"/>
      <c r="AA770" s="352"/>
      <c r="AB770" s="352"/>
      <c r="AC770" s="352"/>
      <c r="AD770" s="352"/>
      <c r="AE770" s="352"/>
      <c r="AF770" s="352"/>
      <c r="AG770" s="91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90"/>
      <c r="BC770" s="90"/>
      <c r="BD770" s="90"/>
      <c r="BE770" s="90"/>
      <c r="BF770" s="90"/>
      <c r="BG770" s="90"/>
      <c r="BH770" s="90"/>
      <c r="BI770" s="90"/>
      <c r="BJ770" s="90"/>
      <c r="BK770" s="90"/>
      <c r="BL770" s="90"/>
      <c r="BM770" s="90"/>
      <c r="BN770" s="90"/>
      <c r="BO770" s="90"/>
      <c r="BP770" s="90"/>
      <c r="BQ770" s="90"/>
      <c r="BR770" s="90"/>
      <c r="BS770" s="90"/>
      <c r="BT770" s="90"/>
      <c r="BU770" s="90"/>
      <c r="BV770" s="90"/>
      <c r="BW770" s="90"/>
      <c r="BX770" s="90"/>
      <c r="BY770" s="90"/>
    </row>
    <row r="771" spans="1:77" thickBot="1" x14ac:dyDescent="0.3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352"/>
      <c r="AA771" s="352"/>
      <c r="AB771" s="352"/>
      <c r="AC771" s="352"/>
      <c r="AD771" s="352"/>
      <c r="AE771" s="352"/>
      <c r="AF771" s="352"/>
      <c r="AG771" s="91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90"/>
      <c r="BC771" s="90"/>
      <c r="BD771" s="90"/>
      <c r="BE771" s="90"/>
      <c r="BF771" s="90"/>
      <c r="BG771" s="90"/>
      <c r="BH771" s="90"/>
      <c r="BI771" s="90"/>
      <c r="BJ771" s="90"/>
      <c r="BK771" s="90"/>
      <c r="BL771" s="90"/>
      <c r="BM771" s="90"/>
      <c r="BN771" s="90"/>
      <c r="BO771" s="90"/>
      <c r="BP771" s="90"/>
      <c r="BQ771" s="90"/>
      <c r="BR771" s="90"/>
      <c r="BS771" s="90"/>
      <c r="BT771" s="90"/>
      <c r="BU771" s="90"/>
      <c r="BV771" s="90"/>
      <c r="BW771" s="90"/>
      <c r="BX771" s="90"/>
      <c r="BY771" s="90"/>
    </row>
    <row r="772" spans="1:77" thickBot="1" x14ac:dyDescent="0.3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352"/>
      <c r="AA772" s="352"/>
      <c r="AB772" s="352"/>
      <c r="AC772" s="352"/>
      <c r="AD772" s="352"/>
      <c r="AE772" s="352"/>
      <c r="AF772" s="352"/>
      <c r="AG772" s="91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  <c r="BA772" s="90"/>
      <c r="BB772" s="90"/>
      <c r="BC772" s="90"/>
      <c r="BD772" s="90"/>
      <c r="BE772" s="90"/>
      <c r="BF772" s="90"/>
      <c r="BG772" s="90"/>
      <c r="BH772" s="90"/>
      <c r="BI772" s="90"/>
      <c r="BJ772" s="90"/>
      <c r="BK772" s="90"/>
      <c r="BL772" s="90"/>
      <c r="BM772" s="90"/>
      <c r="BN772" s="90"/>
      <c r="BO772" s="90"/>
      <c r="BP772" s="90"/>
      <c r="BQ772" s="90"/>
      <c r="BR772" s="90"/>
      <c r="BS772" s="90"/>
      <c r="BT772" s="90"/>
      <c r="BU772" s="90"/>
      <c r="BV772" s="90"/>
      <c r="BW772" s="90"/>
      <c r="BX772" s="90"/>
      <c r="BY772" s="90"/>
    </row>
    <row r="773" spans="1:77" thickBot="1" x14ac:dyDescent="0.3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352"/>
      <c r="AA773" s="352"/>
      <c r="AB773" s="352"/>
      <c r="AC773" s="352"/>
      <c r="AD773" s="352"/>
      <c r="AE773" s="352"/>
      <c r="AF773" s="352"/>
      <c r="AG773" s="91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  <c r="BA773" s="90"/>
      <c r="BB773" s="90"/>
      <c r="BC773" s="90"/>
      <c r="BD773" s="90"/>
      <c r="BE773" s="90"/>
      <c r="BF773" s="90"/>
      <c r="BG773" s="90"/>
      <c r="BH773" s="90"/>
      <c r="BI773" s="90"/>
      <c r="BJ773" s="90"/>
      <c r="BK773" s="90"/>
      <c r="BL773" s="90"/>
      <c r="BM773" s="90"/>
      <c r="BN773" s="90"/>
      <c r="BO773" s="90"/>
      <c r="BP773" s="90"/>
      <c r="BQ773" s="90"/>
      <c r="BR773" s="90"/>
      <c r="BS773" s="90"/>
      <c r="BT773" s="90"/>
      <c r="BU773" s="90"/>
      <c r="BV773" s="90"/>
      <c r="BW773" s="90"/>
      <c r="BX773" s="90"/>
      <c r="BY773" s="90"/>
    </row>
    <row r="775" spans="1:77" thickBot="1" x14ac:dyDescent="0.3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352"/>
      <c r="AA775" s="352"/>
      <c r="AB775" s="352"/>
      <c r="AC775" s="352"/>
      <c r="AD775" s="352"/>
      <c r="AE775" s="352"/>
      <c r="AF775" s="352"/>
      <c r="AG775" s="91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  <c r="BA775" s="90"/>
      <c r="BB775" s="90"/>
      <c r="BC775" s="90"/>
      <c r="BD775" s="90"/>
      <c r="BE775" s="90"/>
      <c r="BF775" s="90"/>
      <c r="BG775" s="90"/>
      <c r="BH775" s="90"/>
      <c r="BI775" s="90"/>
      <c r="BJ775" s="90"/>
      <c r="BK775" s="90"/>
      <c r="BL775" s="90"/>
      <c r="BM775" s="90"/>
      <c r="BN775" s="90"/>
      <c r="BO775" s="90"/>
      <c r="BP775" s="90"/>
      <c r="BQ775" s="90"/>
      <c r="BR775" s="90"/>
      <c r="BS775" s="90"/>
      <c r="BT775" s="90"/>
      <c r="BU775" s="90"/>
      <c r="BV775" s="90"/>
      <c r="BW775" s="90"/>
      <c r="BX775" s="90"/>
      <c r="BY775" s="90"/>
    </row>
    <row r="776" spans="1:77" thickBot="1" x14ac:dyDescent="0.3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352"/>
      <c r="AA776" s="352"/>
      <c r="AB776" s="352"/>
      <c r="AC776" s="352"/>
      <c r="AD776" s="352"/>
      <c r="AE776" s="352"/>
      <c r="AF776" s="352"/>
      <c r="AG776" s="91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90"/>
      <c r="BC776" s="90"/>
      <c r="BD776" s="90"/>
      <c r="BE776" s="90"/>
      <c r="BF776" s="90"/>
      <c r="BG776" s="90"/>
      <c r="BH776" s="90"/>
      <c r="BI776" s="90"/>
      <c r="BJ776" s="90"/>
      <c r="BK776" s="90"/>
      <c r="BL776" s="90"/>
      <c r="BM776" s="90"/>
      <c r="BN776" s="90"/>
      <c r="BO776" s="90"/>
      <c r="BP776" s="90"/>
      <c r="BQ776" s="90"/>
      <c r="BR776" s="90"/>
      <c r="BS776" s="90"/>
      <c r="BT776" s="90"/>
      <c r="BU776" s="90"/>
      <c r="BV776" s="90"/>
      <c r="BW776" s="90"/>
      <c r="BX776" s="90"/>
      <c r="BY776" s="90"/>
    </row>
    <row r="777" spans="1:77" thickBot="1" x14ac:dyDescent="0.3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352"/>
      <c r="AA777" s="352"/>
      <c r="AB777" s="352"/>
      <c r="AC777" s="352"/>
      <c r="AD777" s="352"/>
      <c r="AE777" s="352"/>
      <c r="AF777" s="352"/>
      <c r="AG777" s="91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90"/>
      <c r="BC777" s="90"/>
      <c r="BD777" s="90"/>
      <c r="BE777" s="90"/>
      <c r="BF777" s="90"/>
      <c r="BG777" s="90"/>
      <c r="BH777" s="90"/>
      <c r="BI777" s="90"/>
      <c r="BJ777" s="90"/>
      <c r="BK777" s="90"/>
      <c r="BL777" s="90"/>
      <c r="BM777" s="90"/>
      <c r="BN777" s="90"/>
      <c r="BO777" s="90"/>
      <c r="BP777" s="90"/>
      <c r="BQ777" s="90"/>
      <c r="BR777" s="90"/>
      <c r="BS777" s="90"/>
      <c r="BT777" s="90"/>
      <c r="BU777" s="90"/>
      <c r="BV777" s="90"/>
      <c r="BW777" s="90"/>
      <c r="BX777" s="90"/>
      <c r="BY777" s="90"/>
    </row>
    <row r="778" spans="1:77" thickBot="1" x14ac:dyDescent="0.3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352"/>
      <c r="AA778" s="352"/>
      <c r="AB778" s="352"/>
      <c r="AC778" s="352"/>
      <c r="AD778" s="352"/>
      <c r="AE778" s="352"/>
      <c r="AF778" s="352"/>
      <c r="AG778" s="91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  <c r="BA778" s="90"/>
      <c r="BB778" s="90"/>
      <c r="BC778" s="90"/>
      <c r="BD778" s="90"/>
      <c r="BE778" s="90"/>
      <c r="BF778" s="90"/>
      <c r="BG778" s="90"/>
      <c r="BH778" s="90"/>
      <c r="BI778" s="90"/>
      <c r="BJ778" s="90"/>
      <c r="BK778" s="90"/>
      <c r="BL778" s="90"/>
      <c r="BM778" s="90"/>
      <c r="BN778" s="90"/>
      <c r="BO778" s="90"/>
      <c r="BP778" s="90"/>
      <c r="BQ778" s="90"/>
      <c r="BR778" s="90"/>
      <c r="BS778" s="90"/>
      <c r="BT778" s="90"/>
      <c r="BU778" s="90"/>
      <c r="BV778" s="90"/>
      <c r="BW778" s="90"/>
      <c r="BX778" s="90"/>
      <c r="BY778" s="90"/>
    </row>
    <row r="779" spans="1:77" thickBot="1" x14ac:dyDescent="0.3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352"/>
      <c r="AA779" s="352"/>
      <c r="AB779" s="352"/>
      <c r="AC779" s="352"/>
      <c r="AD779" s="352"/>
      <c r="AE779" s="352"/>
      <c r="AF779" s="352"/>
      <c r="AG779" s="91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  <c r="BA779" s="90"/>
      <c r="BB779" s="90"/>
      <c r="BC779" s="90"/>
      <c r="BD779" s="90"/>
      <c r="BE779" s="90"/>
      <c r="BF779" s="90"/>
      <c r="BG779" s="90"/>
      <c r="BH779" s="90"/>
      <c r="BI779" s="90"/>
      <c r="BJ779" s="90"/>
      <c r="BK779" s="90"/>
      <c r="BL779" s="90"/>
      <c r="BM779" s="90"/>
      <c r="BN779" s="90"/>
      <c r="BO779" s="90"/>
      <c r="BP779" s="90"/>
      <c r="BQ779" s="90"/>
      <c r="BR779" s="90"/>
      <c r="BS779" s="90"/>
      <c r="BT779" s="90"/>
      <c r="BU779" s="90"/>
      <c r="BV779" s="90"/>
      <c r="BW779" s="90"/>
      <c r="BX779" s="90"/>
      <c r="BY779" s="90"/>
    </row>
    <row r="780" spans="1:77" thickBot="1" x14ac:dyDescent="0.3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352"/>
      <c r="AA780" s="352"/>
      <c r="AB780" s="352"/>
      <c r="AC780" s="352"/>
      <c r="AD780" s="352"/>
      <c r="AE780" s="352"/>
      <c r="AF780" s="352"/>
      <c r="AG780" s="91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  <c r="BA780" s="90"/>
      <c r="BB780" s="90"/>
      <c r="BC780" s="90"/>
      <c r="BD780" s="90"/>
      <c r="BE780" s="90"/>
      <c r="BF780" s="90"/>
      <c r="BG780" s="90"/>
      <c r="BH780" s="90"/>
      <c r="BI780" s="90"/>
      <c r="BJ780" s="90"/>
      <c r="BK780" s="90"/>
      <c r="BL780" s="90"/>
      <c r="BM780" s="90"/>
      <c r="BN780" s="90"/>
      <c r="BO780" s="90"/>
      <c r="BP780" s="90"/>
      <c r="BQ780" s="90"/>
      <c r="BR780" s="90"/>
      <c r="BS780" s="90"/>
      <c r="BT780" s="90"/>
      <c r="BU780" s="90"/>
      <c r="BV780" s="90"/>
      <c r="BW780" s="90"/>
      <c r="BX780" s="90"/>
      <c r="BY780" s="90"/>
    </row>
    <row r="781" spans="1:77" thickBot="1" x14ac:dyDescent="0.3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352"/>
      <c r="AA781" s="352"/>
      <c r="AB781" s="352"/>
      <c r="AC781" s="352"/>
      <c r="AD781" s="352"/>
      <c r="AE781" s="352"/>
      <c r="AF781" s="352"/>
      <c r="AG781" s="91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  <c r="BA781" s="90"/>
      <c r="BB781" s="90"/>
      <c r="BC781" s="90"/>
      <c r="BD781" s="90"/>
      <c r="BE781" s="90"/>
      <c r="BF781" s="90"/>
      <c r="BG781" s="90"/>
      <c r="BH781" s="90"/>
      <c r="BI781" s="90"/>
      <c r="BJ781" s="90"/>
      <c r="BK781" s="90"/>
      <c r="BL781" s="90"/>
      <c r="BM781" s="90"/>
      <c r="BN781" s="90"/>
      <c r="BO781" s="90"/>
      <c r="BP781" s="90"/>
      <c r="BQ781" s="90"/>
      <c r="BR781" s="90"/>
      <c r="BS781" s="90"/>
      <c r="BT781" s="90"/>
      <c r="BU781" s="90"/>
      <c r="BV781" s="90"/>
      <c r="BW781" s="90"/>
      <c r="BX781" s="90"/>
      <c r="BY781" s="90"/>
    </row>
    <row r="782" spans="1:77" thickBot="1" x14ac:dyDescent="0.3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352"/>
      <c r="AA782" s="352"/>
      <c r="AB782" s="352"/>
      <c r="AC782" s="352"/>
      <c r="AD782" s="352"/>
      <c r="AE782" s="352"/>
      <c r="AF782" s="352"/>
      <c r="AG782" s="91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90"/>
      <c r="BC782" s="90"/>
      <c r="BD782" s="90"/>
      <c r="BE782" s="90"/>
      <c r="BF782" s="90"/>
      <c r="BG782" s="90"/>
      <c r="BH782" s="90"/>
      <c r="BI782" s="90"/>
      <c r="BJ782" s="90"/>
      <c r="BK782" s="90"/>
      <c r="BL782" s="90"/>
      <c r="BM782" s="90"/>
      <c r="BN782" s="90"/>
      <c r="BO782" s="90"/>
      <c r="BP782" s="90"/>
      <c r="BQ782" s="90"/>
      <c r="BR782" s="90"/>
      <c r="BS782" s="90"/>
      <c r="BT782" s="90"/>
      <c r="BU782" s="90"/>
      <c r="BV782" s="90"/>
      <c r="BW782" s="90"/>
      <c r="BX782" s="90"/>
      <c r="BY782" s="90"/>
    </row>
    <row r="783" spans="1:77" thickBot="1" x14ac:dyDescent="0.3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352"/>
      <c r="AA783" s="352"/>
      <c r="AB783" s="352"/>
      <c r="AC783" s="352"/>
      <c r="AD783" s="352"/>
      <c r="AE783" s="352"/>
      <c r="AF783" s="352"/>
      <c r="AG783" s="91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90"/>
      <c r="BC783" s="90"/>
      <c r="BD783" s="90"/>
      <c r="BE783" s="90"/>
      <c r="BF783" s="90"/>
      <c r="BG783" s="90"/>
      <c r="BH783" s="90"/>
      <c r="BI783" s="90"/>
      <c r="BJ783" s="90"/>
      <c r="BK783" s="90"/>
      <c r="BL783" s="90"/>
      <c r="BM783" s="90"/>
      <c r="BN783" s="90"/>
      <c r="BO783" s="90"/>
      <c r="BP783" s="90"/>
      <c r="BQ783" s="90"/>
      <c r="BR783" s="90"/>
      <c r="BS783" s="90"/>
      <c r="BT783" s="90"/>
      <c r="BU783" s="90"/>
      <c r="BV783" s="90"/>
      <c r="BW783" s="90"/>
      <c r="BX783" s="90"/>
      <c r="BY783" s="90"/>
    </row>
    <row r="784" spans="1:77" thickBot="1" x14ac:dyDescent="0.3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352"/>
      <c r="AA784" s="352"/>
      <c r="AB784" s="352"/>
      <c r="AC784" s="352"/>
      <c r="AD784" s="352"/>
      <c r="AE784" s="352"/>
      <c r="AF784" s="352"/>
      <c r="AG784" s="91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  <c r="BA784" s="90"/>
      <c r="BB784" s="90"/>
      <c r="BC784" s="90"/>
      <c r="BD784" s="90"/>
      <c r="BE784" s="90"/>
      <c r="BF784" s="90"/>
      <c r="BG784" s="90"/>
      <c r="BH784" s="90"/>
      <c r="BI784" s="90"/>
      <c r="BJ784" s="90"/>
      <c r="BK784" s="90"/>
      <c r="BL784" s="90"/>
      <c r="BM784" s="90"/>
      <c r="BN784" s="90"/>
      <c r="BO784" s="90"/>
      <c r="BP784" s="90"/>
      <c r="BQ784" s="90"/>
      <c r="BR784" s="90"/>
      <c r="BS784" s="90"/>
      <c r="BT784" s="90"/>
      <c r="BU784" s="90"/>
      <c r="BV784" s="90"/>
      <c r="BW784" s="90"/>
      <c r="BX784" s="90"/>
      <c r="BY784" s="90"/>
    </row>
    <row r="785" spans="1:77" thickBot="1" x14ac:dyDescent="0.3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352"/>
      <c r="AA785" s="352"/>
      <c r="AB785" s="352"/>
      <c r="AC785" s="352"/>
      <c r="AD785" s="352"/>
      <c r="AE785" s="352"/>
      <c r="AF785" s="352"/>
      <c r="AG785" s="91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  <c r="BA785" s="90"/>
      <c r="BB785" s="90"/>
      <c r="BC785" s="90"/>
      <c r="BD785" s="90"/>
      <c r="BE785" s="90"/>
      <c r="BF785" s="90"/>
      <c r="BG785" s="90"/>
      <c r="BH785" s="90"/>
      <c r="BI785" s="90"/>
      <c r="BJ785" s="90"/>
      <c r="BK785" s="90"/>
      <c r="BL785" s="90"/>
      <c r="BM785" s="90"/>
      <c r="BN785" s="90"/>
      <c r="BO785" s="90"/>
      <c r="BP785" s="90"/>
      <c r="BQ785" s="90"/>
      <c r="BR785" s="90"/>
      <c r="BS785" s="90"/>
      <c r="BT785" s="90"/>
      <c r="BU785" s="90"/>
      <c r="BV785" s="90"/>
      <c r="BW785" s="90"/>
      <c r="BX785" s="90"/>
      <c r="BY785" s="90"/>
    </row>
    <row r="786" spans="1:77" thickBot="1" x14ac:dyDescent="0.3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352"/>
      <c r="AA786" s="352"/>
      <c r="AB786" s="352"/>
      <c r="AC786" s="352"/>
      <c r="AD786" s="352"/>
      <c r="AE786" s="352"/>
      <c r="AF786" s="352"/>
      <c r="AG786" s="91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  <c r="BA786" s="90"/>
      <c r="BB786" s="90"/>
      <c r="BC786" s="90"/>
      <c r="BD786" s="90"/>
      <c r="BE786" s="90"/>
      <c r="BF786" s="90"/>
      <c r="BG786" s="90"/>
      <c r="BH786" s="90"/>
      <c r="BI786" s="90"/>
      <c r="BJ786" s="90"/>
      <c r="BK786" s="90"/>
      <c r="BL786" s="90"/>
      <c r="BM786" s="90"/>
      <c r="BN786" s="90"/>
      <c r="BO786" s="90"/>
      <c r="BP786" s="90"/>
      <c r="BQ786" s="90"/>
      <c r="BR786" s="90"/>
      <c r="BS786" s="90"/>
      <c r="BT786" s="90"/>
      <c r="BU786" s="90"/>
      <c r="BV786" s="90"/>
      <c r="BW786" s="90"/>
      <c r="BX786" s="90"/>
      <c r="BY786" s="90"/>
    </row>
    <row r="787" spans="1:77" thickBot="1" x14ac:dyDescent="0.3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352"/>
      <c r="AA787" s="352"/>
      <c r="AB787" s="352"/>
      <c r="AC787" s="352"/>
      <c r="AD787" s="352"/>
      <c r="AE787" s="352"/>
      <c r="AF787" s="352"/>
      <c r="AG787" s="91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90"/>
      <c r="BC787" s="90"/>
      <c r="BD787" s="90"/>
      <c r="BE787" s="90"/>
      <c r="BF787" s="90"/>
      <c r="BG787" s="90"/>
      <c r="BH787" s="90"/>
      <c r="BI787" s="90"/>
      <c r="BJ787" s="90"/>
      <c r="BK787" s="90"/>
      <c r="BL787" s="90"/>
      <c r="BM787" s="90"/>
      <c r="BN787" s="90"/>
      <c r="BO787" s="90"/>
      <c r="BP787" s="90"/>
      <c r="BQ787" s="90"/>
      <c r="BR787" s="90"/>
      <c r="BS787" s="90"/>
      <c r="BT787" s="90"/>
      <c r="BU787" s="90"/>
      <c r="BV787" s="90"/>
      <c r="BW787" s="90"/>
      <c r="BX787" s="90"/>
      <c r="BY787" s="90"/>
    </row>
    <row r="788" spans="1:77" thickBot="1" x14ac:dyDescent="0.3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352"/>
      <c r="AA788" s="352"/>
      <c r="AB788" s="352"/>
      <c r="AC788" s="352"/>
      <c r="AD788" s="352"/>
      <c r="AE788" s="352"/>
      <c r="AF788" s="352"/>
      <c r="AG788" s="91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90"/>
      <c r="BC788" s="90"/>
      <c r="BD788" s="90"/>
      <c r="BE788" s="90"/>
      <c r="BF788" s="90"/>
      <c r="BG788" s="90"/>
      <c r="BH788" s="90"/>
      <c r="BI788" s="90"/>
      <c r="BJ788" s="90"/>
      <c r="BK788" s="90"/>
      <c r="BL788" s="90"/>
      <c r="BM788" s="90"/>
      <c r="BN788" s="90"/>
      <c r="BO788" s="90"/>
      <c r="BP788" s="90"/>
      <c r="BQ788" s="90"/>
      <c r="BR788" s="90"/>
      <c r="BS788" s="90"/>
      <c r="BT788" s="90"/>
      <c r="BU788" s="90"/>
      <c r="BV788" s="90"/>
      <c r="BW788" s="90"/>
      <c r="BX788" s="90"/>
      <c r="BY788" s="90"/>
    </row>
    <row r="789" spans="1:77" thickBot="1" x14ac:dyDescent="0.3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352"/>
      <c r="AA789" s="352"/>
      <c r="AB789" s="352"/>
      <c r="AC789" s="352"/>
      <c r="AD789" s="352"/>
      <c r="AE789" s="352"/>
      <c r="AF789" s="352"/>
      <c r="AG789" s="91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90"/>
      <c r="BC789" s="90"/>
      <c r="BD789" s="90"/>
      <c r="BE789" s="90"/>
      <c r="BF789" s="90"/>
      <c r="BG789" s="90"/>
      <c r="BH789" s="90"/>
      <c r="BI789" s="90"/>
      <c r="BJ789" s="90"/>
      <c r="BK789" s="90"/>
      <c r="BL789" s="90"/>
      <c r="BM789" s="90"/>
      <c r="BN789" s="90"/>
      <c r="BO789" s="90"/>
      <c r="BP789" s="90"/>
      <c r="BQ789" s="90"/>
      <c r="BR789" s="90"/>
      <c r="BS789" s="90"/>
      <c r="BT789" s="90"/>
      <c r="BU789" s="90"/>
      <c r="BV789" s="90"/>
      <c r="BW789" s="90"/>
      <c r="BX789" s="90"/>
      <c r="BY789" s="90"/>
    </row>
    <row r="790" spans="1:77" thickBot="1" x14ac:dyDescent="0.3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352"/>
      <c r="AA790" s="352"/>
      <c r="AB790" s="352"/>
      <c r="AC790" s="352"/>
      <c r="AD790" s="352"/>
      <c r="AE790" s="352"/>
      <c r="AF790" s="352"/>
      <c r="AG790" s="91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90"/>
      <c r="BC790" s="90"/>
      <c r="BD790" s="90"/>
      <c r="BE790" s="90"/>
      <c r="BF790" s="90"/>
      <c r="BG790" s="90"/>
      <c r="BH790" s="90"/>
      <c r="BI790" s="90"/>
      <c r="BJ790" s="90"/>
      <c r="BK790" s="90"/>
      <c r="BL790" s="90"/>
      <c r="BM790" s="90"/>
      <c r="BN790" s="90"/>
      <c r="BO790" s="90"/>
      <c r="BP790" s="90"/>
      <c r="BQ790" s="90"/>
      <c r="BR790" s="90"/>
      <c r="BS790" s="90"/>
      <c r="BT790" s="90"/>
      <c r="BU790" s="90"/>
      <c r="BV790" s="90"/>
      <c r="BW790" s="90"/>
      <c r="BX790" s="90"/>
      <c r="BY790" s="90"/>
    </row>
    <row r="791" spans="1:77" thickBot="1" x14ac:dyDescent="0.3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352"/>
      <c r="AA791" s="352"/>
      <c r="AB791" s="352"/>
      <c r="AC791" s="352"/>
      <c r="AD791" s="352"/>
      <c r="AE791" s="352"/>
      <c r="AF791" s="352"/>
      <c r="AG791" s="91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90"/>
      <c r="BC791" s="90"/>
      <c r="BD791" s="90"/>
      <c r="BE791" s="90"/>
      <c r="BF791" s="90"/>
      <c r="BG791" s="90"/>
      <c r="BH791" s="90"/>
      <c r="BI791" s="90"/>
      <c r="BJ791" s="90"/>
      <c r="BK791" s="90"/>
      <c r="BL791" s="90"/>
      <c r="BM791" s="90"/>
      <c r="BN791" s="90"/>
      <c r="BO791" s="90"/>
      <c r="BP791" s="90"/>
      <c r="BQ791" s="90"/>
      <c r="BR791" s="90"/>
      <c r="BS791" s="90"/>
      <c r="BT791" s="90"/>
      <c r="BU791" s="90"/>
      <c r="BV791" s="90"/>
      <c r="BW791" s="90"/>
      <c r="BX791" s="90"/>
      <c r="BY791" s="90"/>
    </row>
    <row r="792" spans="1:77" thickBot="1" x14ac:dyDescent="0.3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352"/>
      <c r="AA792" s="352"/>
      <c r="AB792" s="352"/>
      <c r="AC792" s="352"/>
      <c r="AD792" s="352"/>
      <c r="AE792" s="352"/>
      <c r="AF792" s="352"/>
      <c r="AG792" s="91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  <c r="BA792" s="90"/>
      <c r="BB792" s="90"/>
      <c r="BC792" s="90"/>
      <c r="BD792" s="90"/>
      <c r="BE792" s="90"/>
      <c r="BF792" s="90"/>
      <c r="BG792" s="90"/>
      <c r="BH792" s="90"/>
      <c r="BI792" s="90"/>
      <c r="BJ792" s="90"/>
      <c r="BK792" s="90"/>
      <c r="BL792" s="90"/>
      <c r="BM792" s="90"/>
      <c r="BN792" s="90"/>
      <c r="BO792" s="90"/>
      <c r="BP792" s="90"/>
      <c r="BQ792" s="90"/>
      <c r="BR792" s="90"/>
      <c r="BS792" s="90"/>
      <c r="BT792" s="90"/>
      <c r="BU792" s="90"/>
      <c r="BV792" s="90"/>
      <c r="BW792" s="90"/>
      <c r="BX792" s="90"/>
      <c r="BY792" s="90"/>
    </row>
    <row r="793" spans="1:77" thickBot="1" x14ac:dyDescent="0.3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352"/>
      <c r="AA793" s="352"/>
      <c r="AB793" s="352"/>
      <c r="AC793" s="352"/>
      <c r="AD793" s="352"/>
      <c r="AE793" s="352"/>
      <c r="AF793" s="352"/>
      <c r="AG793" s="91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90"/>
      <c r="BC793" s="90"/>
      <c r="BD793" s="90"/>
      <c r="BE793" s="90"/>
      <c r="BF793" s="90"/>
      <c r="BG793" s="90"/>
      <c r="BH793" s="90"/>
      <c r="BI793" s="90"/>
      <c r="BJ793" s="90"/>
      <c r="BK793" s="90"/>
      <c r="BL793" s="90"/>
      <c r="BM793" s="90"/>
      <c r="BN793" s="90"/>
      <c r="BO793" s="90"/>
      <c r="BP793" s="90"/>
      <c r="BQ793" s="90"/>
      <c r="BR793" s="90"/>
      <c r="BS793" s="90"/>
      <c r="BT793" s="90"/>
      <c r="BU793" s="90"/>
      <c r="BV793" s="90"/>
      <c r="BW793" s="90"/>
      <c r="BX793" s="90"/>
      <c r="BY793" s="90"/>
    </row>
    <row r="794" spans="1:77" thickBot="1" x14ac:dyDescent="0.3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352"/>
      <c r="AA794" s="352"/>
      <c r="AB794" s="352"/>
      <c r="AC794" s="352"/>
      <c r="AD794" s="352"/>
      <c r="AE794" s="352"/>
      <c r="AF794" s="352"/>
      <c r="AG794" s="91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  <c r="BA794" s="90"/>
      <c r="BB794" s="90"/>
      <c r="BC794" s="90"/>
      <c r="BD794" s="90"/>
      <c r="BE794" s="90"/>
      <c r="BF794" s="90"/>
      <c r="BG794" s="90"/>
      <c r="BH794" s="90"/>
      <c r="BI794" s="90"/>
      <c r="BJ794" s="90"/>
      <c r="BK794" s="90"/>
      <c r="BL794" s="90"/>
      <c r="BM794" s="90"/>
      <c r="BN794" s="90"/>
      <c r="BO794" s="90"/>
      <c r="BP794" s="90"/>
      <c r="BQ794" s="90"/>
      <c r="BR794" s="90"/>
      <c r="BS794" s="90"/>
      <c r="BT794" s="90"/>
      <c r="BU794" s="90"/>
      <c r="BV794" s="90"/>
      <c r="BW794" s="90"/>
      <c r="BX794" s="90"/>
      <c r="BY794" s="90"/>
    </row>
    <row r="795" spans="1:77" thickBot="1" x14ac:dyDescent="0.3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352"/>
      <c r="AA795" s="352"/>
      <c r="AB795" s="352"/>
      <c r="AC795" s="352"/>
      <c r="AD795" s="352"/>
      <c r="AE795" s="352"/>
      <c r="AF795" s="352"/>
      <c r="AG795" s="91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  <c r="BA795" s="90"/>
      <c r="BB795" s="90"/>
      <c r="BC795" s="90"/>
      <c r="BD795" s="90"/>
      <c r="BE795" s="90"/>
      <c r="BF795" s="90"/>
      <c r="BG795" s="90"/>
      <c r="BH795" s="90"/>
      <c r="BI795" s="90"/>
      <c r="BJ795" s="90"/>
      <c r="BK795" s="90"/>
      <c r="BL795" s="90"/>
      <c r="BM795" s="90"/>
      <c r="BN795" s="90"/>
      <c r="BO795" s="90"/>
      <c r="BP795" s="90"/>
      <c r="BQ795" s="90"/>
      <c r="BR795" s="90"/>
      <c r="BS795" s="90"/>
      <c r="BT795" s="90"/>
      <c r="BU795" s="90"/>
      <c r="BV795" s="90"/>
      <c r="BW795" s="90"/>
      <c r="BX795" s="90"/>
      <c r="BY795" s="90"/>
    </row>
    <row r="796" spans="1:77" thickBot="1" x14ac:dyDescent="0.3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352"/>
      <c r="AA796" s="352"/>
      <c r="AB796" s="352"/>
      <c r="AC796" s="352"/>
      <c r="AD796" s="352"/>
      <c r="AE796" s="352"/>
      <c r="AF796" s="352"/>
      <c r="AG796" s="91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  <c r="AX796" s="90"/>
      <c r="AY796" s="90"/>
      <c r="AZ796" s="90"/>
      <c r="BA796" s="90"/>
      <c r="BB796" s="90"/>
      <c r="BC796" s="90"/>
      <c r="BD796" s="90"/>
      <c r="BE796" s="90"/>
      <c r="BF796" s="90"/>
      <c r="BG796" s="90"/>
      <c r="BH796" s="90"/>
      <c r="BI796" s="90"/>
      <c r="BJ796" s="90"/>
      <c r="BK796" s="90"/>
      <c r="BL796" s="90"/>
      <c r="BM796" s="90"/>
      <c r="BN796" s="90"/>
      <c r="BO796" s="90"/>
      <c r="BP796" s="90"/>
      <c r="BQ796" s="90"/>
      <c r="BR796" s="90"/>
      <c r="BS796" s="90"/>
      <c r="BT796" s="90"/>
      <c r="BU796" s="90"/>
      <c r="BV796" s="90"/>
      <c r="BW796" s="90"/>
      <c r="BX796" s="90"/>
      <c r="BY796" s="90"/>
    </row>
    <row r="797" spans="1:77" thickBot="1" x14ac:dyDescent="0.3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352"/>
      <c r="AA797" s="352"/>
      <c r="AB797" s="352"/>
      <c r="AC797" s="352"/>
      <c r="AD797" s="352"/>
      <c r="AE797" s="352"/>
      <c r="AF797" s="352"/>
      <c r="AG797" s="91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  <c r="AX797" s="90"/>
      <c r="AY797" s="90"/>
      <c r="AZ797" s="90"/>
      <c r="BA797" s="90"/>
      <c r="BB797" s="90"/>
      <c r="BC797" s="90"/>
      <c r="BD797" s="90"/>
      <c r="BE797" s="90"/>
      <c r="BF797" s="90"/>
      <c r="BG797" s="90"/>
      <c r="BH797" s="90"/>
      <c r="BI797" s="90"/>
      <c r="BJ797" s="90"/>
      <c r="BK797" s="90"/>
      <c r="BL797" s="90"/>
      <c r="BM797" s="90"/>
      <c r="BN797" s="90"/>
      <c r="BO797" s="90"/>
      <c r="BP797" s="90"/>
      <c r="BQ797" s="90"/>
      <c r="BR797" s="90"/>
      <c r="BS797" s="90"/>
      <c r="BT797" s="90"/>
      <c r="BU797" s="90"/>
      <c r="BV797" s="90"/>
      <c r="BW797" s="90"/>
      <c r="BX797" s="90"/>
      <c r="BY797" s="90"/>
    </row>
    <row r="798" spans="1:77" thickBot="1" x14ac:dyDescent="0.3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352"/>
      <c r="AA798" s="352"/>
      <c r="AB798" s="352"/>
      <c r="AC798" s="352"/>
      <c r="AD798" s="352"/>
      <c r="AE798" s="352"/>
      <c r="AF798" s="352"/>
      <c r="AG798" s="91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  <c r="AX798" s="90"/>
      <c r="AY798" s="90"/>
      <c r="AZ798" s="90"/>
      <c r="BA798" s="90"/>
      <c r="BB798" s="90"/>
      <c r="BC798" s="90"/>
      <c r="BD798" s="90"/>
      <c r="BE798" s="90"/>
      <c r="BF798" s="90"/>
      <c r="BG798" s="90"/>
      <c r="BH798" s="90"/>
      <c r="BI798" s="90"/>
      <c r="BJ798" s="90"/>
      <c r="BK798" s="90"/>
      <c r="BL798" s="90"/>
      <c r="BM798" s="90"/>
      <c r="BN798" s="90"/>
      <c r="BO798" s="90"/>
      <c r="BP798" s="90"/>
      <c r="BQ798" s="90"/>
      <c r="BR798" s="90"/>
      <c r="BS798" s="90"/>
      <c r="BT798" s="90"/>
      <c r="BU798" s="90"/>
      <c r="BV798" s="90"/>
      <c r="BW798" s="90"/>
      <c r="BX798" s="90"/>
      <c r="BY798" s="90"/>
    </row>
    <row r="799" spans="1:77" thickBot="1" x14ac:dyDescent="0.3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352"/>
      <c r="AA799" s="352"/>
      <c r="AB799" s="352"/>
      <c r="AC799" s="352"/>
      <c r="AD799" s="352"/>
      <c r="AE799" s="352"/>
      <c r="AF799" s="352"/>
      <c r="AG799" s="91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  <c r="AX799" s="90"/>
      <c r="AY799" s="90"/>
      <c r="AZ799" s="90"/>
      <c r="BA799" s="90"/>
      <c r="BB799" s="90"/>
      <c r="BC799" s="90"/>
      <c r="BD799" s="90"/>
      <c r="BE799" s="90"/>
      <c r="BF799" s="90"/>
      <c r="BG799" s="90"/>
      <c r="BH799" s="90"/>
      <c r="BI799" s="90"/>
      <c r="BJ799" s="90"/>
      <c r="BK799" s="90"/>
      <c r="BL799" s="90"/>
      <c r="BM799" s="90"/>
      <c r="BN799" s="90"/>
      <c r="BO799" s="90"/>
      <c r="BP799" s="90"/>
      <c r="BQ799" s="90"/>
      <c r="BR799" s="90"/>
      <c r="BS799" s="90"/>
      <c r="BT799" s="90"/>
      <c r="BU799" s="90"/>
      <c r="BV799" s="90"/>
      <c r="BW799" s="90"/>
      <c r="BX799" s="90"/>
      <c r="BY799" s="90"/>
    </row>
    <row r="800" spans="1:77" thickBot="1" x14ac:dyDescent="0.3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352"/>
      <c r="AA800" s="352"/>
      <c r="AB800" s="352"/>
      <c r="AC800" s="352"/>
      <c r="AD800" s="352"/>
      <c r="AE800" s="352"/>
      <c r="AF800" s="352"/>
      <c r="AG800" s="91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  <c r="AX800" s="90"/>
      <c r="AY800" s="90"/>
      <c r="AZ800" s="90"/>
      <c r="BA800" s="90"/>
      <c r="BB800" s="90"/>
      <c r="BC800" s="90"/>
      <c r="BD800" s="90"/>
      <c r="BE800" s="90"/>
      <c r="BF800" s="90"/>
      <c r="BG800" s="90"/>
      <c r="BH800" s="90"/>
      <c r="BI800" s="90"/>
      <c r="BJ800" s="90"/>
      <c r="BK800" s="90"/>
      <c r="BL800" s="90"/>
      <c r="BM800" s="90"/>
      <c r="BN800" s="90"/>
      <c r="BO800" s="90"/>
      <c r="BP800" s="90"/>
      <c r="BQ800" s="90"/>
      <c r="BR800" s="90"/>
      <c r="BS800" s="90"/>
      <c r="BT800" s="90"/>
      <c r="BU800" s="90"/>
      <c r="BV800" s="90"/>
      <c r="BW800" s="90"/>
      <c r="BX800" s="90"/>
      <c r="BY800" s="90"/>
    </row>
    <row r="801" spans="1:77" thickBot="1" x14ac:dyDescent="0.3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352"/>
      <c r="AA801" s="352"/>
      <c r="AB801" s="352"/>
      <c r="AC801" s="352"/>
      <c r="AD801" s="352"/>
      <c r="AE801" s="352"/>
      <c r="AF801" s="352"/>
      <c r="AG801" s="91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  <c r="AX801" s="90"/>
      <c r="AY801" s="90"/>
      <c r="AZ801" s="90"/>
      <c r="BA801" s="90"/>
      <c r="BB801" s="90"/>
      <c r="BC801" s="90"/>
      <c r="BD801" s="90"/>
      <c r="BE801" s="90"/>
      <c r="BF801" s="90"/>
      <c r="BG801" s="90"/>
      <c r="BH801" s="90"/>
      <c r="BI801" s="90"/>
      <c r="BJ801" s="90"/>
      <c r="BK801" s="90"/>
      <c r="BL801" s="90"/>
      <c r="BM801" s="90"/>
      <c r="BN801" s="90"/>
      <c r="BO801" s="90"/>
      <c r="BP801" s="90"/>
      <c r="BQ801" s="90"/>
      <c r="BR801" s="90"/>
      <c r="BS801" s="90"/>
      <c r="BT801" s="90"/>
      <c r="BU801" s="90"/>
      <c r="BV801" s="90"/>
      <c r="BW801" s="90"/>
      <c r="BX801" s="90"/>
      <c r="BY801" s="90"/>
    </row>
    <row r="802" spans="1:77" thickBot="1" x14ac:dyDescent="0.3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352"/>
      <c r="AA802" s="352"/>
      <c r="AB802" s="352"/>
      <c r="AC802" s="352"/>
      <c r="AD802" s="352"/>
      <c r="AE802" s="352"/>
      <c r="AF802" s="352"/>
      <c r="AG802" s="91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  <c r="AX802" s="90"/>
      <c r="AY802" s="90"/>
      <c r="AZ802" s="90"/>
      <c r="BA802" s="90"/>
      <c r="BB802" s="90"/>
      <c r="BC802" s="90"/>
      <c r="BD802" s="90"/>
      <c r="BE802" s="90"/>
      <c r="BF802" s="90"/>
      <c r="BG802" s="90"/>
      <c r="BH802" s="90"/>
      <c r="BI802" s="90"/>
      <c r="BJ802" s="90"/>
      <c r="BK802" s="90"/>
      <c r="BL802" s="90"/>
      <c r="BM802" s="90"/>
      <c r="BN802" s="90"/>
      <c r="BO802" s="90"/>
      <c r="BP802" s="90"/>
      <c r="BQ802" s="90"/>
      <c r="BR802" s="90"/>
      <c r="BS802" s="90"/>
      <c r="BT802" s="90"/>
      <c r="BU802" s="90"/>
      <c r="BV802" s="90"/>
      <c r="BW802" s="90"/>
      <c r="BX802" s="90"/>
      <c r="BY802" s="90"/>
    </row>
    <row r="803" spans="1:77" thickBot="1" x14ac:dyDescent="0.3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352"/>
      <c r="AA803" s="352"/>
      <c r="AB803" s="352"/>
      <c r="AC803" s="352"/>
      <c r="AD803" s="352"/>
      <c r="AE803" s="352"/>
      <c r="AF803" s="352"/>
      <c r="AG803" s="91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  <c r="AX803" s="90"/>
      <c r="AY803" s="90"/>
      <c r="AZ803" s="90"/>
      <c r="BA803" s="90"/>
      <c r="BB803" s="90"/>
      <c r="BC803" s="90"/>
      <c r="BD803" s="90"/>
      <c r="BE803" s="90"/>
      <c r="BF803" s="90"/>
      <c r="BG803" s="90"/>
      <c r="BH803" s="90"/>
      <c r="BI803" s="90"/>
      <c r="BJ803" s="90"/>
      <c r="BK803" s="90"/>
      <c r="BL803" s="90"/>
      <c r="BM803" s="90"/>
      <c r="BN803" s="90"/>
      <c r="BO803" s="90"/>
      <c r="BP803" s="90"/>
      <c r="BQ803" s="90"/>
      <c r="BR803" s="90"/>
      <c r="BS803" s="90"/>
      <c r="BT803" s="90"/>
      <c r="BU803" s="90"/>
      <c r="BV803" s="90"/>
      <c r="BW803" s="90"/>
      <c r="BX803" s="90"/>
      <c r="BY803" s="90"/>
    </row>
    <row r="804" spans="1:77" thickBot="1" x14ac:dyDescent="0.3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352"/>
      <c r="AA804" s="352"/>
      <c r="AB804" s="352"/>
      <c r="AC804" s="352"/>
      <c r="AD804" s="352"/>
      <c r="AE804" s="352"/>
      <c r="AF804" s="352"/>
      <c r="AG804" s="91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  <c r="BA804" s="90"/>
      <c r="BB804" s="90"/>
      <c r="BC804" s="90"/>
      <c r="BD804" s="90"/>
      <c r="BE804" s="90"/>
      <c r="BF804" s="90"/>
      <c r="BG804" s="90"/>
      <c r="BH804" s="90"/>
      <c r="BI804" s="90"/>
      <c r="BJ804" s="90"/>
      <c r="BK804" s="90"/>
      <c r="BL804" s="90"/>
      <c r="BM804" s="90"/>
      <c r="BN804" s="90"/>
      <c r="BO804" s="90"/>
      <c r="BP804" s="90"/>
      <c r="BQ804" s="90"/>
      <c r="BR804" s="90"/>
      <c r="BS804" s="90"/>
      <c r="BT804" s="90"/>
      <c r="BU804" s="90"/>
      <c r="BV804" s="90"/>
      <c r="BW804" s="90"/>
      <c r="BX804" s="90"/>
      <c r="BY804" s="90"/>
    </row>
    <row r="805" spans="1:77" thickBot="1" x14ac:dyDescent="0.3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352"/>
      <c r="AA805" s="352"/>
      <c r="AB805" s="352"/>
      <c r="AC805" s="352"/>
      <c r="AD805" s="352"/>
      <c r="AE805" s="352"/>
      <c r="AF805" s="352"/>
      <c r="AG805" s="91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  <c r="AX805" s="90"/>
      <c r="AY805" s="90"/>
      <c r="AZ805" s="90"/>
      <c r="BA805" s="90"/>
      <c r="BB805" s="90"/>
      <c r="BC805" s="90"/>
      <c r="BD805" s="90"/>
      <c r="BE805" s="90"/>
      <c r="BF805" s="90"/>
      <c r="BG805" s="90"/>
      <c r="BH805" s="90"/>
      <c r="BI805" s="90"/>
      <c r="BJ805" s="90"/>
      <c r="BK805" s="90"/>
      <c r="BL805" s="90"/>
      <c r="BM805" s="90"/>
      <c r="BN805" s="90"/>
      <c r="BO805" s="90"/>
      <c r="BP805" s="90"/>
      <c r="BQ805" s="90"/>
      <c r="BR805" s="90"/>
      <c r="BS805" s="90"/>
      <c r="BT805" s="90"/>
      <c r="BU805" s="90"/>
      <c r="BV805" s="90"/>
      <c r="BW805" s="90"/>
      <c r="BX805" s="90"/>
      <c r="BY805" s="90"/>
    </row>
    <row r="806" spans="1:77" thickBot="1" x14ac:dyDescent="0.3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352"/>
      <c r="AA806" s="352"/>
      <c r="AB806" s="352"/>
      <c r="AC806" s="352"/>
      <c r="AD806" s="352"/>
      <c r="AE806" s="352"/>
      <c r="AF806" s="352"/>
      <c r="AG806" s="91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  <c r="AX806" s="90"/>
      <c r="AY806" s="90"/>
      <c r="AZ806" s="90"/>
      <c r="BA806" s="90"/>
      <c r="BB806" s="90"/>
      <c r="BC806" s="90"/>
      <c r="BD806" s="90"/>
      <c r="BE806" s="90"/>
      <c r="BF806" s="90"/>
      <c r="BG806" s="90"/>
      <c r="BH806" s="90"/>
      <c r="BI806" s="90"/>
      <c r="BJ806" s="90"/>
      <c r="BK806" s="90"/>
      <c r="BL806" s="90"/>
      <c r="BM806" s="90"/>
      <c r="BN806" s="90"/>
      <c r="BO806" s="90"/>
      <c r="BP806" s="90"/>
      <c r="BQ806" s="90"/>
      <c r="BR806" s="90"/>
      <c r="BS806" s="90"/>
      <c r="BT806" s="90"/>
      <c r="BU806" s="90"/>
      <c r="BV806" s="90"/>
      <c r="BW806" s="90"/>
      <c r="BX806" s="90"/>
      <c r="BY806" s="90"/>
    </row>
    <row r="807" spans="1:77" thickBot="1" x14ac:dyDescent="0.3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352"/>
      <c r="AA807" s="352"/>
      <c r="AB807" s="352"/>
      <c r="AC807" s="352"/>
      <c r="AD807" s="352"/>
      <c r="AE807" s="352"/>
      <c r="AF807" s="352"/>
      <c r="AG807" s="91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  <c r="AX807" s="90"/>
      <c r="AY807" s="90"/>
      <c r="AZ807" s="90"/>
      <c r="BA807" s="90"/>
      <c r="BB807" s="90"/>
      <c r="BC807" s="90"/>
      <c r="BD807" s="90"/>
      <c r="BE807" s="90"/>
      <c r="BF807" s="90"/>
      <c r="BG807" s="90"/>
      <c r="BH807" s="90"/>
      <c r="BI807" s="90"/>
      <c r="BJ807" s="90"/>
      <c r="BK807" s="90"/>
      <c r="BL807" s="90"/>
      <c r="BM807" s="90"/>
      <c r="BN807" s="90"/>
      <c r="BO807" s="90"/>
      <c r="BP807" s="90"/>
      <c r="BQ807" s="90"/>
      <c r="BR807" s="90"/>
      <c r="BS807" s="90"/>
      <c r="BT807" s="90"/>
      <c r="BU807" s="90"/>
      <c r="BV807" s="90"/>
      <c r="BW807" s="90"/>
      <c r="BX807" s="90"/>
      <c r="BY807" s="90"/>
    </row>
    <row r="808" spans="1:77" thickBot="1" x14ac:dyDescent="0.3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352"/>
      <c r="AA808" s="352"/>
      <c r="AB808" s="352"/>
      <c r="AC808" s="352"/>
      <c r="AD808" s="352"/>
      <c r="AE808" s="352"/>
      <c r="AF808" s="352"/>
      <c r="AG808" s="91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  <c r="BA808" s="90"/>
      <c r="BB808" s="90"/>
      <c r="BC808" s="90"/>
      <c r="BD808" s="90"/>
      <c r="BE808" s="90"/>
      <c r="BF808" s="90"/>
      <c r="BG808" s="90"/>
      <c r="BH808" s="90"/>
      <c r="BI808" s="90"/>
      <c r="BJ808" s="90"/>
      <c r="BK808" s="90"/>
      <c r="BL808" s="90"/>
      <c r="BM808" s="90"/>
      <c r="BN808" s="90"/>
      <c r="BO808" s="90"/>
      <c r="BP808" s="90"/>
      <c r="BQ808" s="90"/>
      <c r="BR808" s="90"/>
      <c r="BS808" s="90"/>
      <c r="BT808" s="90"/>
      <c r="BU808" s="90"/>
      <c r="BV808" s="90"/>
      <c r="BW808" s="90"/>
      <c r="BX808" s="90"/>
      <c r="BY808" s="90"/>
    </row>
    <row r="809" spans="1:77" thickBot="1" x14ac:dyDescent="0.3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352"/>
      <c r="AA809" s="352"/>
      <c r="AB809" s="352"/>
      <c r="AC809" s="352"/>
      <c r="AD809" s="352"/>
      <c r="AE809" s="352"/>
      <c r="AF809" s="352"/>
      <c r="AG809" s="91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  <c r="BA809" s="90"/>
      <c r="BB809" s="90"/>
      <c r="BC809" s="90"/>
      <c r="BD809" s="90"/>
      <c r="BE809" s="90"/>
      <c r="BF809" s="90"/>
      <c r="BG809" s="90"/>
      <c r="BH809" s="90"/>
      <c r="BI809" s="90"/>
      <c r="BJ809" s="90"/>
      <c r="BK809" s="90"/>
      <c r="BL809" s="90"/>
      <c r="BM809" s="90"/>
      <c r="BN809" s="90"/>
      <c r="BO809" s="90"/>
      <c r="BP809" s="90"/>
      <c r="BQ809" s="90"/>
      <c r="BR809" s="90"/>
      <c r="BS809" s="90"/>
      <c r="BT809" s="90"/>
      <c r="BU809" s="90"/>
      <c r="BV809" s="90"/>
      <c r="BW809" s="90"/>
      <c r="BX809" s="90"/>
      <c r="BY809" s="90"/>
    </row>
    <row r="810" spans="1:77" thickBot="1" x14ac:dyDescent="0.3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352"/>
      <c r="AA810" s="352"/>
      <c r="AB810" s="352"/>
      <c r="AC810" s="352"/>
      <c r="AD810" s="352"/>
      <c r="AE810" s="352"/>
      <c r="AF810" s="352"/>
      <c r="AG810" s="91"/>
      <c r="AH810" s="90"/>
      <c r="AI810" s="90"/>
      <c r="AJ810" s="90"/>
      <c r="AK810" s="90"/>
      <c r="AL810" s="90"/>
      <c r="AM810" s="90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  <c r="BA810" s="90"/>
      <c r="BB810" s="90"/>
      <c r="BC810" s="90"/>
      <c r="BD810" s="90"/>
      <c r="BE810" s="90"/>
      <c r="BF810" s="90"/>
      <c r="BG810" s="90"/>
      <c r="BH810" s="90"/>
      <c r="BI810" s="90"/>
      <c r="BJ810" s="90"/>
      <c r="BK810" s="90"/>
      <c r="BL810" s="90"/>
      <c r="BM810" s="90"/>
      <c r="BN810" s="90"/>
      <c r="BO810" s="90"/>
      <c r="BP810" s="90"/>
      <c r="BQ810" s="90"/>
      <c r="BR810" s="90"/>
      <c r="BS810" s="90"/>
      <c r="BT810" s="90"/>
      <c r="BU810" s="90"/>
      <c r="BV810" s="90"/>
      <c r="BW810" s="90"/>
      <c r="BX810" s="90"/>
      <c r="BY810" s="90"/>
    </row>
    <row r="811" spans="1:77" thickBot="1" x14ac:dyDescent="0.3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352"/>
      <c r="AA811" s="352"/>
      <c r="AB811" s="352"/>
      <c r="AC811" s="352"/>
      <c r="AD811" s="352"/>
      <c r="AE811" s="352"/>
      <c r="AF811" s="352"/>
      <c r="AG811" s="91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  <c r="BA811" s="90"/>
      <c r="BB811" s="90"/>
      <c r="BC811" s="90"/>
      <c r="BD811" s="90"/>
      <c r="BE811" s="90"/>
      <c r="BF811" s="90"/>
      <c r="BG811" s="90"/>
      <c r="BH811" s="90"/>
      <c r="BI811" s="90"/>
      <c r="BJ811" s="90"/>
      <c r="BK811" s="90"/>
      <c r="BL811" s="90"/>
      <c r="BM811" s="90"/>
      <c r="BN811" s="90"/>
      <c r="BO811" s="90"/>
      <c r="BP811" s="90"/>
      <c r="BQ811" s="90"/>
      <c r="BR811" s="90"/>
      <c r="BS811" s="90"/>
      <c r="BT811" s="90"/>
      <c r="BU811" s="90"/>
      <c r="BV811" s="90"/>
      <c r="BW811" s="90"/>
      <c r="BX811" s="90"/>
      <c r="BY811" s="90"/>
    </row>
    <row r="812" spans="1:77" thickBot="1" x14ac:dyDescent="0.3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352"/>
      <c r="AA812" s="352"/>
      <c r="AB812" s="352"/>
      <c r="AC812" s="352"/>
      <c r="AD812" s="352"/>
      <c r="AE812" s="352"/>
      <c r="AF812" s="352"/>
      <c r="AG812" s="91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  <c r="BA812" s="90"/>
      <c r="BB812" s="90"/>
      <c r="BC812" s="90"/>
      <c r="BD812" s="90"/>
      <c r="BE812" s="90"/>
      <c r="BF812" s="90"/>
      <c r="BG812" s="90"/>
      <c r="BH812" s="90"/>
      <c r="BI812" s="90"/>
      <c r="BJ812" s="90"/>
      <c r="BK812" s="90"/>
      <c r="BL812" s="90"/>
      <c r="BM812" s="90"/>
      <c r="BN812" s="90"/>
      <c r="BO812" s="90"/>
      <c r="BP812" s="90"/>
      <c r="BQ812" s="90"/>
      <c r="BR812" s="90"/>
      <c r="BS812" s="90"/>
      <c r="BT812" s="90"/>
      <c r="BU812" s="90"/>
      <c r="BV812" s="90"/>
      <c r="BW812" s="90"/>
      <c r="BX812" s="90"/>
      <c r="BY812" s="90"/>
    </row>
    <row r="813" spans="1:77" thickBot="1" x14ac:dyDescent="0.3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352"/>
      <c r="AA813" s="352"/>
      <c r="AB813" s="352"/>
      <c r="AC813" s="352"/>
      <c r="AD813" s="352"/>
      <c r="AE813" s="352"/>
      <c r="AF813" s="352"/>
      <c r="AG813" s="91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  <c r="BA813" s="90"/>
      <c r="BB813" s="90"/>
      <c r="BC813" s="90"/>
      <c r="BD813" s="90"/>
      <c r="BE813" s="90"/>
      <c r="BF813" s="90"/>
      <c r="BG813" s="90"/>
      <c r="BH813" s="90"/>
      <c r="BI813" s="90"/>
      <c r="BJ813" s="90"/>
      <c r="BK813" s="90"/>
      <c r="BL813" s="90"/>
      <c r="BM813" s="90"/>
      <c r="BN813" s="90"/>
      <c r="BO813" s="90"/>
      <c r="BP813" s="90"/>
      <c r="BQ813" s="90"/>
      <c r="BR813" s="90"/>
      <c r="BS813" s="90"/>
      <c r="BT813" s="90"/>
      <c r="BU813" s="90"/>
      <c r="BV813" s="90"/>
      <c r="BW813" s="90"/>
      <c r="BX813" s="90"/>
      <c r="BY813" s="90"/>
    </row>
    <row r="814" spans="1:77" thickBot="1" x14ac:dyDescent="0.3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352"/>
      <c r="AA814" s="352"/>
      <c r="AB814" s="352"/>
      <c r="AC814" s="352"/>
      <c r="AD814" s="352"/>
      <c r="AE814" s="352"/>
      <c r="AF814" s="352"/>
      <c r="AG814" s="91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  <c r="BA814" s="90"/>
      <c r="BB814" s="90"/>
      <c r="BC814" s="90"/>
      <c r="BD814" s="90"/>
      <c r="BE814" s="90"/>
      <c r="BF814" s="90"/>
      <c r="BG814" s="90"/>
      <c r="BH814" s="90"/>
      <c r="BI814" s="90"/>
      <c r="BJ814" s="90"/>
      <c r="BK814" s="90"/>
      <c r="BL814" s="90"/>
      <c r="BM814" s="90"/>
      <c r="BN814" s="90"/>
      <c r="BO814" s="90"/>
      <c r="BP814" s="90"/>
      <c r="BQ814" s="90"/>
      <c r="BR814" s="90"/>
      <c r="BS814" s="90"/>
      <c r="BT814" s="90"/>
      <c r="BU814" s="90"/>
      <c r="BV814" s="90"/>
      <c r="BW814" s="90"/>
      <c r="BX814" s="90"/>
      <c r="BY814" s="90"/>
    </row>
    <row r="815" spans="1:77" thickBot="1" x14ac:dyDescent="0.3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352"/>
      <c r="AA815" s="352"/>
      <c r="AB815" s="352"/>
      <c r="AC815" s="352"/>
      <c r="AD815" s="352"/>
      <c r="AE815" s="352"/>
      <c r="AF815" s="352"/>
      <c r="AG815" s="91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  <c r="BA815" s="90"/>
      <c r="BB815" s="90"/>
      <c r="BC815" s="90"/>
      <c r="BD815" s="90"/>
      <c r="BE815" s="90"/>
      <c r="BF815" s="90"/>
      <c r="BG815" s="90"/>
      <c r="BH815" s="90"/>
      <c r="BI815" s="90"/>
      <c r="BJ815" s="90"/>
      <c r="BK815" s="90"/>
      <c r="BL815" s="90"/>
      <c r="BM815" s="90"/>
      <c r="BN815" s="90"/>
      <c r="BO815" s="90"/>
      <c r="BP815" s="90"/>
      <c r="BQ815" s="90"/>
      <c r="BR815" s="90"/>
      <c r="BS815" s="90"/>
      <c r="BT815" s="90"/>
      <c r="BU815" s="90"/>
      <c r="BV815" s="90"/>
      <c r="BW815" s="90"/>
      <c r="BX815" s="90"/>
      <c r="BY815" s="90"/>
    </row>
    <row r="816" spans="1:77" thickBot="1" x14ac:dyDescent="0.3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352"/>
      <c r="AA816" s="352"/>
      <c r="AB816" s="352"/>
      <c r="AC816" s="352"/>
      <c r="AD816" s="352"/>
      <c r="AE816" s="352"/>
      <c r="AF816" s="352"/>
      <c r="AG816" s="91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90"/>
      <c r="BC816" s="90"/>
      <c r="BD816" s="90"/>
      <c r="BE816" s="90"/>
      <c r="BF816" s="90"/>
      <c r="BG816" s="90"/>
      <c r="BH816" s="90"/>
      <c r="BI816" s="90"/>
      <c r="BJ816" s="90"/>
      <c r="BK816" s="90"/>
      <c r="BL816" s="90"/>
      <c r="BM816" s="90"/>
      <c r="BN816" s="90"/>
      <c r="BO816" s="90"/>
      <c r="BP816" s="90"/>
      <c r="BQ816" s="90"/>
      <c r="BR816" s="90"/>
      <c r="BS816" s="90"/>
      <c r="BT816" s="90"/>
      <c r="BU816" s="90"/>
      <c r="BV816" s="90"/>
      <c r="BW816" s="90"/>
      <c r="BX816" s="90"/>
      <c r="BY816" s="90"/>
    </row>
    <row r="817" spans="1:77" thickBot="1" x14ac:dyDescent="0.3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352"/>
      <c r="AA817" s="352"/>
      <c r="AB817" s="352"/>
      <c r="AC817" s="352"/>
      <c r="AD817" s="352"/>
      <c r="AE817" s="352"/>
      <c r="AF817" s="352"/>
      <c r="AG817" s="91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  <c r="BA817" s="90"/>
      <c r="BB817" s="90"/>
      <c r="BC817" s="90"/>
      <c r="BD817" s="90"/>
      <c r="BE817" s="90"/>
      <c r="BF817" s="90"/>
      <c r="BG817" s="90"/>
      <c r="BH817" s="90"/>
      <c r="BI817" s="90"/>
      <c r="BJ817" s="90"/>
      <c r="BK817" s="90"/>
      <c r="BL817" s="90"/>
      <c r="BM817" s="90"/>
      <c r="BN817" s="90"/>
      <c r="BO817" s="90"/>
      <c r="BP817" s="90"/>
      <c r="BQ817" s="90"/>
      <c r="BR817" s="90"/>
      <c r="BS817" s="90"/>
      <c r="BT817" s="90"/>
      <c r="BU817" s="90"/>
      <c r="BV817" s="90"/>
      <c r="BW817" s="90"/>
      <c r="BX817" s="90"/>
      <c r="BY817" s="90"/>
    </row>
    <row r="818" spans="1:77" thickBot="1" x14ac:dyDescent="0.3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352"/>
      <c r="AA818" s="352"/>
      <c r="AB818" s="352"/>
      <c r="AC818" s="352"/>
      <c r="AD818" s="352"/>
      <c r="AE818" s="352"/>
      <c r="AF818" s="352"/>
      <c r="AG818" s="91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  <c r="BA818" s="90"/>
      <c r="BB818" s="90"/>
      <c r="BC818" s="90"/>
      <c r="BD818" s="90"/>
      <c r="BE818" s="90"/>
      <c r="BF818" s="90"/>
      <c r="BG818" s="90"/>
      <c r="BH818" s="90"/>
      <c r="BI818" s="90"/>
      <c r="BJ818" s="90"/>
      <c r="BK818" s="90"/>
      <c r="BL818" s="90"/>
      <c r="BM818" s="90"/>
      <c r="BN818" s="90"/>
      <c r="BO818" s="90"/>
      <c r="BP818" s="90"/>
      <c r="BQ818" s="90"/>
      <c r="BR818" s="90"/>
      <c r="BS818" s="90"/>
      <c r="BT818" s="90"/>
      <c r="BU818" s="90"/>
      <c r="BV818" s="90"/>
      <c r="BW818" s="90"/>
      <c r="BX818" s="90"/>
      <c r="BY818" s="90"/>
    </row>
    <row r="819" spans="1:77" thickBot="1" x14ac:dyDescent="0.3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352"/>
      <c r="AA819" s="352"/>
      <c r="AB819" s="352"/>
      <c r="AC819" s="352"/>
      <c r="AD819" s="352"/>
      <c r="AE819" s="352"/>
      <c r="AF819" s="352"/>
      <c r="AG819" s="91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  <c r="BA819" s="90"/>
      <c r="BB819" s="90"/>
      <c r="BC819" s="90"/>
      <c r="BD819" s="90"/>
      <c r="BE819" s="90"/>
      <c r="BF819" s="90"/>
      <c r="BG819" s="90"/>
      <c r="BH819" s="90"/>
      <c r="BI819" s="90"/>
      <c r="BJ819" s="90"/>
      <c r="BK819" s="90"/>
      <c r="BL819" s="90"/>
      <c r="BM819" s="90"/>
      <c r="BN819" s="90"/>
      <c r="BO819" s="90"/>
      <c r="BP819" s="90"/>
      <c r="BQ819" s="90"/>
      <c r="BR819" s="90"/>
      <c r="BS819" s="90"/>
      <c r="BT819" s="90"/>
      <c r="BU819" s="90"/>
      <c r="BV819" s="90"/>
      <c r="BW819" s="90"/>
      <c r="BX819" s="90"/>
      <c r="BY819" s="90"/>
    </row>
    <row r="820" spans="1:77" thickBot="1" x14ac:dyDescent="0.3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352"/>
      <c r="AA820" s="352"/>
      <c r="AB820" s="352"/>
      <c r="AC820" s="352"/>
      <c r="AD820" s="352"/>
      <c r="AE820" s="352"/>
      <c r="AF820" s="352"/>
      <c r="AG820" s="91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  <c r="BA820" s="90"/>
      <c r="BB820" s="90"/>
      <c r="BC820" s="90"/>
      <c r="BD820" s="90"/>
      <c r="BE820" s="90"/>
      <c r="BF820" s="90"/>
      <c r="BG820" s="90"/>
      <c r="BH820" s="90"/>
      <c r="BI820" s="90"/>
      <c r="BJ820" s="90"/>
      <c r="BK820" s="90"/>
      <c r="BL820" s="90"/>
      <c r="BM820" s="90"/>
      <c r="BN820" s="90"/>
      <c r="BO820" s="90"/>
      <c r="BP820" s="90"/>
      <c r="BQ820" s="90"/>
      <c r="BR820" s="90"/>
      <c r="BS820" s="90"/>
      <c r="BT820" s="90"/>
      <c r="BU820" s="90"/>
      <c r="BV820" s="90"/>
      <c r="BW820" s="90"/>
      <c r="BX820" s="90"/>
      <c r="BY820" s="90"/>
    </row>
    <row r="821" spans="1:77" thickBot="1" x14ac:dyDescent="0.3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352"/>
      <c r="AA821" s="352"/>
      <c r="AB821" s="352"/>
      <c r="AC821" s="352"/>
      <c r="AD821" s="352"/>
      <c r="AE821" s="352"/>
      <c r="AF821" s="352"/>
      <c r="AG821" s="91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  <c r="BA821" s="90"/>
      <c r="BB821" s="90"/>
      <c r="BC821" s="90"/>
      <c r="BD821" s="90"/>
      <c r="BE821" s="90"/>
      <c r="BF821" s="90"/>
      <c r="BG821" s="90"/>
      <c r="BH821" s="90"/>
      <c r="BI821" s="90"/>
      <c r="BJ821" s="90"/>
      <c r="BK821" s="90"/>
      <c r="BL821" s="90"/>
      <c r="BM821" s="90"/>
      <c r="BN821" s="90"/>
      <c r="BO821" s="90"/>
      <c r="BP821" s="90"/>
      <c r="BQ821" s="90"/>
      <c r="BR821" s="90"/>
      <c r="BS821" s="90"/>
      <c r="BT821" s="90"/>
      <c r="BU821" s="90"/>
      <c r="BV821" s="90"/>
      <c r="BW821" s="90"/>
      <c r="BX821" s="90"/>
      <c r="BY821" s="90"/>
    </row>
    <row r="822" spans="1:77" thickBot="1" x14ac:dyDescent="0.3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352"/>
      <c r="AA822" s="352"/>
      <c r="AB822" s="352"/>
      <c r="AC822" s="352"/>
      <c r="AD822" s="352"/>
      <c r="AE822" s="352"/>
      <c r="AF822" s="352"/>
      <c r="AG822" s="91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  <c r="BA822" s="90"/>
      <c r="BB822" s="90"/>
      <c r="BC822" s="90"/>
      <c r="BD822" s="90"/>
      <c r="BE822" s="90"/>
      <c r="BF822" s="90"/>
      <c r="BG822" s="90"/>
      <c r="BH822" s="90"/>
      <c r="BI822" s="90"/>
      <c r="BJ822" s="90"/>
      <c r="BK822" s="90"/>
      <c r="BL822" s="90"/>
      <c r="BM822" s="90"/>
      <c r="BN822" s="90"/>
      <c r="BO822" s="90"/>
      <c r="BP822" s="90"/>
      <c r="BQ822" s="90"/>
      <c r="BR822" s="90"/>
      <c r="BS822" s="90"/>
      <c r="BT822" s="90"/>
      <c r="BU822" s="90"/>
      <c r="BV822" s="90"/>
      <c r="BW822" s="90"/>
      <c r="BX822" s="90"/>
      <c r="BY822" s="90"/>
    </row>
    <row r="823" spans="1:77" thickBot="1" x14ac:dyDescent="0.3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352"/>
      <c r="AA823" s="352"/>
      <c r="AB823" s="352"/>
      <c r="AC823" s="352"/>
      <c r="AD823" s="352"/>
      <c r="AE823" s="352"/>
      <c r="AF823" s="352"/>
      <c r="AG823" s="91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  <c r="BA823" s="90"/>
      <c r="BB823" s="90"/>
      <c r="BC823" s="90"/>
      <c r="BD823" s="90"/>
      <c r="BE823" s="90"/>
      <c r="BF823" s="90"/>
      <c r="BG823" s="90"/>
      <c r="BH823" s="90"/>
      <c r="BI823" s="90"/>
      <c r="BJ823" s="90"/>
      <c r="BK823" s="90"/>
      <c r="BL823" s="90"/>
      <c r="BM823" s="90"/>
      <c r="BN823" s="90"/>
      <c r="BO823" s="90"/>
      <c r="BP823" s="90"/>
      <c r="BQ823" s="90"/>
      <c r="BR823" s="90"/>
      <c r="BS823" s="90"/>
      <c r="BT823" s="90"/>
      <c r="BU823" s="90"/>
      <c r="BV823" s="90"/>
      <c r="BW823" s="90"/>
      <c r="BX823" s="90"/>
      <c r="BY823" s="90"/>
    </row>
    <row r="824" spans="1:77" thickBot="1" x14ac:dyDescent="0.3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352"/>
      <c r="AA824" s="352"/>
      <c r="AB824" s="352"/>
      <c r="AC824" s="352"/>
      <c r="AD824" s="352"/>
      <c r="AE824" s="352"/>
      <c r="AF824" s="352"/>
      <c r="AG824" s="91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  <c r="BA824" s="90"/>
      <c r="BB824" s="90"/>
      <c r="BC824" s="90"/>
      <c r="BD824" s="90"/>
      <c r="BE824" s="90"/>
      <c r="BF824" s="90"/>
      <c r="BG824" s="90"/>
      <c r="BH824" s="90"/>
      <c r="BI824" s="90"/>
      <c r="BJ824" s="90"/>
      <c r="BK824" s="90"/>
      <c r="BL824" s="90"/>
      <c r="BM824" s="90"/>
      <c r="BN824" s="90"/>
      <c r="BO824" s="90"/>
      <c r="BP824" s="90"/>
      <c r="BQ824" s="90"/>
      <c r="BR824" s="90"/>
      <c r="BS824" s="90"/>
      <c r="BT824" s="90"/>
      <c r="BU824" s="90"/>
      <c r="BV824" s="90"/>
      <c r="BW824" s="90"/>
      <c r="BX824" s="90"/>
      <c r="BY824" s="90"/>
    </row>
    <row r="825" spans="1:77" thickBot="1" x14ac:dyDescent="0.3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352"/>
      <c r="AA825" s="352"/>
      <c r="AB825" s="352"/>
      <c r="AC825" s="352"/>
      <c r="AD825" s="352"/>
      <c r="AE825" s="352"/>
      <c r="AF825" s="352"/>
      <c r="AG825" s="91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  <c r="BA825" s="90"/>
      <c r="BB825" s="90"/>
      <c r="BC825" s="90"/>
      <c r="BD825" s="90"/>
      <c r="BE825" s="90"/>
      <c r="BF825" s="90"/>
      <c r="BG825" s="90"/>
      <c r="BH825" s="90"/>
      <c r="BI825" s="90"/>
      <c r="BJ825" s="90"/>
      <c r="BK825" s="90"/>
      <c r="BL825" s="90"/>
      <c r="BM825" s="90"/>
      <c r="BN825" s="90"/>
      <c r="BO825" s="90"/>
      <c r="BP825" s="90"/>
      <c r="BQ825" s="90"/>
      <c r="BR825" s="90"/>
      <c r="BS825" s="90"/>
      <c r="BT825" s="90"/>
      <c r="BU825" s="90"/>
      <c r="BV825" s="90"/>
      <c r="BW825" s="90"/>
      <c r="BX825" s="90"/>
      <c r="BY825" s="90"/>
    </row>
    <row r="826" spans="1:77" thickBot="1" x14ac:dyDescent="0.3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352"/>
      <c r="AA826" s="352"/>
      <c r="AB826" s="352"/>
      <c r="AC826" s="352"/>
      <c r="AD826" s="352"/>
      <c r="AE826" s="352"/>
      <c r="AF826" s="352"/>
      <c r="AG826" s="91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  <c r="BA826" s="90"/>
      <c r="BB826" s="90"/>
      <c r="BC826" s="90"/>
      <c r="BD826" s="90"/>
      <c r="BE826" s="90"/>
      <c r="BF826" s="90"/>
      <c r="BG826" s="90"/>
      <c r="BH826" s="90"/>
      <c r="BI826" s="90"/>
      <c r="BJ826" s="90"/>
      <c r="BK826" s="90"/>
      <c r="BL826" s="90"/>
      <c r="BM826" s="90"/>
      <c r="BN826" s="90"/>
      <c r="BO826" s="90"/>
      <c r="BP826" s="90"/>
      <c r="BQ826" s="90"/>
      <c r="BR826" s="90"/>
      <c r="BS826" s="90"/>
      <c r="BT826" s="90"/>
      <c r="BU826" s="90"/>
      <c r="BV826" s="90"/>
      <c r="BW826" s="90"/>
      <c r="BX826" s="90"/>
      <c r="BY826" s="90"/>
    </row>
    <row r="827" spans="1:77" thickBot="1" x14ac:dyDescent="0.3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352"/>
      <c r="AA827" s="352"/>
      <c r="AB827" s="352"/>
      <c r="AC827" s="352"/>
      <c r="AD827" s="352"/>
      <c r="AE827" s="352"/>
      <c r="AF827" s="352"/>
      <c r="AG827" s="91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  <c r="BA827" s="90"/>
      <c r="BB827" s="90"/>
      <c r="BC827" s="90"/>
      <c r="BD827" s="90"/>
      <c r="BE827" s="90"/>
      <c r="BF827" s="90"/>
      <c r="BG827" s="90"/>
      <c r="BH827" s="90"/>
      <c r="BI827" s="90"/>
      <c r="BJ827" s="90"/>
      <c r="BK827" s="90"/>
      <c r="BL827" s="90"/>
      <c r="BM827" s="90"/>
      <c r="BN827" s="90"/>
      <c r="BO827" s="90"/>
      <c r="BP827" s="90"/>
      <c r="BQ827" s="90"/>
      <c r="BR827" s="90"/>
      <c r="BS827" s="90"/>
      <c r="BT827" s="90"/>
      <c r="BU827" s="90"/>
      <c r="BV827" s="90"/>
      <c r="BW827" s="90"/>
      <c r="BX827" s="90"/>
      <c r="BY827" s="90"/>
    </row>
    <row r="828" spans="1:77" thickBot="1" x14ac:dyDescent="0.3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352"/>
      <c r="AA828" s="352"/>
      <c r="AB828" s="352"/>
      <c r="AC828" s="352"/>
      <c r="AD828" s="352"/>
      <c r="AE828" s="352"/>
      <c r="AF828" s="352"/>
      <c r="AG828" s="91"/>
      <c r="AH828" s="90"/>
      <c r="AI828" s="90"/>
      <c r="AJ828" s="90"/>
      <c r="AK828" s="90"/>
      <c r="AL828" s="90"/>
      <c r="AM828" s="90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  <c r="BA828" s="90"/>
      <c r="BB828" s="90"/>
      <c r="BC828" s="90"/>
      <c r="BD828" s="90"/>
      <c r="BE828" s="90"/>
      <c r="BF828" s="90"/>
      <c r="BG828" s="90"/>
      <c r="BH828" s="90"/>
      <c r="BI828" s="90"/>
      <c r="BJ828" s="90"/>
      <c r="BK828" s="90"/>
      <c r="BL828" s="90"/>
      <c r="BM828" s="90"/>
      <c r="BN828" s="90"/>
      <c r="BO828" s="90"/>
      <c r="BP828" s="90"/>
      <c r="BQ828" s="90"/>
      <c r="BR828" s="90"/>
      <c r="BS828" s="90"/>
      <c r="BT828" s="90"/>
      <c r="BU828" s="90"/>
      <c r="BV828" s="90"/>
      <c r="BW828" s="90"/>
      <c r="BX828" s="90"/>
      <c r="BY828" s="90"/>
    </row>
    <row r="829" spans="1:77" thickBot="1" x14ac:dyDescent="0.3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352"/>
      <c r="AA829" s="352"/>
      <c r="AB829" s="352"/>
      <c r="AC829" s="352"/>
      <c r="AD829" s="352"/>
      <c r="AE829" s="352"/>
      <c r="AF829" s="352"/>
      <c r="AG829" s="91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90"/>
      <c r="BC829" s="90"/>
      <c r="BD829" s="90"/>
      <c r="BE829" s="90"/>
      <c r="BF829" s="90"/>
      <c r="BG829" s="90"/>
      <c r="BH829" s="90"/>
      <c r="BI829" s="90"/>
      <c r="BJ829" s="90"/>
      <c r="BK829" s="90"/>
      <c r="BL829" s="90"/>
      <c r="BM829" s="90"/>
      <c r="BN829" s="90"/>
      <c r="BO829" s="90"/>
      <c r="BP829" s="90"/>
      <c r="BQ829" s="90"/>
      <c r="BR829" s="90"/>
      <c r="BS829" s="90"/>
      <c r="BT829" s="90"/>
      <c r="BU829" s="90"/>
      <c r="BV829" s="90"/>
      <c r="BW829" s="90"/>
      <c r="BX829" s="90"/>
      <c r="BY829" s="90"/>
    </row>
    <row r="830" spans="1:77" thickBot="1" x14ac:dyDescent="0.3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352"/>
      <c r="AA830" s="352"/>
      <c r="AB830" s="352"/>
      <c r="AC830" s="352"/>
      <c r="AD830" s="352"/>
      <c r="AE830" s="352"/>
      <c r="AF830" s="352"/>
      <c r="AG830" s="91"/>
      <c r="AH830" s="90"/>
      <c r="AI830" s="90"/>
      <c r="AJ830" s="90"/>
      <c r="AK830" s="90"/>
      <c r="AL830" s="90"/>
      <c r="AM830" s="90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  <c r="BA830" s="90"/>
      <c r="BB830" s="90"/>
      <c r="BC830" s="90"/>
      <c r="BD830" s="90"/>
      <c r="BE830" s="90"/>
      <c r="BF830" s="90"/>
      <c r="BG830" s="90"/>
      <c r="BH830" s="90"/>
      <c r="BI830" s="90"/>
      <c r="BJ830" s="90"/>
      <c r="BK830" s="90"/>
      <c r="BL830" s="90"/>
      <c r="BM830" s="90"/>
      <c r="BN830" s="90"/>
      <c r="BO830" s="90"/>
      <c r="BP830" s="90"/>
      <c r="BQ830" s="90"/>
      <c r="BR830" s="90"/>
      <c r="BS830" s="90"/>
      <c r="BT830" s="90"/>
      <c r="BU830" s="90"/>
      <c r="BV830" s="90"/>
      <c r="BW830" s="90"/>
      <c r="BX830" s="90"/>
      <c r="BY830" s="90"/>
    </row>
    <row r="831" spans="1:77" thickBot="1" x14ac:dyDescent="0.3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352"/>
      <c r="AA831" s="352"/>
      <c r="AB831" s="352"/>
      <c r="AC831" s="352"/>
      <c r="AD831" s="352"/>
      <c r="AE831" s="352"/>
      <c r="AF831" s="352"/>
      <c r="AG831" s="91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  <c r="BA831" s="90"/>
      <c r="BB831" s="90"/>
      <c r="BC831" s="90"/>
      <c r="BD831" s="90"/>
      <c r="BE831" s="90"/>
      <c r="BF831" s="90"/>
      <c r="BG831" s="90"/>
      <c r="BH831" s="90"/>
      <c r="BI831" s="90"/>
      <c r="BJ831" s="90"/>
      <c r="BK831" s="90"/>
      <c r="BL831" s="90"/>
      <c r="BM831" s="90"/>
      <c r="BN831" s="90"/>
      <c r="BO831" s="90"/>
      <c r="BP831" s="90"/>
      <c r="BQ831" s="90"/>
      <c r="BR831" s="90"/>
      <c r="BS831" s="90"/>
      <c r="BT831" s="90"/>
      <c r="BU831" s="90"/>
      <c r="BV831" s="90"/>
      <c r="BW831" s="90"/>
      <c r="BX831" s="90"/>
      <c r="BY831" s="90"/>
    </row>
    <row r="832" spans="1:77" thickBot="1" x14ac:dyDescent="0.3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352"/>
      <c r="AA832" s="352"/>
      <c r="AB832" s="352"/>
      <c r="AC832" s="352"/>
      <c r="AD832" s="352"/>
      <c r="AE832" s="352"/>
      <c r="AF832" s="352"/>
      <c r="AG832" s="91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90"/>
      <c r="BC832" s="90"/>
      <c r="BD832" s="90"/>
      <c r="BE832" s="90"/>
      <c r="BF832" s="90"/>
      <c r="BG832" s="90"/>
      <c r="BH832" s="90"/>
      <c r="BI832" s="90"/>
      <c r="BJ832" s="90"/>
      <c r="BK832" s="90"/>
      <c r="BL832" s="90"/>
      <c r="BM832" s="90"/>
      <c r="BN832" s="90"/>
      <c r="BO832" s="90"/>
      <c r="BP832" s="90"/>
      <c r="BQ832" s="90"/>
      <c r="BR832" s="90"/>
      <c r="BS832" s="90"/>
      <c r="BT832" s="90"/>
      <c r="BU832" s="90"/>
      <c r="BV832" s="90"/>
      <c r="BW832" s="90"/>
      <c r="BX832" s="90"/>
      <c r="BY832" s="90"/>
    </row>
    <row r="833" spans="1:77" thickBot="1" x14ac:dyDescent="0.3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352"/>
      <c r="AA833" s="352"/>
      <c r="AB833" s="352"/>
      <c r="AC833" s="352"/>
      <c r="AD833" s="352"/>
      <c r="AE833" s="352"/>
      <c r="AF833" s="352"/>
      <c r="AG833" s="91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90"/>
      <c r="BC833" s="90"/>
      <c r="BD833" s="90"/>
      <c r="BE833" s="90"/>
      <c r="BF833" s="90"/>
      <c r="BG833" s="90"/>
      <c r="BH833" s="90"/>
      <c r="BI833" s="90"/>
      <c r="BJ833" s="90"/>
      <c r="BK833" s="90"/>
      <c r="BL833" s="90"/>
      <c r="BM833" s="90"/>
      <c r="BN833" s="90"/>
      <c r="BO833" s="90"/>
      <c r="BP833" s="90"/>
      <c r="BQ833" s="90"/>
      <c r="BR833" s="90"/>
      <c r="BS833" s="90"/>
      <c r="BT833" s="90"/>
      <c r="BU833" s="90"/>
      <c r="BV833" s="90"/>
      <c r="BW833" s="90"/>
      <c r="BX833" s="90"/>
      <c r="BY833" s="90"/>
    </row>
    <row r="834" spans="1:77" thickBot="1" x14ac:dyDescent="0.3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352"/>
      <c r="AA834" s="352"/>
      <c r="AB834" s="352"/>
      <c r="AC834" s="352"/>
      <c r="AD834" s="352"/>
      <c r="AE834" s="352"/>
      <c r="AF834" s="352"/>
      <c r="AG834" s="91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90"/>
      <c r="BC834" s="90"/>
      <c r="BD834" s="90"/>
      <c r="BE834" s="90"/>
      <c r="BF834" s="90"/>
      <c r="BG834" s="90"/>
      <c r="BH834" s="90"/>
      <c r="BI834" s="90"/>
      <c r="BJ834" s="90"/>
      <c r="BK834" s="90"/>
      <c r="BL834" s="90"/>
      <c r="BM834" s="90"/>
      <c r="BN834" s="90"/>
      <c r="BO834" s="90"/>
      <c r="BP834" s="90"/>
      <c r="BQ834" s="90"/>
      <c r="BR834" s="90"/>
      <c r="BS834" s="90"/>
      <c r="BT834" s="90"/>
      <c r="BU834" s="90"/>
      <c r="BV834" s="90"/>
      <c r="BW834" s="90"/>
      <c r="BX834" s="90"/>
      <c r="BY834" s="90"/>
    </row>
    <row r="835" spans="1:77" thickBot="1" x14ac:dyDescent="0.3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352"/>
      <c r="AA835" s="352"/>
      <c r="AB835" s="352"/>
      <c r="AC835" s="352"/>
      <c r="AD835" s="352"/>
      <c r="AE835" s="352"/>
      <c r="AF835" s="352"/>
      <c r="AG835" s="91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90"/>
      <c r="BC835" s="90"/>
      <c r="BD835" s="90"/>
      <c r="BE835" s="90"/>
      <c r="BF835" s="90"/>
      <c r="BG835" s="90"/>
      <c r="BH835" s="90"/>
      <c r="BI835" s="90"/>
      <c r="BJ835" s="90"/>
      <c r="BK835" s="90"/>
      <c r="BL835" s="90"/>
      <c r="BM835" s="90"/>
      <c r="BN835" s="90"/>
      <c r="BO835" s="90"/>
      <c r="BP835" s="90"/>
      <c r="BQ835" s="90"/>
      <c r="BR835" s="90"/>
      <c r="BS835" s="90"/>
      <c r="BT835" s="90"/>
      <c r="BU835" s="90"/>
      <c r="BV835" s="90"/>
      <c r="BW835" s="90"/>
      <c r="BX835" s="90"/>
      <c r="BY835" s="90"/>
    </row>
    <row r="836" spans="1:77" thickBot="1" x14ac:dyDescent="0.3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352"/>
      <c r="AA836" s="352"/>
      <c r="AB836" s="352"/>
      <c r="AC836" s="352"/>
      <c r="AD836" s="352"/>
      <c r="AE836" s="352"/>
      <c r="AF836" s="352"/>
      <c r="AG836" s="91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  <c r="BA836" s="90"/>
      <c r="BB836" s="90"/>
      <c r="BC836" s="90"/>
      <c r="BD836" s="90"/>
      <c r="BE836" s="90"/>
      <c r="BF836" s="90"/>
      <c r="BG836" s="90"/>
      <c r="BH836" s="90"/>
      <c r="BI836" s="90"/>
      <c r="BJ836" s="90"/>
      <c r="BK836" s="90"/>
      <c r="BL836" s="90"/>
      <c r="BM836" s="90"/>
      <c r="BN836" s="90"/>
      <c r="BO836" s="90"/>
      <c r="BP836" s="90"/>
      <c r="BQ836" s="90"/>
      <c r="BR836" s="90"/>
      <c r="BS836" s="90"/>
      <c r="BT836" s="90"/>
      <c r="BU836" s="90"/>
      <c r="BV836" s="90"/>
      <c r="BW836" s="90"/>
      <c r="BX836" s="90"/>
      <c r="BY836" s="90"/>
    </row>
    <row r="837" spans="1:77" thickBot="1" x14ac:dyDescent="0.3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352"/>
      <c r="AA837" s="352"/>
      <c r="AB837" s="352"/>
      <c r="AC837" s="352"/>
      <c r="AD837" s="352"/>
      <c r="AE837" s="352"/>
      <c r="AF837" s="352"/>
      <c r="AG837" s="91"/>
      <c r="AH837" s="90"/>
      <c r="AI837" s="90"/>
      <c r="AJ837" s="90"/>
      <c r="AK837" s="90"/>
      <c r="AL837" s="90"/>
      <c r="AM837" s="90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  <c r="BA837" s="90"/>
      <c r="BB837" s="90"/>
      <c r="BC837" s="90"/>
      <c r="BD837" s="90"/>
      <c r="BE837" s="90"/>
      <c r="BF837" s="90"/>
      <c r="BG837" s="90"/>
      <c r="BH837" s="90"/>
      <c r="BI837" s="90"/>
      <c r="BJ837" s="90"/>
      <c r="BK837" s="90"/>
      <c r="BL837" s="90"/>
      <c r="BM837" s="90"/>
      <c r="BN837" s="90"/>
      <c r="BO837" s="90"/>
      <c r="BP837" s="90"/>
      <c r="BQ837" s="90"/>
      <c r="BR837" s="90"/>
      <c r="BS837" s="90"/>
      <c r="BT837" s="90"/>
      <c r="BU837" s="90"/>
      <c r="BV837" s="90"/>
      <c r="BW837" s="90"/>
      <c r="BX837" s="90"/>
      <c r="BY837" s="90"/>
    </row>
    <row r="838" spans="1:77" thickBot="1" x14ac:dyDescent="0.3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352"/>
      <c r="AA838" s="352"/>
      <c r="AB838" s="352"/>
      <c r="AC838" s="352"/>
      <c r="AD838" s="352"/>
      <c r="AE838" s="352"/>
      <c r="AF838" s="352"/>
      <c r="AG838" s="91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  <c r="AX838" s="90"/>
      <c r="AY838" s="90"/>
      <c r="AZ838" s="90"/>
      <c r="BA838" s="90"/>
      <c r="BB838" s="90"/>
      <c r="BC838" s="90"/>
      <c r="BD838" s="90"/>
      <c r="BE838" s="90"/>
      <c r="BF838" s="90"/>
      <c r="BG838" s="90"/>
      <c r="BH838" s="90"/>
      <c r="BI838" s="90"/>
      <c r="BJ838" s="90"/>
      <c r="BK838" s="90"/>
      <c r="BL838" s="90"/>
      <c r="BM838" s="90"/>
      <c r="BN838" s="90"/>
      <c r="BO838" s="90"/>
      <c r="BP838" s="90"/>
      <c r="BQ838" s="90"/>
      <c r="BR838" s="90"/>
      <c r="BS838" s="90"/>
      <c r="BT838" s="90"/>
      <c r="BU838" s="90"/>
      <c r="BV838" s="90"/>
      <c r="BW838" s="90"/>
      <c r="BX838" s="90"/>
      <c r="BY838" s="90"/>
    </row>
    <row r="839" spans="1:77" thickBot="1" x14ac:dyDescent="0.3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352"/>
      <c r="AA839" s="352"/>
      <c r="AB839" s="352"/>
      <c r="AC839" s="352"/>
      <c r="AD839" s="352"/>
      <c r="AE839" s="352"/>
      <c r="AF839" s="352"/>
      <c r="AG839" s="91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0"/>
      <c r="BA839" s="90"/>
      <c r="BB839" s="90"/>
      <c r="BC839" s="90"/>
      <c r="BD839" s="90"/>
      <c r="BE839" s="90"/>
      <c r="BF839" s="90"/>
      <c r="BG839" s="90"/>
      <c r="BH839" s="90"/>
      <c r="BI839" s="90"/>
      <c r="BJ839" s="90"/>
      <c r="BK839" s="90"/>
      <c r="BL839" s="90"/>
      <c r="BM839" s="90"/>
      <c r="BN839" s="90"/>
      <c r="BO839" s="90"/>
      <c r="BP839" s="90"/>
      <c r="BQ839" s="90"/>
      <c r="BR839" s="90"/>
      <c r="BS839" s="90"/>
      <c r="BT839" s="90"/>
      <c r="BU839" s="90"/>
      <c r="BV839" s="90"/>
      <c r="BW839" s="90"/>
      <c r="BX839" s="90"/>
      <c r="BY839" s="90"/>
    </row>
    <row r="840" spans="1:77" thickBot="1" x14ac:dyDescent="0.3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352"/>
      <c r="AA840" s="352"/>
      <c r="AB840" s="352"/>
      <c r="AC840" s="352"/>
      <c r="AD840" s="352"/>
      <c r="AE840" s="352"/>
      <c r="AF840" s="352"/>
      <c r="AG840" s="91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0"/>
      <c r="BA840" s="90"/>
      <c r="BB840" s="90"/>
      <c r="BC840" s="90"/>
      <c r="BD840" s="90"/>
      <c r="BE840" s="90"/>
      <c r="BF840" s="90"/>
      <c r="BG840" s="90"/>
      <c r="BH840" s="90"/>
      <c r="BI840" s="90"/>
      <c r="BJ840" s="90"/>
      <c r="BK840" s="90"/>
      <c r="BL840" s="90"/>
      <c r="BM840" s="90"/>
      <c r="BN840" s="90"/>
      <c r="BO840" s="90"/>
      <c r="BP840" s="90"/>
      <c r="BQ840" s="90"/>
      <c r="BR840" s="90"/>
      <c r="BS840" s="90"/>
      <c r="BT840" s="90"/>
      <c r="BU840" s="90"/>
      <c r="BV840" s="90"/>
      <c r="BW840" s="90"/>
      <c r="BX840" s="90"/>
      <c r="BY840" s="90"/>
    </row>
    <row r="841" spans="1:77" thickBot="1" x14ac:dyDescent="0.3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352"/>
      <c r="AA841" s="352"/>
      <c r="AB841" s="352"/>
      <c r="AC841" s="352"/>
      <c r="AD841" s="352"/>
      <c r="AE841" s="352"/>
      <c r="AF841" s="352"/>
      <c r="AG841" s="91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  <c r="BA841" s="90"/>
      <c r="BB841" s="90"/>
      <c r="BC841" s="90"/>
      <c r="BD841" s="90"/>
      <c r="BE841" s="90"/>
      <c r="BF841" s="90"/>
      <c r="BG841" s="90"/>
      <c r="BH841" s="90"/>
      <c r="BI841" s="90"/>
      <c r="BJ841" s="90"/>
      <c r="BK841" s="90"/>
      <c r="BL841" s="90"/>
      <c r="BM841" s="90"/>
      <c r="BN841" s="90"/>
      <c r="BO841" s="90"/>
      <c r="BP841" s="90"/>
      <c r="BQ841" s="90"/>
      <c r="BR841" s="90"/>
      <c r="BS841" s="90"/>
      <c r="BT841" s="90"/>
      <c r="BU841" s="90"/>
      <c r="BV841" s="90"/>
      <c r="BW841" s="90"/>
      <c r="BX841" s="90"/>
      <c r="BY841" s="90"/>
    </row>
    <row r="842" spans="1:77" thickBot="1" x14ac:dyDescent="0.3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352"/>
      <c r="AA842" s="352"/>
      <c r="AB842" s="352"/>
      <c r="AC842" s="352"/>
      <c r="AD842" s="352"/>
      <c r="AE842" s="352"/>
      <c r="AF842" s="352"/>
      <c r="AG842" s="91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0"/>
      <c r="BA842" s="90"/>
      <c r="BB842" s="90"/>
      <c r="BC842" s="90"/>
      <c r="BD842" s="90"/>
      <c r="BE842" s="90"/>
      <c r="BF842" s="90"/>
      <c r="BG842" s="90"/>
      <c r="BH842" s="90"/>
      <c r="BI842" s="90"/>
      <c r="BJ842" s="90"/>
      <c r="BK842" s="90"/>
      <c r="BL842" s="90"/>
      <c r="BM842" s="90"/>
      <c r="BN842" s="90"/>
      <c r="BO842" s="90"/>
      <c r="BP842" s="90"/>
      <c r="BQ842" s="90"/>
      <c r="BR842" s="90"/>
      <c r="BS842" s="90"/>
      <c r="BT842" s="90"/>
      <c r="BU842" s="90"/>
      <c r="BV842" s="90"/>
      <c r="BW842" s="90"/>
      <c r="BX842" s="90"/>
      <c r="BY842" s="90"/>
    </row>
    <row r="843" spans="1:77" thickBot="1" x14ac:dyDescent="0.3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352"/>
      <c r="AA843" s="352"/>
      <c r="AB843" s="352"/>
      <c r="AC843" s="352"/>
      <c r="AD843" s="352"/>
      <c r="AE843" s="352"/>
      <c r="AF843" s="352"/>
      <c r="AG843" s="91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0"/>
      <c r="BA843" s="90"/>
      <c r="BB843" s="90"/>
      <c r="BC843" s="90"/>
      <c r="BD843" s="90"/>
      <c r="BE843" s="90"/>
      <c r="BF843" s="90"/>
      <c r="BG843" s="90"/>
      <c r="BH843" s="90"/>
      <c r="BI843" s="90"/>
      <c r="BJ843" s="90"/>
      <c r="BK843" s="90"/>
      <c r="BL843" s="90"/>
      <c r="BM843" s="90"/>
      <c r="BN843" s="90"/>
      <c r="BO843" s="90"/>
      <c r="BP843" s="90"/>
      <c r="BQ843" s="90"/>
      <c r="BR843" s="90"/>
      <c r="BS843" s="90"/>
      <c r="BT843" s="90"/>
      <c r="BU843" s="90"/>
      <c r="BV843" s="90"/>
      <c r="BW843" s="90"/>
      <c r="BX843" s="90"/>
      <c r="BY843" s="90"/>
    </row>
    <row r="844" spans="1:77" thickBot="1" x14ac:dyDescent="0.3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352"/>
      <c r="AA844" s="352"/>
      <c r="AB844" s="352"/>
      <c r="AC844" s="352"/>
      <c r="AD844" s="352"/>
      <c r="AE844" s="352"/>
      <c r="AF844" s="352"/>
      <c r="AG844" s="91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  <c r="AX844" s="90"/>
      <c r="AY844" s="90"/>
      <c r="AZ844" s="90"/>
      <c r="BA844" s="90"/>
      <c r="BB844" s="90"/>
      <c r="BC844" s="90"/>
      <c r="BD844" s="90"/>
      <c r="BE844" s="90"/>
      <c r="BF844" s="90"/>
      <c r="BG844" s="90"/>
      <c r="BH844" s="90"/>
      <c r="BI844" s="90"/>
      <c r="BJ844" s="90"/>
      <c r="BK844" s="90"/>
      <c r="BL844" s="90"/>
      <c r="BM844" s="90"/>
      <c r="BN844" s="90"/>
      <c r="BO844" s="90"/>
      <c r="BP844" s="90"/>
      <c r="BQ844" s="90"/>
      <c r="BR844" s="90"/>
      <c r="BS844" s="90"/>
      <c r="BT844" s="90"/>
      <c r="BU844" s="90"/>
      <c r="BV844" s="90"/>
      <c r="BW844" s="90"/>
      <c r="BX844" s="90"/>
      <c r="BY844" s="90"/>
    </row>
    <row r="845" spans="1:77" thickBot="1" x14ac:dyDescent="0.3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352"/>
      <c r="AA845" s="352"/>
      <c r="AB845" s="352"/>
      <c r="AC845" s="352"/>
      <c r="AD845" s="352"/>
      <c r="AE845" s="352"/>
      <c r="AF845" s="352"/>
      <c r="AG845" s="91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  <c r="AX845" s="90"/>
      <c r="AY845" s="90"/>
      <c r="AZ845" s="90"/>
      <c r="BA845" s="90"/>
      <c r="BB845" s="90"/>
      <c r="BC845" s="90"/>
      <c r="BD845" s="90"/>
      <c r="BE845" s="90"/>
      <c r="BF845" s="90"/>
      <c r="BG845" s="90"/>
      <c r="BH845" s="90"/>
      <c r="BI845" s="90"/>
      <c r="BJ845" s="90"/>
      <c r="BK845" s="90"/>
      <c r="BL845" s="90"/>
      <c r="BM845" s="90"/>
      <c r="BN845" s="90"/>
      <c r="BO845" s="90"/>
      <c r="BP845" s="90"/>
      <c r="BQ845" s="90"/>
      <c r="BR845" s="90"/>
      <c r="BS845" s="90"/>
      <c r="BT845" s="90"/>
      <c r="BU845" s="90"/>
      <c r="BV845" s="90"/>
      <c r="BW845" s="90"/>
      <c r="BX845" s="90"/>
      <c r="BY845" s="90"/>
    </row>
    <row r="846" spans="1:77" thickBot="1" x14ac:dyDescent="0.3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352"/>
      <c r="AA846" s="352"/>
      <c r="AB846" s="352"/>
      <c r="AC846" s="352"/>
      <c r="AD846" s="352"/>
      <c r="AE846" s="352"/>
      <c r="AF846" s="352"/>
      <c r="AG846" s="91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  <c r="AX846" s="90"/>
      <c r="AY846" s="90"/>
      <c r="AZ846" s="90"/>
      <c r="BA846" s="90"/>
      <c r="BB846" s="90"/>
      <c r="BC846" s="90"/>
      <c r="BD846" s="90"/>
      <c r="BE846" s="90"/>
      <c r="BF846" s="90"/>
      <c r="BG846" s="90"/>
      <c r="BH846" s="90"/>
      <c r="BI846" s="90"/>
      <c r="BJ846" s="90"/>
      <c r="BK846" s="90"/>
      <c r="BL846" s="90"/>
      <c r="BM846" s="90"/>
      <c r="BN846" s="90"/>
      <c r="BO846" s="90"/>
      <c r="BP846" s="90"/>
      <c r="BQ846" s="90"/>
      <c r="BR846" s="90"/>
      <c r="BS846" s="90"/>
      <c r="BT846" s="90"/>
      <c r="BU846" s="90"/>
      <c r="BV846" s="90"/>
      <c r="BW846" s="90"/>
      <c r="BX846" s="90"/>
      <c r="BY846" s="90"/>
    </row>
    <row r="847" spans="1:77" thickBot="1" x14ac:dyDescent="0.3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352"/>
      <c r="AA847" s="352"/>
      <c r="AB847" s="352"/>
      <c r="AC847" s="352"/>
      <c r="AD847" s="352"/>
      <c r="AE847" s="352"/>
      <c r="AF847" s="352"/>
      <c r="AG847" s="91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  <c r="AX847" s="90"/>
      <c r="AY847" s="90"/>
      <c r="AZ847" s="90"/>
      <c r="BA847" s="90"/>
      <c r="BB847" s="90"/>
      <c r="BC847" s="90"/>
      <c r="BD847" s="90"/>
      <c r="BE847" s="90"/>
      <c r="BF847" s="90"/>
      <c r="BG847" s="90"/>
      <c r="BH847" s="90"/>
      <c r="BI847" s="90"/>
      <c r="BJ847" s="90"/>
      <c r="BK847" s="90"/>
      <c r="BL847" s="90"/>
      <c r="BM847" s="90"/>
      <c r="BN847" s="90"/>
      <c r="BO847" s="90"/>
      <c r="BP847" s="90"/>
      <c r="BQ847" s="90"/>
      <c r="BR847" s="90"/>
      <c r="BS847" s="90"/>
      <c r="BT847" s="90"/>
      <c r="BU847" s="90"/>
      <c r="BV847" s="90"/>
      <c r="BW847" s="90"/>
      <c r="BX847" s="90"/>
      <c r="BY847" s="90"/>
    </row>
    <row r="848" spans="1:77" thickBot="1" x14ac:dyDescent="0.3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352"/>
      <c r="AA848" s="352"/>
      <c r="AB848" s="352"/>
      <c r="AC848" s="352"/>
      <c r="AD848" s="352"/>
      <c r="AE848" s="352"/>
      <c r="AF848" s="352"/>
      <c r="AG848" s="91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  <c r="AX848" s="90"/>
      <c r="AY848" s="90"/>
      <c r="AZ848" s="90"/>
      <c r="BA848" s="90"/>
      <c r="BB848" s="90"/>
      <c r="BC848" s="90"/>
      <c r="BD848" s="90"/>
      <c r="BE848" s="90"/>
      <c r="BF848" s="90"/>
      <c r="BG848" s="90"/>
      <c r="BH848" s="90"/>
      <c r="BI848" s="90"/>
      <c r="BJ848" s="90"/>
      <c r="BK848" s="90"/>
      <c r="BL848" s="90"/>
      <c r="BM848" s="90"/>
      <c r="BN848" s="90"/>
      <c r="BO848" s="90"/>
      <c r="BP848" s="90"/>
      <c r="BQ848" s="90"/>
      <c r="BR848" s="90"/>
      <c r="BS848" s="90"/>
      <c r="BT848" s="90"/>
      <c r="BU848" s="90"/>
      <c r="BV848" s="90"/>
      <c r="BW848" s="90"/>
      <c r="BX848" s="90"/>
      <c r="BY848" s="90"/>
    </row>
    <row r="849" spans="1:77" thickBot="1" x14ac:dyDescent="0.3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352"/>
      <c r="AA849" s="352"/>
      <c r="AB849" s="352"/>
      <c r="AC849" s="352"/>
      <c r="AD849" s="352"/>
      <c r="AE849" s="352"/>
      <c r="AF849" s="352"/>
      <c r="AG849" s="91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  <c r="BA849" s="90"/>
      <c r="BB849" s="90"/>
      <c r="BC849" s="90"/>
      <c r="BD849" s="90"/>
      <c r="BE849" s="90"/>
      <c r="BF849" s="90"/>
      <c r="BG849" s="90"/>
      <c r="BH849" s="90"/>
      <c r="BI849" s="90"/>
      <c r="BJ849" s="90"/>
      <c r="BK849" s="90"/>
      <c r="BL849" s="90"/>
      <c r="BM849" s="90"/>
      <c r="BN849" s="90"/>
      <c r="BO849" s="90"/>
      <c r="BP849" s="90"/>
      <c r="BQ849" s="90"/>
      <c r="BR849" s="90"/>
      <c r="BS849" s="90"/>
      <c r="BT849" s="90"/>
      <c r="BU849" s="90"/>
      <c r="BV849" s="90"/>
      <c r="BW849" s="90"/>
      <c r="BX849" s="90"/>
      <c r="BY849" s="90"/>
    </row>
    <row r="850" spans="1:77" thickBot="1" x14ac:dyDescent="0.3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352"/>
      <c r="AA850" s="352"/>
      <c r="AB850" s="352"/>
      <c r="AC850" s="352"/>
      <c r="AD850" s="352"/>
      <c r="AE850" s="352"/>
      <c r="AF850" s="352"/>
      <c r="AG850" s="91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  <c r="BA850" s="90"/>
      <c r="BB850" s="90"/>
      <c r="BC850" s="90"/>
      <c r="BD850" s="90"/>
      <c r="BE850" s="90"/>
      <c r="BF850" s="90"/>
      <c r="BG850" s="90"/>
      <c r="BH850" s="90"/>
      <c r="BI850" s="90"/>
      <c r="BJ850" s="90"/>
      <c r="BK850" s="90"/>
      <c r="BL850" s="90"/>
      <c r="BM850" s="90"/>
      <c r="BN850" s="90"/>
      <c r="BO850" s="90"/>
      <c r="BP850" s="90"/>
      <c r="BQ850" s="90"/>
      <c r="BR850" s="90"/>
      <c r="BS850" s="90"/>
      <c r="BT850" s="90"/>
      <c r="BU850" s="90"/>
      <c r="BV850" s="90"/>
      <c r="BW850" s="90"/>
      <c r="BX850" s="90"/>
      <c r="BY850" s="90"/>
    </row>
    <row r="851" spans="1:77" thickBot="1" x14ac:dyDescent="0.3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352"/>
      <c r="AA851" s="352"/>
      <c r="AB851" s="352"/>
      <c r="AC851" s="352"/>
      <c r="AD851" s="352"/>
      <c r="AE851" s="352"/>
      <c r="AF851" s="352"/>
      <c r="AG851" s="91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  <c r="BA851" s="90"/>
      <c r="BB851" s="90"/>
      <c r="BC851" s="90"/>
      <c r="BD851" s="90"/>
      <c r="BE851" s="90"/>
      <c r="BF851" s="90"/>
      <c r="BG851" s="90"/>
      <c r="BH851" s="90"/>
      <c r="BI851" s="90"/>
      <c r="BJ851" s="90"/>
      <c r="BK851" s="90"/>
      <c r="BL851" s="90"/>
      <c r="BM851" s="90"/>
      <c r="BN851" s="90"/>
      <c r="BO851" s="90"/>
      <c r="BP851" s="90"/>
      <c r="BQ851" s="90"/>
      <c r="BR851" s="90"/>
      <c r="BS851" s="90"/>
      <c r="BT851" s="90"/>
      <c r="BU851" s="90"/>
      <c r="BV851" s="90"/>
      <c r="BW851" s="90"/>
      <c r="BX851" s="90"/>
      <c r="BY851" s="90"/>
    </row>
    <row r="852" spans="1:77" thickBot="1" x14ac:dyDescent="0.3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352"/>
      <c r="AA852" s="352"/>
      <c r="AB852" s="352"/>
      <c r="AC852" s="352"/>
      <c r="AD852" s="352"/>
      <c r="AE852" s="352"/>
      <c r="AF852" s="352"/>
      <c r="AG852" s="91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  <c r="BA852" s="90"/>
      <c r="BB852" s="90"/>
      <c r="BC852" s="90"/>
      <c r="BD852" s="90"/>
      <c r="BE852" s="90"/>
      <c r="BF852" s="90"/>
      <c r="BG852" s="90"/>
      <c r="BH852" s="90"/>
      <c r="BI852" s="90"/>
      <c r="BJ852" s="90"/>
      <c r="BK852" s="90"/>
      <c r="BL852" s="90"/>
      <c r="BM852" s="90"/>
      <c r="BN852" s="90"/>
      <c r="BO852" s="90"/>
      <c r="BP852" s="90"/>
      <c r="BQ852" s="90"/>
      <c r="BR852" s="90"/>
      <c r="BS852" s="90"/>
      <c r="BT852" s="90"/>
      <c r="BU852" s="90"/>
      <c r="BV852" s="90"/>
      <c r="BW852" s="90"/>
      <c r="BX852" s="90"/>
      <c r="BY852" s="90"/>
    </row>
    <row r="853" spans="1:77" thickBot="1" x14ac:dyDescent="0.3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352"/>
      <c r="AA853" s="352"/>
      <c r="AB853" s="352"/>
      <c r="AC853" s="352"/>
      <c r="AD853" s="352"/>
      <c r="AE853" s="352"/>
      <c r="AF853" s="352"/>
      <c r="AG853" s="91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  <c r="BA853" s="90"/>
      <c r="BB853" s="90"/>
      <c r="BC853" s="90"/>
      <c r="BD853" s="90"/>
      <c r="BE853" s="90"/>
      <c r="BF853" s="90"/>
      <c r="BG853" s="90"/>
      <c r="BH853" s="90"/>
      <c r="BI853" s="90"/>
      <c r="BJ853" s="90"/>
      <c r="BK853" s="90"/>
      <c r="BL853" s="90"/>
      <c r="BM853" s="90"/>
      <c r="BN853" s="90"/>
      <c r="BO853" s="90"/>
      <c r="BP853" s="90"/>
      <c r="BQ853" s="90"/>
      <c r="BR853" s="90"/>
      <c r="BS853" s="90"/>
      <c r="BT853" s="90"/>
      <c r="BU853" s="90"/>
      <c r="BV853" s="90"/>
      <c r="BW853" s="90"/>
      <c r="BX853" s="90"/>
      <c r="BY853" s="90"/>
    </row>
    <row r="854" spans="1:77" thickBot="1" x14ac:dyDescent="0.3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352"/>
      <c r="AA854" s="352"/>
      <c r="AB854" s="352"/>
      <c r="AC854" s="352"/>
      <c r="AD854" s="352"/>
      <c r="AE854" s="352"/>
      <c r="AF854" s="352"/>
      <c r="AG854" s="91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  <c r="BA854" s="90"/>
      <c r="BB854" s="90"/>
      <c r="BC854" s="90"/>
      <c r="BD854" s="90"/>
      <c r="BE854" s="90"/>
      <c r="BF854" s="90"/>
      <c r="BG854" s="90"/>
      <c r="BH854" s="90"/>
      <c r="BI854" s="90"/>
      <c r="BJ854" s="90"/>
      <c r="BK854" s="90"/>
      <c r="BL854" s="90"/>
      <c r="BM854" s="90"/>
      <c r="BN854" s="90"/>
      <c r="BO854" s="90"/>
      <c r="BP854" s="90"/>
      <c r="BQ854" s="90"/>
      <c r="BR854" s="90"/>
      <c r="BS854" s="90"/>
      <c r="BT854" s="90"/>
      <c r="BU854" s="90"/>
      <c r="BV854" s="90"/>
      <c r="BW854" s="90"/>
      <c r="BX854" s="90"/>
      <c r="BY854" s="90"/>
    </row>
    <row r="855" spans="1:77" thickBot="1" x14ac:dyDescent="0.3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352"/>
      <c r="AA855" s="352"/>
      <c r="AB855" s="352"/>
      <c r="AC855" s="352"/>
      <c r="AD855" s="352"/>
      <c r="AE855" s="352"/>
      <c r="AF855" s="352"/>
      <c r="AG855" s="91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  <c r="BA855" s="90"/>
      <c r="BB855" s="90"/>
      <c r="BC855" s="90"/>
      <c r="BD855" s="90"/>
      <c r="BE855" s="90"/>
      <c r="BF855" s="90"/>
      <c r="BG855" s="90"/>
      <c r="BH855" s="90"/>
      <c r="BI855" s="90"/>
      <c r="BJ855" s="90"/>
      <c r="BK855" s="90"/>
      <c r="BL855" s="90"/>
      <c r="BM855" s="90"/>
      <c r="BN855" s="90"/>
      <c r="BO855" s="90"/>
      <c r="BP855" s="90"/>
      <c r="BQ855" s="90"/>
      <c r="BR855" s="90"/>
      <c r="BS855" s="90"/>
      <c r="BT855" s="90"/>
      <c r="BU855" s="90"/>
      <c r="BV855" s="90"/>
      <c r="BW855" s="90"/>
      <c r="BX855" s="90"/>
      <c r="BY855" s="90"/>
    </row>
    <row r="856" spans="1:77" thickBot="1" x14ac:dyDescent="0.3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352"/>
      <c r="AA856" s="352"/>
      <c r="AB856" s="352"/>
      <c r="AC856" s="352"/>
      <c r="AD856" s="352"/>
      <c r="AE856" s="352"/>
      <c r="AF856" s="352"/>
      <c r="AG856" s="91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  <c r="BA856" s="90"/>
      <c r="BB856" s="90"/>
      <c r="BC856" s="90"/>
      <c r="BD856" s="90"/>
      <c r="BE856" s="90"/>
      <c r="BF856" s="90"/>
      <c r="BG856" s="90"/>
      <c r="BH856" s="90"/>
      <c r="BI856" s="90"/>
      <c r="BJ856" s="90"/>
      <c r="BK856" s="90"/>
      <c r="BL856" s="90"/>
      <c r="BM856" s="90"/>
      <c r="BN856" s="90"/>
      <c r="BO856" s="90"/>
      <c r="BP856" s="90"/>
      <c r="BQ856" s="90"/>
      <c r="BR856" s="90"/>
      <c r="BS856" s="90"/>
      <c r="BT856" s="90"/>
      <c r="BU856" s="90"/>
      <c r="BV856" s="90"/>
      <c r="BW856" s="90"/>
      <c r="BX856" s="90"/>
      <c r="BY856" s="90"/>
    </row>
    <row r="857" spans="1:77" thickBot="1" x14ac:dyDescent="0.3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352"/>
      <c r="AA857" s="352"/>
      <c r="AB857" s="352"/>
      <c r="AC857" s="352"/>
      <c r="AD857" s="352"/>
      <c r="AE857" s="352"/>
      <c r="AF857" s="352"/>
      <c r="AG857" s="91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  <c r="BA857" s="90"/>
      <c r="BB857" s="90"/>
      <c r="BC857" s="90"/>
      <c r="BD857" s="90"/>
      <c r="BE857" s="90"/>
      <c r="BF857" s="90"/>
      <c r="BG857" s="90"/>
      <c r="BH857" s="90"/>
      <c r="BI857" s="90"/>
      <c r="BJ857" s="90"/>
      <c r="BK857" s="90"/>
      <c r="BL857" s="90"/>
      <c r="BM857" s="90"/>
      <c r="BN857" s="90"/>
      <c r="BO857" s="90"/>
      <c r="BP857" s="90"/>
      <c r="BQ857" s="90"/>
      <c r="BR857" s="90"/>
      <c r="BS857" s="90"/>
      <c r="BT857" s="90"/>
      <c r="BU857" s="90"/>
      <c r="BV857" s="90"/>
      <c r="BW857" s="90"/>
      <c r="BX857" s="90"/>
      <c r="BY857" s="90"/>
    </row>
    <row r="858" spans="1:77" thickBot="1" x14ac:dyDescent="0.3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352"/>
      <c r="AA858" s="352"/>
      <c r="AB858" s="352"/>
      <c r="AC858" s="352"/>
      <c r="AD858" s="352"/>
      <c r="AE858" s="352"/>
      <c r="AF858" s="352"/>
      <c r="AG858" s="91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  <c r="AX858" s="90"/>
      <c r="AY858" s="90"/>
      <c r="AZ858" s="90"/>
      <c r="BA858" s="90"/>
      <c r="BB858" s="90"/>
      <c r="BC858" s="90"/>
      <c r="BD858" s="90"/>
      <c r="BE858" s="90"/>
      <c r="BF858" s="90"/>
      <c r="BG858" s="90"/>
      <c r="BH858" s="90"/>
      <c r="BI858" s="90"/>
      <c r="BJ858" s="90"/>
      <c r="BK858" s="90"/>
      <c r="BL858" s="90"/>
      <c r="BM858" s="90"/>
      <c r="BN858" s="90"/>
      <c r="BO858" s="90"/>
      <c r="BP858" s="90"/>
      <c r="BQ858" s="90"/>
      <c r="BR858" s="90"/>
      <c r="BS858" s="90"/>
      <c r="BT858" s="90"/>
      <c r="BU858" s="90"/>
      <c r="BV858" s="90"/>
      <c r="BW858" s="90"/>
      <c r="BX858" s="90"/>
      <c r="BY858" s="90"/>
    </row>
    <row r="859" spans="1:77" thickBot="1" x14ac:dyDescent="0.3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352"/>
      <c r="AA859" s="352"/>
      <c r="AB859" s="352"/>
      <c r="AC859" s="352"/>
      <c r="AD859" s="352"/>
      <c r="AE859" s="352"/>
      <c r="AF859" s="352"/>
      <c r="AG859" s="91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  <c r="BA859" s="90"/>
      <c r="BB859" s="90"/>
      <c r="BC859" s="90"/>
      <c r="BD859" s="90"/>
      <c r="BE859" s="90"/>
      <c r="BF859" s="90"/>
      <c r="BG859" s="90"/>
      <c r="BH859" s="90"/>
      <c r="BI859" s="90"/>
      <c r="BJ859" s="90"/>
      <c r="BK859" s="90"/>
      <c r="BL859" s="90"/>
      <c r="BM859" s="90"/>
      <c r="BN859" s="90"/>
      <c r="BO859" s="90"/>
      <c r="BP859" s="90"/>
      <c r="BQ859" s="90"/>
      <c r="BR859" s="90"/>
      <c r="BS859" s="90"/>
      <c r="BT859" s="90"/>
      <c r="BU859" s="90"/>
      <c r="BV859" s="90"/>
      <c r="BW859" s="90"/>
      <c r="BX859" s="90"/>
      <c r="BY859" s="90"/>
    </row>
    <row r="860" spans="1:77" thickBot="1" x14ac:dyDescent="0.3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352"/>
      <c r="AA860" s="352"/>
      <c r="AB860" s="352"/>
      <c r="AC860" s="352"/>
      <c r="AD860" s="352"/>
      <c r="AE860" s="352"/>
      <c r="AF860" s="352"/>
      <c r="AG860" s="91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  <c r="BA860" s="90"/>
      <c r="BB860" s="90"/>
      <c r="BC860" s="90"/>
      <c r="BD860" s="90"/>
      <c r="BE860" s="90"/>
      <c r="BF860" s="90"/>
      <c r="BG860" s="90"/>
      <c r="BH860" s="90"/>
      <c r="BI860" s="90"/>
      <c r="BJ860" s="90"/>
      <c r="BK860" s="90"/>
      <c r="BL860" s="90"/>
      <c r="BM860" s="90"/>
      <c r="BN860" s="90"/>
      <c r="BO860" s="90"/>
      <c r="BP860" s="90"/>
      <c r="BQ860" s="90"/>
      <c r="BR860" s="90"/>
      <c r="BS860" s="90"/>
      <c r="BT860" s="90"/>
      <c r="BU860" s="90"/>
      <c r="BV860" s="90"/>
      <c r="BW860" s="90"/>
      <c r="BX860" s="90"/>
      <c r="BY860" s="90"/>
    </row>
    <row r="861" spans="1:77" thickBot="1" x14ac:dyDescent="0.3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352"/>
      <c r="AA861" s="352"/>
      <c r="AB861" s="352"/>
      <c r="AC861" s="352"/>
      <c r="AD861" s="352"/>
      <c r="AE861" s="352"/>
      <c r="AF861" s="352"/>
      <c r="AG861" s="91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  <c r="BA861" s="90"/>
      <c r="BB861" s="90"/>
      <c r="BC861" s="90"/>
      <c r="BD861" s="90"/>
      <c r="BE861" s="90"/>
      <c r="BF861" s="90"/>
      <c r="BG861" s="90"/>
      <c r="BH861" s="90"/>
      <c r="BI861" s="90"/>
      <c r="BJ861" s="90"/>
      <c r="BK861" s="90"/>
      <c r="BL861" s="90"/>
      <c r="BM861" s="90"/>
      <c r="BN861" s="90"/>
      <c r="BO861" s="90"/>
      <c r="BP861" s="90"/>
      <c r="BQ861" s="90"/>
      <c r="BR861" s="90"/>
      <c r="BS861" s="90"/>
      <c r="BT861" s="90"/>
      <c r="BU861" s="90"/>
      <c r="BV861" s="90"/>
      <c r="BW861" s="90"/>
      <c r="BX861" s="90"/>
      <c r="BY861" s="90"/>
    </row>
    <row r="862" spans="1:77" thickBot="1" x14ac:dyDescent="0.3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352"/>
      <c r="AA862" s="352"/>
      <c r="AB862" s="352"/>
      <c r="AC862" s="352"/>
      <c r="AD862" s="352"/>
      <c r="AE862" s="352"/>
      <c r="AF862" s="352"/>
      <c r="AG862" s="91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  <c r="BA862" s="90"/>
      <c r="BB862" s="90"/>
      <c r="BC862" s="90"/>
      <c r="BD862" s="90"/>
      <c r="BE862" s="90"/>
      <c r="BF862" s="90"/>
      <c r="BG862" s="90"/>
      <c r="BH862" s="90"/>
      <c r="BI862" s="90"/>
      <c r="BJ862" s="90"/>
      <c r="BK862" s="90"/>
      <c r="BL862" s="90"/>
      <c r="BM862" s="90"/>
      <c r="BN862" s="90"/>
      <c r="BO862" s="90"/>
      <c r="BP862" s="90"/>
      <c r="BQ862" s="90"/>
      <c r="BR862" s="90"/>
      <c r="BS862" s="90"/>
      <c r="BT862" s="90"/>
      <c r="BU862" s="90"/>
      <c r="BV862" s="90"/>
      <c r="BW862" s="90"/>
      <c r="BX862" s="90"/>
      <c r="BY862" s="90"/>
    </row>
    <row r="863" spans="1:77" thickBot="1" x14ac:dyDescent="0.3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352"/>
      <c r="AA863" s="352"/>
      <c r="AB863" s="352"/>
      <c r="AC863" s="352"/>
      <c r="AD863" s="352"/>
      <c r="AE863" s="352"/>
      <c r="AF863" s="352"/>
      <c r="AG863" s="91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90"/>
      <c r="BC863" s="90"/>
      <c r="BD863" s="90"/>
      <c r="BE863" s="90"/>
      <c r="BF863" s="90"/>
      <c r="BG863" s="90"/>
      <c r="BH863" s="90"/>
      <c r="BI863" s="90"/>
      <c r="BJ863" s="90"/>
      <c r="BK863" s="90"/>
      <c r="BL863" s="90"/>
      <c r="BM863" s="90"/>
      <c r="BN863" s="90"/>
      <c r="BO863" s="90"/>
      <c r="BP863" s="90"/>
      <c r="BQ863" s="90"/>
      <c r="BR863" s="90"/>
      <c r="BS863" s="90"/>
      <c r="BT863" s="90"/>
      <c r="BU863" s="90"/>
      <c r="BV863" s="90"/>
      <c r="BW863" s="90"/>
      <c r="BX863" s="90"/>
      <c r="BY863" s="90"/>
    </row>
    <row r="864" spans="1:77" thickBot="1" x14ac:dyDescent="0.3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352"/>
      <c r="AA864" s="352"/>
      <c r="AB864" s="352"/>
      <c r="AC864" s="352"/>
      <c r="AD864" s="352"/>
      <c r="AE864" s="352"/>
      <c r="AF864" s="352"/>
      <c r="AG864" s="91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90"/>
      <c r="BC864" s="90"/>
      <c r="BD864" s="90"/>
      <c r="BE864" s="90"/>
      <c r="BF864" s="90"/>
      <c r="BG864" s="90"/>
      <c r="BH864" s="90"/>
      <c r="BI864" s="90"/>
      <c r="BJ864" s="90"/>
      <c r="BK864" s="90"/>
      <c r="BL864" s="90"/>
      <c r="BM864" s="90"/>
      <c r="BN864" s="90"/>
      <c r="BO864" s="90"/>
      <c r="BP864" s="90"/>
      <c r="BQ864" s="90"/>
      <c r="BR864" s="90"/>
      <c r="BS864" s="90"/>
      <c r="BT864" s="90"/>
      <c r="BU864" s="90"/>
      <c r="BV864" s="90"/>
      <c r="BW864" s="90"/>
      <c r="BX864" s="90"/>
      <c r="BY864" s="90"/>
    </row>
    <row r="865" spans="1:77" thickBot="1" x14ac:dyDescent="0.3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352"/>
      <c r="AA865" s="352"/>
      <c r="AB865" s="352"/>
      <c r="AC865" s="352"/>
      <c r="AD865" s="352"/>
      <c r="AE865" s="352"/>
      <c r="AF865" s="352"/>
      <c r="AG865" s="91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  <c r="BA865" s="90"/>
      <c r="BB865" s="90"/>
      <c r="BC865" s="90"/>
      <c r="BD865" s="90"/>
      <c r="BE865" s="90"/>
      <c r="BF865" s="90"/>
      <c r="BG865" s="90"/>
      <c r="BH865" s="90"/>
      <c r="BI865" s="90"/>
      <c r="BJ865" s="90"/>
      <c r="BK865" s="90"/>
      <c r="BL865" s="90"/>
      <c r="BM865" s="90"/>
      <c r="BN865" s="90"/>
      <c r="BO865" s="90"/>
      <c r="BP865" s="90"/>
      <c r="BQ865" s="90"/>
      <c r="BR865" s="90"/>
      <c r="BS865" s="90"/>
      <c r="BT865" s="90"/>
      <c r="BU865" s="90"/>
      <c r="BV865" s="90"/>
      <c r="BW865" s="90"/>
      <c r="BX865" s="90"/>
      <c r="BY865" s="90"/>
    </row>
    <row r="866" spans="1:77" thickBot="1" x14ac:dyDescent="0.3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352"/>
      <c r="AA866" s="352"/>
      <c r="AB866" s="352"/>
      <c r="AC866" s="352"/>
      <c r="AD866" s="352"/>
      <c r="AE866" s="352"/>
      <c r="AF866" s="352"/>
      <c r="AG866" s="91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  <c r="BA866" s="90"/>
      <c r="BB866" s="90"/>
      <c r="BC866" s="90"/>
      <c r="BD866" s="90"/>
      <c r="BE866" s="90"/>
      <c r="BF866" s="90"/>
      <c r="BG866" s="90"/>
      <c r="BH866" s="90"/>
      <c r="BI866" s="90"/>
      <c r="BJ866" s="90"/>
      <c r="BK866" s="90"/>
      <c r="BL866" s="90"/>
      <c r="BM866" s="90"/>
      <c r="BN866" s="90"/>
      <c r="BO866" s="90"/>
      <c r="BP866" s="90"/>
      <c r="BQ866" s="90"/>
      <c r="BR866" s="90"/>
      <c r="BS866" s="90"/>
      <c r="BT866" s="90"/>
      <c r="BU866" s="90"/>
      <c r="BV866" s="90"/>
      <c r="BW866" s="90"/>
      <c r="BX866" s="90"/>
      <c r="BY866" s="90"/>
    </row>
    <row r="867" spans="1:77" thickBot="1" x14ac:dyDescent="0.3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352"/>
      <c r="AA867" s="352"/>
      <c r="AB867" s="352"/>
      <c r="AC867" s="352"/>
      <c r="AD867" s="352"/>
      <c r="AE867" s="352"/>
      <c r="AF867" s="352"/>
      <c r="AG867" s="91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  <c r="BA867" s="90"/>
      <c r="BB867" s="90"/>
      <c r="BC867" s="90"/>
      <c r="BD867" s="90"/>
      <c r="BE867" s="90"/>
      <c r="BF867" s="90"/>
      <c r="BG867" s="90"/>
      <c r="BH867" s="90"/>
      <c r="BI867" s="90"/>
      <c r="BJ867" s="90"/>
      <c r="BK867" s="90"/>
      <c r="BL867" s="90"/>
      <c r="BM867" s="90"/>
      <c r="BN867" s="90"/>
      <c r="BO867" s="90"/>
      <c r="BP867" s="90"/>
      <c r="BQ867" s="90"/>
      <c r="BR867" s="90"/>
      <c r="BS867" s="90"/>
      <c r="BT867" s="90"/>
      <c r="BU867" s="90"/>
      <c r="BV867" s="90"/>
      <c r="BW867" s="90"/>
      <c r="BX867" s="90"/>
      <c r="BY867" s="90"/>
    </row>
    <row r="868" spans="1:77" thickBot="1" x14ac:dyDescent="0.3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352"/>
      <c r="AA868" s="352"/>
      <c r="AB868" s="352"/>
      <c r="AC868" s="352"/>
      <c r="AD868" s="352"/>
      <c r="AE868" s="352"/>
      <c r="AF868" s="352"/>
      <c r="AG868" s="91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  <c r="BA868" s="90"/>
      <c r="BB868" s="90"/>
      <c r="BC868" s="90"/>
      <c r="BD868" s="90"/>
      <c r="BE868" s="90"/>
      <c r="BF868" s="90"/>
      <c r="BG868" s="90"/>
      <c r="BH868" s="90"/>
      <c r="BI868" s="90"/>
      <c r="BJ868" s="90"/>
      <c r="BK868" s="90"/>
      <c r="BL868" s="90"/>
      <c r="BM868" s="90"/>
      <c r="BN868" s="90"/>
      <c r="BO868" s="90"/>
      <c r="BP868" s="90"/>
      <c r="BQ868" s="90"/>
      <c r="BR868" s="90"/>
      <c r="BS868" s="90"/>
      <c r="BT868" s="90"/>
      <c r="BU868" s="90"/>
      <c r="BV868" s="90"/>
      <c r="BW868" s="90"/>
      <c r="BX868" s="90"/>
      <c r="BY868" s="90"/>
    </row>
    <row r="869" spans="1:77" thickBot="1" x14ac:dyDescent="0.3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352"/>
      <c r="AA869" s="352"/>
      <c r="AB869" s="352"/>
      <c r="AC869" s="352"/>
      <c r="AD869" s="352"/>
      <c r="AE869" s="352"/>
      <c r="AF869" s="352"/>
      <c r="AG869" s="91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  <c r="BA869" s="90"/>
      <c r="BB869" s="90"/>
      <c r="BC869" s="90"/>
      <c r="BD869" s="90"/>
      <c r="BE869" s="90"/>
      <c r="BF869" s="90"/>
      <c r="BG869" s="90"/>
      <c r="BH869" s="90"/>
      <c r="BI869" s="90"/>
      <c r="BJ869" s="90"/>
      <c r="BK869" s="90"/>
      <c r="BL869" s="90"/>
      <c r="BM869" s="90"/>
      <c r="BN869" s="90"/>
      <c r="BO869" s="90"/>
      <c r="BP869" s="90"/>
      <c r="BQ869" s="90"/>
      <c r="BR869" s="90"/>
      <c r="BS869" s="90"/>
      <c r="BT869" s="90"/>
      <c r="BU869" s="90"/>
      <c r="BV869" s="90"/>
      <c r="BW869" s="90"/>
      <c r="BX869" s="90"/>
      <c r="BY869" s="90"/>
    </row>
    <row r="870" spans="1:77" thickBot="1" x14ac:dyDescent="0.3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352"/>
      <c r="AA870" s="352"/>
      <c r="AB870" s="352"/>
      <c r="AC870" s="352"/>
      <c r="AD870" s="352"/>
      <c r="AE870" s="352"/>
      <c r="AF870" s="352"/>
      <c r="AG870" s="91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  <c r="BA870" s="90"/>
      <c r="BB870" s="90"/>
      <c r="BC870" s="90"/>
      <c r="BD870" s="90"/>
      <c r="BE870" s="90"/>
      <c r="BF870" s="90"/>
      <c r="BG870" s="90"/>
      <c r="BH870" s="90"/>
      <c r="BI870" s="90"/>
      <c r="BJ870" s="90"/>
      <c r="BK870" s="90"/>
      <c r="BL870" s="90"/>
      <c r="BM870" s="90"/>
      <c r="BN870" s="90"/>
      <c r="BO870" s="90"/>
      <c r="BP870" s="90"/>
      <c r="BQ870" s="90"/>
      <c r="BR870" s="90"/>
      <c r="BS870" s="90"/>
      <c r="BT870" s="90"/>
      <c r="BU870" s="90"/>
      <c r="BV870" s="90"/>
      <c r="BW870" s="90"/>
      <c r="BX870" s="90"/>
      <c r="BY870" s="90"/>
    </row>
    <row r="871" spans="1:77" thickBot="1" x14ac:dyDescent="0.3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352"/>
      <c r="AA871" s="352"/>
      <c r="AB871" s="352"/>
      <c r="AC871" s="352"/>
      <c r="AD871" s="352"/>
      <c r="AE871" s="352"/>
      <c r="AF871" s="352"/>
      <c r="AG871" s="91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  <c r="BA871" s="90"/>
      <c r="BB871" s="90"/>
      <c r="BC871" s="90"/>
      <c r="BD871" s="90"/>
      <c r="BE871" s="90"/>
      <c r="BF871" s="90"/>
      <c r="BG871" s="90"/>
      <c r="BH871" s="90"/>
      <c r="BI871" s="90"/>
      <c r="BJ871" s="90"/>
      <c r="BK871" s="90"/>
      <c r="BL871" s="90"/>
      <c r="BM871" s="90"/>
      <c r="BN871" s="90"/>
      <c r="BO871" s="90"/>
      <c r="BP871" s="90"/>
      <c r="BQ871" s="90"/>
      <c r="BR871" s="90"/>
      <c r="BS871" s="90"/>
      <c r="BT871" s="90"/>
      <c r="BU871" s="90"/>
      <c r="BV871" s="90"/>
      <c r="BW871" s="90"/>
      <c r="BX871" s="90"/>
      <c r="BY871" s="90"/>
    </row>
    <row r="872" spans="1:77" thickBot="1" x14ac:dyDescent="0.3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352"/>
      <c r="AA872" s="352"/>
      <c r="AB872" s="352"/>
      <c r="AC872" s="352"/>
      <c r="AD872" s="352"/>
      <c r="AE872" s="352"/>
      <c r="AF872" s="352"/>
      <c r="AG872" s="91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  <c r="BA872" s="90"/>
      <c r="BB872" s="90"/>
      <c r="BC872" s="90"/>
      <c r="BD872" s="90"/>
      <c r="BE872" s="90"/>
      <c r="BF872" s="90"/>
      <c r="BG872" s="90"/>
      <c r="BH872" s="90"/>
      <c r="BI872" s="90"/>
      <c r="BJ872" s="90"/>
      <c r="BK872" s="90"/>
      <c r="BL872" s="90"/>
      <c r="BM872" s="90"/>
      <c r="BN872" s="90"/>
      <c r="BO872" s="90"/>
      <c r="BP872" s="90"/>
      <c r="BQ872" s="90"/>
      <c r="BR872" s="90"/>
      <c r="BS872" s="90"/>
      <c r="BT872" s="90"/>
      <c r="BU872" s="90"/>
      <c r="BV872" s="90"/>
      <c r="BW872" s="90"/>
      <c r="BX872" s="90"/>
      <c r="BY872" s="90"/>
    </row>
    <row r="873" spans="1:77" thickBot="1" x14ac:dyDescent="0.3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352"/>
      <c r="AA873" s="352"/>
      <c r="AB873" s="352"/>
      <c r="AC873" s="352"/>
      <c r="AD873" s="352"/>
      <c r="AE873" s="352"/>
      <c r="AF873" s="352"/>
      <c r="AG873" s="91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0"/>
      <c r="BB873" s="90"/>
      <c r="BC873" s="90"/>
      <c r="BD873" s="90"/>
      <c r="BE873" s="90"/>
      <c r="BF873" s="90"/>
      <c r="BG873" s="90"/>
      <c r="BH873" s="90"/>
      <c r="BI873" s="90"/>
      <c r="BJ873" s="90"/>
      <c r="BK873" s="90"/>
      <c r="BL873" s="90"/>
      <c r="BM873" s="90"/>
      <c r="BN873" s="90"/>
      <c r="BO873" s="90"/>
      <c r="BP873" s="90"/>
      <c r="BQ873" s="90"/>
      <c r="BR873" s="90"/>
      <c r="BS873" s="90"/>
      <c r="BT873" s="90"/>
      <c r="BU873" s="90"/>
      <c r="BV873" s="90"/>
      <c r="BW873" s="90"/>
      <c r="BX873" s="90"/>
      <c r="BY873" s="90"/>
    </row>
    <row r="874" spans="1:77" thickBot="1" x14ac:dyDescent="0.3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352"/>
      <c r="AA874" s="352"/>
      <c r="AB874" s="352"/>
      <c r="AC874" s="352"/>
      <c r="AD874" s="352"/>
      <c r="AE874" s="352"/>
      <c r="AF874" s="352"/>
      <c r="AG874" s="91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  <c r="BA874" s="90"/>
      <c r="BB874" s="90"/>
      <c r="BC874" s="90"/>
      <c r="BD874" s="90"/>
      <c r="BE874" s="90"/>
      <c r="BF874" s="90"/>
      <c r="BG874" s="90"/>
      <c r="BH874" s="90"/>
      <c r="BI874" s="90"/>
      <c r="BJ874" s="90"/>
      <c r="BK874" s="90"/>
      <c r="BL874" s="90"/>
      <c r="BM874" s="90"/>
      <c r="BN874" s="90"/>
      <c r="BO874" s="90"/>
      <c r="BP874" s="90"/>
      <c r="BQ874" s="90"/>
      <c r="BR874" s="90"/>
      <c r="BS874" s="90"/>
      <c r="BT874" s="90"/>
      <c r="BU874" s="90"/>
      <c r="BV874" s="90"/>
      <c r="BW874" s="90"/>
      <c r="BX874" s="90"/>
      <c r="BY874" s="90"/>
    </row>
    <row r="875" spans="1:77" thickBot="1" x14ac:dyDescent="0.3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352"/>
      <c r="AA875" s="352"/>
      <c r="AB875" s="352"/>
      <c r="AC875" s="352"/>
      <c r="AD875" s="352"/>
      <c r="AE875" s="352"/>
      <c r="AF875" s="352"/>
      <c r="AG875" s="91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90"/>
      <c r="BC875" s="90"/>
      <c r="BD875" s="90"/>
      <c r="BE875" s="90"/>
      <c r="BF875" s="90"/>
      <c r="BG875" s="90"/>
      <c r="BH875" s="90"/>
      <c r="BI875" s="90"/>
      <c r="BJ875" s="90"/>
      <c r="BK875" s="90"/>
      <c r="BL875" s="90"/>
      <c r="BM875" s="90"/>
      <c r="BN875" s="90"/>
      <c r="BO875" s="90"/>
      <c r="BP875" s="90"/>
      <c r="BQ875" s="90"/>
      <c r="BR875" s="90"/>
      <c r="BS875" s="90"/>
      <c r="BT875" s="90"/>
      <c r="BU875" s="90"/>
      <c r="BV875" s="90"/>
      <c r="BW875" s="90"/>
      <c r="BX875" s="90"/>
      <c r="BY875" s="90"/>
    </row>
    <row r="876" spans="1:77" thickBot="1" x14ac:dyDescent="0.3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352"/>
      <c r="AA876" s="352"/>
      <c r="AB876" s="352"/>
      <c r="AC876" s="352"/>
      <c r="AD876" s="352"/>
      <c r="AE876" s="352"/>
      <c r="AF876" s="352"/>
      <c r="AG876" s="91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0"/>
      <c r="BB876" s="90"/>
      <c r="BC876" s="90"/>
      <c r="BD876" s="90"/>
      <c r="BE876" s="90"/>
      <c r="BF876" s="90"/>
      <c r="BG876" s="90"/>
      <c r="BH876" s="90"/>
      <c r="BI876" s="90"/>
      <c r="BJ876" s="90"/>
      <c r="BK876" s="90"/>
      <c r="BL876" s="90"/>
      <c r="BM876" s="90"/>
      <c r="BN876" s="90"/>
      <c r="BO876" s="90"/>
      <c r="BP876" s="90"/>
      <c r="BQ876" s="90"/>
      <c r="BR876" s="90"/>
      <c r="BS876" s="90"/>
      <c r="BT876" s="90"/>
      <c r="BU876" s="90"/>
      <c r="BV876" s="90"/>
      <c r="BW876" s="90"/>
      <c r="BX876" s="90"/>
      <c r="BY876" s="90"/>
    </row>
    <row r="877" spans="1:77" thickBot="1" x14ac:dyDescent="0.3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352"/>
      <c r="AA877" s="352"/>
      <c r="AB877" s="352"/>
      <c r="AC877" s="352"/>
      <c r="AD877" s="352"/>
      <c r="AE877" s="352"/>
      <c r="AF877" s="352"/>
      <c r="AG877" s="91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0"/>
      <c r="BB877" s="90"/>
      <c r="BC877" s="90"/>
      <c r="BD877" s="90"/>
      <c r="BE877" s="90"/>
      <c r="BF877" s="90"/>
      <c r="BG877" s="90"/>
      <c r="BH877" s="90"/>
      <c r="BI877" s="90"/>
      <c r="BJ877" s="90"/>
      <c r="BK877" s="90"/>
      <c r="BL877" s="90"/>
      <c r="BM877" s="90"/>
      <c r="BN877" s="90"/>
      <c r="BO877" s="90"/>
      <c r="BP877" s="90"/>
      <c r="BQ877" s="90"/>
      <c r="BR877" s="90"/>
      <c r="BS877" s="90"/>
      <c r="BT877" s="90"/>
      <c r="BU877" s="90"/>
      <c r="BV877" s="90"/>
      <c r="BW877" s="90"/>
      <c r="BX877" s="90"/>
      <c r="BY877" s="90"/>
    </row>
    <row r="878" spans="1:77" thickBot="1" x14ac:dyDescent="0.3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352"/>
      <c r="AA878" s="352"/>
      <c r="AB878" s="352"/>
      <c r="AC878" s="352"/>
      <c r="AD878" s="352"/>
      <c r="AE878" s="352"/>
      <c r="AF878" s="352"/>
      <c r="AG878" s="91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0"/>
      <c r="BB878" s="90"/>
      <c r="BC878" s="90"/>
      <c r="BD878" s="90"/>
      <c r="BE878" s="90"/>
      <c r="BF878" s="90"/>
      <c r="BG878" s="90"/>
      <c r="BH878" s="90"/>
      <c r="BI878" s="90"/>
      <c r="BJ878" s="90"/>
      <c r="BK878" s="90"/>
      <c r="BL878" s="90"/>
      <c r="BM878" s="90"/>
      <c r="BN878" s="90"/>
      <c r="BO878" s="90"/>
      <c r="BP878" s="90"/>
      <c r="BQ878" s="90"/>
      <c r="BR878" s="90"/>
      <c r="BS878" s="90"/>
      <c r="BT878" s="90"/>
      <c r="BU878" s="90"/>
      <c r="BV878" s="90"/>
      <c r="BW878" s="90"/>
      <c r="BX878" s="90"/>
      <c r="BY878" s="90"/>
    </row>
    <row r="879" spans="1:77" thickBot="1" x14ac:dyDescent="0.3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352"/>
      <c r="AA879" s="352"/>
      <c r="AB879" s="352"/>
      <c r="AC879" s="352"/>
      <c r="AD879" s="352"/>
      <c r="AE879" s="352"/>
      <c r="AF879" s="352"/>
      <c r="AG879" s="91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0"/>
      <c r="BB879" s="90"/>
      <c r="BC879" s="90"/>
      <c r="BD879" s="90"/>
      <c r="BE879" s="90"/>
      <c r="BF879" s="90"/>
      <c r="BG879" s="90"/>
      <c r="BH879" s="90"/>
      <c r="BI879" s="90"/>
      <c r="BJ879" s="90"/>
      <c r="BK879" s="90"/>
      <c r="BL879" s="90"/>
      <c r="BM879" s="90"/>
      <c r="BN879" s="90"/>
      <c r="BO879" s="90"/>
      <c r="BP879" s="90"/>
      <c r="BQ879" s="90"/>
      <c r="BR879" s="90"/>
      <c r="BS879" s="90"/>
      <c r="BT879" s="90"/>
      <c r="BU879" s="90"/>
      <c r="BV879" s="90"/>
      <c r="BW879" s="90"/>
      <c r="BX879" s="90"/>
      <c r="BY879" s="90"/>
    </row>
  </sheetData>
  <sheetProtection formatCells="0" formatColumns="0" formatRows="0" insertColumns="0" insertRows="0" insertHyperlinks="0" deleteColumns="0" deleteRows="0" sort="0" autoFilter="0" pivotTables="0"/>
  <mergeCells count="86">
    <mergeCell ref="A121:AG121"/>
    <mergeCell ref="A139:AG139"/>
    <mergeCell ref="A142:B142"/>
    <mergeCell ref="A12:AF12"/>
    <mergeCell ref="A38:AG38"/>
    <mergeCell ref="A65:B69"/>
    <mergeCell ref="C65:C69"/>
    <mergeCell ref="D65:D69"/>
    <mergeCell ref="Z65:AC65"/>
    <mergeCell ref="AD65:AE65"/>
    <mergeCell ref="AF65:AG65"/>
    <mergeCell ref="E66:F68"/>
    <mergeCell ref="G66:H68"/>
    <mergeCell ref="I66:J68"/>
    <mergeCell ref="K66:L68"/>
    <mergeCell ref="M66:N68"/>
    <mergeCell ref="A3:AF3"/>
    <mergeCell ref="C6:C11"/>
    <mergeCell ref="A6:B11"/>
    <mergeCell ref="Z7:AG8"/>
    <mergeCell ref="AF6:AG6"/>
    <mergeCell ref="Q6:R6"/>
    <mergeCell ref="Z6:AC6"/>
    <mergeCell ref="Z9:AA9"/>
    <mergeCell ref="S6:T6"/>
    <mergeCell ref="M7:N9"/>
    <mergeCell ref="S7:T9"/>
    <mergeCell ref="I6:J6"/>
    <mergeCell ref="K6:L6"/>
    <mergeCell ref="M6:N6"/>
    <mergeCell ref="O6:P6"/>
    <mergeCell ref="AB9:AC9"/>
    <mergeCell ref="E7:F9"/>
    <mergeCell ref="G7:H9"/>
    <mergeCell ref="I7:J9"/>
    <mergeCell ref="K7:L9"/>
    <mergeCell ref="D6:D10"/>
    <mergeCell ref="E6:F6"/>
    <mergeCell ref="G6:H6"/>
    <mergeCell ref="AD6:AE6"/>
    <mergeCell ref="AF9:AG9"/>
    <mergeCell ref="AD9:AE9"/>
    <mergeCell ref="O7:P9"/>
    <mergeCell ref="Q7:R9"/>
    <mergeCell ref="A13:AG13"/>
    <mergeCell ref="A49:AG49"/>
    <mergeCell ref="A53:AG53"/>
    <mergeCell ref="A57:AG57"/>
    <mergeCell ref="A31:B31"/>
    <mergeCell ref="O66:P68"/>
    <mergeCell ref="Q66:R68"/>
    <mergeCell ref="S66:T68"/>
    <mergeCell ref="Z66:AG66"/>
    <mergeCell ref="Z67:AA68"/>
    <mergeCell ref="AB67:AC68"/>
    <mergeCell ref="AD67:AE68"/>
    <mergeCell ref="AF67:AG68"/>
    <mergeCell ref="O116:P118"/>
    <mergeCell ref="Q116:R118"/>
    <mergeCell ref="S116:T118"/>
    <mergeCell ref="A71:AG71"/>
    <mergeCell ref="A72:B72"/>
    <mergeCell ref="A74:AG74"/>
    <mergeCell ref="A80:AG80"/>
    <mergeCell ref="A82:B82"/>
    <mergeCell ref="Z116:AG116"/>
    <mergeCell ref="Z117:AA118"/>
    <mergeCell ref="AB117:AC118"/>
    <mergeCell ref="AD117:AE118"/>
    <mergeCell ref="AF117:AG118"/>
    <mergeCell ref="A154:AF154"/>
    <mergeCell ref="A155:B155"/>
    <mergeCell ref="A156:B156"/>
    <mergeCell ref="A101:AG101"/>
    <mergeCell ref="A111:AG111"/>
    <mergeCell ref="A115:B119"/>
    <mergeCell ref="C115:C119"/>
    <mergeCell ref="D115:D119"/>
    <mergeCell ref="Z115:AC115"/>
    <mergeCell ref="AD115:AE115"/>
    <mergeCell ref="AF115:AG115"/>
    <mergeCell ref="E116:F118"/>
    <mergeCell ref="G116:H118"/>
    <mergeCell ref="I116:J118"/>
    <mergeCell ref="K116:L118"/>
    <mergeCell ref="M116:N118"/>
  </mergeCells>
  <pageMargins left="0.70866141732283472" right="0.70866141732283472" top="0.74803149606299213" bottom="0.74803149606299213" header="0.31496062992125984" footer="0.31496062992125984"/>
  <pageSetup paperSize="8" scale="26" orientation="landscape" horizontalDpi="300" verticalDpi="300" r:id="rId1"/>
  <rowBreaks count="2" manualBreakCount="2">
    <brk id="64" max="32" man="1"/>
    <brk id="109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1"/>
  <sheetViews>
    <sheetView view="pageBreakPreview" zoomScale="98" zoomScaleSheetLayoutView="98" workbookViewId="0">
      <selection activeCell="S54" sqref="S54"/>
    </sheetView>
  </sheetViews>
  <sheetFormatPr defaultRowHeight="15" x14ac:dyDescent="0.25"/>
  <cols>
    <col min="1" max="1" width="63.140625" customWidth="1"/>
    <col min="2" max="23" width="18.42578125" customWidth="1"/>
    <col min="24" max="24" width="18" customWidth="1"/>
    <col min="25" max="25" width="19.140625" customWidth="1"/>
  </cols>
  <sheetData>
    <row r="1" spans="1:60" s="96" customFormat="1" ht="16.5" customHeight="1" x14ac:dyDescent="0.25">
      <c r="A1" s="574" t="s">
        <v>510</v>
      </c>
    </row>
    <row r="2" spans="1:60" s="98" customFormat="1" ht="6.75" customHeight="1" x14ac:dyDescent="0.2">
      <c r="A2" s="97"/>
    </row>
    <row r="3" spans="1:60" s="98" customFormat="1" ht="6.75" customHeight="1" x14ac:dyDescent="0.2">
      <c r="A3" s="97"/>
    </row>
    <row r="4" spans="1:60" s="172" customFormat="1" ht="37.5" customHeight="1" x14ac:dyDescent="0.25">
      <c r="A4" s="794" t="s">
        <v>387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</row>
    <row r="5" spans="1:60" ht="16.5" thickBot="1" x14ac:dyDescent="0.3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742" t="s">
        <v>0</v>
      </c>
      <c r="U5" s="742"/>
      <c r="V5" s="742"/>
      <c r="W5" s="62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</row>
    <row r="6" spans="1:60" s="238" customFormat="1" ht="13.5" customHeight="1" thickBot="1" x14ac:dyDescent="0.25">
      <c r="A6" s="727" t="s">
        <v>106</v>
      </c>
      <c r="B6" s="623" t="s">
        <v>148</v>
      </c>
      <c r="C6" s="623" t="s">
        <v>148</v>
      </c>
      <c r="D6" s="623" t="s">
        <v>149</v>
      </c>
      <c r="E6" s="623" t="s">
        <v>149</v>
      </c>
      <c r="F6" s="623" t="s">
        <v>150</v>
      </c>
      <c r="G6" s="623" t="s">
        <v>150</v>
      </c>
      <c r="H6" s="623" t="s">
        <v>151</v>
      </c>
      <c r="I6" s="623" t="s">
        <v>151</v>
      </c>
      <c r="J6" s="623" t="s">
        <v>152</v>
      </c>
      <c r="K6" s="623" t="s">
        <v>152</v>
      </c>
      <c r="L6" s="623" t="s">
        <v>153</v>
      </c>
      <c r="M6" s="623" t="s">
        <v>153</v>
      </c>
      <c r="N6" s="623" t="s">
        <v>154</v>
      </c>
      <c r="O6" s="623" t="s">
        <v>154</v>
      </c>
      <c r="P6" s="623" t="s">
        <v>155</v>
      </c>
      <c r="Q6" s="623" t="s">
        <v>155</v>
      </c>
      <c r="R6" s="733" t="s">
        <v>156</v>
      </c>
      <c r="S6" s="733"/>
      <c r="T6" s="733"/>
      <c r="U6" s="733"/>
      <c r="V6" s="733"/>
      <c r="W6" s="733"/>
      <c r="X6" s="256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</row>
    <row r="7" spans="1:60" s="240" customFormat="1" ht="29.25" customHeight="1" thickBot="1" x14ac:dyDescent="0.3">
      <c r="A7" s="728"/>
      <c r="B7" s="734" t="s">
        <v>141</v>
      </c>
      <c r="C7" s="735"/>
      <c r="D7" s="734" t="s">
        <v>157</v>
      </c>
      <c r="E7" s="735"/>
      <c r="F7" s="734" t="s">
        <v>142</v>
      </c>
      <c r="G7" s="735"/>
      <c r="H7" s="734" t="s">
        <v>143</v>
      </c>
      <c r="I7" s="735"/>
      <c r="J7" s="734" t="s">
        <v>144</v>
      </c>
      <c r="K7" s="735"/>
      <c r="L7" s="734" t="s">
        <v>146</v>
      </c>
      <c r="M7" s="735"/>
      <c r="N7" s="734" t="s">
        <v>147</v>
      </c>
      <c r="O7" s="735"/>
      <c r="P7" s="734" t="s">
        <v>158</v>
      </c>
      <c r="Q7" s="735"/>
      <c r="R7" s="726" t="s">
        <v>159</v>
      </c>
      <c r="S7" s="726"/>
      <c r="T7" s="726"/>
      <c r="U7" s="726"/>
      <c r="V7" s="726"/>
      <c r="W7" s="726"/>
      <c r="X7" s="257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</row>
    <row r="8" spans="1:60" s="240" customFormat="1" ht="12.75" hidden="1" customHeight="1" x14ac:dyDescent="0.25">
      <c r="A8" s="728"/>
      <c r="B8" s="795"/>
      <c r="C8" s="796"/>
      <c r="D8" s="795"/>
      <c r="E8" s="796"/>
      <c r="F8" s="795"/>
      <c r="G8" s="796"/>
      <c r="H8" s="795"/>
      <c r="I8" s="796"/>
      <c r="J8" s="795"/>
      <c r="K8" s="796"/>
      <c r="L8" s="795"/>
      <c r="M8" s="796"/>
      <c r="N8" s="795"/>
      <c r="O8" s="796"/>
      <c r="P8" s="795"/>
      <c r="Q8" s="796"/>
      <c r="R8" s="726"/>
      <c r="S8" s="726"/>
      <c r="T8" s="726"/>
      <c r="U8" s="726"/>
      <c r="V8" s="726"/>
      <c r="W8" s="726"/>
      <c r="X8" s="257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</row>
    <row r="9" spans="1:60" s="240" customFormat="1" ht="24.75" customHeight="1" thickBot="1" x14ac:dyDescent="0.3">
      <c r="A9" s="728"/>
      <c r="B9" s="736"/>
      <c r="C9" s="737"/>
      <c r="D9" s="736"/>
      <c r="E9" s="737"/>
      <c r="F9" s="736"/>
      <c r="G9" s="737"/>
      <c r="H9" s="736"/>
      <c r="I9" s="737"/>
      <c r="J9" s="736"/>
      <c r="K9" s="737"/>
      <c r="L9" s="736"/>
      <c r="M9" s="737"/>
      <c r="N9" s="736"/>
      <c r="O9" s="737"/>
      <c r="P9" s="736"/>
      <c r="Q9" s="737"/>
      <c r="R9" s="726" t="s">
        <v>125</v>
      </c>
      <c r="S9" s="726"/>
      <c r="T9" s="726" t="s">
        <v>126</v>
      </c>
      <c r="U9" s="726"/>
      <c r="V9" s="726" t="s">
        <v>159</v>
      </c>
      <c r="W9" s="726"/>
      <c r="X9" s="257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</row>
    <row r="10" spans="1:60" s="240" customFormat="1" ht="25.5" customHeight="1" thickBot="1" x14ac:dyDescent="0.3">
      <c r="A10" s="729"/>
      <c r="B10" s="622" t="s">
        <v>79</v>
      </c>
      <c r="C10" s="622" t="s">
        <v>195</v>
      </c>
      <c r="D10" s="622" t="s">
        <v>79</v>
      </c>
      <c r="E10" s="622" t="s">
        <v>195</v>
      </c>
      <c r="F10" s="622" t="s">
        <v>79</v>
      </c>
      <c r="G10" s="622" t="s">
        <v>195</v>
      </c>
      <c r="H10" s="622" t="s">
        <v>79</v>
      </c>
      <c r="I10" s="622" t="s">
        <v>195</v>
      </c>
      <c r="J10" s="622" t="s">
        <v>79</v>
      </c>
      <c r="K10" s="622" t="s">
        <v>195</v>
      </c>
      <c r="L10" s="622" t="s">
        <v>79</v>
      </c>
      <c r="M10" s="622" t="s">
        <v>195</v>
      </c>
      <c r="N10" s="622" t="s">
        <v>79</v>
      </c>
      <c r="O10" s="622" t="s">
        <v>195</v>
      </c>
      <c r="P10" s="622" t="s">
        <v>79</v>
      </c>
      <c r="Q10" s="622" t="s">
        <v>195</v>
      </c>
      <c r="R10" s="622" t="s">
        <v>79</v>
      </c>
      <c r="S10" s="622" t="s">
        <v>195</v>
      </c>
      <c r="T10" s="622" t="s">
        <v>79</v>
      </c>
      <c r="U10" s="622" t="s">
        <v>195</v>
      </c>
      <c r="V10" s="622" t="s">
        <v>79</v>
      </c>
      <c r="W10" s="622" t="s">
        <v>195</v>
      </c>
      <c r="X10" s="257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</row>
    <row r="11" spans="1:60" s="108" customFormat="1" ht="25.5" customHeight="1" x14ac:dyDescent="0.25">
      <c r="A11" s="104" t="s">
        <v>127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</row>
    <row r="12" spans="1:60" s="108" customFormat="1" ht="25.5" customHeight="1" x14ac:dyDescent="0.25">
      <c r="A12" s="109" t="s">
        <v>64</v>
      </c>
      <c r="B12" s="110">
        <v>440202200</v>
      </c>
      <c r="C12" s="110">
        <f>SUM(B12)+15942858+5658200+7763747+7229-892436</f>
        <v>468681798</v>
      </c>
      <c r="D12" s="110">
        <v>69283951</v>
      </c>
      <c r="E12" s="110">
        <f>SUM(D12)+2908998-437856+862221+3563538-176704</f>
        <v>76004148</v>
      </c>
      <c r="F12" s="110">
        <v>147238991</v>
      </c>
      <c r="G12" s="110">
        <f>SUM(F12)-2241811+474357-6159169-8016654</f>
        <v>131295714</v>
      </c>
      <c r="H12" s="128"/>
      <c r="I12" s="128"/>
      <c r="J12" s="110"/>
      <c r="K12" s="110">
        <f>2748734</f>
        <v>2748734</v>
      </c>
      <c r="L12" s="110"/>
      <c r="M12" s="110">
        <f>1685701+489282+5995401+1158694</f>
        <v>9329078</v>
      </c>
      <c r="N12" s="110"/>
      <c r="O12" s="110">
        <f>847090+889861+163768+399710</f>
        <v>2300429</v>
      </c>
      <c r="P12" s="110"/>
      <c r="Q12" s="110"/>
      <c r="R12" s="110">
        <f t="shared" ref="R12:S14" si="0">SUM(B12+D12+F12+H12+J12)</f>
        <v>656725142</v>
      </c>
      <c r="S12" s="110">
        <f t="shared" si="0"/>
        <v>678730394</v>
      </c>
      <c r="T12" s="110">
        <f t="shared" ref="T12:U14" si="1">SUM(L12+N12+P12)</f>
        <v>0</v>
      </c>
      <c r="U12" s="110">
        <f t="shared" si="1"/>
        <v>11629507</v>
      </c>
      <c r="V12" s="110">
        <f t="shared" ref="V12:W14" si="2">SUM(R12+T12)</f>
        <v>656725142</v>
      </c>
      <c r="W12" s="110">
        <f t="shared" si="2"/>
        <v>690359901</v>
      </c>
      <c r="X12" s="129">
        <f>SUM(V12-'[2]4. sz. melléklet'!Y13)</f>
        <v>0</v>
      </c>
      <c r="Y12" s="129">
        <f>SUM(W12-'[2]4. sz. melléklet'!Z13)</f>
        <v>3807124</v>
      </c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</row>
    <row r="13" spans="1:60" s="108" customFormat="1" ht="25.5" customHeight="1" x14ac:dyDescent="0.25">
      <c r="A13" s="636" t="s">
        <v>441</v>
      </c>
      <c r="B13" s="113"/>
      <c r="C13" s="113">
        <v>2568060</v>
      </c>
      <c r="D13" s="113"/>
      <c r="E13" s="113">
        <v>437856</v>
      </c>
      <c r="F13" s="113"/>
      <c r="G13" s="113"/>
      <c r="H13" s="118"/>
      <c r="I13" s="118"/>
      <c r="J13" s="113"/>
      <c r="K13" s="113"/>
      <c r="L13" s="113"/>
      <c r="M13" s="113"/>
      <c r="N13" s="113"/>
      <c r="O13" s="113"/>
      <c r="P13" s="113"/>
      <c r="Q13" s="113"/>
      <c r="R13" s="110">
        <f t="shared" si="0"/>
        <v>0</v>
      </c>
      <c r="S13" s="110">
        <f t="shared" si="0"/>
        <v>3005916</v>
      </c>
      <c r="T13" s="110">
        <f t="shared" si="1"/>
        <v>0</v>
      </c>
      <c r="U13" s="110">
        <f t="shared" si="1"/>
        <v>0</v>
      </c>
      <c r="V13" s="110">
        <f t="shared" si="2"/>
        <v>0</v>
      </c>
      <c r="W13" s="110">
        <f t="shared" si="2"/>
        <v>3005916</v>
      </c>
      <c r="X13" s="129">
        <f>SUM(V13-'[2]4. sz. melléklet'!Y14)</f>
        <v>0</v>
      </c>
      <c r="Y13" s="129">
        <f>SUM(W13-'[2]4. sz. melléklet'!Z14)</f>
        <v>0</v>
      </c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</row>
    <row r="14" spans="1:60" s="108" customFormat="1" ht="25.5" customHeight="1" thickBot="1" x14ac:dyDescent="0.3">
      <c r="A14" s="116" t="s">
        <v>439</v>
      </c>
      <c r="B14" s="112">
        <v>9660000</v>
      </c>
      <c r="C14" s="112">
        <f>SUM(B14)+822868+892436</f>
        <v>11375304</v>
      </c>
      <c r="D14" s="112">
        <v>749000</v>
      </c>
      <c r="E14" s="112">
        <f>SUM(D14)+63772</f>
        <v>812772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0">
        <f t="shared" si="0"/>
        <v>10409000</v>
      </c>
      <c r="S14" s="110">
        <f t="shared" si="0"/>
        <v>12188076</v>
      </c>
      <c r="T14" s="110">
        <f t="shared" si="1"/>
        <v>0</v>
      </c>
      <c r="U14" s="110">
        <f t="shared" si="1"/>
        <v>0</v>
      </c>
      <c r="V14" s="110">
        <f t="shared" si="2"/>
        <v>10409000</v>
      </c>
      <c r="W14" s="110">
        <f t="shared" si="2"/>
        <v>12188076</v>
      </c>
      <c r="X14" s="129">
        <f>SUM(V14-'[2]4. sz. melléklet'!Y15)</f>
        <v>0</v>
      </c>
      <c r="Y14" s="129">
        <f>SUM(W14-'[2]4. sz. melléklet'!Z15)</f>
        <v>892436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</row>
    <row r="15" spans="1:60" s="266" customFormat="1" ht="25.5" customHeight="1" thickBot="1" x14ac:dyDescent="0.3">
      <c r="A15" s="452" t="s">
        <v>128</v>
      </c>
      <c r="B15" s="263">
        <f>SUM(B12:B14)</f>
        <v>449862200</v>
      </c>
      <c r="C15" s="263">
        <f t="shared" ref="C15:V15" si="3">SUM(C12:C14)</f>
        <v>482625162</v>
      </c>
      <c r="D15" s="263">
        <f t="shared" si="3"/>
        <v>70032951</v>
      </c>
      <c r="E15" s="263">
        <f t="shared" si="3"/>
        <v>77254776</v>
      </c>
      <c r="F15" s="263">
        <f t="shared" si="3"/>
        <v>147238991</v>
      </c>
      <c r="G15" s="263">
        <f t="shared" si="3"/>
        <v>131295714</v>
      </c>
      <c r="H15" s="263">
        <f t="shared" si="3"/>
        <v>0</v>
      </c>
      <c r="I15" s="263">
        <f t="shared" si="3"/>
        <v>0</v>
      </c>
      <c r="J15" s="263">
        <f t="shared" si="3"/>
        <v>0</v>
      </c>
      <c r="K15" s="263">
        <f t="shared" si="3"/>
        <v>2748734</v>
      </c>
      <c r="L15" s="263">
        <f t="shared" si="3"/>
        <v>0</v>
      </c>
      <c r="M15" s="263">
        <f t="shared" si="3"/>
        <v>9329078</v>
      </c>
      <c r="N15" s="263">
        <f t="shared" si="3"/>
        <v>0</v>
      </c>
      <c r="O15" s="263">
        <f t="shared" si="3"/>
        <v>2300429</v>
      </c>
      <c r="P15" s="263">
        <f t="shared" si="3"/>
        <v>0</v>
      </c>
      <c r="Q15" s="263">
        <f t="shared" si="3"/>
        <v>0</v>
      </c>
      <c r="R15" s="263">
        <f t="shared" si="3"/>
        <v>667134142</v>
      </c>
      <c r="S15" s="263">
        <f t="shared" si="3"/>
        <v>693924386</v>
      </c>
      <c r="T15" s="263">
        <f t="shared" si="3"/>
        <v>0</v>
      </c>
      <c r="U15" s="263">
        <f t="shared" si="3"/>
        <v>11629507</v>
      </c>
      <c r="V15" s="263">
        <f t="shared" si="3"/>
        <v>667134142</v>
      </c>
      <c r="W15" s="263">
        <f>SUM(W12:W14)</f>
        <v>705553893</v>
      </c>
      <c r="X15" s="129">
        <f>SUM(V15-'[2]4. sz. melléklet'!Y16)</f>
        <v>0</v>
      </c>
      <c r="Y15" s="129">
        <f>SUM(W15-'[2]4. sz. melléklet'!Z16)</f>
        <v>4699560</v>
      </c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</row>
    <row r="16" spans="1:60" s="108" customFormat="1" ht="25.5" customHeight="1" x14ac:dyDescent="0.25">
      <c r="A16" s="453" t="s">
        <v>160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29">
        <f>SUM(V16-'[2]4. sz. melléklet'!Y17)</f>
        <v>0</v>
      </c>
      <c r="Y16" s="129">
        <f>SUM(W16-'[2]4. sz. melléklet'!Z17)</f>
        <v>0</v>
      </c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</row>
    <row r="17" spans="1:60" s="120" customFormat="1" ht="25.5" customHeight="1" x14ac:dyDescent="0.25">
      <c r="A17" s="130" t="s">
        <v>64</v>
      </c>
      <c r="B17" s="128">
        <v>91831237</v>
      </c>
      <c r="C17" s="128">
        <f>SUM(B17)-99289</f>
        <v>91731948</v>
      </c>
      <c r="D17" s="128">
        <v>14456656</v>
      </c>
      <c r="E17" s="128">
        <f>SUM(D17)+99289</f>
        <v>14555945</v>
      </c>
      <c r="F17" s="128">
        <v>83367524</v>
      </c>
      <c r="G17" s="128">
        <f>SUM(F17)+714564-77300-33770935</f>
        <v>50233853</v>
      </c>
      <c r="H17" s="128"/>
      <c r="I17" s="128"/>
      <c r="J17" s="128"/>
      <c r="K17" s="128">
        <f>2104562</f>
        <v>2104562</v>
      </c>
      <c r="L17" s="128">
        <v>2299000</v>
      </c>
      <c r="M17" s="128">
        <f>SUM(L17)+3764805</f>
        <v>6063805</v>
      </c>
      <c r="N17" s="128">
        <v>8800000</v>
      </c>
      <c r="O17" s="128">
        <f>SUM(N17)+77300+368987</f>
        <v>9246287</v>
      </c>
      <c r="P17" s="128"/>
      <c r="Q17" s="128"/>
      <c r="R17" s="110">
        <f t="shared" ref="R17:S21" si="4">SUM(B17+D17+F17+H17+J17)</f>
        <v>189655417</v>
      </c>
      <c r="S17" s="110">
        <f t="shared" si="4"/>
        <v>158626308</v>
      </c>
      <c r="T17" s="110">
        <f t="shared" ref="T17:U20" si="5">SUM(L17+N17+P17)</f>
        <v>11099000</v>
      </c>
      <c r="U17" s="110">
        <f t="shared" si="5"/>
        <v>15310092</v>
      </c>
      <c r="V17" s="110">
        <f t="shared" ref="V17:W21" si="6">SUM(R17+T17)</f>
        <v>200754417</v>
      </c>
      <c r="W17" s="110">
        <f t="shared" si="6"/>
        <v>173936400</v>
      </c>
      <c r="X17" s="129">
        <f>SUM(V17-'[2]4. sz. melléklet'!Y18)</f>
        <v>0</v>
      </c>
      <c r="Y17" s="129">
        <f>SUM(W17-'[2]4. sz. melléklet'!Z18)</f>
        <v>-29637143</v>
      </c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</row>
    <row r="18" spans="1:60" s="120" customFormat="1" ht="25.5" customHeight="1" x14ac:dyDescent="0.25">
      <c r="A18" s="454" t="s">
        <v>569</v>
      </c>
      <c r="B18" s="118"/>
      <c r="C18" s="118"/>
      <c r="D18" s="118"/>
      <c r="E18" s="118"/>
      <c r="F18" s="118"/>
      <c r="G18" s="118">
        <v>20654633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0">
        <f t="shared" si="4"/>
        <v>0</v>
      </c>
      <c r="S18" s="110">
        <f t="shared" si="4"/>
        <v>20654633</v>
      </c>
      <c r="T18" s="110">
        <f t="shared" si="5"/>
        <v>0</v>
      </c>
      <c r="U18" s="110">
        <f t="shared" si="5"/>
        <v>0</v>
      </c>
      <c r="V18" s="110">
        <f t="shared" si="6"/>
        <v>0</v>
      </c>
      <c r="W18" s="110">
        <f t="shared" si="6"/>
        <v>20654633</v>
      </c>
      <c r="X18" s="129">
        <f>SUM(V18-'[2]4. sz. melléklet'!Y19)</f>
        <v>-5911957</v>
      </c>
      <c r="Y18" s="129">
        <f>SUM(W18-'[2]4. sz. melléklet'!Z19)</f>
        <v>15312844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</row>
    <row r="19" spans="1:60" s="120" customFormat="1" ht="25.5" customHeight="1" x14ac:dyDescent="0.25">
      <c r="A19" s="116" t="s">
        <v>444</v>
      </c>
      <c r="B19" s="320"/>
      <c r="C19" s="320"/>
      <c r="D19" s="320"/>
      <c r="E19" s="320"/>
      <c r="F19" s="320">
        <v>5911957</v>
      </c>
      <c r="G19" s="320">
        <f>SUM(F19)-570168</f>
        <v>5341789</v>
      </c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115">
        <f t="shared" si="4"/>
        <v>5911957</v>
      </c>
      <c r="S19" s="115">
        <f t="shared" si="4"/>
        <v>5341789</v>
      </c>
      <c r="T19" s="115">
        <f t="shared" si="5"/>
        <v>0</v>
      </c>
      <c r="U19" s="115">
        <f t="shared" si="5"/>
        <v>0</v>
      </c>
      <c r="V19" s="115">
        <f t="shared" si="6"/>
        <v>5911957</v>
      </c>
      <c r="W19" s="115">
        <f t="shared" si="6"/>
        <v>5341789</v>
      </c>
      <c r="X19" s="129"/>
      <c r="Y19" s="12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</row>
    <row r="20" spans="1:60" s="120" customFormat="1" ht="25.5" customHeight="1" x14ac:dyDescent="0.25">
      <c r="A20" s="116" t="s">
        <v>441</v>
      </c>
      <c r="B20" s="320"/>
      <c r="C20" s="320">
        <f>947330</f>
        <v>947330</v>
      </c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115">
        <f t="shared" si="4"/>
        <v>0</v>
      </c>
      <c r="S20" s="115">
        <f t="shared" si="4"/>
        <v>947330</v>
      </c>
      <c r="T20" s="115">
        <f t="shared" si="5"/>
        <v>0</v>
      </c>
      <c r="U20" s="115">
        <f t="shared" si="5"/>
        <v>0</v>
      </c>
      <c r="V20" s="115">
        <f t="shared" si="6"/>
        <v>0</v>
      </c>
      <c r="W20" s="115">
        <f t="shared" si="6"/>
        <v>947330</v>
      </c>
      <c r="X20" s="129">
        <f>SUM(V20-'[2]4. sz. melléklet'!Y21)</f>
        <v>-5000000</v>
      </c>
      <c r="Y20" s="129">
        <f>SUM(W20-'[2]4. sz. melléklet'!Z21)</f>
        <v>-8226865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</row>
    <row r="21" spans="1:60" s="266" customFormat="1" ht="32.25" customHeight="1" thickBot="1" x14ac:dyDescent="0.3">
      <c r="A21" s="116" t="s">
        <v>439</v>
      </c>
      <c r="B21" s="117">
        <v>5000000</v>
      </c>
      <c r="C21" s="117">
        <f>SUM(B21)+761153+3094114+985450</f>
        <v>9840717</v>
      </c>
      <c r="D21" s="117"/>
      <c r="E21" s="117">
        <f>58989+259939+595384</f>
        <v>914312</v>
      </c>
      <c r="F21" s="117"/>
      <c r="G21" s="117">
        <v>1781773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0">
        <f t="shared" si="4"/>
        <v>5000000</v>
      </c>
      <c r="S21" s="110">
        <f t="shared" si="4"/>
        <v>12536802</v>
      </c>
      <c r="T21" s="110">
        <f t="shared" ref="T21:U21" si="7">SUM(L21+N21+P21)</f>
        <v>0</v>
      </c>
      <c r="U21" s="110">
        <f t="shared" si="7"/>
        <v>0</v>
      </c>
      <c r="V21" s="110">
        <f t="shared" si="6"/>
        <v>5000000</v>
      </c>
      <c r="W21" s="110">
        <f t="shared" si="6"/>
        <v>12536802</v>
      </c>
      <c r="X21" s="129">
        <f>SUM(V21-'[2]4. sz. melléklet'!Y22)</f>
        <v>-206666374</v>
      </c>
      <c r="Y21" s="129">
        <f>SUM(W21-'[2]4. sz. melléklet'!Z22)</f>
        <v>-206500055</v>
      </c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</row>
    <row r="22" spans="1:60" s="108" customFormat="1" ht="25.5" customHeight="1" thickBot="1" x14ac:dyDescent="0.3">
      <c r="A22" s="452" t="s">
        <v>130</v>
      </c>
      <c r="B22" s="263">
        <f>SUM(B17:B21)</f>
        <v>96831237</v>
      </c>
      <c r="C22" s="263">
        <f>SUM(C17:C21)</f>
        <v>102519995</v>
      </c>
      <c r="D22" s="263">
        <f t="shared" ref="D22:W22" si="8">SUM(D17:D21)</f>
        <v>14456656</v>
      </c>
      <c r="E22" s="263">
        <f t="shared" si="8"/>
        <v>15470257</v>
      </c>
      <c r="F22" s="263">
        <f t="shared" si="8"/>
        <v>89279481</v>
      </c>
      <c r="G22" s="263">
        <f>SUM(G17:G21)</f>
        <v>78012048</v>
      </c>
      <c r="H22" s="263">
        <f t="shared" si="8"/>
        <v>0</v>
      </c>
      <c r="I22" s="263">
        <f t="shared" si="8"/>
        <v>0</v>
      </c>
      <c r="J22" s="263">
        <f t="shared" si="8"/>
        <v>0</v>
      </c>
      <c r="K22" s="263">
        <f t="shared" si="8"/>
        <v>2104562</v>
      </c>
      <c r="L22" s="263">
        <f t="shared" si="8"/>
        <v>2299000</v>
      </c>
      <c r="M22" s="263">
        <f t="shared" si="8"/>
        <v>6063805</v>
      </c>
      <c r="N22" s="263">
        <f t="shared" si="8"/>
        <v>8800000</v>
      </c>
      <c r="O22" s="263">
        <f t="shared" si="8"/>
        <v>9246287</v>
      </c>
      <c r="P22" s="263">
        <f t="shared" si="8"/>
        <v>0</v>
      </c>
      <c r="Q22" s="263">
        <f t="shared" si="8"/>
        <v>0</v>
      </c>
      <c r="R22" s="263">
        <f t="shared" si="8"/>
        <v>200567374</v>
      </c>
      <c r="S22" s="263">
        <f t="shared" si="8"/>
        <v>198106862</v>
      </c>
      <c r="T22" s="263">
        <f t="shared" si="8"/>
        <v>11099000</v>
      </c>
      <c r="U22" s="263">
        <f t="shared" si="8"/>
        <v>15310092</v>
      </c>
      <c r="V22" s="263">
        <f t="shared" si="8"/>
        <v>211666374</v>
      </c>
      <c r="W22" s="263">
        <f t="shared" si="8"/>
        <v>213416954</v>
      </c>
      <c r="X22" s="129">
        <f>SUM(V22-'[2]4. sz. melléklet'!Y23)</f>
        <v>211666374</v>
      </c>
      <c r="Y22" s="129">
        <f>SUM(W22-'[2]4. sz. melléklet'!Z23)</f>
        <v>213416954</v>
      </c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</row>
    <row r="23" spans="1:60" s="108" customFormat="1" ht="25.5" customHeight="1" x14ac:dyDescent="0.25">
      <c r="A23" s="453" t="s">
        <v>131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29">
        <f>SUM(V23-'[2]4. sz. melléklet'!Y24)</f>
        <v>-308038054</v>
      </c>
      <c r="Y23" s="129">
        <f>SUM(W23-'[2]4. sz. melléklet'!Z24)</f>
        <v>-304004005</v>
      </c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s="108" customFormat="1" ht="25.5" hidden="1" customHeight="1" x14ac:dyDescent="0.25">
      <c r="A24" s="130" t="s">
        <v>64</v>
      </c>
      <c r="B24" s="110">
        <v>118031662</v>
      </c>
      <c r="C24" s="110">
        <f>SUM(B24)+14416571</f>
        <v>132448233</v>
      </c>
      <c r="D24" s="110">
        <v>17807575</v>
      </c>
      <c r="E24" s="110">
        <f>SUM(D24)+3868480</f>
        <v>21676055</v>
      </c>
      <c r="F24" s="110">
        <v>172198817</v>
      </c>
      <c r="G24" s="110">
        <f>SUM(F24)-7019855-3226667+21958616+23048473</f>
        <v>206959384</v>
      </c>
      <c r="H24" s="128"/>
      <c r="I24" s="128"/>
      <c r="J24" s="110"/>
      <c r="K24" s="110">
        <v>246158</v>
      </c>
      <c r="L24" s="110"/>
      <c r="M24" s="110">
        <f>1733210+736180+56388+235304</f>
        <v>2761082</v>
      </c>
      <c r="N24" s="110"/>
      <c r="O24" s="110">
        <f>1006438+2490487+4010111-228140</f>
        <v>7278896</v>
      </c>
      <c r="P24" s="110"/>
      <c r="Q24" s="110"/>
      <c r="R24" s="110">
        <f t="shared" ref="R24:S27" si="9">SUM(B24+D24+F24+H24+J24)</f>
        <v>308038054</v>
      </c>
      <c r="S24" s="110">
        <f t="shared" si="9"/>
        <v>361329830</v>
      </c>
      <c r="T24" s="110">
        <f t="shared" ref="T24:U27" si="10">SUM(L24+N24+P24)</f>
        <v>0</v>
      </c>
      <c r="U24" s="110">
        <f t="shared" si="10"/>
        <v>10039978</v>
      </c>
      <c r="V24" s="110">
        <f t="shared" ref="V24:W27" si="11">SUM(R24+T24)</f>
        <v>308038054</v>
      </c>
      <c r="W24" s="110">
        <f t="shared" si="11"/>
        <v>371369808</v>
      </c>
      <c r="X24" s="129">
        <f>SUM(V24-'[2]4. sz. melléklet'!Y25)</f>
        <v>308038054</v>
      </c>
      <c r="Y24" s="129">
        <f>SUM(W24-'[2]4. sz. melléklet'!Z25)</f>
        <v>371369808</v>
      </c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</row>
    <row r="25" spans="1:60" s="108" customFormat="1" ht="25.5" customHeight="1" x14ac:dyDescent="0.25">
      <c r="A25" s="454" t="s">
        <v>440</v>
      </c>
      <c r="B25" s="113"/>
      <c r="C25" s="113"/>
      <c r="D25" s="113"/>
      <c r="E25" s="113"/>
      <c r="F25" s="113"/>
      <c r="G25" s="113"/>
      <c r="H25" s="118"/>
      <c r="I25" s="118"/>
      <c r="J25" s="113"/>
      <c r="K25" s="113"/>
      <c r="L25" s="113"/>
      <c r="M25" s="113"/>
      <c r="N25" s="113"/>
      <c r="O25" s="113"/>
      <c r="P25" s="113"/>
      <c r="Q25" s="113"/>
      <c r="R25" s="113">
        <f t="shared" si="9"/>
        <v>0</v>
      </c>
      <c r="S25" s="113">
        <f t="shared" si="9"/>
        <v>0</v>
      </c>
      <c r="T25" s="113">
        <f t="shared" si="10"/>
        <v>0</v>
      </c>
      <c r="U25" s="113">
        <f t="shared" si="10"/>
        <v>0</v>
      </c>
      <c r="V25" s="113">
        <f t="shared" si="11"/>
        <v>0</v>
      </c>
      <c r="W25" s="113">
        <f t="shared" si="11"/>
        <v>0</v>
      </c>
      <c r="X25" s="129">
        <f>SUM(V25-'[2]4. sz. melléklet'!Y26)</f>
        <v>0</v>
      </c>
      <c r="Y25" s="129">
        <f>SUM(W25-'[2]4. sz. melléklet'!Z26)</f>
        <v>0</v>
      </c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</row>
    <row r="26" spans="1:60" s="108" customFormat="1" ht="25.5" customHeight="1" x14ac:dyDescent="0.25">
      <c r="A26" s="455" t="s">
        <v>441</v>
      </c>
      <c r="B26" s="115"/>
      <c r="C26" s="115"/>
      <c r="D26" s="115"/>
      <c r="E26" s="115"/>
      <c r="F26" s="115"/>
      <c r="G26" s="115"/>
      <c r="H26" s="320"/>
      <c r="I26" s="320"/>
      <c r="J26" s="115"/>
      <c r="K26" s="115"/>
      <c r="L26" s="115"/>
      <c r="M26" s="115"/>
      <c r="N26" s="115"/>
      <c r="O26" s="115"/>
      <c r="P26" s="115"/>
      <c r="Q26" s="115"/>
      <c r="R26" s="115">
        <f t="shared" si="9"/>
        <v>0</v>
      </c>
      <c r="S26" s="115">
        <f t="shared" si="9"/>
        <v>0</v>
      </c>
      <c r="T26" s="115">
        <f t="shared" si="10"/>
        <v>0</v>
      </c>
      <c r="U26" s="115">
        <f t="shared" si="10"/>
        <v>0</v>
      </c>
      <c r="V26" s="115">
        <f t="shared" si="11"/>
        <v>0</v>
      </c>
      <c r="W26" s="115">
        <f t="shared" si="11"/>
        <v>0</v>
      </c>
      <c r="X26" s="129">
        <f>SUM(V26-'[2]4. sz. melléklet'!Y27)</f>
        <v>-313649827</v>
      </c>
      <c r="Y26" s="129">
        <f>SUM(W26-'[2]4. sz. melléklet'!Z27)</f>
        <v>-319888151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</row>
    <row r="27" spans="1:60" s="266" customFormat="1" ht="25.5" customHeight="1" thickBot="1" x14ac:dyDescent="0.3">
      <c r="A27" s="116" t="s">
        <v>442</v>
      </c>
      <c r="B27" s="112">
        <v>211764285</v>
      </c>
      <c r="C27" s="112">
        <f>SUM(B27)+5754854+7970641-2679689</f>
        <v>222810091</v>
      </c>
      <c r="D27" s="112">
        <v>16412565</v>
      </c>
      <c r="E27" s="112">
        <f>SUM(D27)+483470+958406+1677579</f>
        <v>19532020</v>
      </c>
      <c r="F27" s="112">
        <v>85472977</v>
      </c>
      <c r="G27" s="112">
        <f>SUM(F27)-3800000-3307558+4491279+2419158</f>
        <v>85275856</v>
      </c>
      <c r="H27" s="112"/>
      <c r="I27" s="112"/>
      <c r="J27" s="112"/>
      <c r="K27" s="112"/>
      <c r="L27" s="112"/>
      <c r="M27" s="112">
        <f>3800000+3307558+129689</f>
        <v>7237247</v>
      </c>
      <c r="N27" s="112"/>
      <c r="O27" s="112"/>
      <c r="P27" s="112"/>
      <c r="Q27" s="112"/>
      <c r="R27" s="132">
        <f t="shared" si="9"/>
        <v>313649827</v>
      </c>
      <c r="S27" s="132">
        <f t="shared" si="9"/>
        <v>327617967</v>
      </c>
      <c r="T27" s="132">
        <f t="shared" si="10"/>
        <v>0</v>
      </c>
      <c r="U27" s="132">
        <f t="shared" si="10"/>
        <v>7237247</v>
      </c>
      <c r="V27" s="132">
        <f t="shared" si="11"/>
        <v>313649827</v>
      </c>
      <c r="W27" s="132">
        <f t="shared" si="11"/>
        <v>334855214</v>
      </c>
      <c r="X27" s="129">
        <f>SUM(V27-'[2]4. sz. melléklet'!Y28)</f>
        <v>-308038054</v>
      </c>
      <c r="Y27" s="129">
        <f>SUM(W27-'[2]4. sz. melléklet'!Z28)</f>
        <v>-289036942</v>
      </c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</row>
    <row r="28" spans="1:60" s="108" customFormat="1" ht="25.5" customHeight="1" thickBot="1" x14ac:dyDescent="0.3">
      <c r="A28" s="452" t="s">
        <v>132</v>
      </c>
      <c r="B28" s="263">
        <f t="shared" ref="B28:W28" si="12">SUM(B24:B27)</f>
        <v>329795947</v>
      </c>
      <c r="C28" s="263">
        <f t="shared" ref="C28" si="13">SUM(C24:C27)</f>
        <v>355258324</v>
      </c>
      <c r="D28" s="263">
        <f t="shared" si="12"/>
        <v>34220140</v>
      </c>
      <c r="E28" s="263">
        <f t="shared" ref="E28" si="14">SUM(E24:E27)</f>
        <v>41208075</v>
      </c>
      <c r="F28" s="263">
        <f t="shared" si="12"/>
        <v>257671794</v>
      </c>
      <c r="G28" s="263">
        <f t="shared" ref="G28" si="15">SUM(G24:G27)</f>
        <v>292235240</v>
      </c>
      <c r="H28" s="263">
        <f t="shared" si="12"/>
        <v>0</v>
      </c>
      <c r="I28" s="263">
        <f t="shared" ref="I28" si="16">SUM(I24:I27)</f>
        <v>0</v>
      </c>
      <c r="J28" s="263">
        <f t="shared" si="12"/>
        <v>0</v>
      </c>
      <c r="K28" s="263">
        <f t="shared" ref="K28" si="17">SUM(K24:K27)</f>
        <v>246158</v>
      </c>
      <c r="L28" s="263">
        <f t="shared" si="12"/>
        <v>0</v>
      </c>
      <c r="M28" s="263">
        <f t="shared" ref="M28" si="18">SUM(M24:M27)</f>
        <v>9998329</v>
      </c>
      <c r="N28" s="263">
        <f t="shared" si="12"/>
        <v>0</v>
      </c>
      <c r="O28" s="263">
        <f t="shared" ref="O28" si="19">SUM(O24:O27)</f>
        <v>7278896</v>
      </c>
      <c r="P28" s="263">
        <f t="shared" si="12"/>
        <v>0</v>
      </c>
      <c r="Q28" s="263">
        <f t="shared" ref="Q28" si="20">SUM(Q24:Q27)</f>
        <v>0</v>
      </c>
      <c r="R28" s="263">
        <f t="shared" si="12"/>
        <v>621687881</v>
      </c>
      <c r="S28" s="263">
        <f t="shared" si="12"/>
        <v>688947797</v>
      </c>
      <c r="T28" s="263">
        <f t="shared" si="12"/>
        <v>0</v>
      </c>
      <c r="U28" s="263">
        <f t="shared" si="12"/>
        <v>17277225</v>
      </c>
      <c r="V28" s="263">
        <f t="shared" si="12"/>
        <v>621687881</v>
      </c>
      <c r="W28" s="263">
        <f t="shared" si="12"/>
        <v>706225022</v>
      </c>
      <c r="X28" s="129">
        <f>SUM(V28-'[2]4. sz. melléklet'!Y29)</f>
        <v>621687881</v>
      </c>
      <c r="Y28" s="129">
        <f>SUM(W28-'[2]4. sz. melléklet'!Z29)</f>
        <v>706225022</v>
      </c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</row>
    <row r="29" spans="1:60" s="108" customFormat="1" ht="25.5" customHeight="1" x14ac:dyDescent="0.25">
      <c r="A29" s="453" t="s">
        <v>133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29">
        <f>SUM(V29-'[2]4. sz. melléklet'!Y30)</f>
        <v>-35567445</v>
      </c>
      <c r="Y29" s="129">
        <f>SUM(W29-'[2]4. sz. melléklet'!Z30)</f>
        <v>-34679034</v>
      </c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</row>
    <row r="30" spans="1:60" s="108" customFormat="1" ht="25.5" customHeight="1" x14ac:dyDescent="0.25">
      <c r="A30" s="454" t="s">
        <v>64</v>
      </c>
      <c r="B30" s="128">
        <v>22504738</v>
      </c>
      <c r="C30" s="128">
        <f>SUM(B30)+1500000-900000+1474978+238812</f>
        <v>24818528</v>
      </c>
      <c r="D30" s="128">
        <v>2563203</v>
      </c>
      <c r="E30" s="128">
        <f>SUM(D30)+232500+900000+446088</f>
        <v>4141791</v>
      </c>
      <c r="F30" s="128">
        <v>9774104</v>
      </c>
      <c r="G30" s="128">
        <f>SUM(F30)-3339269-725400-1029656+2394487+5275</f>
        <v>7079541</v>
      </c>
      <c r="H30" s="128"/>
      <c r="I30" s="128"/>
      <c r="J30" s="128"/>
      <c r="K30" s="128">
        <f>1294128</f>
        <v>1294128</v>
      </c>
      <c r="L30" s="128">
        <v>725400</v>
      </c>
      <c r="M30" s="128">
        <f>SUM(L30)-575770+725400+1474301</f>
        <v>2349331</v>
      </c>
      <c r="N30" s="128"/>
      <c r="O30" s="128"/>
      <c r="P30" s="128"/>
      <c r="Q30" s="113"/>
      <c r="R30" s="113">
        <f>SUM(B30+D30+F30+H30+J30)</f>
        <v>34842045</v>
      </c>
      <c r="S30" s="110">
        <f>SUM(C30+E30+G30+I30+K30)</f>
        <v>37333988</v>
      </c>
      <c r="T30" s="110">
        <f>SUM(L30+N30+P30)</f>
        <v>725400</v>
      </c>
      <c r="U30" s="110">
        <f>SUM(M30+O30+Q30)</f>
        <v>2349331</v>
      </c>
      <c r="V30" s="110">
        <f t="shared" ref="V30:W32" si="21">SUM(R30+T30)</f>
        <v>35567445</v>
      </c>
      <c r="W30" s="110">
        <f t="shared" si="21"/>
        <v>39683319</v>
      </c>
      <c r="X30" s="129">
        <f>SUM(V30-'[2]4. sz. melléklet'!Y31)</f>
        <v>35567445</v>
      </c>
      <c r="Y30" s="129">
        <f>SUM(W30-'[2]4. sz. melléklet'!Z31)</f>
        <v>39683319</v>
      </c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</row>
    <row r="31" spans="1:60" s="108" customFormat="1" ht="25.5" customHeight="1" x14ac:dyDescent="0.25">
      <c r="A31" s="455" t="s">
        <v>439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0"/>
      <c r="T31" s="110"/>
      <c r="U31" s="110"/>
      <c r="V31" s="110"/>
      <c r="W31" s="110"/>
      <c r="X31" s="129">
        <f>SUM(V31-'[2]4. sz. melléklet'!Y32)</f>
        <v>-3694517</v>
      </c>
      <c r="Y31" s="129">
        <f>SUM(W31-'[2]4. sz. melléklet'!Z32)</f>
        <v>-3694517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</row>
    <row r="32" spans="1:60" s="266" customFormat="1" ht="25.5" customHeight="1" thickBot="1" x14ac:dyDescent="0.3">
      <c r="A32" s="116" t="s">
        <v>443</v>
      </c>
      <c r="B32" s="112">
        <v>1774740</v>
      </c>
      <c r="C32" s="112">
        <f>SUM(B32)+50150</f>
        <v>1824890</v>
      </c>
      <c r="D32" s="112">
        <v>302365</v>
      </c>
      <c r="E32" s="112">
        <f>SUM(D32)+108215</f>
        <v>410580</v>
      </c>
      <c r="F32" s="112">
        <v>1617412</v>
      </c>
      <c r="G32" s="112">
        <f>SUM(F32)+706031+2520</f>
        <v>2325963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0">
        <f t="shared" ref="R32:S32" si="22">SUM(B32+D32+F32+H32+J32)</f>
        <v>3694517</v>
      </c>
      <c r="S32" s="110">
        <f t="shared" si="22"/>
        <v>4561433</v>
      </c>
      <c r="T32" s="110">
        <f t="shared" ref="T32" si="23">SUM(L32+N32+P32)</f>
        <v>0</v>
      </c>
      <c r="U32" s="110">
        <f>SUM(M32+O32+Q32)</f>
        <v>0</v>
      </c>
      <c r="V32" s="110">
        <f t="shared" si="21"/>
        <v>3694517</v>
      </c>
      <c r="W32" s="110">
        <f t="shared" si="21"/>
        <v>4561433</v>
      </c>
      <c r="X32" s="129">
        <f>SUM(V32-'[2]4. sz. melléklet'!Y33)</f>
        <v>-35567445</v>
      </c>
      <c r="Y32" s="129">
        <f>SUM(W32-'[2]4. sz. melléklet'!Z33)</f>
        <v>-33812118</v>
      </c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</row>
    <row r="33" spans="1:60" s="108" customFormat="1" ht="25.5" customHeight="1" thickBot="1" x14ac:dyDescent="0.3">
      <c r="A33" s="452" t="s">
        <v>134</v>
      </c>
      <c r="B33" s="263">
        <f>B30+B32</f>
        <v>24279478</v>
      </c>
      <c r="C33" s="263">
        <f>C30+C32</f>
        <v>26643418</v>
      </c>
      <c r="D33" s="263">
        <f t="shared" ref="D33:W33" si="24">D30+D32</f>
        <v>2865568</v>
      </c>
      <c r="E33" s="263">
        <f t="shared" si="24"/>
        <v>4552371</v>
      </c>
      <c r="F33" s="263">
        <f t="shared" si="24"/>
        <v>11391516</v>
      </c>
      <c r="G33" s="263">
        <f t="shared" si="24"/>
        <v>9405504</v>
      </c>
      <c r="H33" s="263">
        <f t="shared" si="24"/>
        <v>0</v>
      </c>
      <c r="I33" s="263">
        <f t="shared" si="24"/>
        <v>0</v>
      </c>
      <c r="J33" s="263">
        <f t="shared" si="24"/>
        <v>0</v>
      </c>
      <c r="K33" s="263">
        <f t="shared" si="24"/>
        <v>1294128</v>
      </c>
      <c r="L33" s="263">
        <f t="shared" si="24"/>
        <v>725400</v>
      </c>
      <c r="M33" s="263">
        <f t="shared" si="24"/>
        <v>2349331</v>
      </c>
      <c r="N33" s="263">
        <f t="shared" si="24"/>
        <v>0</v>
      </c>
      <c r="O33" s="263">
        <f t="shared" si="24"/>
        <v>0</v>
      </c>
      <c r="P33" s="263">
        <f t="shared" si="24"/>
        <v>0</v>
      </c>
      <c r="Q33" s="263">
        <f t="shared" si="24"/>
        <v>0</v>
      </c>
      <c r="R33" s="263">
        <f t="shared" si="24"/>
        <v>38536562</v>
      </c>
      <c r="S33" s="263">
        <f t="shared" si="24"/>
        <v>41895421</v>
      </c>
      <c r="T33" s="263">
        <f t="shared" si="24"/>
        <v>725400</v>
      </c>
      <c r="U33" s="263">
        <f t="shared" si="24"/>
        <v>2349331</v>
      </c>
      <c r="V33" s="263">
        <f t="shared" si="24"/>
        <v>39261962</v>
      </c>
      <c r="W33" s="263">
        <f t="shared" si="24"/>
        <v>44244752</v>
      </c>
      <c r="X33" s="129">
        <f>SUM(V33-'[2]4. sz. melléklet'!Y34)</f>
        <v>39261962</v>
      </c>
      <c r="Y33" s="129">
        <f>SUM(W33-'[2]4. sz. melléklet'!Z34)</f>
        <v>44244752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</row>
    <row r="34" spans="1:60" s="108" customFormat="1" ht="25.5" customHeight="1" x14ac:dyDescent="0.25">
      <c r="A34" s="453" t="s">
        <v>135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29">
        <f>SUM(V34-'[2]4. sz. melléklet'!Y35)</f>
        <v>-311705688</v>
      </c>
      <c r="Y34" s="129">
        <f>SUM(W34-'[2]4. sz. melléklet'!Z35)</f>
        <v>-315106249</v>
      </c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</row>
    <row r="35" spans="1:60" s="120" customFormat="1" ht="25.5" customHeight="1" x14ac:dyDescent="0.25">
      <c r="A35" s="454" t="s">
        <v>64</v>
      </c>
      <c r="B35" s="110">
        <v>227191520</v>
      </c>
      <c r="C35" s="110">
        <f>SUM(B35)+11665031+2276322</f>
        <v>241132873</v>
      </c>
      <c r="D35" s="110">
        <v>43425612</v>
      </c>
      <c r="E35" s="110">
        <f>SUM(D35)</f>
        <v>43425612</v>
      </c>
      <c r="F35" s="110">
        <v>41088556</v>
      </c>
      <c r="G35" s="110">
        <f>SUM(F35)-534570-876000-305000+4800000</f>
        <v>44172986</v>
      </c>
      <c r="H35" s="110"/>
      <c r="I35" s="110"/>
      <c r="J35" s="110"/>
      <c r="K35" s="110">
        <v>2690131</v>
      </c>
      <c r="L35" s="110"/>
      <c r="M35" s="110">
        <f>1245000+876000+305000</f>
        <v>2426000</v>
      </c>
      <c r="N35" s="110"/>
      <c r="O35" s="110"/>
      <c r="P35" s="113"/>
      <c r="Q35" s="113"/>
      <c r="R35" s="110">
        <f t="shared" ref="R35:S38" si="25">SUM(B35+D35+F35+H35+J35)</f>
        <v>311705688</v>
      </c>
      <c r="S35" s="110">
        <f>SUM(C35+E35+G35+I35+K35)</f>
        <v>331421602</v>
      </c>
      <c r="T35" s="110">
        <f t="shared" ref="T35:U38" si="26">SUM(L35+N35+P35)</f>
        <v>0</v>
      </c>
      <c r="U35" s="110">
        <f t="shared" si="26"/>
        <v>2426000</v>
      </c>
      <c r="V35" s="110">
        <f t="shared" ref="V35" si="27">SUM(R35+T35)</f>
        <v>311705688</v>
      </c>
      <c r="W35" s="110">
        <f>SUM(S35+U35)</f>
        <v>333847602</v>
      </c>
      <c r="X35" s="129">
        <f>SUM(V35-'[2]4. sz. melléklet'!Y36)</f>
        <v>306161688</v>
      </c>
      <c r="Y35" s="129">
        <f>SUM(W35-'[2]4. sz. melléklet'!Z36)</f>
        <v>328303602</v>
      </c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</row>
    <row r="36" spans="1:60" s="120" customFormat="1" ht="25.5" customHeight="1" x14ac:dyDescent="0.25">
      <c r="A36" s="116" t="s">
        <v>439</v>
      </c>
      <c r="B36" s="117">
        <v>4800000</v>
      </c>
      <c r="C36" s="117">
        <f>SUM(B36)-2276322</f>
        <v>2523678</v>
      </c>
      <c r="D36" s="117">
        <v>744000</v>
      </c>
      <c r="E36" s="117">
        <f>SUM(D36)</f>
        <v>744000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0">
        <f t="shared" si="25"/>
        <v>5544000</v>
      </c>
      <c r="S36" s="110">
        <f t="shared" si="25"/>
        <v>3267678</v>
      </c>
      <c r="T36" s="110">
        <f t="shared" si="26"/>
        <v>0</v>
      </c>
      <c r="U36" s="110">
        <f t="shared" si="26"/>
        <v>0</v>
      </c>
      <c r="V36" s="110">
        <f t="shared" ref="V36:W38" si="28">SUM(R36+T36)</f>
        <v>5544000</v>
      </c>
      <c r="W36" s="110">
        <f t="shared" si="28"/>
        <v>3267678</v>
      </c>
      <c r="X36" s="129">
        <f>SUM(V36-'[2]4. sz. melléklet'!Y37)</f>
        <v>-41510865</v>
      </c>
      <c r="Y36" s="129">
        <f>SUM(W36-'[2]4. sz. melléklet'!Z37)</f>
        <v>-43787187</v>
      </c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</row>
    <row r="37" spans="1:60" s="120" customFormat="1" ht="25.5" customHeight="1" x14ac:dyDescent="0.25">
      <c r="A37" s="116" t="s">
        <v>329</v>
      </c>
      <c r="B37" s="117">
        <v>4698000</v>
      </c>
      <c r="C37" s="117">
        <f>SUM(B37)-685104</f>
        <v>4012896</v>
      </c>
      <c r="D37" s="117">
        <v>728190</v>
      </c>
      <c r="E37" s="117">
        <f>SUM(D37)</f>
        <v>728190</v>
      </c>
      <c r="F37" s="117">
        <v>41628675</v>
      </c>
      <c r="G37" s="117">
        <f>SUM(F37)+25104</f>
        <v>41653779</v>
      </c>
      <c r="H37" s="117"/>
      <c r="I37" s="117"/>
      <c r="J37" s="117"/>
      <c r="K37" s="117">
        <v>660000</v>
      </c>
      <c r="L37" s="117"/>
      <c r="M37" s="117"/>
      <c r="N37" s="117"/>
      <c r="O37" s="117"/>
      <c r="P37" s="117"/>
      <c r="Q37" s="117"/>
      <c r="R37" s="110">
        <f t="shared" si="25"/>
        <v>47054865</v>
      </c>
      <c r="S37" s="110">
        <f t="shared" si="25"/>
        <v>47054865</v>
      </c>
      <c r="T37" s="110">
        <f t="shared" si="26"/>
        <v>0</v>
      </c>
      <c r="U37" s="110">
        <f t="shared" si="26"/>
        <v>0</v>
      </c>
      <c r="V37" s="110">
        <f t="shared" si="28"/>
        <v>47054865</v>
      </c>
      <c r="W37" s="110">
        <f t="shared" si="28"/>
        <v>47054865</v>
      </c>
      <c r="X37" s="129">
        <f>SUM(V37-'[2]4. sz. melléklet'!Y38)</f>
        <v>47054865</v>
      </c>
      <c r="Y37" s="129">
        <f>SUM(W37-'[2]4. sz. melléklet'!Z38)</f>
        <v>47054865</v>
      </c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</row>
    <row r="38" spans="1:60" s="266" customFormat="1" ht="25.5" customHeight="1" thickBot="1" x14ac:dyDescent="0.3">
      <c r="A38" s="267" t="s">
        <v>65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110">
        <f t="shared" si="25"/>
        <v>0</v>
      </c>
      <c r="S38" s="110">
        <f t="shared" si="25"/>
        <v>0</v>
      </c>
      <c r="T38" s="110">
        <f t="shared" si="26"/>
        <v>0</v>
      </c>
      <c r="U38" s="110">
        <f t="shared" si="26"/>
        <v>0</v>
      </c>
      <c r="V38" s="110">
        <f t="shared" si="28"/>
        <v>0</v>
      </c>
      <c r="W38" s="110">
        <f t="shared" si="28"/>
        <v>0</v>
      </c>
      <c r="X38" s="129">
        <f>SUM(V38-'[2]4. sz. melléklet'!Y39)</f>
        <v>-364304553</v>
      </c>
      <c r="Y38" s="129">
        <f>SUM(W38-'[2]4. sz. melléklet'!Z39)</f>
        <v>-367705114</v>
      </c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</row>
    <row r="39" spans="1:60" s="108" customFormat="1" ht="30.75" customHeight="1" thickBot="1" x14ac:dyDescent="0.3">
      <c r="A39" s="262" t="s">
        <v>136</v>
      </c>
      <c r="B39" s="263">
        <f t="shared" ref="B39:W39" si="29">SUM(B35:B38)</f>
        <v>236689520</v>
      </c>
      <c r="C39" s="263">
        <f t="shared" ref="C39" si="30">SUM(C35:C38)</f>
        <v>247669447</v>
      </c>
      <c r="D39" s="263">
        <f t="shared" si="29"/>
        <v>44897802</v>
      </c>
      <c r="E39" s="263">
        <f t="shared" ref="E39" si="31">SUM(E35:E38)</f>
        <v>44897802</v>
      </c>
      <c r="F39" s="263">
        <f t="shared" si="29"/>
        <v>82717231</v>
      </c>
      <c r="G39" s="263">
        <f t="shared" ref="G39" si="32">SUM(G35:G38)</f>
        <v>85826765</v>
      </c>
      <c r="H39" s="263">
        <f t="shared" si="29"/>
        <v>0</v>
      </c>
      <c r="I39" s="263">
        <f t="shared" ref="I39" si="33">SUM(I35:I38)</f>
        <v>0</v>
      </c>
      <c r="J39" s="263">
        <f t="shared" si="29"/>
        <v>0</v>
      </c>
      <c r="K39" s="263">
        <f t="shared" ref="K39" si="34">SUM(K35:K38)</f>
        <v>3350131</v>
      </c>
      <c r="L39" s="263">
        <f t="shared" si="29"/>
        <v>0</v>
      </c>
      <c r="M39" s="263">
        <f t="shared" ref="M39" si="35">SUM(M35:M38)</f>
        <v>2426000</v>
      </c>
      <c r="N39" s="263">
        <f t="shared" si="29"/>
        <v>0</v>
      </c>
      <c r="O39" s="263">
        <f t="shared" ref="O39" si="36">SUM(O35:O38)</f>
        <v>0</v>
      </c>
      <c r="P39" s="263">
        <f t="shared" si="29"/>
        <v>0</v>
      </c>
      <c r="Q39" s="263">
        <f t="shared" ref="Q39" si="37">SUM(Q35:Q38)</f>
        <v>0</v>
      </c>
      <c r="R39" s="263">
        <f t="shared" si="29"/>
        <v>364304553</v>
      </c>
      <c r="S39" s="263">
        <f t="shared" si="29"/>
        <v>381744145</v>
      </c>
      <c r="T39" s="263">
        <f t="shared" si="29"/>
        <v>0</v>
      </c>
      <c r="U39" s="263">
        <f t="shared" si="29"/>
        <v>2426000</v>
      </c>
      <c r="V39" s="263">
        <f t="shared" si="29"/>
        <v>364304553</v>
      </c>
      <c r="W39" s="263">
        <f t="shared" si="29"/>
        <v>384170145</v>
      </c>
      <c r="X39" s="129">
        <f>SUM(V39-'[2]4. sz. melléklet'!Y40)</f>
        <v>-1492695494</v>
      </c>
      <c r="Y39" s="129">
        <f>SUM(W39-'[2]4. sz. melléklet'!Z40)</f>
        <v>-1518637001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s="108" customFormat="1" ht="30.75" customHeight="1" thickBot="1" x14ac:dyDescent="0.3">
      <c r="A40" s="121" t="s">
        <v>137</v>
      </c>
      <c r="B40" s="122">
        <f>SUM(B12+B14+B17+B19+B21+B24+B25+B26+B27+B30+B31+B32+B35+B36+B13+B20)</f>
        <v>1132760382</v>
      </c>
      <c r="C40" s="122">
        <f>SUM(C12+C14+C17+C19+C21+C24+C25+C26+C27+C30+C31+C32+C35+C36+C13+C20)</f>
        <v>1210703450</v>
      </c>
      <c r="D40" s="122">
        <f t="shared" ref="D40:V40" si="38">SUM(D12+D14+D17+D19+D21+D24+D25+D26+D27+D30+D31+D32+D35+D36+D13+D20)</f>
        <v>165744927</v>
      </c>
      <c r="E40" s="122">
        <f t="shared" si="38"/>
        <v>182655091</v>
      </c>
      <c r="F40" s="122">
        <f t="shared" si="38"/>
        <v>546670338</v>
      </c>
      <c r="G40" s="122">
        <f>SUM(G12+G14+G17+G19+G21+G24+G25+G26+G27+G30+G31+G32+G35+G36+G13+G20+G18)</f>
        <v>555121492</v>
      </c>
      <c r="H40" s="122">
        <f t="shared" si="38"/>
        <v>0</v>
      </c>
      <c r="I40" s="122">
        <f t="shared" si="38"/>
        <v>0</v>
      </c>
      <c r="J40" s="122">
        <f t="shared" si="38"/>
        <v>0</v>
      </c>
      <c r="K40" s="122">
        <f t="shared" si="38"/>
        <v>9083713</v>
      </c>
      <c r="L40" s="122">
        <f t="shared" si="38"/>
        <v>3024400</v>
      </c>
      <c r="M40" s="122">
        <f t="shared" si="38"/>
        <v>30166543</v>
      </c>
      <c r="N40" s="122">
        <f t="shared" si="38"/>
        <v>8800000</v>
      </c>
      <c r="O40" s="122">
        <f t="shared" si="38"/>
        <v>18825612</v>
      </c>
      <c r="P40" s="122">
        <f t="shared" si="38"/>
        <v>0</v>
      </c>
      <c r="Q40" s="122">
        <f t="shared" si="38"/>
        <v>0</v>
      </c>
      <c r="R40" s="122">
        <f t="shared" si="38"/>
        <v>1845175647</v>
      </c>
      <c r="S40" s="122">
        <f t="shared" si="38"/>
        <v>1936909113</v>
      </c>
      <c r="T40" s="122">
        <f t="shared" si="38"/>
        <v>11824400</v>
      </c>
      <c r="U40" s="122">
        <f t="shared" si="38"/>
        <v>48992155</v>
      </c>
      <c r="V40" s="122">
        <f t="shared" si="38"/>
        <v>1857000047</v>
      </c>
      <c r="W40" s="122">
        <f>SUM(W12+W14+W17+W19+W21+W24+W25+W26+W27+W30+W31+W32+W35+W36+W13+W20)</f>
        <v>1985901268</v>
      </c>
      <c r="X40" s="129">
        <f>SUM(V40-'[2]4. sz. melléklet'!Y41)</f>
        <v>1809945182</v>
      </c>
      <c r="Y40" s="129">
        <f>SUM(Y39)</f>
        <v>-1518637001</v>
      </c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</row>
    <row r="41" spans="1:60" ht="30.75" customHeight="1" thickBot="1" x14ac:dyDescent="0.3">
      <c r="A41" s="123" t="s">
        <v>138</v>
      </c>
      <c r="B41" s="114">
        <f>SUM(B37)</f>
        <v>4698000</v>
      </c>
      <c r="C41" s="114">
        <f>SUM(C37)</f>
        <v>4012896</v>
      </c>
      <c r="D41" s="114">
        <f t="shared" ref="D41:T41" si="39">SUM(D37)</f>
        <v>728190</v>
      </c>
      <c r="E41" s="114">
        <f t="shared" si="39"/>
        <v>728190</v>
      </c>
      <c r="F41" s="114">
        <f t="shared" si="39"/>
        <v>41628675</v>
      </c>
      <c r="G41" s="114">
        <f t="shared" si="39"/>
        <v>41653779</v>
      </c>
      <c r="H41" s="114">
        <f t="shared" si="39"/>
        <v>0</v>
      </c>
      <c r="I41" s="114">
        <f t="shared" si="39"/>
        <v>0</v>
      </c>
      <c r="J41" s="114">
        <f t="shared" si="39"/>
        <v>0</v>
      </c>
      <c r="K41" s="114">
        <f t="shared" si="39"/>
        <v>660000</v>
      </c>
      <c r="L41" s="114">
        <f t="shared" si="39"/>
        <v>0</v>
      </c>
      <c r="M41" s="114">
        <f t="shared" si="39"/>
        <v>0</v>
      </c>
      <c r="N41" s="114">
        <f t="shared" si="39"/>
        <v>0</v>
      </c>
      <c r="O41" s="114">
        <f t="shared" si="39"/>
        <v>0</v>
      </c>
      <c r="P41" s="114">
        <f t="shared" si="39"/>
        <v>0</v>
      </c>
      <c r="Q41" s="114">
        <f t="shared" si="39"/>
        <v>0</v>
      </c>
      <c r="R41" s="114">
        <f t="shared" si="39"/>
        <v>47054865</v>
      </c>
      <c r="S41" s="114">
        <f>SUM(S37)</f>
        <v>47054865</v>
      </c>
      <c r="T41" s="114">
        <f t="shared" si="39"/>
        <v>0</v>
      </c>
      <c r="U41" s="114">
        <f>SUM(U37)</f>
        <v>0</v>
      </c>
      <c r="V41" s="114">
        <f t="shared" ref="V41:W42" si="40">SUM(V37)</f>
        <v>47054865</v>
      </c>
      <c r="W41" s="114">
        <f t="shared" si="40"/>
        <v>47054865</v>
      </c>
      <c r="X41" s="129">
        <f>SUM(V41-'[2]4. sz. melléklet'!Y42)</f>
        <v>47054865</v>
      </c>
      <c r="Y41" s="129">
        <f>SUM(W41-'[2]4. sz. melléklet'!Z42)</f>
        <v>47054865</v>
      </c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</row>
    <row r="42" spans="1:60" s="174" customFormat="1" ht="30.75" customHeight="1" thickBot="1" x14ac:dyDescent="0.3">
      <c r="A42" s="125" t="s">
        <v>139</v>
      </c>
      <c r="B42" s="124">
        <f>SUM(B38)</f>
        <v>0</v>
      </c>
      <c r="C42" s="124">
        <f t="shared" ref="C42:T42" si="41">SUM(C38)</f>
        <v>0</v>
      </c>
      <c r="D42" s="124">
        <f t="shared" si="41"/>
        <v>0</v>
      </c>
      <c r="E42" s="124">
        <f t="shared" si="41"/>
        <v>0</v>
      </c>
      <c r="F42" s="124">
        <f t="shared" si="41"/>
        <v>0</v>
      </c>
      <c r="G42" s="124">
        <f t="shared" si="41"/>
        <v>0</v>
      </c>
      <c r="H42" s="124">
        <f t="shared" si="41"/>
        <v>0</v>
      </c>
      <c r="I42" s="124">
        <f t="shared" si="41"/>
        <v>0</v>
      </c>
      <c r="J42" s="124">
        <f t="shared" si="41"/>
        <v>0</v>
      </c>
      <c r="K42" s="124">
        <f t="shared" si="41"/>
        <v>0</v>
      </c>
      <c r="L42" s="124">
        <f t="shared" si="41"/>
        <v>0</v>
      </c>
      <c r="M42" s="124">
        <f t="shared" si="41"/>
        <v>0</v>
      </c>
      <c r="N42" s="124">
        <f t="shared" si="41"/>
        <v>0</v>
      </c>
      <c r="O42" s="124">
        <f t="shared" si="41"/>
        <v>0</v>
      </c>
      <c r="P42" s="124">
        <f t="shared" si="41"/>
        <v>0</v>
      </c>
      <c r="Q42" s="124">
        <f t="shared" si="41"/>
        <v>0</v>
      </c>
      <c r="R42" s="124">
        <f t="shared" si="41"/>
        <v>0</v>
      </c>
      <c r="S42" s="124">
        <f t="shared" si="41"/>
        <v>0</v>
      </c>
      <c r="T42" s="124">
        <f t="shared" si="41"/>
        <v>0</v>
      </c>
      <c r="U42" s="124">
        <f>SUM(U38)</f>
        <v>0</v>
      </c>
      <c r="V42" s="124">
        <f t="shared" si="40"/>
        <v>0</v>
      </c>
      <c r="W42" s="124">
        <f t="shared" si="40"/>
        <v>0</v>
      </c>
      <c r="X42" s="129">
        <f>SUM(V42-'[2]4. sz. melléklet'!Y43)</f>
        <v>-1904054912</v>
      </c>
      <c r="Y42" s="129">
        <f>SUM(W42-'[2]4. sz. melléklet'!Z43)</f>
        <v>-1949862011</v>
      </c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</row>
    <row r="43" spans="1:60" s="98" customFormat="1" ht="16.5" thickBot="1" x14ac:dyDescent="0.25">
      <c r="A43" s="262" t="s">
        <v>140</v>
      </c>
      <c r="B43" s="263">
        <f>SUM(B40:B42)</f>
        <v>1137458382</v>
      </c>
      <c r="C43" s="263">
        <f>SUM(C40:C42)</f>
        <v>1214716346</v>
      </c>
      <c r="D43" s="263">
        <f t="shared" ref="D43:V43" si="42">SUM(D40:D42)</f>
        <v>166473117</v>
      </c>
      <c r="E43" s="263">
        <f t="shared" si="42"/>
        <v>183383281</v>
      </c>
      <c r="F43" s="263">
        <f t="shared" si="42"/>
        <v>588299013</v>
      </c>
      <c r="G43" s="263">
        <f t="shared" si="42"/>
        <v>596775271</v>
      </c>
      <c r="H43" s="263">
        <f t="shared" si="42"/>
        <v>0</v>
      </c>
      <c r="I43" s="263">
        <f t="shared" si="42"/>
        <v>0</v>
      </c>
      <c r="J43" s="263">
        <f t="shared" si="42"/>
        <v>0</v>
      </c>
      <c r="K43" s="263">
        <f t="shared" si="42"/>
        <v>9743713</v>
      </c>
      <c r="L43" s="263">
        <f t="shared" si="42"/>
        <v>3024400</v>
      </c>
      <c r="M43" s="263">
        <f t="shared" si="42"/>
        <v>30166543</v>
      </c>
      <c r="N43" s="263">
        <f t="shared" si="42"/>
        <v>8800000</v>
      </c>
      <c r="O43" s="263">
        <f t="shared" si="42"/>
        <v>18825612</v>
      </c>
      <c r="P43" s="263">
        <f t="shared" si="42"/>
        <v>0</v>
      </c>
      <c r="Q43" s="263">
        <f t="shared" si="42"/>
        <v>0</v>
      </c>
      <c r="R43" s="263">
        <f t="shared" si="42"/>
        <v>1892230512</v>
      </c>
      <c r="S43" s="263">
        <f t="shared" si="42"/>
        <v>1983963978</v>
      </c>
      <c r="T43" s="263">
        <f t="shared" si="42"/>
        <v>11824400</v>
      </c>
      <c r="U43" s="263">
        <f t="shared" si="42"/>
        <v>48992155</v>
      </c>
      <c r="V43" s="263">
        <f t="shared" si="42"/>
        <v>1904054912</v>
      </c>
      <c r="W43" s="263">
        <f>SUM(W40:W42)</f>
        <v>2032956133</v>
      </c>
      <c r="X43" s="129"/>
      <c r="Y43" s="264"/>
      <c r="Z43" s="131"/>
      <c r="AA43" s="131"/>
    </row>
    <row r="44" spans="1:60" s="98" customFormat="1" ht="17.25" customHeight="1" x14ac:dyDescent="0.2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29"/>
      <c r="Y44" s="264"/>
      <c r="Z44" s="131"/>
      <c r="AA44" s="131"/>
    </row>
    <row r="45" spans="1:60" s="98" customFormat="1" ht="12.75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</row>
    <row r="46" spans="1:60" s="98" customFormat="1" ht="17.25" customHeight="1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</row>
    <row r="47" spans="1:60" s="98" customFormat="1" ht="12.75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</row>
    <row r="48" spans="1:60" s="98" customFormat="1" ht="17.2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</row>
    <row r="49" spans="1:27" s="98" customFormat="1" ht="12.75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</row>
    <row r="50" spans="1:27" s="98" customFormat="1" ht="17.25" customHeigh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</row>
    <row r="51" spans="1:27" s="98" customFormat="1" ht="12.75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</row>
    <row r="52" spans="1:27" s="98" customFormat="1" ht="17.25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</row>
    <row r="53" spans="1:27" s="98" customFormat="1" ht="17.25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</row>
    <row r="54" spans="1:27" s="98" customFormat="1" ht="12.75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</row>
    <row r="55" spans="1:27" s="98" customFormat="1" ht="17.2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</row>
    <row r="56" spans="1:27" s="98" customFormat="1" ht="12.75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</row>
    <row r="57" spans="1:27" s="98" customFormat="1" ht="17.25" customHeigh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</row>
    <row r="58" spans="1:27" s="98" customFormat="1" ht="12.75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</row>
    <row r="59" spans="1:27" s="98" customFormat="1" ht="17.25" customHeigh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</row>
    <row r="60" spans="1:27" s="98" customFormat="1" ht="12.75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</row>
    <row r="61" spans="1:27" s="98" customFormat="1" ht="17.25" customHeigh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</row>
    <row r="62" spans="1:27" s="98" customFormat="1" ht="12.75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</row>
    <row r="63" spans="1:27" s="98" customFormat="1" ht="17.25" customHeigh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</row>
    <row r="64" spans="1:27" s="98" customFormat="1" ht="12.75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</row>
    <row r="65" spans="1:27" s="98" customFormat="1" ht="17.25" customHeigh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</row>
    <row r="66" spans="1:27" s="98" customFormat="1" ht="12.75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</row>
    <row r="67" spans="1:27" s="98" customFormat="1" ht="17.25" customHeigh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</row>
    <row r="68" spans="1:27" s="98" customFormat="1" ht="12.75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</row>
    <row r="69" spans="1:27" s="98" customFormat="1" ht="17.25" customHeigh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</row>
    <row r="70" spans="1:27" s="98" customFormat="1" ht="12.75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</row>
    <row r="71" spans="1:27" s="98" customFormat="1" ht="17.25" customHeigh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</row>
    <row r="72" spans="1:27" s="98" customFormat="1" ht="12.75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</row>
    <row r="73" spans="1:27" s="98" customFormat="1" ht="17.25" customHeight="1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</row>
    <row r="74" spans="1:27" s="98" customFormat="1" ht="12.75" x14ac:dyDescent="0.2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</row>
    <row r="75" spans="1:27" s="98" customFormat="1" ht="17.25" customHeight="1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</row>
    <row r="76" spans="1:27" s="98" customFormat="1" ht="12.75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</row>
    <row r="77" spans="1:27" s="98" customFormat="1" ht="17.25" customHeight="1" x14ac:dyDescent="0.2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</row>
    <row r="78" spans="1:27" s="98" customFormat="1" ht="12.75" x14ac:dyDescent="0.2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</row>
    <row r="79" spans="1:27" s="98" customFormat="1" ht="17.25" customHeight="1" x14ac:dyDescent="0.2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</row>
    <row r="80" spans="1:27" s="98" customFormat="1" ht="12.75" x14ac:dyDescent="0.2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</row>
    <row r="81" spans="1:27" s="98" customFormat="1" ht="17.25" customHeight="1" x14ac:dyDescent="0.2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</row>
    <row r="82" spans="1:27" s="98" customFormat="1" ht="12.75" x14ac:dyDescent="0.2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</row>
    <row r="83" spans="1:27" s="98" customFormat="1" ht="17.25" customHeight="1" x14ac:dyDescent="0.2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</row>
    <row r="84" spans="1:27" s="98" customFormat="1" ht="12.75" x14ac:dyDescent="0.2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</row>
    <row r="85" spans="1:27" s="98" customFormat="1" ht="17.25" customHeight="1" x14ac:dyDescent="0.2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</row>
    <row r="86" spans="1:27" s="98" customFormat="1" ht="12.75" x14ac:dyDescent="0.2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</row>
    <row r="87" spans="1:27" s="98" customFormat="1" ht="17.25" customHeight="1" x14ac:dyDescent="0.2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</row>
    <row r="88" spans="1:27" s="98" customFormat="1" ht="12.75" x14ac:dyDescent="0.2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</row>
    <row r="89" spans="1:27" s="98" customFormat="1" ht="17.25" customHeight="1" x14ac:dyDescent="0.2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</row>
    <row r="90" spans="1:27" s="98" customFormat="1" ht="12.75" x14ac:dyDescent="0.2"/>
    <row r="91" spans="1:27" s="98" customFormat="1" ht="17.25" customHeight="1" x14ac:dyDescent="0.2"/>
    <row r="92" spans="1:27" s="98" customFormat="1" ht="12.75" x14ac:dyDescent="0.2"/>
    <row r="93" spans="1:27" s="98" customFormat="1" ht="17.25" customHeight="1" x14ac:dyDescent="0.2"/>
    <row r="94" spans="1:27" s="98" customFormat="1" ht="12.75" x14ac:dyDescent="0.2"/>
    <row r="95" spans="1:27" s="98" customFormat="1" ht="17.25" customHeight="1" x14ac:dyDescent="0.2"/>
    <row r="96" spans="1:27" s="98" customFormat="1" ht="12.75" x14ac:dyDescent="0.2"/>
    <row r="97" s="98" customFormat="1" ht="17.25" customHeight="1" x14ac:dyDescent="0.2"/>
    <row r="98" s="98" customFormat="1" ht="12.75" x14ac:dyDescent="0.2"/>
    <row r="99" s="98" customFormat="1" ht="17.25" customHeight="1" x14ac:dyDescent="0.2"/>
    <row r="100" s="98" customFormat="1" ht="12.75" x14ac:dyDescent="0.2"/>
    <row r="101" s="98" customFormat="1" ht="17.25" customHeight="1" x14ac:dyDescent="0.2"/>
    <row r="102" s="98" customFormat="1" ht="12.75" x14ac:dyDescent="0.2"/>
    <row r="103" s="98" customFormat="1" ht="17.25" customHeight="1" x14ac:dyDescent="0.2"/>
    <row r="104" s="98" customFormat="1" ht="12.75" x14ac:dyDescent="0.2"/>
    <row r="105" s="98" customFormat="1" ht="17.25" customHeight="1" x14ac:dyDescent="0.2"/>
    <row r="106" s="98" customFormat="1" ht="12.75" x14ac:dyDescent="0.2"/>
    <row r="107" s="98" customFormat="1" ht="17.25" customHeight="1" x14ac:dyDescent="0.2"/>
    <row r="108" s="98" customFormat="1" ht="12.75" x14ac:dyDescent="0.2"/>
    <row r="109" s="98" customFormat="1" ht="17.25" customHeight="1" x14ac:dyDescent="0.2"/>
    <row r="110" s="98" customFormat="1" ht="12.75" x14ac:dyDescent="0.2"/>
    <row r="111" s="98" customFormat="1" ht="17.25" customHeight="1" x14ac:dyDescent="0.2"/>
    <row r="112" s="98" customFormat="1" ht="12.75" x14ac:dyDescent="0.2"/>
    <row r="113" s="98" customFormat="1" ht="17.25" customHeight="1" x14ac:dyDescent="0.2"/>
    <row r="114" s="98" customFormat="1" ht="12.75" x14ac:dyDescent="0.2"/>
    <row r="115" s="98" customFormat="1" ht="17.25" customHeight="1" x14ac:dyDescent="0.2"/>
    <row r="116" s="98" customFormat="1" ht="12.75" x14ac:dyDescent="0.2"/>
    <row r="117" s="98" customFormat="1" ht="17.25" customHeight="1" x14ac:dyDescent="0.2"/>
    <row r="118" s="98" customFormat="1" ht="12.75" x14ac:dyDescent="0.2"/>
    <row r="119" s="98" customFormat="1" ht="17.25" customHeight="1" x14ac:dyDescent="0.2"/>
    <row r="120" s="98" customFormat="1" ht="12.75" x14ac:dyDescent="0.2"/>
    <row r="121" s="98" customFormat="1" ht="17.25" customHeight="1" x14ac:dyDescent="0.2"/>
    <row r="122" s="98" customFormat="1" ht="12.75" x14ac:dyDescent="0.2"/>
    <row r="123" s="98" customFormat="1" ht="17.25" customHeight="1" x14ac:dyDescent="0.2"/>
    <row r="124" s="98" customFormat="1" ht="12.75" x14ac:dyDescent="0.2"/>
    <row r="125" s="98" customFormat="1" ht="17.25" customHeight="1" x14ac:dyDescent="0.2"/>
    <row r="126" s="98" customFormat="1" ht="12.75" x14ac:dyDescent="0.2"/>
    <row r="127" s="98" customFormat="1" ht="17.25" customHeight="1" x14ac:dyDescent="0.2"/>
    <row r="128" s="98" customFormat="1" ht="12.75" x14ac:dyDescent="0.2"/>
    <row r="129" s="98" customFormat="1" ht="17.25" customHeight="1" x14ac:dyDescent="0.2"/>
    <row r="130" s="98" customFormat="1" ht="12.75" x14ac:dyDescent="0.2"/>
    <row r="131" s="98" customFormat="1" ht="17.25" customHeight="1" x14ac:dyDescent="0.2"/>
    <row r="132" s="98" customFormat="1" ht="12.75" x14ac:dyDescent="0.2"/>
    <row r="133" s="98" customFormat="1" ht="17.25" customHeight="1" x14ac:dyDescent="0.2"/>
    <row r="134" s="98" customFormat="1" ht="12.75" x14ac:dyDescent="0.2"/>
    <row r="135" s="98" customFormat="1" ht="17.25" customHeight="1" x14ac:dyDescent="0.2"/>
    <row r="136" s="98" customFormat="1" ht="12.75" x14ac:dyDescent="0.2"/>
    <row r="137" s="98" customFormat="1" ht="17.25" customHeight="1" x14ac:dyDescent="0.2"/>
    <row r="138" s="98" customFormat="1" ht="12.75" x14ac:dyDescent="0.2"/>
    <row r="139" s="98" customFormat="1" ht="12.75" x14ac:dyDescent="0.2"/>
    <row r="140" s="98" customFormat="1" ht="17.25" customHeight="1" x14ac:dyDescent="0.2"/>
    <row r="141" s="98" customFormat="1" ht="12.75" x14ac:dyDescent="0.2"/>
  </sheetData>
  <sheetProtection formatCells="0" formatColumns="0" formatRows="0" insertColumns="0" insertRows="0" insertHyperlinks="0" deleteColumns="0" deleteRows="0" sort="0" autoFilter="0" pivotTables="0"/>
  <mergeCells count="16">
    <mergeCell ref="A4:W4"/>
    <mergeCell ref="T5:V5"/>
    <mergeCell ref="A6:A10"/>
    <mergeCell ref="R6:W6"/>
    <mergeCell ref="B7:C9"/>
    <mergeCell ref="D7:E9"/>
    <mergeCell ref="F7:G9"/>
    <mergeCell ref="H7:I9"/>
    <mergeCell ref="J7:K9"/>
    <mergeCell ref="L7:M9"/>
    <mergeCell ref="N7:O9"/>
    <mergeCell ref="P7:Q9"/>
    <mergeCell ref="R7:W8"/>
    <mergeCell ref="R9:S9"/>
    <mergeCell ref="T9:U9"/>
    <mergeCell ref="V9:W9"/>
  </mergeCells>
  <pageMargins left="0.23622047244094491" right="0.23622047244094491" top="0.74803149606299213" bottom="0.74803149606299213" header="0.31496062992125984" footer="0.31496062992125984"/>
  <pageSetup paperSize="9" scale="3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topLeftCell="C1" zoomScaleSheetLayoutView="100" workbookViewId="0"/>
  </sheetViews>
  <sheetFormatPr defaultColWidth="17.140625" defaultRowHeight="15" x14ac:dyDescent="0.25"/>
  <cols>
    <col min="1" max="1" width="57.5703125" customWidth="1"/>
    <col min="2" max="2" width="15.140625" customWidth="1"/>
    <col min="3" max="4" width="16.5703125" customWidth="1"/>
    <col min="5" max="5" width="14.5703125" style="602" customWidth="1"/>
    <col min="6" max="6" width="15.140625" customWidth="1"/>
    <col min="7" max="7" width="15.28515625" customWidth="1"/>
    <col min="8" max="8" width="11.7109375" customWidth="1"/>
    <col min="9" max="9" width="17.28515625" customWidth="1"/>
    <col min="10" max="10" width="21.85546875" customWidth="1"/>
    <col min="11" max="12" width="15" customWidth="1"/>
    <col min="13" max="13" width="39.140625" customWidth="1"/>
    <col min="14" max="253" width="9.140625" customWidth="1"/>
    <col min="254" max="254" width="57.5703125" customWidth="1"/>
  </cols>
  <sheetData>
    <row r="1" spans="1:13" s="271" customFormat="1" ht="15.75" x14ac:dyDescent="0.25">
      <c r="A1" s="270" t="s">
        <v>511</v>
      </c>
      <c r="E1" s="601"/>
    </row>
    <row r="2" spans="1:13" x14ac:dyDescent="0.25">
      <c r="A2" s="98"/>
    </row>
    <row r="3" spans="1:13" x14ac:dyDescent="0.25">
      <c r="A3" s="98"/>
    </row>
    <row r="4" spans="1:13" ht="15.75" x14ac:dyDescent="0.25">
      <c r="A4" s="103"/>
    </row>
    <row r="5" spans="1:13" s="102" customFormat="1" ht="17.25" x14ac:dyDescent="0.25">
      <c r="A5" s="808" t="s">
        <v>241</v>
      </c>
      <c r="B5" s="808"/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</row>
    <row r="6" spans="1:13" s="102" customFormat="1" ht="17.25" x14ac:dyDescent="0.25">
      <c r="A6" s="808" t="s">
        <v>421</v>
      </c>
      <c r="B6" s="808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</row>
    <row r="7" spans="1:13" ht="15.75" x14ac:dyDescent="0.25">
      <c r="A7" s="103"/>
      <c r="B7" s="103"/>
      <c r="C7" s="103"/>
      <c r="D7" s="103"/>
      <c r="E7" s="603"/>
    </row>
    <row r="8" spans="1:13" ht="15.75" x14ac:dyDescent="0.25">
      <c r="A8" s="103"/>
      <c r="B8" s="103"/>
      <c r="C8" s="103"/>
      <c r="D8" s="103"/>
      <c r="E8" s="603"/>
    </row>
    <row r="9" spans="1:13" ht="16.5" thickBot="1" x14ac:dyDescent="0.3">
      <c r="A9" s="103"/>
      <c r="B9" s="103"/>
      <c r="C9" s="103"/>
      <c r="D9" s="103"/>
      <c r="E9" s="603"/>
    </row>
    <row r="10" spans="1:13" s="272" customFormat="1" ht="16.5" customHeight="1" thickBot="1" x14ac:dyDescent="0.3">
      <c r="A10" s="813" t="s">
        <v>106</v>
      </c>
      <c r="B10" s="813" t="s">
        <v>420</v>
      </c>
      <c r="C10" s="817"/>
      <c r="D10" s="813" t="s">
        <v>242</v>
      </c>
      <c r="E10" s="816"/>
      <c r="F10" s="816"/>
      <c r="G10" s="816"/>
      <c r="H10" s="817"/>
      <c r="I10" s="584"/>
      <c r="J10" s="679" t="s">
        <v>343</v>
      </c>
      <c r="K10" s="679" t="s">
        <v>243</v>
      </c>
      <c r="L10" s="679" t="s">
        <v>533</v>
      </c>
      <c r="M10" s="679" t="s">
        <v>244</v>
      </c>
    </row>
    <row r="11" spans="1:13" s="96" customFormat="1" ht="16.5" thickBot="1" x14ac:dyDescent="0.3">
      <c r="A11" s="814"/>
      <c r="B11" s="821"/>
      <c r="C11" s="822"/>
      <c r="D11" s="818"/>
      <c r="E11" s="819"/>
      <c r="F11" s="819"/>
      <c r="G11" s="819"/>
      <c r="H11" s="820"/>
      <c r="I11" s="585"/>
      <c r="J11" s="679"/>
      <c r="K11" s="679"/>
      <c r="L11" s="679"/>
      <c r="M11" s="679"/>
    </row>
    <row r="12" spans="1:13" s="96" customFormat="1" ht="45.75" customHeight="1" thickBot="1" x14ac:dyDescent="0.3">
      <c r="A12" s="814"/>
      <c r="B12" s="821"/>
      <c r="C12" s="822"/>
      <c r="D12" s="813" t="s">
        <v>245</v>
      </c>
      <c r="E12" s="817"/>
      <c r="F12" s="811" t="s">
        <v>246</v>
      </c>
      <c r="G12" s="811"/>
      <c r="H12" s="811" t="s">
        <v>320</v>
      </c>
      <c r="I12" s="811"/>
      <c r="J12" s="679"/>
      <c r="K12" s="679"/>
      <c r="L12" s="679"/>
      <c r="M12" s="679"/>
    </row>
    <row r="13" spans="1:13" s="96" customFormat="1" ht="56.25" customHeight="1" thickBot="1" x14ac:dyDescent="0.3">
      <c r="A13" s="814"/>
      <c r="B13" s="818"/>
      <c r="C13" s="820"/>
      <c r="D13" s="818"/>
      <c r="E13" s="820"/>
      <c r="F13" s="812"/>
      <c r="G13" s="812"/>
      <c r="H13" s="812"/>
      <c r="I13" s="812"/>
      <c r="J13" s="679"/>
      <c r="K13" s="679"/>
      <c r="L13" s="679"/>
      <c r="M13" s="679"/>
    </row>
    <row r="14" spans="1:13" s="96" customFormat="1" ht="51" customHeight="1" thickBot="1" x14ac:dyDescent="0.3">
      <c r="A14" s="815"/>
      <c r="B14" s="273" t="s">
        <v>247</v>
      </c>
      <c r="C14" s="273" t="s">
        <v>195</v>
      </c>
      <c r="D14" s="273" t="s">
        <v>247</v>
      </c>
      <c r="E14" s="604" t="s">
        <v>195</v>
      </c>
      <c r="F14" s="273" t="s">
        <v>247</v>
      </c>
      <c r="G14" s="273" t="s">
        <v>195</v>
      </c>
      <c r="H14" s="273" t="s">
        <v>247</v>
      </c>
      <c r="I14" s="273" t="s">
        <v>195</v>
      </c>
      <c r="J14" s="679"/>
      <c r="K14" s="679"/>
      <c r="L14" s="679"/>
      <c r="M14" s="679"/>
    </row>
    <row r="15" spans="1:13" s="96" customFormat="1" ht="63.75" customHeight="1" x14ac:dyDescent="0.25">
      <c r="A15" s="582" t="s">
        <v>127</v>
      </c>
      <c r="B15" s="583">
        <f>SUM(D15+F15)</f>
        <v>121.5</v>
      </c>
      <c r="C15" s="276">
        <f>SUM(E15+G15)</f>
        <v>121.5</v>
      </c>
      <c r="D15" s="274">
        <v>117</v>
      </c>
      <c r="E15" s="605">
        <f>SUM(D15)</f>
        <v>117</v>
      </c>
      <c r="F15" s="580">
        <v>4.5</v>
      </c>
      <c r="G15" s="580">
        <f>SUM(F15)</f>
        <v>4.5</v>
      </c>
      <c r="H15" s="578">
        <v>9</v>
      </c>
      <c r="I15" s="578">
        <f>SUM(H15)</f>
        <v>9</v>
      </c>
      <c r="J15" s="587">
        <v>4</v>
      </c>
      <c r="K15" s="587">
        <v>13</v>
      </c>
      <c r="L15" s="587">
        <v>15</v>
      </c>
      <c r="M15" s="441" t="s">
        <v>534</v>
      </c>
    </row>
    <row r="16" spans="1:13" s="96" customFormat="1" ht="41.25" customHeight="1" x14ac:dyDescent="0.25">
      <c r="A16" s="275" t="s">
        <v>160</v>
      </c>
      <c r="B16" s="276">
        <f t="shared" ref="B16:C21" si="0">SUM(D16+F16)</f>
        <v>28.5</v>
      </c>
      <c r="C16" s="276">
        <f>SUM(E16+G16)</f>
        <v>28.5</v>
      </c>
      <c r="D16" s="277">
        <v>28</v>
      </c>
      <c r="E16" s="606">
        <f>SUM(D16)</f>
        <v>28</v>
      </c>
      <c r="F16" s="278">
        <v>0.5</v>
      </c>
      <c r="G16" s="278">
        <f>SUM(F16)</f>
        <v>0.5</v>
      </c>
      <c r="H16" s="279">
        <v>1</v>
      </c>
      <c r="I16" s="279">
        <f>SUM(H16)</f>
        <v>1</v>
      </c>
      <c r="J16" s="373">
        <v>4</v>
      </c>
      <c r="K16" s="373">
        <v>22</v>
      </c>
      <c r="L16" s="373"/>
      <c r="M16" s="441" t="s">
        <v>428</v>
      </c>
    </row>
    <row r="17" spans="1:13" s="96" customFormat="1" ht="27.75" customHeight="1" x14ac:dyDescent="0.25">
      <c r="A17" s="275" t="s">
        <v>426</v>
      </c>
      <c r="B17" s="276">
        <f>SUM(D17+F17)</f>
        <v>7.75</v>
      </c>
      <c r="C17" s="276">
        <f t="shared" si="0"/>
        <v>8.75</v>
      </c>
      <c r="D17" s="280">
        <v>7</v>
      </c>
      <c r="E17" s="607">
        <f>SUM(D17)+1</f>
        <v>8</v>
      </c>
      <c r="F17" s="579">
        <v>0.75</v>
      </c>
      <c r="G17" s="579">
        <f>SUM(F17)</f>
        <v>0.75</v>
      </c>
      <c r="H17" s="577">
        <v>1</v>
      </c>
      <c r="I17" s="577">
        <f>SUM(I15:I16)</f>
        <v>10</v>
      </c>
      <c r="J17" s="374">
        <v>6</v>
      </c>
      <c r="K17" s="374">
        <v>0</v>
      </c>
      <c r="L17" s="374"/>
      <c r="M17" s="373"/>
    </row>
    <row r="18" spans="1:13" s="96" customFormat="1" ht="44.25" customHeight="1" x14ac:dyDescent="0.25">
      <c r="A18" s="804" t="s">
        <v>131</v>
      </c>
      <c r="B18" s="806">
        <f>SUM(D18+F18)</f>
        <v>41.25</v>
      </c>
      <c r="C18" s="806">
        <f>SUM(E18+G18)</f>
        <v>41.25</v>
      </c>
      <c r="D18" s="801">
        <v>40</v>
      </c>
      <c r="E18" s="823">
        <f>SUM(D18)</f>
        <v>40</v>
      </c>
      <c r="F18" s="799">
        <v>1.25</v>
      </c>
      <c r="G18" s="799">
        <f>SUM(F18)</f>
        <v>1.25</v>
      </c>
      <c r="H18" s="801">
        <v>2</v>
      </c>
      <c r="I18" s="801">
        <f>SUM(H18)</f>
        <v>2</v>
      </c>
      <c r="J18" s="809">
        <v>4</v>
      </c>
      <c r="K18" s="374">
        <v>197</v>
      </c>
      <c r="L18" s="374"/>
      <c r="M18" s="372" t="s">
        <v>429</v>
      </c>
    </row>
    <row r="19" spans="1:13" s="96" customFormat="1" ht="60.75" customHeight="1" x14ac:dyDescent="0.25">
      <c r="A19" s="805"/>
      <c r="B19" s="807"/>
      <c r="C19" s="807"/>
      <c r="D19" s="802"/>
      <c r="E19" s="824"/>
      <c r="F19" s="800"/>
      <c r="G19" s="800"/>
      <c r="H19" s="802"/>
      <c r="I19" s="802"/>
      <c r="J19" s="810"/>
      <c r="K19" s="586">
        <v>255</v>
      </c>
      <c r="L19" s="586"/>
      <c r="M19" s="372" t="s">
        <v>430</v>
      </c>
    </row>
    <row r="20" spans="1:13" s="96" customFormat="1" ht="24" customHeight="1" x14ac:dyDescent="0.25">
      <c r="A20" s="408" t="s">
        <v>427</v>
      </c>
      <c r="B20" s="276">
        <f t="shared" si="0"/>
        <v>62</v>
      </c>
      <c r="C20" s="276">
        <f t="shared" si="0"/>
        <v>62</v>
      </c>
      <c r="D20" s="439">
        <v>62</v>
      </c>
      <c r="E20" s="607">
        <f>SUM(D20)</f>
        <v>62</v>
      </c>
      <c r="F20" s="278"/>
      <c r="G20" s="278"/>
      <c r="H20" s="279"/>
      <c r="I20" s="279"/>
      <c r="J20" s="440"/>
      <c r="K20" s="373">
        <v>3</v>
      </c>
      <c r="L20" s="373"/>
      <c r="M20" s="373"/>
    </row>
    <row r="21" spans="1:13" s="96" customFormat="1" ht="32.25" thickBot="1" x14ac:dyDescent="0.3">
      <c r="A21" s="406" t="s">
        <v>321</v>
      </c>
      <c r="B21" s="388">
        <f t="shared" si="0"/>
        <v>2</v>
      </c>
      <c r="C21" s="388">
        <f t="shared" si="0"/>
        <v>2</v>
      </c>
      <c r="D21" s="389">
        <v>2</v>
      </c>
      <c r="E21" s="607">
        <f>SUM(D21)</f>
        <v>2</v>
      </c>
      <c r="F21" s="390"/>
      <c r="G21" s="390"/>
      <c r="H21" s="389"/>
      <c r="I21" s="389"/>
      <c r="J21" s="407"/>
      <c r="K21" s="64"/>
      <c r="L21" s="64"/>
      <c r="M21" s="64"/>
    </row>
    <row r="22" spans="1:13" s="283" customFormat="1" ht="16.5" thickBot="1" x14ac:dyDescent="0.3">
      <c r="A22" s="281" t="s">
        <v>322</v>
      </c>
      <c r="B22" s="282">
        <f t="shared" ref="B22:K22" si="1">SUM(B15:B21)</f>
        <v>263</v>
      </c>
      <c r="C22" s="282">
        <f t="shared" si="1"/>
        <v>264</v>
      </c>
      <c r="D22" s="282">
        <f t="shared" si="1"/>
        <v>256</v>
      </c>
      <c r="E22" s="608">
        <f t="shared" si="1"/>
        <v>257</v>
      </c>
      <c r="F22" s="282">
        <f t="shared" si="1"/>
        <v>7</v>
      </c>
      <c r="G22" s="282">
        <f t="shared" si="1"/>
        <v>7</v>
      </c>
      <c r="H22" s="282">
        <f t="shared" si="1"/>
        <v>13</v>
      </c>
      <c r="I22" s="282">
        <f t="shared" si="1"/>
        <v>22</v>
      </c>
      <c r="J22" s="282"/>
      <c r="K22" s="282">
        <f t="shared" si="1"/>
        <v>490</v>
      </c>
      <c r="L22" s="282"/>
      <c r="M22" s="282"/>
    </row>
    <row r="23" spans="1:13" s="270" customFormat="1" ht="29.25" customHeight="1" x14ac:dyDescent="0.25">
      <c r="A23" s="321"/>
      <c r="B23" s="322"/>
      <c r="C23" s="322"/>
      <c r="D23" s="323"/>
      <c r="E23" s="609"/>
      <c r="F23" s="324"/>
      <c r="G23" s="324"/>
      <c r="H23" s="324"/>
      <c r="I23" s="324"/>
      <c r="J23" s="53"/>
      <c r="K23" s="325"/>
      <c r="L23" s="325"/>
      <c r="M23" s="53"/>
    </row>
    <row r="24" spans="1:13" ht="15.75" x14ac:dyDescent="0.25">
      <c r="A24" s="285"/>
      <c r="B24" s="286"/>
      <c r="C24" s="84"/>
    </row>
    <row r="25" spans="1:13" ht="15.75" x14ac:dyDescent="0.25">
      <c r="A25" s="285"/>
      <c r="B25" s="803"/>
      <c r="C25" s="803"/>
      <c r="D25" s="581"/>
      <c r="E25" s="284"/>
    </row>
    <row r="26" spans="1:13" x14ac:dyDescent="0.25">
      <c r="A26" s="287"/>
      <c r="B26" s="798"/>
      <c r="C26" s="798"/>
      <c r="D26" s="575"/>
      <c r="E26" s="286"/>
    </row>
    <row r="27" spans="1:13" x14ac:dyDescent="0.25">
      <c r="A27" s="288"/>
      <c r="B27" s="798"/>
      <c r="C27" s="798"/>
      <c r="D27" s="575"/>
      <c r="E27" s="286"/>
    </row>
    <row r="28" spans="1:13" x14ac:dyDescent="0.25">
      <c r="A28" s="288"/>
      <c r="B28" s="286"/>
      <c r="C28" s="84"/>
    </row>
    <row r="29" spans="1:13" x14ac:dyDescent="0.25">
      <c r="A29" s="288"/>
      <c r="B29" s="798"/>
      <c r="C29" s="798"/>
      <c r="D29" s="575"/>
      <c r="E29" s="286"/>
    </row>
    <row r="30" spans="1:13" x14ac:dyDescent="0.25">
      <c r="A30" s="288"/>
      <c r="B30" s="798"/>
      <c r="C30" s="798"/>
      <c r="D30" s="575"/>
      <c r="E30" s="286"/>
    </row>
    <row r="31" spans="1:13" x14ac:dyDescent="0.25">
      <c r="A31" s="288"/>
      <c r="B31" s="286"/>
      <c r="C31" s="84"/>
    </row>
    <row r="32" spans="1:13" x14ac:dyDescent="0.25">
      <c r="A32" s="289"/>
      <c r="B32" s="284"/>
      <c r="C32" s="84"/>
    </row>
    <row r="33" spans="1:5" x14ac:dyDescent="0.25">
      <c r="A33" s="289"/>
      <c r="B33" s="797"/>
      <c r="C33" s="797"/>
      <c r="D33" s="576"/>
      <c r="E33" s="284"/>
    </row>
    <row r="34" spans="1:5" x14ac:dyDescent="0.25">
      <c r="A34" s="289"/>
      <c r="B34" s="798"/>
      <c r="C34" s="798"/>
      <c r="D34" s="575"/>
      <c r="E34" s="286"/>
    </row>
    <row r="35" spans="1:5" x14ac:dyDescent="0.25">
      <c r="A35" s="289"/>
      <c r="B35" s="798"/>
      <c r="C35" s="798"/>
      <c r="D35" s="575"/>
      <c r="E35" s="286"/>
    </row>
    <row r="36" spans="1:5" x14ac:dyDescent="0.25">
      <c r="A36" s="289"/>
      <c r="B36" s="798"/>
      <c r="C36" s="798"/>
      <c r="D36" s="575"/>
      <c r="E36" s="286"/>
    </row>
  </sheetData>
  <sheetProtection formatCells="0" formatColumns="0" formatRows="0" insertColumns="0" insertRows="0" insertHyperlinks="0" deleteColumns="0" deleteRows="0" sort="0" autoFilter="0" pivotTables="0"/>
  <mergeCells count="31">
    <mergeCell ref="A5:M5"/>
    <mergeCell ref="A6:M6"/>
    <mergeCell ref="M10:M14"/>
    <mergeCell ref="I18:I19"/>
    <mergeCell ref="J18:J19"/>
    <mergeCell ref="J10:J14"/>
    <mergeCell ref="K10:K14"/>
    <mergeCell ref="F12:G13"/>
    <mergeCell ref="H12:I13"/>
    <mergeCell ref="A10:A14"/>
    <mergeCell ref="D10:H11"/>
    <mergeCell ref="B10:C13"/>
    <mergeCell ref="D12:E13"/>
    <mergeCell ref="L10:L14"/>
    <mergeCell ref="D18:D19"/>
    <mergeCell ref="E18:E19"/>
    <mergeCell ref="A18:A19"/>
    <mergeCell ref="B18:B19"/>
    <mergeCell ref="C18:C19"/>
    <mergeCell ref="B26:C26"/>
    <mergeCell ref="B27:C27"/>
    <mergeCell ref="H18:H19"/>
    <mergeCell ref="B25:C25"/>
    <mergeCell ref="G18:G19"/>
    <mergeCell ref="B30:C30"/>
    <mergeCell ref="B29:C29"/>
    <mergeCell ref="B33:C33"/>
    <mergeCell ref="B34:C34"/>
    <mergeCell ref="B35:C35"/>
    <mergeCell ref="B36:C36"/>
    <mergeCell ref="F18:F19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view="pageBreakPreview" zoomScale="68" zoomScaleSheetLayoutView="68" workbookViewId="0">
      <selection activeCell="B17" sqref="B17"/>
    </sheetView>
  </sheetViews>
  <sheetFormatPr defaultRowHeight="15" x14ac:dyDescent="0.25"/>
  <cols>
    <col min="1" max="1" width="92" customWidth="1"/>
    <col min="2" max="2" width="23" customWidth="1"/>
    <col min="3" max="3" width="22.140625" customWidth="1"/>
    <col min="4" max="4" width="20.85546875" customWidth="1"/>
    <col min="5" max="5" width="23.42578125" hidden="1" customWidth="1"/>
    <col min="6" max="6" width="17.42578125" customWidth="1"/>
    <col min="7" max="7" width="18.140625" bestFit="1" customWidth="1"/>
  </cols>
  <sheetData>
    <row r="1" spans="1:74" s="343" customFormat="1" ht="18.75" x14ac:dyDescent="0.3">
      <c r="A1" s="341" t="s">
        <v>512</v>
      </c>
      <c r="B1" s="341"/>
      <c r="C1" s="341"/>
      <c r="D1" s="341"/>
      <c r="E1" s="342"/>
    </row>
    <row r="2" spans="1:74" s="343" customFormat="1" ht="18.75" x14ac:dyDescent="0.3">
      <c r="A2" s="344"/>
      <c r="B2" s="344"/>
      <c r="C2" s="344"/>
      <c r="D2" s="344"/>
      <c r="E2" s="345"/>
    </row>
    <row r="3" spans="1:74" s="343" customFormat="1" ht="18.75" x14ac:dyDescent="0.3">
      <c r="A3" s="344"/>
      <c r="B3" s="344"/>
      <c r="C3" s="344"/>
      <c r="D3" s="344"/>
      <c r="E3" s="345"/>
    </row>
    <row r="4" spans="1:74" s="346" customFormat="1" ht="18.75" customHeight="1" x14ac:dyDescent="0.3">
      <c r="A4" s="829" t="s">
        <v>422</v>
      </c>
      <c r="B4" s="829"/>
      <c r="C4" s="829"/>
      <c r="D4" s="829"/>
      <c r="E4" s="829"/>
    </row>
    <row r="5" spans="1:74" s="346" customFormat="1" ht="18.75" x14ac:dyDescent="0.3">
      <c r="A5" s="829"/>
      <c r="B5" s="829"/>
      <c r="C5" s="829"/>
      <c r="D5" s="829"/>
      <c r="E5" s="829"/>
    </row>
    <row r="6" spans="1:74" s="290" customFormat="1" ht="15" customHeight="1" x14ac:dyDescent="0.25">
      <c r="A6" s="829"/>
      <c r="B6" s="829"/>
      <c r="C6" s="829"/>
      <c r="D6" s="829"/>
      <c r="E6" s="829"/>
    </row>
    <row r="7" spans="1:74" s="1" customFormat="1" ht="16.5" thickBot="1" x14ac:dyDescent="0.3">
      <c r="A7" s="830" t="s">
        <v>248</v>
      </c>
      <c r="B7" s="830"/>
      <c r="C7" s="830"/>
      <c r="D7" s="830"/>
      <c r="E7" s="338"/>
    </row>
    <row r="8" spans="1:74" s="94" customFormat="1" ht="38.25" thickBot="1" x14ac:dyDescent="0.35">
      <c r="A8" s="61" t="s">
        <v>78</v>
      </c>
      <c r="B8" s="57"/>
      <c r="C8" s="57"/>
      <c r="D8" s="633" t="s">
        <v>79</v>
      </c>
      <c r="E8" s="628" t="s">
        <v>195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</row>
    <row r="9" spans="1:74" s="67" customFormat="1" ht="38.25" customHeight="1" thickBot="1" x14ac:dyDescent="0.35">
      <c r="A9" s="73" t="s">
        <v>98</v>
      </c>
      <c r="B9" s="402"/>
      <c r="C9" s="74"/>
      <c r="D9" s="75">
        <f>50000000+50000000+350000000-446719342+76943411+842709-81066778+18845455</f>
        <v>18845455</v>
      </c>
      <c r="E9" s="645"/>
      <c r="F9" s="62"/>
      <c r="G9" s="66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</row>
    <row r="10" spans="1:74" s="67" customFormat="1" ht="38.25" customHeight="1" thickBot="1" x14ac:dyDescent="0.35">
      <c r="A10" s="55" t="s">
        <v>99</v>
      </c>
      <c r="B10" s="421"/>
      <c r="C10" s="68"/>
      <c r="D10" s="438">
        <f>SUM(C11+C12+C13+C14+C15+C16+C17+C18+C29+C30+C31+C32+C33+C34+C35+C36+C37+C41+C42+C38+C39+C40+C43+C44+C45+C46+C47+C48+C49)</f>
        <v>1347316350</v>
      </c>
      <c r="E10" s="646"/>
      <c r="F10" s="66"/>
      <c r="G10" s="66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</row>
    <row r="11" spans="1:74" s="67" customFormat="1" ht="38.25" customHeight="1" thickBot="1" x14ac:dyDescent="0.35">
      <c r="A11" s="625" t="s">
        <v>100</v>
      </c>
      <c r="B11" s="626"/>
      <c r="C11" s="435">
        <f>4792787+'[1]3. sz. melléklet'!F52+250048</f>
        <v>6292835</v>
      </c>
      <c r="D11" s="50"/>
      <c r="E11" s="647"/>
      <c r="F11" s="66"/>
      <c r="G11" s="66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</row>
    <row r="12" spans="1:74" s="54" customFormat="1" ht="29.25" customHeight="1" thickBot="1" x14ac:dyDescent="0.3">
      <c r="A12" s="625" t="s">
        <v>101</v>
      </c>
      <c r="B12" s="626"/>
      <c r="C12" s="435">
        <v>12115859</v>
      </c>
      <c r="D12" s="50"/>
      <c r="E12" s="647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</row>
    <row r="13" spans="1:74" ht="34.5" customHeight="1" x14ac:dyDescent="0.25">
      <c r="A13" s="336" t="s">
        <v>379</v>
      </c>
      <c r="B13" s="422"/>
      <c r="C13" s="436">
        <v>20000000</v>
      </c>
      <c r="D13" s="648"/>
    </row>
    <row r="14" spans="1:74" ht="34.5" customHeight="1" x14ac:dyDescent="0.25">
      <c r="A14" s="336" t="s">
        <v>396</v>
      </c>
      <c r="B14" s="422"/>
      <c r="C14" s="436">
        <f>152167+4847833-5000000</f>
        <v>0</v>
      </c>
      <c r="D14" s="648"/>
    </row>
    <row r="15" spans="1:74" ht="34.5" customHeight="1" x14ac:dyDescent="0.25">
      <c r="A15" s="336" t="s">
        <v>407</v>
      </c>
      <c r="B15" s="422"/>
      <c r="C15" s="436">
        <f>39989310-39989310</f>
        <v>0</v>
      </c>
      <c r="D15" s="649"/>
    </row>
    <row r="16" spans="1:74" ht="34.5" customHeight="1" x14ac:dyDescent="0.25">
      <c r="A16" s="336" t="s">
        <v>408</v>
      </c>
      <c r="B16" s="422"/>
      <c r="C16" s="436">
        <f>14638124-14538119-100000</f>
        <v>5</v>
      </c>
      <c r="D16" s="649"/>
    </row>
    <row r="17" spans="1:72" ht="34.5" customHeight="1" thickBot="1" x14ac:dyDescent="0.3">
      <c r="A17" s="336" t="s">
        <v>411</v>
      </c>
      <c r="B17" s="422"/>
      <c r="C17" s="436">
        <f>25674997-1200000-24474997</f>
        <v>0</v>
      </c>
      <c r="D17" s="649"/>
    </row>
    <row r="18" spans="1:72" s="375" customFormat="1" ht="45" customHeight="1" thickBot="1" x14ac:dyDescent="0.3">
      <c r="A18" s="625" t="s">
        <v>405</v>
      </c>
      <c r="B18" s="626"/>
      <c r="C18" s="435">
        <f>SUM(B20:B28)</f>
        <v>20004987</v>
      </c>
      <c r="D18" s="50"/>
      <c r="E18" s="647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</row>
    <row r="19" spans="1:72" s="54" customFormat="1" ht="35.25" customHeight="1" thickBot="1" x14ac:dyDescent="0.3">
      <c r="A19" s="347" t="s">
        <v>63</v>
      </c>
      <c r="B19" s="423"/>
      <c r="C19" s="348"/>
      <c r="D19" s="50"/>
      <c r="E19" s="647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</row>
    <row r="20" spans="1:72" s="54" customFormat="1" ht="33.75" customHeight="1" thickBot="1" x14ac:dyDescent="0.3">
      <c r="A20" s="347" t="s">
        <v>393</v>
      </c>
      <c r="B20" s="425">
        <f>111000000-97126431</f>
        <v>13873569</v>
      </c>
      <c r="C20" s="348"/>
      <c r="D20" s="50"/>
      <c r="E20" s="647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</row>
    <row r="21" spans="1:72" s="54" customFormat="1" ht="38.25" customHeight="1" thickBot="1" x14ac:dyDescent="0.3">
      <c r="A21" s="347" t="s">
        <v>394</v>
      </c>
      <c r="B21" s="425">
        <v>81662966</v>
      </c>
      <c r="C21" s="348"/>
      <c r="D21" s="50"/>
      <c r="E21" s="647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</row>
    <row r="22" spans="1:72" s="375" customFormat="1" ht="59.25" customHeight="1" thickBot="1" x14ac:dyDescent="0.3">
      <c r="A22" s="347" t="s">
        <v>395</v>
      </c>
      <c r="B22" s="425">
        <v>295478917</v>
      </c>
      <c r="C22" s="348"/>
      <c r="D22" s="50"/>
      <c r="E22" s="647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</row>
    <row r="23" spans="1:72" s="375" customFormat="1" ht="32.25" customHeight="1" thickBot="1" x14ac:dyDescent="0.3">
      <c r="A23" s="349" t="s">
        <v>406</v>
      </c>
      <c r="B23" s="426">
        <v>25000000</v>
      </c>
      <c r="C23" s="348"/>
      <c r="D23" s="50"/>
      <c r="E23" s="647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72" s="375" customFormat="1" ht="36" hidden="1" customHeight="1" thickBot="1" x14ac:dyDescent="0.3">
      <c r="A24" s="349" t="s">
        <v>406</v>
      </c>
      <c r="B24" s="424"/>
      <c r="C24" s="348"/>
      <c r="D24" s="50"/>
      <c r="E24" s="647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72" s="375" customFormat="1" ht="36" hidden="1" customHeight="1" thickBot="1" x14ac:dyDescent="0.3">
      <c r="A25" s="349" t="s">
        <v>406</v>
      </c>
      <c r="B25" s="424"/>
      <c r="C25" s="348"/>
      <c r="D25" s="50"/>
      <c r="E25" s="647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</row>
    <row r="26" spans="1:72" s="375" customFormat="1" ht="36" customHeight="1" thickBot="1" x14ac:dyDescent="0.3">
      <c r="A26" s="349" t="s">
        <v>416</v>
      </c>
      <c r="B26" s="426">
        <f>-18789972+18789972</f>
        <v>0</v>
      </c>
      <c r="C26" s="348"/>
      <c r="D26" s="50"/>
      <c r="E26" s="647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</row>
    <row r="27" spans="1:72" s="375" customFormat="1" ht="36" customHeight="1" thickBot="1" x14ac:dyDescent="0.3">
      <c r="A27" s="349" t="s">
        <v>588</v>
      </c>
      <c r="B27" s="426">
        <f>-5029365-73820052-33635003-10311568+26785523</f>
        <v>-96010465</v>
      </c>
      <c r="C27" s="348"/>
      <c r="D27" s="56"/>
      <c r="E27" s="647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72" s="375" customFormat="1" ht="74.25" customHeight="1" thickBot="1" x14ac:dyDescent="0.3">
      <c r="A28" s="349" t="s">
        <v>589</v>
      </c>
      <c r="B28" s="426">
        <v>-300000000</v>
      </c>
      <c r="C28" s="348"/>
      <c r="D28" s="56"/>
      <c r="E28" s="647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</row>
    <row r="29" spans="1:72" s="375" customFormat="1" ht="74.25" customHeight="1" thickBot="1" x14ac:dyDescent="0.3">
      <c r="A29" s="747" t="s">
        <v>327</v>
      </c>
      <c r="B29" s="748"/>
      <c r="C29" s="434">
        <f>1108195403-4356100-1022937700-100000-80801603+1013570000-1013570000</f>
        <v>0</v>
      </c>
      <c r="D29" s="56"/>
      <c r="E29" s="647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1:72" s="375" customFormat="1" ht="58.5" customHeight="1" thickBot="1" x14ac:dyDescent="0.3">
      <c r="A30" s="747" t="s">
        <v>418</v>
      </c>
      <c r="B30" s="748"/>
      <c r="C30" s="434">
        <f>21948500-21948500</f>
        <v>0</v>
      </c>
      <c r="D30" s="56"/>
      <c r="E30" s="64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</row>
    <row r="31" spans="1:72" s="54" customFormat="1" ht="58.5" customHeight="1" thickBot="1" x14ac:dyDescent="0.3">
      <c r="A31" s="747" t="s">
        <v>319</v>
      </c>
      <c r="B31" s="748"/>
      <c r="C31" s="434">
        <f>43127440-38307322</f>
        <v>4820118</v>
      </c>
      <c r="D31" s="56"/>
      <c r="E31" s="647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</row>
    <row r="32" spans="1:72" s="54" customFormat="1" ht="69.75" customHeight="1" thickBot="1" x14ac:dyDescent="0.3">
      <c r="A32" s="747" t="s">
        <v>419</v>
      </c>
      <c r="B32" s="748"/>
      <c r="C32" s="433">
        <f>528584000-371670689</f>
        <v>156913311</v>
      </c>
      <c r="D32" s="56"/>
      <c r="E32" s="647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</row>
    <row r="33" spans="1:5" ht="53.25" customHeight="1" x14ac:dyDescent="0.25">
      <c r="A33" s="747" t="s">
        <v>360</v>
      </c>
      <c r="B33" s="748"/>
      <c r="C33" s="434">
        <f>131237500-65824000-150800-61289960</f>
        <v>3972740</v>
      </c>
      <c r="D33" s="50"/>
      <c r="E33" s="647"/>
    </row>
    <row r="34" spans="1:5" s="165" customFormat="1" ht="53.25" customHeight="1" x14ac:dyDescent="0.25">
      <c r="A34" s="747" t="s">
        <v>82</v>
      </c>
      <c r="B34" s="748"/>
      <c r="C34" s="433">
        <f>199610287-197619506-1145237</f>
        <v>845544</v>
      </c>
      <c r="D34" s="648"/>
      <c r="E34"/>
    </row>
    <row r="35" spans="1:5" ht="33" customHeight="1" x14ac:dyDescent="0.25">
      <c r="A35" s="747" t="s">
        <v>414</v>
      </c>
      <c r="B35" s="748"/>
      <c r="C35" s="433">
        <v>1585435</v>
      </c>
      <c r="D35" s="650"/>
      <c r="E35" s="165"/>
    </row>
    <row r="36" spans="1:5" ht="30" customHeight="1" x14ac:dyDescent="0.25">
      <c r="A36" s="747" t="s">
        <v>377</v>
      </c>
      <c r="B36" s="748"/>
      <c r="C36" s="433">
        <f>493000000-485620001</f>
        <v>7379999</v>
      </c>
      <c r="D36" s="648"/>
    </row>
    <row r="37" spans="1:5" ht="42" customHeight="1" x14ac:dyDescent="0.25">
      <c r="A37" s="625" t="s">
        <v>378</v>
      </c>
      <c r="B37" s="626"/>
      <c r="C37" s="433">
        <f>165000000-17920500</f>
        <v>147079500</v>
      </c>
      <c r="D37" s="648"/>
    </row>
    <row r="38" spans="1:5" ht="42" customHeight="1" x14ac:dyDescent="0.25">
      <c r="A38" s="747" t="s">
        <v>366</v>
      </c>
      <c r="B38" s="748"/>
      <c r="C38" s="433">
        <f>10979219+57438782</f>
        <v>68418001</v>
      </c>
      <c r="D38" s="651"/>
    </row>
    <row r="39" spans="1:5" ht="18.75" x14ac:dyDescent="0.25">
      <c r="A39" s="747" t="s">
        <v>560</v>
      </c>
      <c r="B39" s="748"/>
      <c r="C39" s="433">
        <f>799999000-12509500</f>
        <v>787489500</v>
      </c>
      <c r="D39" s="651"/>
    </row>
    <row r="40" spans="1:5" ht="18.75" x14ac:dyDescent="0.25">
      <c r="A40" s="747" t="s">
        <v>590</v>
      </c>
      <c r="B40" s="748"/>
      <c r="C40" s="433">
        <v>58798867</v>
      </c>
      <c r="D40" s="651"/>
    </row>
    <row r="41" spans="1:5" ht="18.75" x14ac:dyDescent="0.25">
      <c r="A41" s="747" t="s">
        <v>315</v>
      </c>
      <c r="B41" s="748"/>
      <c r="C41" s="433">
        <f>484570644-454490745-100000-7397750-22582149</f>
        <v>0</v>
      </c>
      <c r="D41" s="651"/>
    </row>
    <row r="42" spans="1:5" ht="19.5" thickBot="1" x14ac:dyDescent="0.3">
      <c r="A42" s="827" t="s">
        <v>545</v>
      </c>
      <c r="B42" s="828"/>
      <c r="C42" s="437">
        <f>9020922+788733</f>
        <v>9809655</v>
      </c>
      <c r="D42" s="652"/>
    </row>
    <row r="43" spans="1:5" ht="19.5" thickBot="1" x14ac:dyDescent="0.3">
      <c r="A43" s="825" t="s">
        <v>591</v>
      </c>
      <c r="B43" s="826"/>
      <c r="C43" s="437">
        <v>1050000</v>
      </c>
      <c r="D43" s="652"/>
    </row>
    <row r="44" spans="1:5" ht="19.5" thickBot="1" x14ac:dyDescent="0.3">
      <c r="A44" s="825" t="s">
        <v>563</v>
      </c>
      <c r="B44" s="826"/>
      <c r="C44" s="437">
        <v>540000</v>
      </c>
      <c r="D44" s="652"/>
    </row>
    <row r="45" spans="1:5" ht="19.5" thickBot="1" x14ac:dyDescent="0.3">
      <c r="A45" s="825" t="s">
        <v>551</v>
      </c>
      <c r="B45" s="826"/>
      <c r="C45" s="437">
        <f>147000000-147000000</f>
        <v>0</v>
      </c>
      <c r="D45" s="652"/>
    </row>
    <row r="46" spans="1:5" ht="19.5" thickBot="1" x14ac:dyDescent="0.3">
      <c r="A46" s="825" t="s">
        <v>592</v>
      </c>
      <c r="B46" s="826"/>
      <c r="C46" s="437">
        <f>170000000-170000000</f>
        <v>0</v>
      </c>
      <c r="D46" s="652"/>
    </row>
    <row r="47" spans="1:5" ht="19.5" thickBot="1" x14ac:dyDescent="0.3">
      <c r="A47" s="825" t="s">
        <v>593</v>
      </c>
      <c r="B47" s="826"/>
      <c r="C47" s="437">
        <v>24999994</v>
      </c>
      <c r="D47" s="652"/>
    </row>
    <row r="48" spans="1:5" ht="19.5" thickBot="1" x14ac:dyDescent="0.3">
      <c r="A48" s="825" t="s">
        <v>594</v>
      </c>
      <c r="B48" s="826"/>
      <c r="C48" s="437">
        <v>3200000</v>
      </c>
      <c r="D48" s="652"/>
    </row>
    <row r="49" spans="1:4" ht="19.5" thickBot="1" x14ac:dyDescent="0.3">
      <c r="A49" s="825" t="s">
        <v>595</v>
      </c>
      <c r="B49" s="826"/>
      <c r="C49" s="437">
        <v>12000000</v>
      </c>
      <c r="D49" s="652"/>
    </row>
  </sheetData>
  <sheetProtection formatCells="0" formatColumns="0" formatRows="0" insertColumns="0" insertRows="0" insertHyperlinks="0" deleteColumns="0" deleteRows="0" sort="0" autoFilter="0" pivotTables="0"/>
  <mergeCells count="22">
    <mergeCell ref="A4:E6"/>
    <mergeCell ref="A7:D7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42:B42"/>
    <mergeCell ref="A48:B48"/>
    <mergeCell ref="A49:B49"/>
    <mergeCell ref="A43:B43"/>
    <mergeCell ref="A44:B44"/>
    <mergeCell ref="A45:B45"/>
    <mergeCell ref="A46:B46"/>
    <mergeCell ref="A47:B47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1. sz. melléklet</vt:lpstr>
      <vt:lpstr>2. sz. melléklet</vt:lpstr>
      <vt:lpstr>3. sz. melléklet</vt:lpstr>
      <vt:lpstr>4. sz. melléklet</vt:lpstr>
      <vt:lpstr>5. sz. melléklet</vt:lpstr>
      <vt:lpstr>6. sz. melléklet</vt:lpstr>
      <vt:lpstr>7. sz. melléklet</vt:lpstr>
      <vt:lpstr>8. sz. melléklet</vt:lpstr>
      <vt:lpstr>9. sz. melléklet</vt:lpstr>
      <vt:lpstr>10. sz. melléklet</vt:lpstr>
      <vt:lpstr>11. sz. melléklet</vt:lpstr>
      <vt:lpstr>12. sz. melléklet</vt:lpstr>
      <vt:lpstr>13. sz. melléklet</vt:lpstr>
      <vt:lpstr>14. sz. melléklet</vt:lpstr>
      <vt:lpstr>'1. sz. melléklet'!Nyomtatási_terület</vt:lpstr>
      <vt:lpstr>'10. sz. melléklet'!Nyomtatási_terület</vt:lpstr>
      <vt:lpstr>'11. sz. melléklet'!Nyomtatási_terület</vt:lpstr>
      <vt:lpstr>'12. sz. melléklet'!Nyomtatási_terület</vt:lpstr>
      <vt:lpstr>'13. sz. melléklet'!Nyomtatási_terület</vt:lpstr>
      <vt:lpstr>'14.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melléklet'!Nyomtatási_terület</vt:lpstr>
      <vt:lpstr>'6. sz. melléklet'!Nyomtatási_terület</vt:lpstr>
      <vt:lpstr>'7. sz. melléklet'!Nyomtatási_terület</vt:lpstr>
      <vt:lpstr>'8. sz. melléklet'!Nyomtatási_terület</vt:lpstr>
      <vt:lpstr>'9. sz. melléklet'!Nyomtatási_terület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kovacsmaria</cp:lastModifiedBy>
  <cp:lastPrinted>2022-05-02T12:03:24Z</cp:lastPrinted>
  <dcterms:created xsi:type="dcterms:W3CDTF">2019-01-04T08:29:25Z</dcterms:created>
  <dcterms:modified xsi:type="dcterms:W3CDTF">2022-05-02T12:04:15Z</dcterms:modified>
</cp:coreProperties>
</file>