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350" windowHeight="1110" activeTab="6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1" r:id="rId7"/>
    <sheet name="8. sz. melléklet" sheetId="16" r:id="rId8"/>
  </sheets>
  <definedNames>
    <definedName name="_xlnm.Print_Titles" localSheetId="0">'1. sz. melléklet'!$6:$6</definedName>
    <definedName name="_xlnm.Print_Titles" localSheetId="5">'6. sz. melléklet'!$6:$6</definedName>
    <definedName name="_xlnm.Print_Titles" localSheetId="6">'7. sz. melléklet'!$6:$6</definedName>
    <definedName name="_xlnm.Print_Area" localSheetId="0">'1. sz. melléklet'!$A$1:$G$103</definedName>
    <definedName name="_xlnm.Print_Area" localSheetId="1">'2. sz. melléklet'!$A$1:$G$104</definedName>
    <definedName name="_xlnm.Print_Area" localSheetId="2">'3. sz. melléklet'!$A$1:$BC$44</definedName>
    <definedName name="_xlnm.Print_Area" localSheetId="3">'4. sz. melléklet'!$A$1:$AY$39</definedName>
    <definedName name="_xlnm.Print_Area" localSheetId="4">'5. sz. melléklet'!$A$1:$AX$19</definedName>
    <definedName name="_xlnm.Print_Area" localSheetId="5">'6. sz. melléklet'!$A$1:$F$157</definedName>
    <definedName name="_xlnm.Print_Area" localSheetId="6">'7. sz. melléklet'!$A$1:$F$230</definedName>
    <definedName name="_xlnm.Print_Area" localSheetId="7">'8. sz. melléklet'!$A$1:$AS$39</definedName>
  </definedNames>
  <calcPr calcId="124519"/>
</workbook>
</file>

<file path=xl/calcChain.xml><?xml version="1.0" encoding="utf-8"?>
<calcChain xmlns="http://schemas.openxmlformats.org/spreadsheetml/2006/main">
  <c r="AW34" i="15"/>
  <c r="AV34"/>
  <c r="AW38"/>
  <c r="F212" i="21"/>
  <c r="F103"/>
  <c r="F58"/>
  <c r="F30"/>
  <c r="F25"/>
  <c r="F87"/>
  <c r="F88"/>
  <c r="E13"/>
  <c r="E56" i="10"/>
  <c r="F141"/>
  <c r="F104"/>
  <c r="F105"/>
  <c r="F73"/>
  <c r="E14" i="21"/>
  <c r="E103" i="10"/>
  <c r="F13" i="21"/>
  <c r="E207"/>
  <c r="E70"/>
  <c r="E69" i="10"/>
  <c r="E77" i="21"/>
  <c r="E143" i="10"/>
  <c r="E187" i="21"/>
  <c r="F187" s="1"/>
  <c r="F86"/>
  <c r="E32" i="10"/>
  <c r="F33" i="17"/>
  <c r="C194" i="21"/>
  <c r="E63"/>
  <c r="E43" i="10"/>
  <c r="E194" i="21" l="1"/>
  <c r="E119"/>
  <c r="E37" i="10"/>
  <c r="E54" i="21"/>
  <c r="E22" i="10"/>
  <c r="F188" i="21"/>
  <c r="F207"/>
  <c r="F12" i="10"/>
  <c r="F46" i="21"/>
  <c r="F44"/>
  <c r="E129" i="10"/>
  <c r="E17" i="21"/>
  <c r="E34"/>
  <c r="E39" s="1"/>
  <c r="I18" i="14"/>
  <c r="I19"/>
  <c r="D15"/>
  <c r="F73" i="1"/>
  <c r="E73"/>
  <c r="F57" i="17"/>
  <c r="AL26" i="15" l="1"/>
  <c r="C33" i="17"/>
  <c r="E70"/>
  <c r="AX34" i="15"/>
  <c r="AX33"/>
  <c r="AX32"/>
  <c r="AX35" s="1"/>
  <c r="AP32"/>
  <c r="M34"/>
  <c r="AL33" i="16"/>
  <c r="AM33"/>
  <c r="AN33"/>
  <c r="AP33"/>
  <c r="AQ33"/>
  <c r="AR33"/>
  <c r="AS33"/>
  <c r="AN34"/>
  <c r="AR34"/>
  <c r="K32"/>
  <c r="AS18"/>
  <c r="AK18"/>
  <c r="AR17"/>
  <c r="AJ33"/>
  <c r="AK33" s="1"/>
  <c r="AI33"/>
  <c r="AP35" i="15" l="1"/>
  <c r="C180" i="21" l="1"/>
  <c r="D144" i="10" l="1"/>
  <c r="D51"/>
  <c r="D47"/>
  <c r="F29"/>
  <c r="AS21" i="15"/>
  <c r="AO33"/>
  <c r="AO17"/>
  <c r="AJ35"/>
  <c r="AJ36"/>
  <c r="AR18" i="14"/>
  <c r="AS18"/>
  <c r="AT18"/>
  <c r="AV18"/>
  <c r="AW18"/>
  <c r="AX18"/>
  <c r="AY18"/>
  <c r="AZ18"/>
  <c r="BA18"/>
  <c r="BB18"/>
  <c r="BC18"/>
  <c r="AR19"/>
  <c r="AS19"/>
  <c r="AT19"/>
  <c r="AV19"/>
  <c r="AW19"/>
  <c r="AX19"/>
  <c r="AZ19"/>
  <c r="BA19"/>
  <c r="BC19" s="1"/>
  <c r="BB19"/>
  <c r="AR41"/>
  <c r="AS41"/>
  <c r="AT41"/>
  <c r="AR38"/>
  <c r="AS38"/>
  <c r="AT38"/>
  <c r="AU38"/>
  <c r="AV38"/>
  <c r="AW38"/>
  <c r="AX38"/>
  <c r="AZ38"/>
  <c r="BA38"/>
  <c r="BB38"/>
  <c r="BC38"/>
  <c r="AR39"/>
  <c r="AS39"/>
  <c r="AT39"/>
  <c r="AU39" s="1"/>
  <c r="AV39"/>
  <c r="AW39"/>
  <c r="AX39"/>
  <c r="AZ39"/>
  <c r="BA39"/>
  <c r="BB39"/>
  <c r="AR40"/>
  <c r="AS40"/>
  <c r="AT40"/>
  <c r="AV40"/>
  <c r="AW40"/>
  <c r="AX40"/>
  <c r="AZ40"/>
  <c r="BA40"/>
  <c r="BB40"/>
  <c r="BC40" s="1"/>
  <c r="D73" i="1"/>
  <c r="AY19" i="14" l="1"/>
  <c r="BC39"/>
  <c r="AW28"/>
  <c r="AW44" s="1"/>
  <c r="F69" i="1"/>
  <c r="G69" s="1"/>
  <c r="E69"/>
  <c r="D69"/>
  <c r="C69"/>
  <c r="G68"/>
  <c r="G65"/>
  <c r="F64"/>
  <c r="E64"/>
  <c r="D64"/>
  <c r="C64"/>
  <c r="G62"/>
  <c r="G61"/>
  <c r="G59"/>
  <c r="F57"/>
  <c r="E57"/>
  <c r="D57"/>
  <c r="G54"/>
  <c r="G50"/>
  <c r="C50"/>
  <c r="G46"/>
  <c r="C46"/>
  <c r="B43"/>
  <c r="C33" s="1"/>
  <c r="G33"/>
  <c r="G32"/>
  <c r="F31"/>
  <c r="E31"/>
  <c r="D31"/>
  <c r="C31"/>
  <c r="G30"/>
  <c r="G28"/>
  <c r="G27"/>
  <c r="G25"/>
  <c r="F24"/>
  <c r="E24"/>
  <c r="D24"/>
  <c r="C24"/>
  <c r="G23"/>
  <c r="B22"/>
  <c r="G20"/>
  <c r="G15"/>
  <c r="G12"/>
  <c r="G9"/>
  <c r="C64" i="17"/>
  <c r="G62"/>
  <c r="D70" i="1" l="1"/>
  <c r="C57"/>
  <c r="G57"/>
  <c r="G64"/>
  <c r="E70"/>
  <c r="F70"/>
  <c r="G70" s="1"/>
  <c r="G31"/>
  <c r="G24"/>
  <c r="G92" l="1"/>
  <c r="G92" i="17"/>
  <c r="AK18" i="18"/>
  <c r="F119" i="21"/>
  <c r="B76"/>
  <c r="B72"/>
  <c r="F155" i="10"/>
  <c r="F132"/>
  <c r="F117"/>
  <c r="F56"/>
  <c r="B62"/>
  <c r="B58"/>
  <c r="F37"/>
  <c r="AK19" i="18" l="1"/>
  <c r="E180" i="21"/>
  <c r="F225"/>
  <c r="F81"/>
  <c r="F43"/>
  <c r="F9" i="10"/>
  <c r="F93"/>
  <c r="T18" i="18" l="1"/>
  <c r="E212" i="21"/>
  <c r="AC18" i="18" s="1"/>
  <c r="C212" i="21"/>
  <c r="F82" i="10"/>
  <c r="X18" i="18" l="1"/>
  <c r="F79" i="10"/>
  <c r="F69"/>
  <c r="F77" i="21"/>
  <c r="F10" i="10"/>
  <c r="F62" i="21"/>
  <c r="F42" i="10"/>
  <c r="F136" i="21"/>
  <c r="F32" i="10"/>
  <c r="F51"/>
  <c r="F67" i="21"/>
  <c r="F146"/>
  <c r="F90" i="10"/>
  <c r="F71"/>
  <c r="F217" i="21"/>
  <c r="F95" i="10"/>
  <c r="F134" i="21"/>
  <c r="F135"/>
  <c r="F27" i="10"/>
  <c r="F28"/>
  <c r="F47"/>
  <c r="F138" i="21"/>
  <c r="F91"/>
  <c r="F127" i="10"/>
  <c r="F64"/>
  <c r="F43" l="1"/>
  <c r="F145" i="21"/>
  <c r="F72" i="10"/>
  <c r="F143" l="1"/>
  <c r="F32" i="21"/>
  <c r="F14"/>
  <c r="F103" i="10"/>
  <c r="F102"/>
  <c r="F114"/>
  <c r="F153" i="21"/>
  <c r="F154"/>
  <c r="F155"/>
  <c r="F151"/>
  <c r="F152"/>
  <c r="F108" i="10"/>
  <c r="F109"/>
  <c r="F110"/>
  <c r="F111"/>
  <c r="F112"/>
  <c r="F54" i="21"/>
  <c r="F22" i="10"/>
  <c r="F96"/>
  <c r="F124" i="21"/>
  <c r="F89"/>
  <c r="F116" i="10"/>
  <c r="F146"/>
  <c r="F42" i="21"/>
  <c r="F8" i="10"/>
  <c r="F80" i="21"/>
  <c r="F89" i="10"/>
  <c r="F132" i="21" l="1"/>
  <c r="F26" i="10"/>
  <c r="E116" i="21"/>
  <c r="D22"/>
  <c r="E144" i="10"/>
  <c r="E66"/>
  <c r="C116" i="21"/>
  <c r="F33"/>
  <c r="F16"/>
  <c r="F113" i="10"/>
  <c r="E145" l="1"/>
  <c r="L18" i="18"/>
  <c r="E22" i="21"/>
  <c r="F129" i="10"/>
  <c r="F11" i="21"/>
  <c r="F28"/>
  <c r="F54" i="10"/>
  <c r="E227" i="21"/>
  <c r="E222"/>
  <c r="E128"/>
  <c r="F66" i="10"/>
  <c r="Y26" i="16"/>
  <c r="I26"/>
  <c r="E26"/>
  <c r="Q26" i="15"/>
  <c r="AW14" i="14"/>
  <c r="AZ41"/>
  <c r="BA41"/>
  <c r="BB41"/>
  <c r="AV41"/>
  <c r="AW41"/>
  <c r="AX41"/>
  <c r="BB35"/>
  <c r="BB42"/>
  <c r="BB14"/>
  <c r="BB15"/>
  <c r="BB16"/>
  <c r="BB17"/>
  <c r="BB20"/>
  <c r="BB21"/>
  <c r="BB22"/>
  <c r="BB23"/>
  <c r="BB24"/>
  <c r="BB25"/>
  <c r="BB26"/>
  <c r="BB27"/>
  <c r="BB29"/>
  <c r="BB30"/>
  <c r="BB31"/>
  <c r="BB32"/>
  <c r="BB33"/>
  <c r="BB34"/>
  <c r="BB36"/>
  <c r="BB37"/>
  <c r="AX29"/>
  <c r="AX30"/>
  <c r="AX31"/>
  <c r="AX32"/>
  <c r="AX34"/>
  <c r="AX35"/>
  <c r="AX36"/>
  <c r="AX37"/>
  <c r="AX42"/>
  <c r="AX14"/>
  <c r="AX15"/>
  <c r="AX16"/>
  <c r="AX17"/>
  <c r="AX20"/>
  <c r="AX21"/>
  <c r="AX22"/>
  <c r="AX23"/>
  <c r="AX24"/>
  <c r="AX25"/>
  <c r="AX26"/>
  <c r="AX27"/>
  <c r="AT14"/>
  <c r="AT15"/>
  <c r="AT16"/>
  <c r="AT17"/>
  <c r="AT20"/>
  <c r="AT21"/>
  <c r="AT22"/>
  <c r="AT23"/>
  <c r="AT24"/>
  <c r="AT25"/>
  <c r="AT26"/>
  <c r="AT27"/>
  <c r="AT29"/>
  <c r="AT30"/>
  <c r="AT31"/>
  <c r="AT32"/>
  <c r="AT33"/>
  <c r="AT34"/>
  <c r="AT35"/>
  <c r="AT36"/>
  <c r="AT37"/>
  <c r="AT42"/>
  <c r="AH42"/>
  <c r="AO43"/>
  <c r="AO28"/>
  <c r="AK43"/>
  <c r="AK28"/>
  <c r="AG43"/>
  <c r="AG28"/>
  <c r="AC43"/>
  <c r="AC28"/>
  <c r="Y43"/>
  <c r="Y28"/>
  <c r="U36"/>
  <c r="T43"/>
  <c r="T28"/>
  <c r="Q37"/>
  <c r="Q31"/>
  <c r="Q32"/>
  <c r="Q33"/>
  <c r="Q34"/>
  <c r="Q30"/>
  <c r="Q21"/>
  <c r="P43"/>
  <c r="P28"/>
  <c r="M26"/>
  <c r="M25"/>
  <c r="M24"/>
  <c r="M23"/>
  <c r="M22"/>
  <c r="M20"/>
  <c r="L43"/>
  <c r="L28"/>
  <c r="I17"/>
  <c r="H43"/>
  <c r="H28"/>
  <c r="E27"/>
  <c r="E15"/>
  <c r="E16"/>
  <c r="D43"/>
  <c r="D28"/>
  <c r="C28"/>
  <c r="E14"/>
  <c r="F102" i="17"/>
  <c r="F96"/>
  <c r="F89"/>
  <c r="G74"/>
  <c r="G72"/>
  <c r="F69"/>
  <c r="G68"/>
  <c r="G65"/>
  <c r="F64"/>
  <c r="G61"/>
  <c r="G59"/>
  <c r="G54"/>
  <c r="G50"/>
  <c r="G46"/>
  <c r="G33"/>
  <c r="G32"/>
  <c r="F31"/>
  <c r="G30"/>
  <c r="G28"/>
  <c r="G27"/>
  <c r="G25"/>
  <c r="F24"/>
  <c r="G23"/>
  <c r="G20"/>
  <c r="G15"/>
  <c r="G12"/>
  <c r="G9"/>
  <c r="G90" i="1"/>
  <c r="G74"/>
  <c r="G72"/>
  <c r="F103"/>
  <c r="F97"/>
  <c r="F89"/>
  <c r="F34" i="21" l="1"/>
  <c r="AG18" i="18"/>
  <c r="P18"/>
  <c r="H18"/>
  <c r="F22" i="21"/>
  <c r="D18" i="18"/>
  <c r="E157" i="10"/>
  <c r="F17" i="21"/>
  <c r="E229"/>
  <c r="E28" i="14"/>
  <c r="BB43"/>
  <c r="AX43"/>
  <c r="AC44"/>
  <c r="AT43"/>
  <c r="AT28"/>
  <c r="D44"/>
  <c r="AX28"/>
  <c r="BB28"/>
  <c r="AK44"/>
  <c r="AG44"/>
  <c r="Y44"/>
  <c r="AO44"/>
  <c r="T44"/>
  <c r="P44"/>
  <c r="L44"/>
  <c r="H44"/>
  <c r="F70" i="17"/>
  <c r="F73" s="1"/>
  <c r="F99" s="1"/>
  <c r="F100" i="1"/>
  <c r="I34" i="16"/>
  <c r="AN32"/>
  <c r="AN38"/>
  <c r="AN25"/>
  <c r="AN26"/>
  <c r="AN21"/>
  <c r="AN22"/>
  <c r="AN17"/>
  <c r="AN18"/>
  <c r="AN13"/>
  <c r="AN14"/>
  <c r="AJ32"/>
  <c r="AR32" s="1"/>
  <c r="AJ34"/>
  <c r="AK34" s="1"/>
  <c r="AJ25"/>
  <c r="AJ26"/>
  <c r="AJ21"/>
  <c r="AJ22"/>
  <c r="AJ17"/>
  <c r="AJ18"/>
  <c r="AJ13"/>
  <c r="AJ14"/>
  <c r="AT38" i="15"/>
  <c r="AT37"/>
  <c r="AK38"/>
  <c r="AG38"/>
  <c r="AG37"/>
  <c r="AG36"/>
  <c r="AG39" s="1"/>
  <c r="AC38"/>
  <c r="AC37"/>
  <c r="AC36"/>
  <c r="AC39" s="1"/>
  <c r="Y38"/>
  <c r="Y37"/>
  <c r="T39"/>
  <c r="T38"/>
  <c r="T37"/>
  <c r="T36"/>
  <c r="P38"/>
  <c r="L38"/>
  <c r="L37"/>
  <c r="L36"/>
  <c r="H38"/>
  <c r="H39" s="1"/>
  <c r="I39" s="1"/>
  <c r="H37"/>
  <c r="H36"/>
  <c r="I36" s="1"/>
  <c r="AF38" i="16"/>
  <c r="AF36"/>
  <c r="AF35"/>
  <c r="AF29"/>
  <c r="AF37" s="1"/>
  <c r="AF28"/>
  <c r="AF27"/>
  <c r="AF23"/>
  <c r="AF19"/>
  <c r="AF15"/>
  <c r="AH14"/>
  <c r="AI14"/>
  <c r="AH17"/>
  <c r="AH22"/>
  <c r="AI22"/>
  <c r="AH34"/>
  <c r="AI34"/>
  <c r="AB38"/>
  <c r="AB35"/>
  <c r="AB29"/>
  <c r="AB37" s="1"/>
  <c r="AB28"/>
  <c r="AB36" s="1"/>
  <c r="AB27"/>
  <c r="AB23"/>
  <c r="AB19"/>
  <c r="AB15"/>
  <c r="X38"/>
  <c r="X35"/>
  <c r="X29"/>
  <c r="X37" s="1"/>
  <c r="X28"/>
  <c r="X36" s="1"/>
  <c r="X27"/>
  <c r="X23"/>
  <c r="X19"/>
  <c r="X15"/>
  <c r="T38"/>
  <c r="T35"/>
  <c r="T29"/>
  <c r="T37" s="1"/>
  <c r="T28"/>
  <c r="T36" s="1"/>
  <c r="T27"/>
  <c r="T23"/>
  <c r="T19"/>
  <c r="T15"/>
  <c r="P38"/>
  <c r="P35"/>
  <c r="P29"/>
  <c r="P37" s="1"/>
  <c r="P28"/>
  <c r="P36" s="1"/>
  <c r="P27"/>
  <c r="P23"/>
  <c r="P19"/>
  <c r="P15"/>
  <c r="L38"/>
  <c r="L35"/>
  <c r="L29"/>
  <c r="L37" s="1"/>
  <c r="L28"/>
  <c r="L36" s="1"/>
  <c r="L27"/>
  <c r="L23"/>
  <c r="L19"/>
  <c r="L15"/>
  <c r="H38"/>
  <c r="H35"/>
  <c r="H29"/>
  <c r="H37" s="1"/>
  <c r="H28"/>
  <c r="H36" s="1"/>
  <c r="H27"/>
  <c r="H23"/>
  <c r="H19"/>
  <c r="H15"/>
  <c r="D38"/>
  <c r="AJ38" s="1"/>
  <c r="D35"/>
  <c r="E34"/>
  <c r="D28"/>
  <c r="D36" s="1"/>
  <c r="D29"/>
  <c r="D37" s="1"/>
  <c r="D27"/>
  <c r="D23"/>
  <c r="D19"/>
  <c r="D15"/>
  <c r="AV30" i="15"/>
  <c r="AV29"/>
  <c r="AV28"/>
  <c r="AN30"/>
  <c r="AN29"/>
  <c r="AN28"/>
  <c r="AI30"/>
  <c r="AK29"/>
  <c r="AK37" s="1"/>
  <c r="AJ29"/>
  <c r="AI29"/>
  <c r="AK28"/>
  <c r="AJ28"/>
  <c r="AI28"/>
  <c r="AF30"/>
  <c r="AE30"/>
  <c r="AG29"/>
  <c r="AF29"/>
  <c r="AE29"/>
  <c r="AH28"/>
  <c r="AG28"/>
  <c r="AG30" s="1"/>
  <c r="AH30" s="1"/>
  <c r="AF28"/>
  <c r="AE28"/>
  <c r="AB30"/>
  <c r="AA30"/>
  <c r="AC29"/>
  <c r="AB29"/>
  <c r="AA29"/>
  <c r="AC28"/>
  <c r="AC30" s="1"/>
  <c r="AB28"/>
  <c r="AA28"/>
  <c r="W30"/>
  <c r="Y29"/>
  <c r="X29"/>
  <c r="W29"/>
  <c r="Y28"/>
  <c r="Y30" s="1"/>
  <c r="X28"/>
  <c r="X30" s="1"/>
  <c r="W28"/>
  <c r="T30"/>
  <c r="S30"/>
  <c r="R30"/>
  <c r="T29"/>
  <c r="S29"/>
  <c r="R29"/>
  <c r="T28"/>
  <c r="S28"/>
  <c r="R28"/>
  <c r="N30"/>
  <c r="P29"/>
  <c r="O29"/>
  <c r="N29"/>
  <c r="P28"/>
  <c r="P36" s="1"/>
  <c r="O28"/>
  <c r="O30" s="1"/>
  <c r="N28"/>
  <c r="L30"/>
  <c r="K30"/>
  <c r="J30"/>
  <c r="L29"/>
  <c r="K29"/>
  <c r="J29"/>
  <c r="L28"/>
  <c r="K28"/>
  <c r="J28"/>
  <c r="H28"/>
  <c r="H30" s="1"/>
  <c r="I30" s="1"/>
  <c r="H29"/>
  <c r="D28"/>
  <c r="D30" s="1"/>
  <c r="D29"/>
  <c r="AP13"/>
  <c r="AX13" s="1"/>
  <c r="AO13"/>
  <c r="AK35"/>
  <c r="AL35" s="1"/>
  <c r="AK27"/>
  <c r="AK23"/>
  <c r="AK19"/>
  <c r="AK15"/>
  <c r="AG35"/>
  <c r="AG27"/>
  <c r="AH27" s="1"/>
  <c r="AG23"/>
  <c r="AH23" s="1"/>
  <c r="AG19"/>
  <c r="AG15"/>
  <c r="AH15" s="1"/>
  <c r="AC35"/>
  <c r="AC27"/>
  <c r="AC23"/>
  <c r="AC19"/>
  <c r="AC15"/>
  <c r="Y35"/>
  <c r="Y27"/>
  <c r="Y23"/>
  <c r="Y19"/>
  <c r="Y15"/>
  <c r="T35"/>
  <c r="T27"/>
  <c r="T23"/>
  <c r="T19"/>
  <c r="T15"/>
  <c r="L35"/>
  <c r="M35" s="1"/>
  <c r="L27"/>
  <c r="L23"/>
  <c r="L19"/>
  <c r="L15"/>
  <c r="H35"/>
  <c r="H27"/>
  <c r="H23"/>
  <c r="H19"/>
  <c r="H15"/>
  <c r="P35"/>
  <c r="Q35" s="1"/>
  <c r="P27"/>
  <c r="Q27" s="1"/>
  <c r="P23"/>
  <c r="Q23" s="1"/>
  <c r="P19"/>
  <c r="P15"/>
  <c r="Q15" s="1"/>
  <c r="AL32"/>
  <c r="AL25"/>
  <c r="AL21"/>
  <c r="AL17"/>
  <c r="AL13"/>
  <c r="AH35"/>
  <c r="AH32"/>
  <c r="AH25"/>
  <c r="AH21"/>
  <c r="AH19"/>
  <c r="AH17"/>
  <c r="AH13"/>
  <c r="Q32"/>
  <c r="Q25"/>
  <c r="Q21"/>
  <c r="Q17"/>
  <c r="Q13"/>
  <c r="M38"/>
  <c r="I28"/>
  <c r="I23"/>
  <c r="I21"/>
  <c r="D37"/>
  <c r="D38"/>
  <c r="D35"/>
  <c r="E32"/>
  <c r="D27"/>
  <c r="E25"/>
  <c r="D23"/>
  <c r="E21"/>
  <c r="D19"/>
  <c r="E17"/>
  <c r="AK30" l="1"/>
  <c r="AL29"/>
  <c r="P37"/>
  <c r="Q29"/>
  <c r="L39"/>
  <c r="D36"/>
  <c r="AS18" i="18"/>
  <c r="AJ30" i="15"/>
  <c r="AL30"/>
  <c r="Y36"/>
  <c r="Y39" s="1"/>
  <c r="AT44" i="14"/>
  <c r="AO18" i="18"/>
  <c r="AR38" i="16"/>
  <c r="AN19"/>
  <c r="AR18"/>
  <c r="AR26"/>
  <c r="AJ27"/>
  <c r="AR14"/>
  <c r="AN15"/>
  <c r="AR22"/>
  <c r="AN36"/>
  <c r="AR13"/>
  <c r="AR15" s="1"/>
  <c r="AJ23"/>
  <c r="AN23"/>
  <c r="AJ37"/>
  <c r="AK36" i="15"/>
  <c r="AK39" s="1"/>
  <c r="P30"/>
  <c r="Q30" s="1"/>
  <c r="P39"/>
  <c r="AX44" i="14"/>
  <c r="BB44"/>
  <c r="F103" i="17"/>
  <c r="AR21" i="16"/>
  <c r="AR25"/>
  <c r="AJ29"/>
  <c r="AJ36"/>
  <c r="AJ28"/>
  <c r="AJ19"/>
  <c r="AN35"/>
  <c r="AN28"/>
  <c r="AN27"/>
  <c r="AN29"/>
  <c r="AJ35"/>
  <c r="AJ15"/>
  <c r="D30"/>
  <c r="AF39"/>
  <c r="AG16" i="18" s="1"/>
  <c r="AG19" s="1"/>
  <c r="AF30" i="16"/>
  <c r="AB39"/>
  <c r="AC16" i="18" s="1"/>
  <c r="AC19" s="1"/>
  <c r="X39" i="16"/>
  <c r="X16" i="18" s="1"/>
  <c r="X19" s="1"/>
  <c r="AB30" i="16"/>
  <c r="X30"/>
  <c r="T39"/>
  <c r="T16" i="18" s="1"/>
  <c r="T19" s="1"/>
  <c r="L39" i="16"/>
  <c r="L16" i="18" s="1"/>
  <c r="L19" s="1"/>
  <c r="T30" i="16"/>
  <c r="P39"/>
  <c r="P16" i="18" s="1"/>
  <c r="P19" s="1"/>
  <c r="P30" i="16"/>
  <c r="L30"/>
  <c r="H39"/>
  <c r="H16" i="18" s="1"/>
  <c r="H19" s="1"/>
  <c r="H30" i="16"/>
  <c r="D39"/>
  <c r="D16" i="18" s="1"/>
  <c r="D19" s="1"/>
  <c r="AL28" i="15"/>
  <c r="Q28"/>
  <c r="D39"/>
  <c r="D15"/>
  <c r="E13"/>
  <c r="AT13"/>
  <c r="AT14"/>
  <c r="AT15"/>
  <c r="AT17"/>
  <c r="AT18"/>
  <c r="AT21"/>
  <c r="AU21" s="1"/>
  <c r="AT22"/>
  <c r="AT25"/>
  <c r="AT26"/>
  <c r="AT29"/>
  <c r="AT32"/>
  <c r="AT33"/>
  <c r="AT34"/>
  <c r="AQ13"/>
  <c r="AP14"/>
  <c r="AP17"/>
  <c r="AP18"/>
  <c r="AX18" s="1"/>
  <c r="AP21"/>
  <c r="AP22"/>
  <c r="AP25"/>
  <c r="AX25" s="1"/>
  <c r="AP26"/>
  <c r="AP33"/>
  <c r="AQ33" s="1"/>
  <c r="AP34"/>
  <c r="AQ34" s="1"/>
  <c r="AP38" l="1"/>
  <c r="AQ38" s="1"/>
  <c r="AP28"/>
  <c r="AP36" s="1"/>
  <c r="AW18" i="18"/>
  <c r="AR35" i="16"/>
  <c r="AN37"/>
  <c r="AR29"/>
  <c r="AN30"/>
  <c r="AJ30"/>
  <c r="AJ39"/>
  <c r="AO16" i="18" s="1"/>
  <c r="AO19" s="1"/>
  <c r="AX26" i="15"/>
  <c r="AP29"/>
  <c r="AP37" s="1"/>
  <c r="AX37" s="1"/>
  <c r="AR23" i="16"/>
  <c r="AR28"/>
  <c r="AR27"/>
  <c r="AR19"/>
  <c r="AX22" i="15"/>
  <c r="AX14"/>
  <c r="AP15"/>
  <c r="AX21"/>
  <c r="AT35"/>
  <c r="AT28"/>
  <c r="AT27"/>
  <c r="AT23"/>
  <c r="AU23" s="1"/>
  <c r="AX17"/>
  <c r="AP27"/>
  <c r="AP23"/>
  <c r="AT19"/>
  <c r="AP19"/>
  <c r="AX29" l="1"/>
  <c r="AY26"/>
  <c r="AX38"/>
  <c r="AU28"/>
  <c r="AT36"/>
  <c r="AX36" s="1"/>
  <c r="AX39" s="1"/>
  <c r="AN39" i="16"/>
  <c r="AS16" i="18" s="1"/>
  <c r="AS19" s="1"/>
  <c r="AR30" i="16"/>
  <c r="AR37"/>
  <c r="AP30" i="15"/>
  <c r="AX28"/>
  <c r="AP39"/>
  <c r="F104" i="1"/>
  <c r="AR36" i="16"/>
  <c r="AX15" i="15"/>
  <c r="AX27"/>
  <c r="AX23"/>
  <c r="AT30"/>
  <c r="AX19"/>
  <c r="AJ18" i="18"/>
  <c r="AL18" s="1"/>
  <c r="F226" i="21"/>
  <c r="B179"/>
  <c r="D197"/>
  <c r="F197" s="1"/>
  <c r="D157"/>
  <c r="D216"/>
  <c r="F216" s="1"/>
  <c r="D184"/>
  <c r="D194" s="1"/>
  <c r="D201"/>
  <c r="C222"/>
  <c r="D220"/>
  <c r="D208"/>
  <c r="F208" s="1"/>
  <c r="D70"/>
  <c r="F70" s="1"/>
  <c r="D93"/>
  <c r="F93" s="1"/>
  <c r="D63"/>
  <c r="F63" s="1"/>
  <c r="B65"/>
  <c r="D61"/>
  <c r="F115"/>
  <c r="F133"/>
  <c r="B45"/>
  <c r="D148" i="10"/>
  <c r="B151"/>
  <c r="D73"/>
  <c r="D114"/>
  <c r="D71"/>
  <c r="D77"/>
  <c r="D82"/>
  <c r="D36"/>
  <c r="F157" i="21" l="1"/>
  <c r="F194"/>
  <c r="AT39" i="15"/>
  <c r="AU36"/>
  <c r="D212" i="21"/>
  <c r="AB18" i="18" s="1"/>
  <c r="AD18" s="1"/>
  <c r="D116" i="21"/>
  <c r="F116" s="1"/>
  <c r="D222"/>
  <c r="AR39" i="16"/>
  <c r="AW16" i="18" s="1"/>
  <c r="AW19" s="1"/>
  <c r="AX30" i="15"/>
  <c r="D56" i="10"/>
  <c r="D10"/>
  <c r="B11"/>
  <c r="D132"/>
  <c r="B45"/>
  <c r="D43"/>
  <c r="W32" i="16"/>
  <c r="Y32" s="1"/>
  <c r="M32"/>
  <c r="AC21"/>
  <c r="Y21"/>
  <c r="AE21"/>
  <c r="AG21" s="1"/>
  <c r="U21"/>
  <c r="I21"/>
  <c r="Y25"/>
  <c r="S25"/>
  <c r="U25" s="1"/>
  <c r="M25"/>
  <c r="I25"/>
  <c r="S18"/>
  <c r="M17"/>
  <c r="I17"/>
  <c r="Y13"/>
  <c r="S13"/>
  <c r="U13" s="1"/>
  <c r="I13"/>
  <c r="AO32" i="15"/>
  <c r="AQ32" s="1"/>
  <c r="AN25"/>
  <c r="AO25"/>
  <c r="AQ25" s="1"/>
  <c r="AW13"/>
  <c r="AS13"/>
  <c r="AJ15"/>
  <c r="AL15" s="1"/>
  <c r="O32"/>
  <c r="AF21"/>
  <c r="AO21"/>
  <c r="AQ21" s="1"/>
  <c r="AF27" i="14"/>
  <c r="AH27" s="1"/>
  <c r="AJ42"/>
  <c r="AL42" s="1"/>
  <c r="E102" i="1"/>
  <c r="G102" s="1"/>
  <c r="AF18" i="18" l="1"/>
  <c r="AH18" s="1"/>
  <c r="F222" i="21"/>
  <c r="AO28" i="15"/>
  <c r="AQ17"/>
  <c r="AY13"/>
  <c r="AI26" i="16"/>
  <c r="AK26" s="1"/>
  <c r="M26"/>
  <c r="E21"/>
  <c r="E13"/>
  <c r="E17"/>
  <c r="AI17"/>
  <c r="E25"/>
  <c r="AI25"/>
  <c r="D71" i="17"/>
  <c r="G71" s="1"/>
  <c r="AQ28" i="15" l="1"/>
  <c r="AK17" i="16"/>
  <c r="AI27"/>
  <c r="AK27" s="1"/>
  <c r="AK25"/>
  <c r="AM34" l="1"/>
  <c r="AL34"/>
  <c r="AM32"/>
  <c r="AO32" s="1"/>
  <c r="AL32"/>
  <c r="AM26"/>
  <c r="AO26" s="1"/>
  <c r="AL26"/>
  <c r="AM25"/>
  <c r="AL25"/>
  <c r="AM22"/>
  <c r="AL22"/>
  <c r="AM21"/>
  <c r="AL21"/>
  <c r="AM18"/>
  <c r="AL18"/>
  <c r="AM17"/>
  <c r="AL17"/>
  <c r="AL14"/>
  <c r="AP14" s="1"/>
  <c r="AM14"/>
  <c r="AL13"/>
  <c r="AM13"/>
  <c r="AO13" s="1"/>
  <c r="AE38"/>
  <c r="AE35"/>
  <c r="AE29"/>
  <c r="AE28"/>
  <c r="AG28" s="1"/>
  <c r="AE27"/>
  <c r="AE23"/>
  <c r="AG23" s="1"/>
  <c r="AE19"/>
  <c r="AE15"/>
  <c r="AA38"/>
  <c r="AA35"/>
  <c r="AA29"/>
  <c r="AA28"/>
  <c r="AC28" s="1"/>
  <c r="AA27"/>
  <c r="AA23"/>
  <c r="AC23" s="1"/>
  <c r="AA19"/>
  <c r="AA15"/>
  <c r="W38"/>
  <c r="W35"/>
  <c r="Y35" s="1"/>
  <c r="W29"/>
  <c r="Y29" s="1"/>
  <c r="W28"/>
  <c r="Y28" s="1"/>
  <c r="W27"/>
  <c r="Y27" s="1"/>
  <c r="W23"/>
  <c r="Y23" s="1"/>
  <c r="W19"/>
  <c r="W15"/>
  <c r="Y15" s="1"/>
  <c r="S38"/>
  <c r="S29"/>
  <c r="U29" s="1"/>
  <c r="S28"/>
  <c r="U28" s="1"/>
  <c r="S27"/>
  <c r="U27" s="1"/>
  <c r="S23"/>
  <c r="U23" s="1"/>
  <c r="S19"/>
  <c r="U19" s="1"/>
  <c r="S15"/>
  <c r="U15" s="1"/>
  <c r="O38"/>
  <c r="O35"/>
  <c r="O29"/>
  <c r="O28"/>
  <c r="O27"/>
  <c r="O23"/>
  <c r="O19"/>
  <c r="O15"/>
  <c r="K38"/>
  <c r="K35"/>
  <c r="M35" s="1"/>
  <c r="K18"/>
  <c r="G38"/>
  <c r="I38" s="1"/>
  <c r="G29"/>
  <c r="I29" s="1"/>
  <c r="G28"/>
  <c r="I28" s="1"/>
  <c r="G27"/>
  <c r="I27" s="1"/>
  <c r="G23"/>
  <c r="I23" s="1"/>
  <c r="G19"/>
  <c r="I19" s="1"/>
  <c r="G15"/>
  <c r="I15" s="1"/>
  <c r="C38"/>
  <c r="C29"/>
  <c r="C28"/>
  <c r="C27"/>
  <c r="E27" s="1"/>
  <c r="C23"/>
  <c r="E23" s="1"/>
  <c r="C19"/>
  <c r="E19" s="1"/>
  <c r="C15"/>
  <c r="E15" s="1"/>
  <c r="D227" i="21"/>
  <c r="F227" s="1"/>
  <c r="W18" i="18"/>
  <c r="D128" i="21"/>
  <c r="K18" i="18"/>
  <c r="M18" s="1"/>
  <c r="D39" i="21"/>
  <c r="C18" i="18"/>
  <c r="C22" i="21"/>
  <c r="F144" i="10"/>
  <c r="D66"/>
  <c r="C66"/>
  <c r="O18" i="18" l="1"/>
  <c r="Q18" s="1"/>
  <c r="F128" i="21"/>
  <c r="G18" i="18"/>
  <c r="I18" s="1"/>
  <c r="F39" i="21"/>
  <c r="E18" i="18"/>
  <c r="AR18"/>
  <c r="AT18" s="1"/>
  <c r="Y18"/>
  <c r="AL19" i="16"/>
  <c r="AL23"/>
  <c r="AL27"/>
  <c r="E38"/>
  <c r="AI38"/>
  <c r="AK38" s="1"/>
  <c r="K19"/>
  <c r="M19" s="1"/>
  <c r="AI18"/>
  <c r="AI19" s="1"/>
  <c r="AK19" s="1"/>
  <c r="AM19"/>
  <c r="AM23"/>
  <c r="AO23" s="1"/>
  <c r="AO21"/>
  <c r="AM27"/>
  <c r="AO27" s="1"/>
  <c r="AO25"/>
  <c r="AE37"/>
  <c r="AM35"/>
  <c r="AO35" s="1"/>
  <c r="AM38"/>
  <c r="AQ14"/>
  <c r="AA37"/>
  <c r="W37"/>
  <c r="Y37" s="1"/>
  <c r="W36"/>
  <c r="S37"/>
  <c r="U37" s="1"/>
  <c r="O37"/>
  <c r="C30"/>
  <c r="E30" s="1"/>
  <c r="E28"/>
  <c r="C37"/>
  <c r="E29"/>
  <c r="G37"/>
  <c r="I37" s="1"/>
  <c r="D145" i="10"/>
  <c r="AM28" i="16"/>
  <c r="AO28" s="1"/>
  <c r="AQ26"/>
  <c r="AS26" s="1"/>
  <c r="AM29"/>
  <c r="AO29" s="1"/>
  <c r="AP17"/>
  <c r="AP22"/>
  <c r="AP34"/>
  <c r="K27"/>
  <c r="M27" s="1"/>
  <c r="O30"/>
  <c r="AA30"/>
  <c r="AC30" s="1"/>
  <c r="AE30"/>
  <c r="AG30" s="1"/>
  <c r="AQ17"/>
  <c r="AS17" s="1"/>
  <c r="AQ18"/>
  <c r="AQ22"/>
  <c r="AQ25"/>
  <c r="AS25" s="1"/>
  <c r="AQ34"/>
  <c r="AS34" s="1"/>
  <c r="AM15"/>
  <c r="AO15" s="1"/>
  <c r="W30"/>
  <c r="Y30" s="1"/>
  <c r="AE36"/>
  <c r="AG36" s="1"/>
  <c r="AA36"/>
  <c r="AC36" s="1"/>
  <c r="S30"/>
  <c r="U30" s="1"/>
  <c r="O36"/>
  <c r="K29"/>
  <c r="M29" s="1"/>
  <c r="G30"/>
  <c r="I30" s="1"/>
  <c r="AJ19" i="18"/>
  <c r="AL19" s="1"/>
  <c r="Y36" i="16" l="1"/>
  <c r="W39"/>
  <c r="W16" i="18" s="1"/>
  <c r="W19" s="1"/>
  <c r="D157" i="10"/>
  <c r="F157" s="1"/>
  <c r="F145"/>
  <c r="AQ38" i="16"/>
  <c r="AS38" s="1"/>
  <c r="AE39"/>
  <c r="AG39" s="1"/>
  <c r="E37"/>
  <c r="AI29"/>
  <c r="AK29" s="1"/>
  <c r="AM37"/>
  <c r="AO37" s="1"/>
  <c r="O39"/>
  <c r="K37"/>
  <c r="M37" s="1"/>
  <c r="AA39"/>
  <c r="AC39" s="1"/>
  <c r="AM36"/>
  <c r="AO36" s="1"/>
  <c r="AM30"/>
  <c r="AO30" s="1"/>
  <c r="AS34" i="15"/>
  <c r="AS38" s="1"/>
  <c r="AS33"/>
  <c r="AS32"/>
  <c r="AS27"/>
  <c r="AS26"/>
  <c r="AS25"/>
  <c r="AW25" s="1"/>
  <c r="AS22"/>
  <c r="AS23" s="1"/>
  <c r="AS18"/>
  <c r="AS17"/>
  <c r="AS14"/>
  <c r="AS15" s="1"/>
  <c r="AO34"/>
  <c r="AO38" s="1"/>
  <c r="AO26"/>
  <c r="AW26" s="1"/>
  <c r="AO22"/>
  <c r="AO29" s="1"/>
  <c r="AO30" s="1"/>
  <c r="AQ30" s="1"/>
  <c r="AW21"/>
  <c r="AY21" s="1"/>
  <c r="AO18"/>
  <c r="AW18" s="1"/>
  <c r="AO14"/>
  <c r="AO15"/>
  <c r="AQ15" s="1"/>
  <c r="AJ38"/>
  <c r="AJ37"/>
  <c r="AL37" s="1"/>
  <c r="AJ27"/>
  <c r="AL27" s="1"/>
  <c r="AJ23"/>
  <c r="AL23" s="1"/>
  <c r="AJ19"/>
  <c r="AL19" s="1"/>
  <c r="AF38"/>
  <c r="AF35"/>
  <c r="AF37"/>
  <c r="AF27"/>
  <c r="AF23"/>
  <c r="AF19"/>
  <c r="AF15"/>
  <c r="AB38"/>
  <c r="AB37"/>
  <c r="AB35"/>
  <c r="AB27"/>
  <c r="AB23"/>
  <c r="AB19"/>
  <c r="AB15"/>
  <c r="X38"/>
  <c r="X35"/>
  <c r="X37"/>
  <c r="X27"/>
  <c r="X23"/>
  <c r="X19"/>
  <c r="X15"/>
  <c r="S38"/>
  <c r="S35"/>
  <c r="S37"/>
  <c r="S27"/>
  <c r="S23"/>
  <c r="S19"/>
  <c r="S15"/>
  <c r="O38"/>
  <c r="O35"/>
  <c r="O37"/>
  <c r="Q37" s="1"/>
  <c r="O27"/>
  <c r="O23"/>
  <c r="O19"/>
  <c r="Q19" s="1"/>
  <c r="O15"/>
  <c r="K38"/>
  <c r="K36"/>
  <c r="K35"/>
  <c r="K27"/>
  <c r="K23"/>
  <c r="K19"/>
  <c r="K15"/>
  <c r="G38"/>
  <c r="G35"/>
  <c r="G29"/>
  <c r="G37" s="1"/>
  <c r="G28"/>
  <c r="G30" s="1"/>
  <c r="G27"/>
  <c r="G23"/>
  <c r="G19"/>
  <c r="G15"/>
  <c r="C38"/>
  <c r="C35"/>
  <c r="E35" s="1"/>
  <c r="C29"/>
  <c r="C37" s="1"/>
  <c r="C28"/>
  <c r="C27"/>
  <c r="E27" s="1"/>
  <c r="C23"/>
  <c r="E23" s="1"/>
  <c r="C19"/>
  <c r="E19" s="1"/>
  <c r="C15"/>
  <c r="E15" s="1"/>
  <c r="BA30" i="14"/>
  <c r="BC30" s="1"/>
  <c r="BA31"/>
  <c r="BC31" s="1"/>
  <c r="BA32"/>
  <c r="BC32" s="1"/>
  <c r="BA33"/>
  <c r="BC33" s="1"/>
  <c r="BA34"/>
  <c r="BC34" s="1"/>
  <c r="BA35"/>
  <c r="BC35" s="1"/>
  <c r="BA36"/>
  <c r="BC36" s="1"/>
  <c r="BA37"/>
  <c r="BC37" s="1"/>
  <c r="BA42"/>
  <c r="BC42" s="1"/>
  <c r="BA29"/>
  <c r="BA15"/>
  <c r="BC15" s="1"/>
  <c r="BA16"/>
  <c r="BC16" s="1"/>
  <c r="BA17"/>
  <c r="BC17" s="1"/>
  <c r="BA20"/>
  <c r="BC20" s="1"/>
  <c r="BA21"/>
  <c r="BC21" s="1"/>
  <c r="BA22"/>
  <c r="BC22" s="1"/>
  <c r="BA23"/>
  <c r="BC23" s="1"/>
  <c r="BA24"/>
  <c r="BC24" s="1"/>
  <c r="BA25"/>
  <c r="BC25" s="1"/>
  <c r="BA26"/>
  <c r="BC26" s="1"/>
  <c r="BA27"/>
  <c r="BC27" s="1"/>
  <c r="BA14"/>
  <c r="BC14" s="1"/>
  <c r="AZ30"/>
  <c r="AZ31"/>
  <c r="AZ32"/>
  <c r="AZ33"/>
  <c r="AZ34"/>
  <c r="AZ35"/>
  <c r="AZ36"/>
  <c r="AZ37"/>
  <c r="AZ42"/>
  <c r="AZ29"/>
  <c r="AZ15"/>
  <c r="AZ16"/>
  <c r="AZ17"/>
  <c r="AZ20"/>
  <c r="AZ21"/>
  <c r="AZ22"/>
  <c r="AZ23"/>
  <c r="AZ24"/>
  <c r="AZ25"/>
  <c r="AZ26"/>
  <c r="AZ27"/>
  <c r="AZ14"/>
  <c r="AV17"/>
  <c r="AW17"/>
  <c r="AY17" s="1"/>
  <c r="AS17"/>
  <c r="AS20"/>
  <c r="AU20" s="1"/>
  <c r="AR17"/>
  <c r="AR20"/>
  <c r="AS14"/>
  <c r="AU14" s="1"/>
  <c r="AW42"/>
  <c r="AY42" s="1"/>
  <c r="AW37"/>
  <c r="AW36"/>
  <c r="AY36" s="1"/>
  <c r="AW35"/>
  <c r="AW34"/>
  <c r="AW32"/>
  <c r="AW31"/>
  <c r="AW30"/>
  <c r="AW29"/>
  <c r="AW27"/>
  <c r="AW26"/>
  <c r="AW25"/>
  <c r="AW24"/>
  <c r="AW23"/>
  <c r="AW22"/>
  <c r="AW21"/>
  <c r="AW20"/>
  <c r="AW16"/>
  <c r="AW15"/>
  <c r="AS42"/>
  <c r="AU42" s="1"/>
  <c r="AS37"/>
  <c r="AU37" s="1"/>
  <c r="AS36"/>
  <c r="AS35"/>
  <c r="AU35" s="1"/>
  <c r="AS34"/>
  <c r="AU34" s="1"/>
  <c r="AS33"/>
  <c r="AU33" s="1"/>
  <c r="AS32"/>
  <c r="AU32" s="1"/>
  <c r="AS31"/>
  <c r="AU31" s="1"/>
  <c r="AS30"/>
  <c r="AU30" s="1"/>
  <c r="AS29"/>
  <c r="AS27"/>
  <c r="AU27" s="1"/>
  <c r="AS26"/>
  <c r="AU26" s="1"/>
  <c r="AS25"/>
  <c r="AU25" s="1"/>
  <c r="AS24"/>
  <c r="AU24" s="1"/>
  <c r="AS23"/>
  <c r="AU23" s="1"/>
  <c r="AS22"/>
  <c r="AU22" s="1"/>
  <c r="AS21"/>
  <c r="AU21" s="1"/>
  <c r="AS16"/>
  <c r="AU16" s="1"/>
  <c r="AS15"/>
  <c r="AU15" s="1"/>
  <c r="AN43"/>
  <c r="AN28"/>
  <c r="AJ43"/>
  <c r="AJ28"/>
  <c r="AF43"/>
  <c r="AH43" s="1"/>
  <c r="AF28"/>
  <c r="AB43"/>
  <c r="AB28"/>
  <c r="X43"/>
  <c r="X28"/>
  <c r="S43"/>
  <c r="U43" s="1"/>
  <c r="S28"/>
  <c r="W28"/>
  <c r="W43"/>
  <c r="O43"/>
  <c r="Q43" s="1"/>
  <c r="O28"/>
  <c r="K43"/>
  <c r="K28"/>
  <c r="M28" s="1"/>
  <c r="G43"/>
  <c r="G28"/>
  <c r="I28" s="1"/>
  <c r="C43"/>
  <c r="E43" s="1"/>
  <c r="E88" i="1"/>
  <c r="G88" s="1"/>
  <c r="E85"/>
  <c r="G85" s="1"/>
  <c r="E82"/>
  <c r="G82" s="1"/>
  <c r="E103"/>
  <c r="G103" s="1"/>
  <c r="E97"/>
  <c r="G97" s="1"/>
  <c r="G71"/>
  <c r="D90" i="17"/>
  <c r="G90" s="1"/>
  <c r="E85"/>
  <c r="G85" s="1"/>
  <c r="E82"/>
  <c r="G82" s="1"/>
  <c r="E96"/>
  <c r="G96" s="1"/>
  <c r="E69"/>
  <c r="G69" s="1"/>
  <c r="E64"/>
  <c r="G64" s="1"/>
  <c r="E57"/>
  <c r="G57" s="1"/>
  <c r="E31"/>
  <c r="G31" s="1"/>
  <c r="E24"/>
  <c r="G24" s="1"/>
  <c r="C69"/>
  <c r="D69"/>
  <c r="D57"/>
  <c r="AW27" i="15" l="1"/>
  <c r="AY27" s="1"/>
  <c r="AY25"/>
  <c r="C30"/>
  <c r="E30" s="1"/>
  <c r="E28"/>
  <c r="C36"/>
  <c r="E36" s="1"/>
  <c r="AQ29" i="16"/>
  <c r="AS29" s="1"/>
  <c r="Y16" i="18"/>
  <c r="Y39" i="16"/>
  <c r="AB44" i="14"/>
  <c r="AJ44"/>
  <c r="S44"/>
  <c r="U44" s="1"/>
  <c r="O44"/>
  <c r="Q44" s="1"/>
  <c r="Q28"/>
  <c r="K44"/>
  <c r="M44" s="1"/>
  <c r="G44"/>
  <c r="I44" s="1"/>
  <c r="W44"/>
  <c r="X44"/>
  <c r="AF44"/>
  <c r="AH44" s="1"/>
  <c r="AN44"/>
  <c r="AS43"/>
  <c r="AU43" s="1"/>
  <c r="AF16" i="18"/>
  <c r="AI37" i="16"/>
  <c r="AK37" s="1"/>
  <c r="AB16" i="18"/>
  <c r="AM39" i="16"/>
  <c r="AO39" s="1"/>
  <c r="O16" i="18"/>
  <c r="AB39" i="15"/>
  <c r="AS29"/>
  <c r="AS37"/>
  <c r="AO23"/>
  <c r="AQ23" s="1"/>
  <c r="AW22"/>
  <c r="AW29" s="1"/>
  <c r="AY29" s="1"/>
  <c r="AS35"/>
  <c r="AW14"/>
  <c r="AW15" s="1"/>
  <c r="AY15" s="1"/>
  <c r="AS19"/>
  <c r="AO35"/>
  <c r="AQ35" s="1"/>
  <c r="AO27"/>
  <c r="AQ27" s="1"/>
  <c r="AO19"/>
  <c r="AQ19" s="1"/>
  <c r="AW17"/>
  <c r="C44" i="14"/>
  <c r="E44" s="1"/>
  <c r="AS28" i="15"/>
  <c r="AF36"/>
  <c r="X36"/>
  <c r="S36"/>
  <c r="O36"/>
  <c r="K37"/>
  <c r="G36"/>
  <c r="G39" s="1"/>
  <c r="BA28" i="14"/>
  <c r="AY28"/>
  <c r="BA43"/>
  <c r="BC43" s="1"/>
  <c r="AW43"/>
  <c r="AY43" s="1"/>
  <c r="AS28"/>
  <c r="AU28" s="1"/>
  <c r="G70" i="17"/>
  <c r="AW23" i="15" l="1"/>
  <c r="AY23" s="1"/>
  <c r="AW19"/>
  <c r="AY19" s="1"/>
  <c r="AY17"/>
  <c r="AW28"/>
  <c r="C39"/>
  <c r="E39" s="1"/>
  <c r="AF19" i="18"/>
  <c r="AH19" s="1"/>
  <c r="AH16"/>
  <c r="AB19"/>
  <c r="AD19" s="1"/>
  <c r="AD16"/>
  <c r="O19"/>
  <c r="Q19" s="1"/>
  <c r="AQ37" i="16"/>
  <c r="AS37" s="1"/>
  <c r="AS44" i="14"/>
  <c r="AU44" s="1"/>
  <c r="AJ39" i="15"/>
  <c r="AL39" s="1"/>
  <c r="AL36"/>
  <c r="AF39"/>
  <c r="AH36"/>
  <c r="X39"/>
  <c r="S39"/>
  <c r="O39"/>
  <c r="Q39" s="1"/>
  <c r="Q36"/>
  <c r="K39"/>
  <c r="M39" s="1"/>
  <c r="AO37"/>
  <c r="AY44" i="14"/>
  <c r="AS30" i="15"/>
  <c r="AU30" s="1"/>
  <c r="AS36"/>
  <c r="AS39" s="1"/>
  <c r="AU39" s="1"/>
  <c r="AO36"/>
  <c r="AQ36" s="1"/>
  <c r="BA44" i="14"/>
  <c r="BC44" s="1"/>
  <c r="AW30" i="15" l="1"/>
  <c r="AY30" s="1"/>
  <c r="AY28"/>
  <c r="G73" i="1"/>
  <c r="AW37" i="15"/>
  <c r="AY37" s="1"/>
  <c r="AQ37"/>
  <c r="AW36"/>
  <c r="AY36" s="1"/>
  <c r="AO39"/>
  <c r="AQ39" s="1"/>
  <c r="AI18" i="18"/>
  <c r="AI19" s="1"/>
  <c r="F32" i="16"/>
  <c r="I32" s="1"/>
  <c r="B32"/>
  <c r="AH32" s="1"/>
  <c r="AH35" s="1"/>
  <c r="F35" i="15"/>
  <c r="J35"/>
  <c r="N35"/>
  <c r="R35"/>
  <c r="W35"/>
  <c r="AA35"/>
  <c r="AE35"/>
  <c r="AI35"/>
  <c r="B35"/>
  <c r="R32" i="16"/>
  <c r="J21"/>
  <c r="AH21" s="1"/>
  <c r="AH23" s="1"/>
  <c r="J13"/>
  <c r="AH13" s="1"/>
  <c r="AH15" s="1"/>
  <c r="J25"/>
  <c r="AH25" s="1"/>
  <c r="J26"/>
  <c r="AH26" s="1"/>
  <c r="J18"/>
  <c r="AH18" s="1"/>
  <c r="AH19" s="1"/>
  <c r="C227" i="21"/>
  <c r="B176"/>
  <c r="D173" s="1"/>
  <c r="D180" s="1"/>
  <c r="AE18" i="18"/>
  <c r="V18"/>
  <c r="B137" i="21"/>
  <c r="C128"/>
  <c r="N18" i="18" s="1"/>
  <c r="J18"/>
  <c r="B66" i="21"/>
  <c r="D96" i="17"/>
  <c r="B46" i="10"/>
  <c r="B33"/>
  <c r="D64" i="17"/>
  <c r="D31"/>
  <c r="D24"/>
  <c r="D101"/>
  <c r="C88"/>
  <c r="E73"/>
  <c r="C78"/>
  <c r="E77" s="1"/>
  <c r="G77" s="1"/>
  <c r="C50"/>
  <c r="C46"/>
  <c r="B43"/>
  <c r="C31"/>
  <c r="C24"/>
  <c r="B22"/>
  <c r="D71" i="1"/>
  <c r="AD38" i="16"/>
  <c r="Z38"/>
  <c r="V38"/>
  <c r="R38"/>
  <c r="N38"/>
  <c r="J38"/>
  <c r="F38"/>
  <c r="B38"/>
  <c r="AD35"/>
  <c r="Z35"/>
  <c r="V35"/>
  <c r="N35"/>
  <c r="J35"/>
  <c r="AD29"/>
  <c r="AD37" s="1"/>
  <c r="Z29"/>
  <c r="Z37" s="1"/>
  <c r="V29"/>
  <c r="R29"/>
  <c r="N29"/>
  <c r="N37" s="1"/>
  <c r="F29"/>
  <c r="B29"/>
  <c r="AD28"/>
  <c r="AD36" s="1"/>
  <c r="Z28"/>
  <c r="Z36" s="1"/>
  <c r="R28"/>
  <c r="N28"/>
  <c r="F28"/>
  <c r="AD27"/>
  <c r="Z27"/>
  <c r="V27"/>
  <c r="R27"/>
  <c r="N27"/>
  <c r="F27"/>
  <c r="B27"/>
  <c r="AD23"/>
  <c r="Z23"/>
  <c r="R23"/>
  <c r="N23"/>
  <c r="F23"/>
  <c r="V23"/>
  <c r="B28"/>
  <c r="AD19"/>
  <c r="Z19"/>
  <c r="V19"/>
  <c r="R19"/>
  <c r="N19"/>
  <c r="F19"/>
  <c r="B19"/>
  <c r="AD15"/>
  <c r="Z15"/>
  <c r="V15"/>
  <c r="R15"/>
  <c r="N15"/>
  <c r="F15"/>
  <c r="B15"/>
  <c r="AI38" i="15"/>
  <c r="AE38"/>
  <c r="AA38"/>
  <c r="W38"/>
  <c r="R38"/>
  <c r="N38"/>
  <c r="J38"/>
  <c r="F38"/>
  <c r="B38"/>
  <c r="J36"/>
  <c r="AR34"/>
  <c r="AN34"/>
  <c r="AR33"/>
  <c r="AW33" s="1"/>
  <c r="AY33" s="1"/>
  <c r="AN33"/>
  <c r="AR32"/>
  <c r="AW32" s="1"/>
  <c r="AY32" s="1"/>
  <c r="AN32"/>
  <c r="AI37"/>
  <c r="AE37"/>
  <c r="AA37"/>
  <c r="AA39" s="1"/>
  <c r="W37"/>
  <c r="R37"/>
  <c r="N37"/>
  <c r="J37"/>
  <c r="F29"/>
  <c r="B29"/>
  <c r="B37" s="1"/>
  <c r="B39" s="1"/>
  <c r="AE36"/>
  <c r="W36"/>
  <c r="R36"/>
  <c r="F28"/>
  <c r="F36" s="1"/>
  <c r="B28"/>
  <c r="B36"/>
  <c r="AI27"/>
  <c r="AE27"/>
  <c r="AA27"/>
  <c r="W27"/>
  <c r="R27"/>
  <c r="N27"/>
  <c r="J27"/>
  <c r="F27"/>
  <c r="B27"/>
  <c r="AR26"/>
  <c r="AN26"/>
  <c r="AR25"/>
  <c r="AI23"/>
  <c r="AE23"/>
  <c r="AA23"/>
  <c r="W23"/>
  <c r="R23"/>
  <c r="N23"/>
  <c r="J23"/>
  <c r="F23"/>
  <c r="B23"/>
  <c r="AR22"/>
  <c r="AN22"/>
  <c r="AN21"/>
  <c r="AV21" s="1"/>
  <c r="AI19"/>
  <c r="AE19"/>
  <c r="AA19"/>
  <c r="W19"/>
  <c r="R19"/>
  <c r="N19"/>
  <c r="J19"/>
  <c r="F19"/>
  <c r="B19"/>
  <c r="AR18"/>
  <c r="AR19" s="1"/>
  <c r="AN18"/>
  <c r="AR17"/>
  <c r="AN17"/>
  <c r="AI15"/>
  <c r="AE15"/>
  <c r="AA15"/>
  <c r="W15"/>
  <c r="R15"/>
  <c r="J15"/>
  <c r="F15"/>
  <c r="B15"/>
  <c r="AR14"/>
  <c r="AN14"/>
  <c r="AV14" s="1"/>
  <c r="AR13"/>
  <c r="AR15"/>
  <c r="AR33" i="14"/>
  <c r="AM43"/>
  <c r="AI43"/>
  <c r="AE43"/>
  <c r="AA43"/>
  <c r="R43"/>
  <c r="J43"/>
  <c r="F43"/>
  <c r="B43"/>
  <c r="AV42"/>
  <c r="AR42"/>
  <c r="AV37"/>
  <c r="AR37"/>
  <c r="AV36"/>
  <c r="AR36"/>
  <c r="AV35"/>
  <c r="AR35"/>
  <c r="AV34"/>
  <c r="AR34"/>
  <c r="AV32"/>
  <c r="AR32"/>
  <c r="AV31"/>
  <c r="AR31"/>
  <c r="AV30"/>
  <c r="AR30"/>
  <c r="AV29"/>
  <c r="AR29"/>
  <c r="AM28"/>
  <c r="AI28"/>
  <c r="AE28"/>
  <c r="AA28"/>
  <c r="R28"/>
  <c r="N28"/>
  <c r="J28"/>
  <c r="F28"/>
  <c r="B28"/>
  <c r="AV27"/>
  <c r="AR27"/>
  <c r="AV26"/>
  <c r="AR26"/>
  <c r="AV25"/>
  <c r="AR25"/>
  <c r="AV24"/>
  <c r="AR24"/>
  <c r="AV23"/>
  <c r="AR23"/>
  <c r="AV22"/>
  <c r="AR22"/>
  <c r="AV21"/>
  <c r="AR21"/>
  <c r="AV20"/>
  <c r="AV16"/>
  <c r="AR16"/>
  <c r="AV15"/>
  <c r="AR15"/>
  <c r="AV14"/>
  <c r="AR14"/>
  <c r="V28" i="16"/>
  <c r="B23"/>
  <c r="N15" i="15"/>
  <c r="AN13"/>
  <c r="N43" i="14"/>
  <c r="D103" i="1"/>
  <c r="D97"/>
  <c r="C78"/>
  <c r="E77" s="1"/>
  <c r="AY38" i="15" l="1"/>
  <c r="AY34"/>
  <c r="S18" i="18"/>
  <c r="AN18" s="1"/>
  <c r="F180" i="21"/>
  <c r="E89" i="1"/>
  <c r="G77"/>
  <c r="G73" i="17"/>
  <c r="AH38" i="16"/>
  <c r="AH27"/>
  <c r="AM44" i="14"/>
  <c r="AA44"/>
  <c r="AE44"/>
  <c r="AI44"/>
  <c r="AP26" i="16"/>
  <c r="AP25"/>
  <c r="AP18"/>
  <c r="AI32"/>
  <c r="AQ32" s="1"/>
  <c r="R35"/>
  <c r="S32"/>
  <c r="U32" s="1"/>
  <c r="V30"/>
  <c r="AP13"/>
  <c r="AP21"/>
  <c r="G35"/>
  <c r="I35" s="1"/>
  <c r="G36"/>
  <c r="I36" s="1"/>
  <c r="AN19" i="15"/>
  <c r="AV17"/>
  <c r="AV13"/>
  <c r="AV18"/>
  <c r="AN23"/>
  <c r="AV22"/>
  <c r="AV23" s="1"/>
  <c r="AV26"/>
  <c r="B30"/>
  <c r="AE39"/>
  <c r="AR29"/>
  <c r="AW35"/>
  <c r="AY35" s="1"/>
  <c r="AV33"/>
  <c r="AW39"/>
  <c r="AY39" s="1"/>
  <c r="AN35"/>
  <c r="AV32"/>
  <c r="AV35" s="1"/>
  <c r="AN38"/>
  <c r="AV25"/>
  <c r="D102" i="17"/>
  <c r="E101"/>
  <c r="C57"/>
  <c r="E88"/>
  <c r="F36" i="16"/>
  <c r="AD39"/>
  <c r="AE16" i="18" s="1"/>
  <c r="AE19" s="1"/>
  <c r="V36" i="16"/>
  <c r="AL36" s="1"/>
  <c r="AL28"/>
  <c r="B37"/>
  <c r="V37"/>
  <c r="AL37" s="1"/>
  <c r="AL29"/>
  <c r="AP32"/>
  <c r="AP35" s="1"/>
  <c r="AD30"/>
  <c r="AL38"/>
  <c r="AL35"/>
  <c r="J19"/>
  <c r="J23"/>
  <c r="F30"/>
  <c r="J27"/>
  <c r="Z39"/>
  <c r="F35"/>
  <c r="AQ19"/>
  <c r="AS19" s="1"/>
  <c r="Z30"/>
  <c r="F37"/>
  <c r="J29"/>
  <c r="J37" s="1"/>
  <c r="AL15"/>
  <c r="C144" i="10"/>
  <c r="D89" i="1"/>
  <c r="D70" i="17"/>
  <c r="D73" s="1"/>
  <c r="AN36" i="15"/>
  <c r="W39"/>
  <c r="J39"/>
  <c r="B36" i="16"/>
  <c r="AN27" i="15"/>
  <c r="B18" i="18"/>
  <c r="AV19" i="15"/>
  <c r="R39"/>
  <c r="C39" i="21"/>
  <c r="F18" i="18" s="1"/>
  <c r="B44" i="14"/>
  <c r="R44"/>
  <c r="J44"/>
  <c r="N44"/>
  <c r="F44"/>
  <c r="AV28"/>
  <c r="AZ28"/>
  <c r="AR35" i="15"/>
  <c r="N36"/>
  <c r="N39" s="1"/>
  <c r="J28" i="16"/>
  <c r="AH28" s="1"/>
  <c r="AN15" i="15"/>
  <c r="AR28" i="14"/>
  <c r="AV43"/>
  <c r="AV15" i="15"/>
  <c r="F37"/>
  <c r="D89" i="17"/>
  <c r="B30" i="16"/>
  <c r="AZ43" i="14"/>
  <c r="AR43"/>
  <c r="AR27" i="15"/>
  <c r="AV27"/>
  <c r="AI36"/>
  <c r="AI39" s="1"/>
  <c r="N36" i="16"/>
  <c r="N39" s="1"/>
  <c r="N16" i="18" s="1"/>
  <c r="N19" s="1"/>
  <c r="N30" i="16"/>
  <c r="R37"/>
  <c r="R30"/>
  <c r="F30" i="15"/>
  <c r="AR28"/>
  <c r="AR23"/>
  <c r="AN37"/>
  <c r="AR38"/>
  <c r="J15" i="16"/>
  <c r="R36"/>
  <c r="B35"/>
  <c r="U18" i="18" l="1"/>
  <c r="AP18"/>
  <c r="AV18"/>
  <c r="AX18" s="1"/>
  <c r="AV44" i="14"/>
  <c r="G89" i="1"/>
  <c r="E100"/>
  <c r="G100" s="1"/>
  <c r="D100"/>
  <c r="D104" s="1"/>
  <c r="D99" i="17"/>
  <c r="D103" s="1"/>
  <c r="AQ35" i="16"/>
  <c r="AS35" s="1"/>
  <c r="AS32"/>
  <c r="AI35"/>
  <c r="AK35" s="1"/>
  <c r="AK32"/>
  <c r="M21"/>
  <c r="AI21"/>
  <c r="C35"/>
  <c r="E35" s="1"/>
  <c r="E32"/>
  <c r="C36"/>
  <c r="E36" s="1"/>
  <c r="M13"/>
  <c r="AI13"/>
  <c r="AR44" i="14"/>
  <c r="E102" i="17"/>
  <c r="G101"/>
  <c r="G102" s="1"/>
  <c r="E89"/>
  <c r="E99" s="1"/>
  <c r="G88"/>
  <c r="AH37" i="16"/>
  <c r="AP37" s="1"/>
  <c r="AH29"/>
  <c r="AP29" s="1"/>
  <c r="K23"/>
  <c r="M23" s="1"/>
  <c r="F39"/>
  <c r="F16" i="18" s="1"/>
  <c r="F19" s="1"/>
  <c r="G39" i="16"/>
  <c r="I39" s="1"/>
  <c r="S35"/>
  <c r="U35" s="1"/>
  <c r="S36"/>
  <c r="U36" s="1"/>
  <c r="K15"/>
  <c r="M15" s="1"/>
  <c r="K28"/>
  <c r="AV38" i="15"/>
  <c r="R18" i="18"/>
  <c r="AM18" s="1"/>
  <c r="AP28" i="16"/>
  <c r="V39"/>
  <c r="V16" i="18" s="1"/>
  <c r="R39" i="16"/>
  <c r="R16" i="18" s="1"/>
  <c r="B39" i="16"/>
  <c r="B16" i="18" s="1"/>
  <c r="AP38" i="16"/>
  <c r="AP19"/>
  <c r="AP27"/>
  <c r="AP23"/>
  <c r="AA16" i="18"/>
  <c r="AQ27" i="16"/>
  <c r="AS27" s="1"/>
  <c r="AL39"/>
  <c r="AL30"/>
  <c r="C145" i="10"/>
  <c r="C157" s="1"/>
  <c r="AZ44" i="14"/>
  <c r="AN39" i="15"/>
  <c r="AR37"/>
  <c r="AV37" s="1"/>
  <c r="F39"/>
  <c r="AR36"/>
  <c r="AV36" s="1"/>
  <c r="AR30"/>
  <c r="J36" i="16"/>
  <c r="AH36" s="1"/>
  <c r="J30"/>
  <c r="AP15"/>
  <c r="C39" l="1"/>
  <c r="C16" i="18" s="1"/>
  <c r="E16" s="1"/>
  <c r="E104" i="1"/>
  <c r="G104" s="1"/>
  <c r="AI23" i="16"/>
  <c r="AK23" s="1"/>
  <c r="AK21"/>
  <c r="AQ21"/>
  <c r="AQ23" s="1"/>
  <c r="AS23" s="1"/>
  <c r="AK13"/>
  <c r="AI15"/>
  <c r="AK15" s="1"/>
  <c r="AI28"/>
  <c r="AK28" s="1"/>
  <c r="M28"/>
  <c r="G89" i="17"/>
  <c r="AH39" i="16"/>
  <c r="AH30"/>
  <c r="AQ13"/>
  <c r="K36"/>
  <c r="K30"/>
  <c r="M30" s="1"/>
  <c r="S39"/>
  <c r="U39" s="1"/>
  <c r="G16" i="18"/>
  <c r="I16" s="1"/>
  <c r="AQ16"/>
  <c r="B19"/>
  <c r="R19"/>
  <c r="V19"/>
  <c r="AP30" i="16"/>
  <c r="AP36"/>
  <c r="AP39" s="1"/>
  <c r="AR16" i="18"/>
  <c r="AT16" s="1"/>
  <c r="Y19"/>
  <c r="J39" i="16"/>
  <c r="J16" i="18" s="1"/>
  <c r="AR39" i="15"/>
  <c r="AV39"/>
  <c r="E39" i="16" l="1"/>
  <c r="G19" i="18"/>
  <c r="I19" s="1"/>
  <c r="AS21" i="16"/>
  <c r="AI30"/>
  <c r="AK30" s="1"/>
  <c r="AI36"/>
  <c r="AK36" s="1"/>
  <c r="M36"/>
  <c r="AQ28"/>
  <c r="AQ15"/>
  <c r="AS15" s="1"/>
  <c r="AS13"/>
  <c r="G99" i="17"/>
  <c r="E103"/>
  <c r="G103" s="1"/>
  <c r="K39" i="16"/>
  <c r="M39" s="1"/>
  <c r="S16" i="18"/>
  <c r="C19"/>
  <c r="E19" s="1"/>
  <c r="AM16"/>
  <c r="AU16" s="1"/>
  <c r="AR19"/>
  <c r="AT19" s="1"/>
  <c r="J19"/>
  <c r="S19" l="1"/>
  <c r="U19" s="1"/>
  <c r="U16"/>
  <c r="AI39" i="16"/>
  <c r="AK39" s="1"/>
  <c r="AQ30"/>
  <c r="AS30" s="1"/>
  <c r="AS28"/>
  <c r="AQ36"/>
  <c r="AS36" s="1"/>
  <c r="K16" i="18"/>
  <c r="M16" s="1"/>
  <c r="AM19"/>
  <c r="D229" i="21"/>
  <c r="F229" s="1"/>
  <c r="C229"/>
  <c r="AQ39" i="16" l="1"/>
  <c r="AS39" s="1"/>
  <c r="K19" i="18"/>
  <c r="M19" s="1"/>
  <c r="AN16"/>
  <c r="AP16" s="1"/>
  <c r="AA18"/>
  <c r="AQ18" s="1"/>
  <c r="AV16" l="1"/>
  <c r="AN19"/>
  <c r="AP19" s="1"/>
  <c r="AA19"/>
  <c r="AV19" l="1"/>
  <c r="AX19" s="1"/>
  <c r="AX16"/>
  <c r="AU18"/>
  <c r="AU19" s="1"/>
  <c r="AQ19"/>
</calcChain>
</file>

<file path=xl/sharedStrings.xml><?xml version="1.0" encoding="utf-8"?>
<sst xmlns="http://schemas.openxmlformats.org/spreadsheetml/2006/main" count="1137" uniqueCount="416">
  <si>
    <t>Adatok ezer Ft-ban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</si>
  <si>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</si>
  <si>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</si>
  <si>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</si>
  <si>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</si>
  <si>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</si>
  <si>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</si>
  <si>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</si>
  <si>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</si>
  <si>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</si>
  <si>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</si>
  <si>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</si>
  <si>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</si>
  <si>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</si>
  <si>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</si>
  <si>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       segítők bértámogatása</t>
  </si>
  <si>
    <t xml:space="preserve">           többletkiadásokhoz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</si>
  <si>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</si>
  <si>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</si>
  <si>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</si>
  <si>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</si>
  <si>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</si>
  <si>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</si>
  <si>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</si>
  <si>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</si>
  <si>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</si>
  <si>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</si>
  <si>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</si>
  <si>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</si>
  <si>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</si>
  <si>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feladatainak támogatása</t>
  </si>
  <si>
    <t xml:space="preserve">      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</si>
  <si>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</si>
  <si>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</si>
  <si>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</si>
  <si>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</si>
  <si>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</si>
  <si>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</si>
  <si>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</si>
  <si>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</si>
  <si>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</si>
  <si>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</si>
  <si>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</si>
  <si>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</si>
  <si>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</si>
  <si>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</si>
  <si>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</si>
  <si>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</si>
  <si>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</si>
  <si>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</si>
  <si>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</si>
  <si>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</si>
  <si>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</si>
  <si>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</si>
  <si>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</si>
  <si>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</si>
  <si>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</si>
  <si>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</si>
  <si>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</si>
  <si>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</si>
  <si>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</si>
  <si>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 xml:space="preserve">           Család- és gyermekjóléti szolgálat </t>
  </si>
  <si>
    <t xml:space="preserve">           Család- és gyermekjóléti központ </t>
  </si>
  <si>
    <t xml:space="preserve">          A rászoruló gyermekek intézményen kívüli szünidei étkeztetésének támogatása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</si>
  <si>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</si>
  <si>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</si>
  <si>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</si>
  <si>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</si>
  <si>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</si>
  <si>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</si>
  <si>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</si>
  <si>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</si>
  <si>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</si>
  <si>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</si>
  <si>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</si>
  <si>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</si>
  <si>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</si>
  <si>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</si>
  <si>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</si>
  <si>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 xml:space="preserve">    9. A 2015. évről áthúzódó bérkompenzáció támogatása</t>
  </si>
  <si>
    <t xml:space="preserve">    11.  Óvodaműködtetési támogatás</t>
  </si>
  <si>
    <t xml:space="preserve">    12.  Kiegészítő támogatás az óvodapedagógusok minősítéséből adódó </t>
  </si>
  <si>
    <t xml:space="preserve">    13.  Köznevelési intézmények működtetéséhez kapcsolódó támogatás</t>
  </si>
  <si>
    <t xml:space="preserve">    14.  A települési önkormányzatok egyes szociális feladatainak egyéb támogatása</t>
  </si>
  <si>
    <t xml:space="preserve">    15.  Egyes szociális és gyermekjóléti feladatok támogatása</t>
  </si>
  <si>
    <t xml:space="preserve">    16. A települési önkormányzatok által biztosított egyes szakosított ellátások, </t>
  </si>
  <si>
    <t xml:space="preserve">    17. Gyermekétkeztetés támogatása</t>
  </si>
  <si>
    <t xml:space="preserve">    10.  Óvodapedagógusok, és az óvodapedagógusok nevelő munkáját közvetlenül 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</si>
  <si>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</si>
  <si>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</si>
  <si>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</si>
  <si>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</si>
  <si>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</si>
  <si>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</si>
  <si>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</si>
  <si>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</si>
  <si>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</si>
  <si>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</si>
  <si>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</si>
  <si>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</si>
  <si>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</si>
  <si>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</si>
  <si>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</si>
  <si>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</si>
  <si>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</si>
  <si>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</si>
  <si>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</si>
  <si>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</si>
  <si>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</si>
  <si>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</si>
  <si>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</si>
  <si>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</si>
  <si>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</si>
  <si>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Eredeti előirányzat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</si>
  <si>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</si>
  <si>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</si>
  <si>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</si>
  <si>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</si>
  <si>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</si>
  <si>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</si>
  <si>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</si>
  <si>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</si>
  <si>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</si>
  <si>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Csatlakozás a "Parlagfűmentesítési Alaphoz" </t>
  </si>
  <si>
    <t>Parlagfű mentesítési pályázat önerő és pályázat</t>
  </si>
  <si>
    <t>Egészségügyi feladatok</t>
  </si>
  <si>
    <t>Karcagi Többcélú Kistérségi Társulás részére támogatás (állami hozzájárulás összege) működtetéséhez</t>
  </si>
  <si>
    <t>Karcagi Többcélú Kistérségi Tárulás 2015. évi tagdíja</t>
  </si>
  <si>
    <t>KLIK részére konyhák rezsi költségének megtérítése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</si>
  <si>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</si>
  <si>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</si>
  <si>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</si>
  <si>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</si>
  <si>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</si>
  <si>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</si>
  <si>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</si>
  <si>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</si>
  <si>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Egyéb kiadások</t>
  </si>
  <si>
    <t>Kötelező feladatok összesen:</t>
  </si>
  <si>
    <t>Önként vállalt feladat</t>
  </si>
  <si>
    <t>Előző évek pénzmaraványából Karcagi Többcélú Kistérségi Társulástól térinformatikai kiadásokra kapott összeg maradványa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</si>
  <si>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</si>
  <si>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</si>
  <si>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</si>
  <si>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>Karcag Városi Önkormányzat által adományozható kitüntetésekhez járó pénzdíj</t>
  </si>
  <si>
    <t>Karcagi Sportegyesület támogatás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</si>
  <si>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</si>
  <si>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</si>
  <si>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</si>
  <si>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</si>
  <si>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</si>
  <si>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 xml:space="preserve">JNSZ M. Polgári Védelmi Szöv.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</si>
  <si>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</si>
  <si>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</si>
  <si>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</si>
  <si>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</si>
  <si>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</si>
  <si>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</si>
  <si>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</si>
  <si>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pénzmaradványból is jön át, pl. könyvvizsgálatra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</si>
  <si>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</si>
  <si>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</si>
  <si>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</si>
  <si>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</si>
  <si>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</si>
  <si>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</si>
  <si>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 xml:space="preserve">Zöldfa úti óvoda engedélyezési és kiviteli tervdokumetnációk 217/2015. (IX.24.) ,,kt.” sz. határozat alapján
 felújítási    terveinek megrendeléséről </t>
  </si>
  <si>
    <t>Karcag Városi TV-vel együttműködési szerződés hirdetésre és támogatásra 281/2015. (XII.17.) "kt." sz. határozat alapján</t>
  </si>
  <si>
    <t>Karcag-Tilalmasi Mezőgazdasági Korlátolt Felelősségű Társasággal kötendő a Társaság tulajdonában lévő kutak és vízhálózat bérletéről szóló megállapodásról szóló 285/2015. (XII.17.) "kt." sz. határozat alapján bérleti díj 2016.06.30-ig</t>
  </si>
  <si>
    <t>2015. évi feladattal terhelt maradvány beépítése</t>
  </si>
  <si>
    <t>286/2015. "kt." sz. határozat alapján 2016. évre vállalt kötelezettség</t>
  </si>
  <si>
    <t>Helyi autóbusz közlekedés közszolgáltatás támogatása</t>
  </si>
  <si>
    <t>Orvosi ügyelet ellátására kiegészítés 287/2015.(XII.17.)"kt"sz.határozat alapján</t>
  </si>
  <si>
    <t>Tüdőszűrés</t>
  </si>
  <si>
    <t>Kiskulcsosi Általános Iskola vízvezeték szerelési munkái</t>
  </si>
  <si>
    <t>Köznevelési intézményekkel kapcsolatos kiadások</t>
  </si>
  <si>
    <t>Horváth Ferenc úti Idősek Otthona felújítása (épület belső udvarán építendő lift) pályázat 82/2015. (IV.14.) és 105/2015. (IV.30.) "kt." sz. határozatok alapján</t>
  </si>
  <si>
    <t>2015. évről áthozott</t>
  </si>
  <si>
    <t>KTKT-tól átvett önerő 2015. évről áthozott</t>
  </si>
  <si>
    <t>Pályázati pénzeszköz 2015. évről áthozott</t>
  </si>
  <si>
    <t>2013. évi állami támogatás visszafizetése és kamata</t>
  </si>
  <si>
    <t>Pályázati előkészítési alap</t>
  </si>
  <si>
    <t>Akácliget fürdő üzemeltetési támogatás</t>
  </si>
  <si>
    <t>Lakossági szennyvíz bekötések támogatása GTT döntés alapján</t>
  </si>
  <si>
    <t>lakhatási támogatás</t>
  </si>
  <si>
    <t>gyógyszertámogatás</t>
  </si>
  <si>
    <t>közköltséges temetés</t>
  </si>
  <si>
    <t>rendkívüli települési támogatás (pénzben és természetben)</t>
  </si>
  <si>
    <t>Tilalmasi ivóvíz biztosítása</t>
  </si>
  <si>
    <t>Karcag, Táncsics krt.17. szám alatti Óvoda felújítás pályázat 112/2015. (V.28.) "kt." sz. határozat alapján</t>
  </si>
  <si>
    <t>Önerő 2015. évről áthozott</t>
  </si>
  <si>
    <t xml:space="preserve">Karcag-Kenderes (Bánhalma) Víziközmű Beruházási Társulás 2016. évi működési hozzájárulása </t>
  </si>
  <si>
    <t>Városi Önkormányzat Városgondnokságától átvett, hullakékgazdálkodás bevételéből rekultivációs célra elkülönített összeg és kamatai (céltartalék)</t>
  </si>
  <si>
    <t>Tisza-menti LEADER Közhasznú Egyesület 2016. évi tagdíja</t>
  </si>
  <si>
    <t>2016. évi bérleti díj elkülönítése</t>
  </si>
  <si>
    <t>2013-2015.években befolyt, viziközmű fejlesztés céljára fel nem használt összeg</t>
  </si>
  <si>
    <t>Általános tartalék</t>
  </si>
  <si>
    <t>Céltartalék: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</si>
  <si>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</si>
  <si>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t>Rekultivációs célú elkülönítés hulladéklerakó üzemeltetés miatt</t>
  </si>
  <si>
    <t>Karcag-Kenderes (Bánhalma) Víziközmű Beruházási Társulás 2015. évi megelőlegezés megtérülése</t>
  </si>
  <si>
    <t>Közvilágítás karbantartás, javítás (lámpatestek, kandeláber)</t>
  </si>
  <si>
    <t>Biztosító kártérítése sérült kandeláber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</si>
  <si>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</si>
  <si>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</si>
  <si>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2015-2016. évre vonatkozó általános forgalmi adó befizetési kötelezettség</t>
  </si>
  <si>
    <t>2015. decemberi áfa befizetés</t>
  </si>
  <si>
    <t>2016. évi áfa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</si>
  <si>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</si>
  <si>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</si>
  <si>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</si>
  <si>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</si>
  <si>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</si>
  <si>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</si>
  <si>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Hatósági kényszerintézkedések, utcanévtáblák elhelyezése, szakhatósági díjak, egyéb építési és településfejlesztési feladatok</t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</si>
  <si>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</si>
  <si>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Önkormányzati reprezentációs és ajándékozási kiadások, kiemelt városi események, nemzeti ünnepek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</si>
  <si>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</si>
  <si>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</si>
  <si>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</si>
  <si>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Nemzetközi kapcsolatok</t>
  </si>
  <si>
    <t>Szakértői megbízási díj</t>
  </si>
  <si>
    <t>Gyermekek nyári szabadidős foglalkozása (nyári napközi)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</si>
  <si>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</si>
  <si>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</si>
  <si>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</si>
  <si>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</si>
  <si>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</si>
  <si>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</si>
  <si>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</si>
  <si>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</si>
  <si>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</si>
  <si>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</si>
  <si>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</si>
  <si>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</si>
  <si>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</si>
  <si>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</si>
  <si>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</si>
  <si>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</si>
  <si>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</si>
  <si>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</si>
  <si>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</si>
  <si>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</si>
  <si>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</si>
  <si>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</si>
  <si>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</si>
  <si>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</si>
  <si>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r>
      <t xml:space="preserve">2016. évi támogatás megelőlegezés </t>
    </r>
    <r>
      <rPr>
        <sz val="14"/>
        <rFont val="Times New Roman"/>
        <family val="1"/>
        <charset val="238"/>
      </rPr>
      <t>(2015. évről áthozott)</t>
    </r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</si>
  <si>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</si>
  <si>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</si>
  <si>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</si>
  <si>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</si>
  <si>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</si>
  <si>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</si>
  <si>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</si>
  <si>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</si>
  <si>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</si>
  <si>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</si>
  <si>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</si>
  <si>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</si>
  <si>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</si>
  <si>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</si>
  <si>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</si>
  <si>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</si>
  <si>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</si>
  <si>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</si>
  <si>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</si>
  <si>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</si>
  <si>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</si>
  <si>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</si>
  <si>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</si>
  <si>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</si>
  <si>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</si>
  <si>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</si>
  <si>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</si>
  <si>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</si>
  <si>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</si>
  <si>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</si>
  <si>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 xml:space="preserve">      1-9. Települési önkormányzatok működésének támogatása beszámítás után</t>
  </si>
  <si>
    <t xml:space="preserve">      10-13. Települési önkormányzatok egyes köznevelési feladatainak támogatása</t>
  </si>
  <si>
    <t>kiemelt előirányzatonkénti bontásban</t>
  </si>
  <si>
    <t>Ingatlanok értékbecslése (Karcagi Járásbíróság értékbecslése, Zádor híd és hozzá tartozó út értékbecslése, Nagykun Víz- és Csatornamű Kft. Hitel fedezetéül felajánlott ingatlanok újraértékelése)</t>
  </si>
  <si>
    <t xml:space="preserve">Nagykun Víz- és Csatornamű Kft. </t>
  </si>
  <si>
    <t>Karcagi Többcélú Kistérségi Társulás részére kiegészítő támogatás a karcagi székhellyel, telephellyel rendelkező intézmények működtetéséhez</t>
  </si>
  <si>
    <t>Köznevelési intézmények működtetésére fizetendő hozzájárulás (állami támogatása 6.422 e Ft)</t>
  </si>
  <si>
    <t>Települési támogatások a 7/2015. (II.27.) önkormányzati rendelet alapján (állami támogatása 78.967 e Ft)</t>
  </si>
  <si>
    <t>Karcag Városi Cigány Nemzetiségi Önkormányzat támogatása
 -1 fő adminisztrátor 4 órás foglalkoztatásához (280/2015.     (XII.17.) "kt." sz. határozat alapján 1.000 e Ft keretösszegből 800 e Ft)
- Kulturális és és egyéb rendezvényekhez támogatás nyújtása 200 e Ft</t>
  </si>
  <si>
    <t>A Karcagi Értéktár Bizottság müködtetése 275/2013. (XI.27.) „kt.” sz. határozat alapján</t>
  </si>
  <si>
    <t>Továbbszámlázott működési kiadások</t>
  </si>
  <si>
    <t>Orvosi ösztöndíjrendszerre alap képzése</t>
  </si>
  <si>
    <t xml:space="preserve">     ebből:  telek értékesítés Laktanyában 257/2015. (XI.26.) kt. határozat alapján 1.848 e Ft,</t>
  </si>
  <si>
    <t xml:space="preserve">            alatti épületének értékesítése</t>
  </si>
  <si>
    <t xml:space="preserve">            Táncsics krt. 14/1. sz alatti lakás értékesítése 10/2016. (I.28.) kt. határozat alapján 1.750 e Ft,</t>
  </si>
  <si>
    <t>Tüdőszűrés (asszisztens megbízási díj)</t>
  </si>
  <si>
    <t>SZEMÉLYI JUTTATÁSOK ÖSSZESEN:</t>
  </si>
  <si>
    <t>SZEMÉLYI JUTTATÁSOK</t>
  </si>
  <si>
    <t>MUNKAADÓT TERHELŐ JÁRULÉKOK</t>
  </si>
  <si>
    <t>MUNKAADÓT TERHELŐ JÁRULÉKOK ÖSSZESEN:</t>
  </si>
  <si>
    <t>DOLOGI KIADÁSOK</t>
  </si>
  <si>
    <t xml:space="preserve">Szünidei gyermekétkeztetés </t>
  </si>
  <si>
    <t>Szünidei gyermekétkeztetés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</si>
  <si>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</si>
  <si>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</si>
  <si>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</si>
  <si>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</si>
  <si>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</si>
  <si>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</si>
  <si>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</si>
  <si>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</si>
  <si>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</si>
  <si>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</si>
  <si>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</si>
  <si>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</si>
  <si>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</si>
  <si>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</si>
  <si>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 xml:space="preserve">                       M e g n e v e z é s</t>
  </si>
  <si>
    <r>
      <t>Karácsonyi díszkivilágítás leszerelésének költsége</t>
    </r>
    <r>
      <rPr>
        <sz val="12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</si>
  <si>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2"/>
        <rFont val="Times New Roman"/>
        <family val="1"/>
        <charset val="238"/>
      </rPr>
      <t>(2015.12.31. egyenleg, céllal kötött maradvány beépítése)</t>
    </r>
  </si>
  <si>
    <r>
      <t xml:space="preserve">2016. évi támogatás megelőlegezés </t>
    </r>
    <r>
      <rPr>
        <sz val="12"/>
        <rFont val="Times New Roman"/>
        <family val="1"/>
        <charset val="238"/>
      </rPr>
      <t>(2015. évről áthozott)</t>
    </r>
  </si>
  <si>
    <t xml:space="preserve">Zöldfa úti óvoda engedélyezési és kiviteli tervdokumetnációk 217/2015. (IX.24.) ,,kt.” sz. határozat alapján </t>
  </si>
  <si>
    <t>Karcag Városi Cigány Nemzetiségi Önkormányzat támogatása
1 fő adminisztrátor 4 órás foglalkoztatásához 280/2015. (XII.17.) "kt." sz. határozat   alapján 1.000 e Ft keretösszegből 800 e Ft
Kulturális és és egyéb rendezvényekhez támogatás nyújtása 200 e Ft</t>
  </si>
  <si>
    <t xml:space="preserve">Önként vállalt feladatok </t>
  </si>
  <si>
    <t xml:space="preserve">                            Megnevezés</t>
  </si>
  <si>
    <t>Működési célú támogatások államháztartáson belülről</t>
  </si>
  <si>
    <t>Felhalmozási célú támogatások államháztartáson belülről</t>
  </si>
  <si>
    <t xml:space="preserve">            és a volt "Jéggyár" Kacsóh u. 16. sz.  Alatti épületének értékesítése</t>
  </si>
  <si>
    <t>Laktanyában telek értékesítés 257/2015. (XI.26.) kt. határozat alapján, Táncsics krt. 14/1. sz. alatti lakás értékesítése 10/2016. (I.28.) kt. határozat alapján, Volt "Jéggyár" épületének értékesítése</t>
  </si>
  <si>
    <t>Egyéb műlködési bevételek</t>
  </si>
  <si>
    <t xml:space="preserve">             a volt "Jéggyár" Kacsóh u. 16. sz. </t>
  </si>
  <si>
    <t xml:space="preserve">    19. Szociális ágazati pótlék</t>
  </si>
  <si>
    <t xml:space="preserve">      14-19. A települési önkormányzatok szociális, gyermekjóléti és gyermekétkeztetési </t>
  </si>
  <si>
    <t xml:space="preserve">    20. A települési önkormányzatok nyilvános könyvtári és közművelődési</t>
  </si>
  <si>
    <t xml:space="preserve">    21. A települési önkormányzatok muzeális intézményi feladatainak támogatása</t>
  </si>
  <si>
    <t xml:space="preserve">    20-22. A települési önkormányzatok kulturális feladatainak támogatása</t>
  </si>
  <si>
    <t xml:space="preserve">    23. 2016. évi bérkompenzáció</t>
  </si>
  <si>
    <t xml:space="preserve">    24. Kiegészítő ágazati pótlék</t>
  </si>
  <si>
    <t>Módosított
előirányzat</t>
  </si>
  <si>
    <t>Karcag Városi feladatainak támogatása</t>
  </si>
  <si>
    <t>Módosított előirányzat</t>
  </si>
  <si>
    <t>1/2. oldal</t>
  </si>
  <si>
    <t>2/2. oldal</t>
  </si>
  <si>
    <t xml:space="preserve">K1-K9.  </t>
  </si>
  <si>
    <t xml:space="preserve">    3. Elvonások és befizetések bevételei</t>
  </si>
  <si>
    <t xml:space="preserve"> 3. Elvonások és befizetések bevételei</t>
  </si>
  <si>
    <t>2015. évi állami támogatás visszafizetése</t>
  </si>
  <si>
    <t>Pénzeszköz átadás Karcagi Többcélú Kistérségi Társulás részére Család- és Gyermekjóléti Központ kialakításához</t>
  </si>
  <si>
    <t>Karcag Város feladatainak támogatása</t>
  </si>
  <si>
    <t>Rákóczi u. 3. sz. alatti ingatlan felújítása</t>
  </si>
  <si>
    <t>K127 termálkút hőellátási rendszerének javítása</t>
  </si>
  <si>
    <t>Hulladéklerakó kapacitás fejlesztés kötött támogatás átadása</t>
  </si>
  <si>
    <t>Karcag-Kenderes (Bánhalma) Víziközmű Beruházási Társulás részére BM önerő átadása</t>
  </si>
  <si>
    <t>Előző évek pénzmaraványából Karcagi Többcélú Kistérségi Társulástól térinformatikai kiadásokra kapott összeg maradványának visszautalása</t>
  </si>
  <si>
    <t>Karcagi Sport Egyesület 2016. évi működési támogatása</t>
  </si>
  <si>
    <t>147/2016. (V.26.) kt. határozat alapján Nagykun Honvédbanda támogatása</t>
  </si>
  <si>
    <t>8/2016. (I.28.) kt. határozat alapján a Kisebbségekér –Pro Minoritate Alapítvány támogatása</t>
  </si>
  <si>
    <t>76/2016. (III.31.) kt. határozat alapján a Vajdasági Magyar Diákszövetség támogatása</t>
  </si>
  <si>
    <t>77/2016. (III.31.) kt. határozat alapján a Medicopter Alapítvány támogatása</t>
  </si>
  <si>
    <t>78/2016. (III.31.) kt. határozat alapján a Peter Cerny Alapítvány támogatása</t>
  </si>
  <si>
    <t>107/2016. (IV.28.) kt. határozat alapján a Kátai MediSong Kórus támogatása</t>
  </si>
  <si>
    <t xml:space="preserve">102/2016. (IV.28.) kt. határozat alapján a volt Munkásőrbázis felújítása és átalakítása </t>
  </si>
  <si>
    <t>123/2016. (V.20.) kt. határozat alapján a Táncsics krt. 17. Óvoda felújítás pályázati forrásának kiegészítése</t>
  </si>
  <si>
    <t>124/2016. (V.20.) kt. határozat alapján Helyi Akciócsoport megalakításának támogatása</t>
  </si>
  <si>
    <t>%</t>
  </si>
  <si>
    <t>Teljesítés</t>
  </si>
  <si>
    <t>Nagykun Hagyományőrző Társulás 2016.évi tagdíja 231/1998. (VI.30.) kt. sz. határozat alapján</t>
  </si>
  <si>
    <t>Rendszerfüggő víziközmű elemekkel kapcsolatos kiadások bérleti díj terhére</t>
  </si>
  <si>
    <t>Díjkompenzáció</t>
  </si>
  <si>
    <t>1/3. oldal</t>
  </si>
  <si>
    <t>2/3. oldal</t>
  </si>
  <si>
    <t>3/3. oldal</t>
  </si>
  <si>
    <t>Adatok e Ft-ban</t>
  </si>
  <si>
    <t>kiemel telőirányzatonkénti bontásban</t>
  </si>
  <si>
    <t>A Karcag Városi Önkormányzat és intézményei 2016. évi költségvetés tervezett bevételi főösszegének I-III. negyedévi teljesítése
kiemelt előirányzatonkénti bontásban</t>
  </si>
  <si>
    <t xml:space="preserve">           Szociális ágazati pótlék</t>
  </si>
  <si>
    <t xml:space="preserve">           Kiegészítő ágazati pótlék</t>
  </si>
  <si>
    <t xml:space="preserve">    22. Települési önkormányzatok könyvtári célú és közművelődési </t>
  </si>
  <si>
    <t xml:space="preserve">          érdekeltségnövelő támogatása</t>
  </si>
  <si>
    <t xml:space="preserve">      24. Szociális ágazati és kiegészítő ágazati pótlék 2015. évi pótlólagos elszámolása</t>
  </si>
  <si>
    <t xml:space="preserve">      26. Települési önkormányzatok helyi közösségi közlekedésének támogatása</t>
  </si>
  <si>
    <t xml:space="preserve">    23-26. Működési célú költségvetési támogatások és kiegészítő támogatások</t>
  </si>
  <si>
    <t xml:space="preserve">    18. Kiegészítő támogatás a bölcsődében foglalkoztatott, </t>
  </si>
  <si>
    <t xml:space="preserve">          felsőfokú végzettségű kisgyermeknevelők  béréhez</t>
  </si>
  <si>
    <t>A Karcag Városi Önkormányzat 2016. évi költségvetésén belül az önkormányzat tervezett bevételi főösszegének I-III. negyedévi teljesítése 
kiemelt előirányzatonkénti bontásban</t>
  </si>
  <si>
    <t>Bethlen Gábor Alap támogatása</t>
  </si>
  <si>
    <t>JNSZ Megyei Önkormányzat támogatása</t>
  </si>
  <si>
    <t>Támogatói hozzájárulás karácsonyi fénydekorációhoz</t>
  </si>
  <si>
    <t>Muzeális intázmények szakmai támogatása (Kubinyi Ágoston porgram)</t>
  </si>
  <si>
    <t>Járásszékhely múzeumok szakmai támogatása</t>
  </si>
  <si>
    <t>3. sz. melléklet a Karcag Városi Önkormányzat Képviselő-testületének .../2016. (XI.24.) "kt." sz. határozatához</t>
  </si>
  <si>
    <t>A Karcag Városi Önkormányzat 2016. évi tervezett bevételi főösszegén belül az önkormányzat működési és felhalmozási bevételeinek I-III. negyedévi teljesítése</t>
  </si>
  <si>
    <t>4. sz. melléklet a Karcag Városi Önkormányzat Képviselő-testületének   .../2016. (XI.24.) "kt." sz. határozatához</t>
  </si>
  <si>
    <t>A Karcag Városi Önkormányzat 2016. évi költségvetési tervezett bevételi főösszegén belül 
a költségvetési szervek bevételeinek I-III. negyedévi teljesítésekiemelt előirányzatonkénti bontásban</t>
  </si>
  <si>
    <t>5. sz. melléklet a Karcag Városi Önkormányzat Képviselő-testületének .../2016. (XI.24.) "kt." sz. határozatához</t>
  </si>
  <si>
    <t>A Karcag Városi Önkormányzat 2016. évi tervezett költségvetési kiadás főösszegének I-III. negyedévi teljesítése kiemelt előirányzatonkénti bontásban</t>
  </si>
  <si>
    <t>Települési önkormányzatok helyi közösségi közlekedésének támogatása</t>
  </si>
  <si>
    <t>179/2016. (VI.23.) kt. határozat alapján bérleti szerződés meghosszabbítása</t>
  </si>
  <si>
    <t>186/2016. (VI.23.) kt. határozat alapján a Karcagi Többcélú Kistérségi Társulás Idősek Otthona és Háziorvosi Intézmény nyílászáró cseréjének támogatása</t>
  </si>
  <si>
    <t>184/2016. (VI.23.) kt. határozat alapján a "Kulturális és közösségi terek infrastrukturális fejlesztése és helyi közösségszervezés a város helyi fejlesztési stratégiájához kapcsolódva" című pályázat benyújtásával kapcsolatos feladatok ellátása</t>
  </si>
  <si>
    <t>"Őrizzük együtt a hagyományokat" projekt (Bethlen Gábor Alap támogatása)</t>
  </si>
  <si>
    <t>Kirándulás (JNSZ Megyei Önkormányzat támogatása)</t>
  </si>
  <si>
    <t>207/2016. (VIII.10.) kt. határozat alapján Kiskulcsosi Általános Iskola tornatermének pályaburkolat felújításához önerő biztosítása</t>
  </si>
  <si>
    <t>200/2016. (VII.21.) kt. határozat alapján karácsonyi fénydekorációs eszközök beszerzése</t>
  </si>
  <si>
    <t>A Karcag Városi Önkormányzat 2016. évi költségvetés kiadási főösszegén belül az önkormányzat kiadásainek I-III. negyedévi teljesítése feladatonként, kötelező és önként vállalt feladatonkénti bontásban</t>
  </si>
  <si>
    <t>A Karcag Városi Önkormányzat 2016. évi költségvetés kiadási főösszegén belül az Önkormányzat kiadásainek I-III. negyedévi teljesítése feladatonként, kiemelt előirányzatonkénti bontásban</t>
  </si>
  <si>
    <t>Települési önkormányzatok helyi közösségi közlekedésének támogatásának átadása</t>
  </si>
  <si>
    <t>A Karcag Városi Önkormányzat 2016. évi tervezett költségvetési kiadási főösszegén belül 
a költségvetési szervek kiadásainak I-III. negyedévi teljesítése kiemelt előirányzatonkénti bontásban</t>
  </si>
  <si>
    <t xml:space="preserve">           kisgyermeknevelők  béréhez</t>
  </si>
  <si>
    <t xml:space="preserve">    18. Kiegészítő támogatás a bölcsődében foglalkoztatott, felsőfokú végzettségű</t>
  </si>
  <si>
    <t>Szennyvízbefizetés, első lakáshoz jutók támogatásának visszatérülése</t>
  </si>
  <si>
    <t>1. sz. melléklet a Karcag Városi Önkormányzat Képviselő-testületének 270/2016. (XI.24.) "kt." sz. határozatához</t>
  </si>
  <si>
    <t>2. sz. melléklet a Karcag Városi Önkormányzat Képviselő-testületének 270/2016. (XI.24.) "kt." sz. határozatához</t>
  </si>
  <si>
    <t>3. sz. melléklet a Karcag Városi Önkormányzat Képviselő-testületének 270/2016. (XI.24.) "kt." sz. határozatához</t>
  </si>
  <si>
    <t>5. sz. melléklet a Karcag Városi Önkormányzat Képviselő-testületének 270/2016. (XI.24.) "kt." sz. határozatához</t>
  </si>
  <si>
    <t>6. sz. melléklet a Karcag Városi Önkormányzat Képviselő-testületének 270/2016. (XI.24.) "kt." sz. határozatához</t>
  </si>
  <si>
    <t>7. sz. melléklet a Karcag Városi Önkormányzat Képviselő-testületének 270/2016. (XI.24.) "kt." sz. határozatához</t>
  </si>
  <si>
    <t>8. sz. melléklet a Karcag Városi Önkormányzat Képviselő-testületének 270/2016. (XI.24.) "kt." sz. határozatához</t>
  </si>
</sst>
</file>

<file path=xl/styles.xml><?xml version="1.0" encoding="utf-8"?>
<styleSheet xmlns="http://schemas.openxmlformats.org/spreadsheetml/2006/main">
  <numFmts count="1">
    <numFmt numFmtId="164" formatCode="#,##0\ _F_t"/>
  </numFmts>
  <fonts count="38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80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1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3" fontId="17" fillId="0" borderId="4" xfId="0" applyNumberFormat="1" applyFont="1" applyFill="1" applyBorder="1" applyAlignment="1">
      <alignment horizontal="right" vertical="center" wrapText="1" indent="1"/>
    </xf>
    <xf numFmtId="3" fontId="17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3" fontId="17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right" vertical="center" wrapText="1" indent="1"/>
    </xf>
    <xf numFmtId="3" fontId="16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3" fontId="15" fillId="0" borderId="1" xfId="0" applyNumberFormat="1" applyFont="1" applyFill="1" applyBorder="1" applyAlignment="1">
      <alignment horizontal="right" vertical="center" wrapText="1" indent="1"/>
    </xf>
    <xf numFmtId="3" fontId="16" fillId="0" borderId="2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3" fontId="16" fillId="0" borderId="10" xfId="0" applyNumberFormat="1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indent="1"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12" xfId="0" applyFont="1" applyFill="1" applyBorder="1"/>
    <xf numFmtId="3" fontId="1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" fillId="0" borderId="0" xfId="0" applyFont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right" vertical="center" wrapText="1" indent="1"/>
    </xf>
    <xf numFmtId="3" fontId="16" fillId="0" borderId="15" xfId="0" applyNumberFormat="1" applyFont="1" applyFill="1" applyBorder="1" applyAlignment="1">
      <alignment horizontal="right" vertical="center" indent="1"/>
    </xf>
    <xf numFmtId="0" fontId="16" fillId="0" borderId="6" xfId="0" applyFont="1" applyFill="1" applyBorder="1"/>
    <xf numFmtId="0" fontId="16" fillId="0" borderId="7" xfId="0" applyFont="1" applyFill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 indent="1"/>
    </xf>
    <xf numFmtId="3" fontId="8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3" fontId="8" fillId="0" borderId="9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9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3" fontId="9" fillId="0" borderId="7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left" vertical="center" wrapText="1" indent="1"/>
    </xf>
    <xf numFmtId="3" fontId="8" fillId="0" borderId="5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Fill="1" applyBorder="1" applyAlignment="1">
      <alignment horizontal="right" vertical="center" wrapText="1" indent="1"/>
    </xf>
    <xf numFmtId="164" fontId="8" fillId="0" borderId="2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righ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right" vertical="top" wrapText="1" indent="1"/>
    </xf>
    <xf numFmtId="3" fontId="8" fillId="0" borderId="4" xfId="0" applyNumberFormat="1" applyFont="1" applyFill="1" applyBorder="1" applyAlignment="1">
      <alignment horizontal="right" vertical="top" wrapText="1" indent="1"/>
    </xf>
    <xf numFmtId="164" fontId="8" fillId="0" borderId="4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center" wrapText="1" indent="1"/>
    </xf>
    <xf numFmtId="164" fontId="8" fillId="0" borderId="18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left" vertical="top" wrapText="1" indent="1"/>
    </xf>
    <xf numFmtId="164" fontId="29" fillId="0" borderId="0" xfId="0" applyNumberFormat="1" applyFont="1"/>
    <xf numFmtId="0" fontId="2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29" fillId="0" borderId="0" xfId="0" applyNumberFormat="1" applyFont="1"/>
    <xf numFmtId="3" fontId="29" fillId="0" borderId="5" xfId="0" applyNumberFormat="1" applyFont="1" applyBorder="1" applyAlignment="1"/>
    <xf numFmtId="3" fontId="29" fillId="0" borderId="5" xfId="0" applyNumberFormat="1" applyFont="1" applyBorder="1" applyAlignment="1">
      <alignment vertical="center"/>
    </xf>
    <xf numFmtId="0" fontId="29" fillId="0" borderId="9" xfId="0" applyFont="1" applyFill="1" applyBorder="1" applyAlignment="1">
      <alignment horizontal="left" vertical="center" wrapText="1"/>
    </xf>
    <xf numFmtId="3" fontId="29" fillId="0" borderId="9" xfId="0" applyNumberFormat="1" applyFont="1" applyFill="1" applyBorder="1" applyAlignment="1">
      <alignment vertical="center" wrapText="1"/>
    </xf>
    <xf numFmtId="3" fontId="29" fillId="0" borderId="9" xfId="0" applyNumberFormat="1" applyFont="1" applyFill="1" applyBorder="1" applyAlignment="1">
      <alignment vertical="center"/>
    </xf>
    <xf numFmtId="3" fontId="29" fillId="0" borderId="9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0" fontId="14" fillId="0" borderId="19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/>
    <xf numFmtId="0" fontId="29" fillId="0" borderId="5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29" fillId="0" borderId="2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vertical="center"/>
    </xf>
    <xf numFmtId="3" fontId="29" fillId="0" borderId="2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20" xfId="0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5" fillId="0" borderId="11" xfId="0" applyFont="1" applyFill="1" applyBorder="1"/>
    <xf numFmtId="3" fontId="16" fillId="0" borderId="8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8" fillId="0" borderId="0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9" fillId="0" borderId="3" xfId="0" applyFont="1" applyFill="1" applyBorder="1"/>
    <xf numFmtId="0" fontId="9" fillId="0" borderId="12" xfId="0" applyFont="1" applyFill="1" applyBorder="1"/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26" fillId="0" borderId="0" xfId="0" applyFont="1" applyFill="1" applyBorder="1"/>
    <xf numFmtId="0" fontId="34" fillId="0" borderId="0" xfId="0" applyFont="1" applyFill="1" applyBorder="1"/>
    <xf numFmtId="0" fontId="34" fillId="0" borderId="2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34" fillId="0" borderId="6" xfId="0" applyFont="1" applyFill="1" applyBorder="1"/>
    <xf numFmtId="0" fontId="34" fillId="0" borderId="7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7" xfId="0" applyFont="1" applyFill="1" applyBorder="1" applyAlignment="1">
      <alignment vertical="center"/>
    </xf>
    <xf numFmtId="0" fontId="33" fillId="0" borderId="11" xfId="0" applyFont="1" applyFill="1" applyBorder="1"/>
    <xf numFmtId="164" fontId="16" fillId="2" borderId="22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right" vertical="center" indent="1"/>
    </xf>
    <xf numFmtId="0" fontId="16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2" borderId="23" xfId="0" applyNumberFormat="1" applyFont="1" applyFill="1" applyBorder="1" applyAlignment="1">
      <alignment horizontal="left" vertical="center" wrapText="1"/>
    </xf>
    <xf numFmtId="3" fontId="16" fillId="2" borderId="25" xfId="0" applyNumberFormat="1" applyFont="1" applyFill="1" applyBorder="1" applyAlignment="1">
      <alignment horizontal="left" vertical="center" wrapText="1"/>
    </xf>
    <xf numFmtId="3" fontId="15" fillId="2" borderId="18" xfId="0" applyNumberFormat="1" applyFont="1" applyFill="1" applyBorder="1" applyAlignment="1">
      <alignment horizontal="right" vertical="center" wrapText="1" indent="1"/>
    </xf>
    <xf numFmtId="3" fontId="16" fillId="2" borderId="25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 indent="1"/>
    </xf>
    <xf numFmtId="3" fontId="9" fillId="0" borderId="22" xfId="0" applyNumberFormat="1" applyFont="1" applyFill="1" applyBorder="1" applyAlignment="1">
      <alignment horizontal="right" vertical="center" indent="1"/>
    </xf>
    <xf numFmtId="3" fontId="8" fillId="0" borderId="23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9" fillId="0" borderId="25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15" fillId="3" borderId="26" xfId="0" applyNumberFormat="1" applyFont="1" applyFill="1" applyBorder="1" applyAlignment="1">
      <alignment horizontal="left" vertical="center" wrapText="1"/>
    </xf>
    <xf numFmtId="3" fontId="15" fillId="3" borderId="27" xfId="0" applyNumberFormat="1" applyFont="1" applyFill="1" applyBorder="1" applyAlignment="1">
      <alignment horizontal="right" vertical="center" wrapText="1" indent="1"/>
    </xf>
    <xf numFmtId="3" fontId="16" fillId="3" borderId="28" xfId="0" applyNumberFormat="1" applyFont="1" applyFill="1" applyBorder="1" applyAlignment="1">
      <alignment horizontal="right" vertical="center" indent="1"/>
    </xf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3" fontId="16" fillId="3" borderId="3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2" borderId="7" xfId="0" applyNumberFormat="1" applyFont="1" applyFill="1" applyBorder="1" applyAlignment="1">
      <alignment horizontal="right" vertical="center" indent="1"/>
    </xf>
    <xf numFmtId="3" fontId="15" fillId="3" borderId="11" xfId="0" applyNumberFormat="1" applyFont="1" applyFill="1" applyBorder="1" applyAlignment="1">
      <alignment horizontal="left" vertical="center" wrapText="1"/>
    </xf>
    <xf numFmtId="3" fontId="16" fillId="3" borderId="7" xfId="0" applyNumberFormat="1" applyFont="1" applyFill="1" applyBorder="1" applyAlignment="1">
      <alignment horizontal="right" vertical="center" indent="1"/>
    </xf>
    <xf numFmtId="3" fontId="15" fillId="3" borderId="31" xfId="0" applyNumberFormat="1" applyFont="1" applyFill="1" applyBorder="1" applyAlignment="1">
      <alignment horizontal="right" vertical="center" wrapText="1" indent="1"/>
    </xf>
    <xf numFmtId="3" fontId="16" fillId="3" borderId="6" xfId="0" applyNumberFormat="1" applyFont="1" applyFill="1" applyBorder="1" applyAlignment="1">
      <alignment horizontal="right" vertical="center" indent="1"/>
    </xf>
    <xf numFmtId="3" fontId="16" fillId="3" borderId="11" xfId="0" applyNumberFormat="1" applyFont="1" applyFill="1" applyBorder="1" applyAlignment="1">
      <alignment horizontal="left" vertical="center" wrapText="1"/>
    </xf>
    <xf numFmtId="3" fontId="16" fillId="3" borderId="6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3" fontId="16" fillId="2" borderId="11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3" fontId="16" fillId="2" borderId="11" xfId="0" applyNumberFormat="1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left" vertical="center"/>
    </xf>
    <xf numFmtId="0" fontId="16" fillId="2" borderId="3" xfId="0" applyFont="1" applyFill="1" applyBorder="1"/>
    <xf numFmtId="0" fontId="16" fillId="2" borderId="12" xfId="0" applyFont="1" applyFill="1" applyBorder="1"/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 indent="1"/>
    </xf>
    <xf numFmtId="164" fontId="8" fillId="2" borderId="31" xfId="0" applyNumberFormat="1" applyFont="1" applyFill="1" applyBorder="1" applyAlignment="1">
      <alignment horizontal="right" vertical="center" wrapText="1" indent="1"/>
    </xf>
    <xf numFmtId="164" fontId="9" fillId="2" borderId="7" xfId="0" applyNumberFormat="1" applyFont="1" applyFill="1" applyBorder="1" applyAlignment="1">
      <alignment horizontal="right" vertical="center" wrapText="1" indent="1"/>
    </xf>
    <xf numFmtId="164" fontId="8" fillId="2" borderId="6" xfId="0" applyNumberFormat="1" applyFont="1" applyFill="1" applyBorder="1" applyAlignment="1">
      <alignment horizontal="right" vertical="center" wrapText="1" indent="1"/>
    </xf>
    <xf numFmtId="164" fontId="9" fillId="2" borderId="6" xfId="0" applyNumberFormat="1" applyFont="1" applyFill="1" applyBorder="1" applyAlignment="1">
      <alignment horizontal="righ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164" fontId="9" fillId="2" borderId="31" xfId="0" applyNumberFormat="1" applyFont="1" applyFill="1" applyBorder="1" applyAlignment="1">
      <alignment horizontal="right" vertical="center" wrapText="1" indent="1"/>
    </xf>
    <xf numFmtId="164" fontId="9" fillId="2" borderId="28" xfId="0" applyNumberFormat="1" applyFont="1" applyFill="1" applyBorder="1" applyAlignment="1">
      <alignment horizontal="left" vertical="center" wrapText="1"/>
    </xf>
    <xf numFmtId="164" fontId="9" fillId="2" borderId="32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right" vertical="center" wrapText="1" indent="1"/>
    </xf>
    <xf numFmtId="0" fontId="28" fillId="2" borderId="0" xfId="0" applyFont="1" applyFill="1"/>
    <xf numFmtId="0" fontId="12" fillId="2" borderId="0" xfId="0" applyFont="1" applyFill="1"/>
    <xf numFmtId="164" fontId="8" fillId="2" borderId="1" xfId="0" applyNumberFormat="1" applyFont="1" applyFill="1" applyBorder="1" applyAlignment="1">
      <alignment horizontal="right" vertical="center" wrapText="1" indent="1"/>
    </xf>
    <xf numFmtId="164" fontId="9" fillId="2" borderId="21" xfId="0" applyNumberFormat="1" applyFont="1" applyFill="1" applyBorder="1" applyAlignment="1">
      <alignment horizontal="right" vertical="center" wrapText="1" indent="1"/>
    </xf>
    <xf numFmtId="164" fontId="9" fillId="2" borderId="1" xfId="0" applyNumberFormat="1" applyFont="1" applyFill="1" applyBorder="1" applyAlignment="1">
      <alignment horizontal="right" vertical="center" wrapText="1" indent="1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164" fontId="9" fillId="2" borderId="3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164" fontId="9" fillId="2" borderId="7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vertical="center" wrapText="1"/>
    </xf>
    <xf numFmtId="164" fontId="9" fillId="2" borderId="7" xfId="0" applyNumberFormat="1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vertical="center" wrapText="1"/>
    </xf>
    <xf numFmtId="164" fontId="9" fillId="2" borderId="32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top" wrapText="1" indent="1"/>
    </xf>
    <xf numFmtId="3" fontId="8" fillId="2" borderId="17" xfId="0" applyNumberFormat="1" applyFont="1" applyFill="1" applyBorder="1" applyAlignment="1">
      <alignment horizontal="right" vertical="top" wrapText="1" indent="1"/>
    </xf>
    <xf numFmtId="164" fontId="8" fillId="2" borderId="14" xfId="0" applyNumberFormat="1" applyFont="1" applyFill="1" applyBorder="1" applyAlignment="1">
      <alignment horizontal="right" vertical="center" wrapText="1" indent="1"/>
    </xf>
    <xf numFmtId="164" fontId="8" fillId="2" borderId="1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164" fontId="9" fillId="2" borderId="38" xfId="0" applyNumberFormat="1" applyFont="1" applyFill="1" applyBorder="1" applyAlignment="1">
      <alignment horizontal="right" vertical="center" wrapText="1" indent="1"/>
    </xf>
    <xf numFmtId="164" fontId="9" fillId="2" borderId="19" xfId="0" applyNumberFormat="1" applyFont="1" applyFill="1" applyBorder="1" applyAlignment="1">
      <alignment horizontal="right" vertical="center" wrapText="1" indent="1"/>
    </xf>
    <xf numFmtId="0" fontId="29" fillId="2" borderId="0" xfId="0" applyFont="1" applyFill="1"/>
    <xf numFmtId="0" fontId="35" fillId="0" borderId="0" xfId="0" applyFont="1" applyAlignment="1">
      <alignment horizontal="left"/>
    </xf>
    <xf numFmtId="164" fontId="35" fillId="0" borderId="0" xfId="0" applyNumberFormat="1" applyFont="1"/>
    <xf numFmtId="0" fontId="35" fillId="0" borderId="0" xfId="0" applyFont="1"/>
    <xf numFmtId="0" fontId="36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0" fontId="14" fillId="2" borderId="1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 indent="1"/>
    </xf>
    <xf numFmtId="3" fontId="9" fillId="2" borderId="7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3" fontId="37" fillId="2" borderId="0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3" fontId="8" fillId="0" borderId="3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3" fontId="9" fillId="0" borderId="38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1"/>
    </xf>
    <xf numFmtId="3" fontId="9" fillId="2" borderId="16" xfId="0" applyNumberFormat="1" applyFont="1" applyFill="1" applyBorder="1" applyAlignment="1">
      <alignment vertical="center" wrapText="1"/>
    </xf>
    <xf numFmtId="0" fontId="0" fillId="2" borderId="0" xfId="0" applyFill="1"/>
    <xf numFmtId="0" fontId="5" fillId="2" borderId="10" xfId="0" applyFont="1" applyFill="1" applyBorder="1" applyAlignment="1">
      <alignment horizontal="center"/>
    </xf>
    <xf numFmtId="0" fontId="0" fillId="2" borderId="10" xfId="0" applyFill="1" applyBorder="1"/>
    <xf numFmtId="0" fontId="9" fillId="2" borderId="40" xfId="0" applyFont="1" applyFill="1" applyBorder="1" applyAlignment="1">
      <alignment horizontal="left" vertical="center" wrapText="1" indent="1"/>
    </xf>
    <xf numFmtId="3" fontId="9" fillId="2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24" fillId="4" borderId="0" xfId="0" applyFont="1" applyFill="1" applyAlignment="1">
      <alignment vertical="center"/>
    </xf>
    <xf numFmtId="0" fontId="24" fillId="4" borderId="0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 wrapText="1" indent="1"/>
    </xf>
    <xf numFmtId="3" fontId="9" fillId="4" borderId="7" xfId="0" applyNumberFormat="1" applyFont="1" applyFill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0" fillId="4" borderId="0" xfId="0" applyFill="1" applyBorder="1"/>
    <xf numFmtId="0" fontId="8" fillId="0" borderId="0" xfId="0" applyFont="1" applyFill="1" applyAlignment="1">
      <alignment horizontal="left"/>
    </xf>
    <xf numFmtId="0" fontId="8" fillId="0" borderId="8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164" fontId="1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right" vertical="top" wrapText="1" indent="1"/>
    </xf>
    <xf numFmtId="3" fontId="8" fillId="0" borderId="21" xfId="0" applyNumberFormat="1" applyFont="1" applyFill="1" applyBorder="1" applyAlignment="1">
      <alignment horizontal="right" vertical="top" wrapText="1" indent="1"/>
    </xf>
    <xf numFmtId="164" fontId="8" fillId="0" borderId="2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14" xfId="0" applyNumberFormat="1" applyFont="1" applyFill="1" applyBorder="1" applyAlignment="1">
      <alignment horizontal="right" vertical="center" wrapText="1" indent="1"/>
    </xf>
    <xf numFmtId="164" fontId="9" fillId="2" borderId="14" xfId="0" applyNumberFormat="1" applyFont="1" applyFill="1" applyBorder="1" applyAlignment="1">
      <alignment horizontal="right" wrapText="1" indent="1"/>
    </xf>
    <xf numFmtId="16" fontId="29" fillId="0" borderId="0" xfId="0" applyNumberFormat="1" applyFont="1"/>
    <xf numFmtId="164" fontId="3" fillId="2" borderId="3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3" fontId="16" fillId="3" borderId="42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right" vertical="center" indent="1"/>
    </xf>
    <xf numFmtId="3" fontId="16" fillId="2" borderId="18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34" fillId="0" borderId="18" xfId="0" applyFont="1" applyFill="1" applyBorder="1" applyAlignment="1">
      <alignment vertical="center"/>
    </xf>
    <xf numFmtId="0" fontId="33" fillId="0" borderId="25" xfId="0" applyFont="1" applyFill="1" applyBorder="1"/>
    <xf numFmtId="0" fontId="33" fillId="0" borderId="18" xfId="0" applyFont="1" applyFill="1" applyBorder="1"/>
    <xf numFmtId="0" fontId="8" fillId="0" borderId="8" xfId="0" applyFont="1" applyBorder="1" applyAlignment="1">
      <alignment horizontal="left" vertical="top" wrapText="1" indent="1"/>
    </xf>
    <xf numFmtId="164" fontId="8" fillId="2" borderId="32" xfId="0" applyNumberFormat="1" applyFont="1" applyFill="1" applyBorder="1" applyAlignment="1">
      <alignment horizontal="right" wrapText="1"/>
    </xf>
    <xf numFmtId="164" fontId="9" fillId="2" borderId="32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 horizontal="left" vertical="center" wrapText="1"/>
    </xf>
    <xf numFmtId="164" fontId="8" fillId="2" borderId="32" xfId="0" applyNumberFormat="1" applyFont="1" applyFill="1" applyBorder="1" applyAlignment="1">
      <alignment horizontal="right" vertical="center" wrapText="1" indent="1"/>
    </xf>
    <xf numFmtId="164" fontId="9" fillId="2" borderId="32" xfId="0" applyNumberFormat="1" applyFont="1" applyFill="1" applyBorder="1" applyAlignment="1">
      <alignment horizontal="right" vertical="center" wrapText="1" indent="1"/>
    </xf>
    <xf numFmtId="3" fontId="0" fillId="2" borderId="0" xfId="0" applyNumberFormat="1" applyFill="1" applyBorder="1"/>
    <xf numFmtId="0" fontId="9" fillId="5" borderId="0" xfId="0" applyFont="1" applyFill="1" applyBorder="1"/>
    <xf numFmtId="0" fontId="9" fillId="5" borderId="6" xfId="0" applyFont="1" applyFill="1" applyBorder="1"/>
    <xf numFmtId="0" fontId="9" fillId="5" borderId="7" xfId="0" applyFont="1" applyFill="1" applyBorder="1"/>
    <xf numFmtId="3" fontId="9" fillId="0" borderId="18" xfId="0" applyNumberFormat="1" applyFont="1" applyFill="1" applyBorder="1" applyAlignment="1">
      <alignment horizontal="right" vertical="center" wrapText="1" indent="1"/>
    </xf>
    <xf numFmtId="3" fontId="9" fillId="0" borderId="4" xfId="0" applyNumberFormat="1" applyFont="1" applyFill="1" applyBorder="1" applyAlignment="1">
      <alignment horizontal="right" vertical="center" inden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indent="1"/>
    </xf>
    <xf numFmtId="3" fontId="9" fillId="0" borderId="45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14" fillId="2" borderId="31" xfId="0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0" fontId="8" fillId="0" borderId="15" xfId="0" applyNumberFormat="1" applyFont="1" applyBorder="1" applyAlignment="1">
      <alignment vertical="center" wrapText="1"/>
    </xf>
    <xf numFmtId="10" fontId="8" fillId="0" borderId="9" xfId="0" applyNumberFormat="1" applyFont="1" applyBorder="1" applyAlignment="1">
      <alignment vertical="center" wrapText="1"/>
    </xf>
    <xf numFmtId="10" fontId="9" fillId="2" borderId="7" xfId="0" applyNumberFormat="1" applyFont="1" applyFill="1" applyBorder="1" applyAlignment="1">
      <alignment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9" xfId="0" applyNumberFormat="1" applyFont="1" applyFill="1" applyBorder="1" applyAlignment="1">
      <alignment vertical="center" wrapText="1"/>
    </xf>
    <xf numFmtId="10" fontId="9" fillId="0" borderId="38" xfId="0" applyNumberFormat="1" applyFont="1" applyBorder="1" applyAlignment="1">
      <alignment vertical="center" wrapText="1"/>
    </xf>
    <xf numFmtId="10" fontId="8" fillId="0" borderId="7" xfId="0" applyNumberFormat="1" applyFont="1" applyBorder="1" applyAlignment="1">
      <alignment vertical="center" wrapText="1"/>
    </xf>
    <xf numFmtId="10" fontId="9" fillId="0" borderId="7" xfId="0" applyNumberFormat="1" applyFont="1" applyBorder="1" applyAlignment="1">
      <alignment vertical="center" wrapText="1"/>
    </xf>
    <xf numFmtId="3" fontId="24" fillId="4" borderId="0" xfId="0" applyNumberFormat="1" applyFont="1" applyFill="1" applyAlignment="1">
      <alignment vertical="center"/>
    </xf>
    <xf numFmtId="3" fontId="0" fillId="4" borderId="0" xfId="0" applyNumberFormat="1" applyFill="1" applyBorder="1"/>
    <xf numFmtId="3" fontId="27" fillId="0" borderId="0" xfId="0" applyNumberFormat="1" applyFont="1"/>
    <xf numFmtId="10" fontId="8" fillId="0" borderId="0" xfId="0" applyNumberFormat="1" applyFont="1"/>
    <xf numFmtId="10" fontId="2" fillId="0" borderId="0" xfId="0" applyNumberFormat="1" applyFont="1"/>
    <xf numFmtId="10" fontId="7" fillId="0" borderId="0" xfId="0" applyNumberFormat="1" applyFont="1" applyAlignment="1">
      <alignment horizontal="center"/>
    </xf>
    <xf numFmtId="10" fontId="3" fillId="2" borderId="7" xfId="0" applyNumberFormat="1" applyFont="1" applyFill="1" applyBorder="1" applyAlignment="1">
      <alignment horizontal="center" vertical="center" wrapText="1"/>
    </xf>
    <xf numFmtId="10" fontId="22" fillId="0" borderId="2" xfId="0" applyNumberFormat="1" applyFont="1" applyBorder="1" applyAlignment="1">
      <alignment vertical="center" wrapText="1"/>
    </xf>
    <xf numFmtId="10" fontId="9" fillId="4" borderId="7" xfId="0" applyNumberFormat="1" applyFont="1" applyFill="1" applyBorder="1" applyAlignment="1">
      <alignment vertical="center" wrapText="1"/>
    </xf>
    <xf numFmtId="10" fontId="27" fillId="0" borderId="0" xfId="0" applyNumberFormat="1" applyFont="1"/>
    <xf numFmtId="10" fontId="0" fillId="0" borderId="0" xfId="0" applyNumberFormat="1"/>
    <xf numFmtId="10" fontId="28" fillId="0" borderId="0" xfId="0" applyNumberFormat="1" applyFont="1"/>
    <xf numFmtId="10" fontId="8" fillId="0" borderId="0" xfId="0" applyNumberFormat="1" applyFont="1" applyAlignment="1">
      <alignment horizontal="right"/>
    </xf>
    <xf numFmtId="10" fontId="8" fillId="0" borderId="0" xfId="0" applyNumberFormat="1" applyFont="1" applyBorder="1" applyAlignment="1">
      <alignment horizontal="right"/>
    </xf>
    <xf numFmtId="10" fontId="9" fillId="2" borderId="7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right" vertical="center" wrapText="1" indent="1"/>
    </xf>
    <xf numFmtId="10" fontId="8" fillId="0" borderId="4" xfId="0" applyNumberFormat="1" applyFont="1" applyBorder="1" applyAlignment="1">
      <alignment horizontal="right" vertical="center" wrapText="1" indent="1"/>
    </xf>
    <xf numFmtId="10" fontId="9" fillId="2" borderId="4" xfId="0" applyNumberFormat="1" applyFont="1" applyFill="1" applyBorder="1" applyAlignment="1">
      <alignment horizontal="right" vertical="center" wrapText="1" indent="1"/>
    </xf>
    <xf numFmtId="10" fontId="8" fillId="2" borderId="14" xfId="0" applyNumberFormat="1" applyFont="1" applyFill="1" applyBorder="1" applyAlignment="1">
      <alignment vertical="center" wrapText="1"/>
    </xf>
    <xf numFmtId="10" fontId="8" fillId="0" borderId="4" xfId="0" applyNumberFormat="1" applyFont="1" applyBorder="1" applyAlignment="1">
      <alignment vertical="center" wrapText="1"/>
    </xf>
    <xf numFmtId="10" fontId="9" fillId="2" borderId="7" xfId="0" applyNumberFormat="1" applyFont="1" applyFill="1" applyBorder="1" applyAlignment="1">
      <alignment horizontal="right" vertical="center" wrapText="1" indent="1"/>
    </xf>
    <xf numFmtId="10" fontId="8" fillId="0" borderId="1" xfId="0" applyNumberFormat="1" applyFont="1" applyBorder="1" applyAlignment="1">
      <alignment horizontal="right" vertical="center" wrapText="1" indent="1"/>
    </xf>
    <xf numFmtId="10" fontId="8" fillId="0" borderId="5" xfId="0" applyNumberFormat="1" applyFont="1" applyBorder="1" applyAlignment="1">
      <alignment horizontal="right" vertical="center" wrapText="1" inden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0" borderId="2" xfId="0" applyNumberFormat="1" applyFont="1" applyFill="1" applyBorder="1" applyAlignment="1">
      <alignment horizontal="right" vertical="center" wrapText="1" indent="1"/>
    </xf>
    <xf numFmtId="10" fontId="9" fillId="2" borderId="19" xfId="0" applyNumberFormat="1" applyFont="1" applyFill="1" applyBorder="1" applyAlignment="1">
      <alignment horizontal="right" vertical="center" wrapText="1" indent="1"/>
    </xf>
    <xf numFmtId="10" fontId="9" fillId="2" borderId="9" xfId="0" applyNumberFormat="1" applyFont="1" applyFill="1" applyBorder="1" applyAlignment="1">
      <alignment horizontal="right" vertical="center" wrapText="1" indent="1"/>
    </xf>
    <xf numFmtId="164" fontId="9" fillId="2" borderId="4" xfId="0" applyNumberFormat="1" applyFont="1" applyFill="1" applyBorder="1" applyAlignment="1">
      <alignment horizontal="right" wrapText="1" indent="1"/>
    </xf>
    <xf numFmtId="164" fontId="9" fillId="2" borderId="1" xfId="0" applyNumberFormat="1" applyFont="1" applyFill="1" applyBorder="1" applyAlignment="1">
      <alignment horizontal="right" wrapText="1" indent="1"/>
    </xf>
    <xf numFmtId="164" fontId="9" fillId="2" borderId="32" xfId="0" applyNumberFormat="1" applyFont="1" applyFill="1" applyBorder="1" applyAlignment="1">
      <alignment horizontal="right" wrapText="1" indent="1"/>
    </xf>
    <xf numFmtId="164" fontId="9" fillId="2" borderId="7" xfId="0" applyNumberFormat="1" applyFont="1" applyFill="1" applyBorder="1" applyAlignment="1">
      <alignment horizontal="right" wrapText="1" indent="1"/>
    </xf>
    <xf numFmtId="164" fontId="9" fillId="2" borderId="6" xfId="0" applyNumberFormat="1" applyFont="1" applyFill="1" applyBorder="1" applyAlignment="1">
      <alignment horizontal="right" wrapText="1" indent="1"/>
    </xf>
    <xf numFmtId="164" fontId="8" fillId="0" borderId="5" xfId="0" applyNumberFormat="1" applyFont="1" applyFill="1" applyBorder="1" applyAlignment="1">
      <alignment horizontal="right" vertical="center" wrapText="1" indent="1"/>
    </xf>
    <xf numFmtId="10" fontId="8" fillId="0" borderId="5" xfId="0" applyNumberFormat="1" applyFont="1" applyFill="1" applyBorder="1" applyAlignment="1">
      <alignment horizontal="right" vertical="center" wrapText="1" indent="1"/>
    </xf>
    <xf numFmtId="10" fontId="29" fillId="0" borderId="0" xfId="0" applyNumberFormat="1" applyFont="1"/>
    <xf numFmtId="10" fontId="35" fillId="0" borderId="0" xfId="0" applyNumberFormat="1" applyFont="1"/>
    <xf numFmtId="10" fontId="19" fillId="0" borderId="0" xfId="0" applyNumberFormat="1" applyFont="1" applyAlignment="1">
      <alignment horizontal="center"/>
    </xf>
    <xf numFmtId="10" fontId="14" fillId="2" borderId="7" xfId="0" applyNumberFormat="1" applyFont="1" applyFill="1" applyBorder="1" applyAlignment="1">
      <alignment horizontal="center"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10" fontId="29" fillId="0" borderId="5" xfId="0" applyNumberFormat="1" applyFont="1" applyBorder="1" applyAlignment="1">
      <alignment vertical="center" wrapText="1"/>
    </xf>
    <xf numFmtId="10" fontId="29" fillId="0" borderId="5" xfId="0" applyNumberFormat="1" applyFont="1" applyBorder="1" applyAlignment="1"/>
    <xf numFmtId="10" fontId="14" fillId="2" borderId="7" xfId="0" applyNumberFormat="1" applyFont="1" applyFill="1" applyBorder="1" applyAlignment="1">
      <alignment vertical="center" wrapText="1"/>
    </xf>
    <xf numFmtId="10" fontId="29" fillId="0" borderId="15" xfId="0" applyNumberFormat="1" applyFont="1" applyBorder="1" applyAlignment="1">
      <alignment vertical="center" wrapText="1"/>
    </xf>
    <xf numFmtId="10" fontId="29" fillId="0" borderId="2" xfId="0" applyNumberFormat="1" applyFont="1" applyFill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10" fontId="14" fillId="0" borderId="5" xfId="0" applyNumberFormat="1" applyFont="1" applyBorder="1" applyAlignment="1">
      <alignment vertical="center" wrapText="1"/>
    </xf>
    <xf numFmtId="10" fontId="8" fillId="0" borderId="14" xfId="0" applyNumberFormat="1" applyFont="1" applyBorder="1" applyAlignment="1">
      <alignment horizontal="right" vertical="center" wrapText="1" indent="1"/>
    </xf>
    <xf numFmtId="10" fontId="9" fillId="0" borderId="12" xfId="0" applyNumberFormat="1" applyFont="1" applyBorder="1" applyAlignment="1">
      <alignment horizontal="righ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10" fontId="8" fillId="0" borderId="15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 wrapText="1"/>
    </xf>
    <xf numFmtId="10" fontId="33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10" fontId="16" fillId="2" borderId="22" xfId="0" applyNumberFormat="1" applyFont="1" applyFill="1" applyBorder="1" applyAlignment="1">
      <alignment horizontal="center" vertical="center" wrapText="1"/>
    </xf>
    <xf numFmtId="10" fontId="16" fillId="2" borderId="25" xfId="0" applyNumberFormat="1" applyFont="1" applyFill="1" applyBorder="1" applyAlignment="1">
      <alignment horizontal="right" vertical="center" indent="1"/>
    </xf>
    <xf numFmtId="10" fontId="9" fillId="0" borderId="22" xfId="0" applyNumberFormat="1" applyFont="1" applyFill="1" applyBorder="1" applyAlignment="1">
      <alignment horizontal="right" vertical="center" indent="1"/>
    </xf>
    <xf numFmtId="10" fontId="16" fillId="2" borderId="22" xfId="0" applyNumberFormat="1" applyFont="1" applyFill="1" applyBorder="1" applyAlignment="1">
      <alignment horizontal="right" vertical="center" indent="1"/>
    </xf>
    <xf numFmtId="10" fontId="16" fillId="0" borderId="25" xfId="0" applyNumberFormat="1" applyFont="1" applyFill="1" applyBorder="1" applyAlignment="1">
      <alignment horizontal="right" vertical="center" indent="1"/>
    </xf>
    <xf numFmtId="10" fontId="8" fillId="0" borderId="22" xfId="0" applyNumberFormat="1" applyFont="1" applyFill="1" applyBorder="1" applyAlignment="1">
      <alignment horizontal="right" vertical="center" indent="1"/>
    </xf>
    <xf numFmtId="10" fontId="9" fillId="0" borderId="14" xfId="0" applyNumberFormat="1" applyFont="1" applyFill="1" applyBorder="1" applyAlignment="1">
      <alignment horizontal="right" vertical="center" indent="1"/>
    </xf>
    <xf numFmtId="10" fontId="9" fillId="0" borderId="4" xfId="0" applyNumberFormat="1" applyFont="1" applyFill="1" applyBorder="1" applyAlignment="1">
      <alignment horizontal="right" vertical="center" indent="1"/>
    </xf>
    <xf numFmtId="10" fontId="33" fillId="0" borderId="25" xfId="0" applyNumberFormat="1" applyFont="1" applyFill="1" applyBorder="1"/>
    <xf numFmtId="10" fontId="33" fillId="0" borderId="11" xfId="0" applyNumberFormat="1" applyFont="1" applyFill="1" applyBorder="1"/>
    <xf numFmtId="10" fontId="11" fillId="0" borderId="0" xfId="0" applyNumberFormat="1" applyFont="1" applyFill="1" applyBorder="1"/>
    <xf numFmtId="10" fontId="5" fillId="0" borderId="0" xfId="0" applyNumberFormat="1" applyFont="1" applyFill="1" applyBorder="1"/>
    <xf numFmtId="10" fontId="16" fillId="2" borderId="33" xfId="0" applyNumberFormat="1" applyFont="1" applyFill="1" applyBorder="1" applyAlignment="1">
      <alignment horizontal="center" vertical="center" wrapText="1"/>
    </xf>
    <xf numFmtId="10" fontId="16" fillId="3" borderId="28" xfId="0" applyNumberFormat="1" applyFont="1" applyFill="1" applyBorder="1" applyAlignment="1">
      <alignment horizontal="right" vertical="center" indent="1"/>
    </xf>
    <xf numFmtId="10" fontId="16" fillId="0" borderId="5" xfId="0" applyNumberFormat="1" applyFont="1" applyFill="1" applyBorder="1" applyAlignment="1">
      <alignment horizontal="right" vertical="center" indent="1"/>
    </xf>
    <xf numFmtId="10" fontId="17" fillId="0" borderId="5" xfId="0" applyNumberFormat="1" applyFont="1" applyFill="1" applyBorder="1" applyAlignment="1">
      <alignment horizontal="right" vertical="center" indent="1"/>
    </xf>
    <xf numFmtId="10" fontId="16" fillId="3" borderId="34" xfId="0" applyNumberFormat="1" applyFont="1" applyFill="1" applyBorder="1" applyAlignment="1">
      <alignment horizontal="right" vertical="center" indent="1"/>
    </xf>
    <xf numFmtId="10" fontId="16" fillId="0" borderId="6" xfId="0" applyNumberFormat="1" applyFont="1" applyFill="1" applyBorder="1" applyAlignment="1">
      <alignment horizontal="right" vertical="center" indent="1"/>
    </xf>
    <xf numFmtId="10" fontId="16" fillId="3" borderId="6" xfId="0" applyNumberFormat="1" applyFont="1" applyFill="1" applyBorder="1" applyAlignment="1">
      <alignment horizontal="right" vertical="center" indent="1"/>
    </xf>
    <xf numFmtId="10" fontId="16" fillId="0" borderId="2" xfId="0" applyNumberFormat="1" applyFont="1" applyFill="1" applyBorder="1" applyAlignment="1">
      <alignment horizontal="right" vertical="center" indent="1"/>
    </xf>
    <xf numFmtId="10" fontId="16" fillId="0" borderId="15" xfId="0" applyNumberFormat="1" applyFont="1" applyFill="1" applyBorder="1" applyAlignment="1">
      <alignment horizontal="right" vertical="center" indent="1"/>
    </xf>
    <xf numFmtId="10" fontId="16" fillId="3" borderId="7" xfId="0" applyNumberFormat="1" applyFont="1" applyFill="1" applyBorder="1" applyAlignment="1">
      <alignment horizontal="right" vertical="center" indent="1"/>
    </xf>
    <xf numFmtId="10" fontId="16" fillId="0" borderId="7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10" fontId="4" fillId="0" borderId="0" xfId="0" applyNumberFormat="1" applyFont="1" applyFill="1" applyBorder="1"/>
    <xf numFmtId="10" fontId="5" fillId="0" borderId="11" xfId="0" applyNumberFormat="1" applyFont="1" applyFill="1" applyBorder="1"/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4" fontId="3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3" fontId="16" fillId="6" borderId="7" xfId="0" applyNumberFormat="1" applyFont="1" applyFill="1" applyBorder="1" applyAlignment="1">
      <alignment horizontal="right" vertical="center" indent="1"/>
    </xf>
    <xf numFmtId="10" fontId="16" fillId="6" borderId="7" xfId="0" applyNumberFormat="1" applyFont="1" applyFill="1" applyBorder="1" applyAlignment="1">
      <alignment horizontal="right" vertical="center" indent="1"/>
    </xf>
    <xf numFmtId="3" fontId="17" fillId="0" borderId="25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horizontal="right" vertical="center" indent="1"/>
    </xf>
    <xf numFmtId="3" fontId="16" fillId="0" borderId="22" xfId="0" applyNumberFormat="1" applyFont="1" applyFill="1" applyBorder="1" applyAlignment="1">
      <alignment horizontal="right" vertical="center" indent="1"/>
    </xf>
    <xf numFmtId="10" fontId="9" fillId="0" borderId="25" xfId="0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 vertical="center"/>
    </xf>
    <xf numFmtId="10" fontId="35" fillId="0" borderId="0" xfId="0" applyNumberFormat="1" applyFont="1" applyAlignment="1">
      <alignment horizontal="right"/>
    </xf>
    <xf numFmtId="10" fontId="8" fillId="0" borderId="37" xfId="0" applyNumberFormat="1" applyFont="1" applyBorder="1" applyAlignment="1">
      <alignment vertical="center" wrapText="1"/>
    </xf>
    <xf numFmtId="10" fontId="12" fillId="0" borderId="0" xfId="0" applyNumberFormat="1" applyFont="1" applyFill="1"/>
    <xf numFmtId="10" fontId="0" fillId="0" borderId="0" xfId="0" applyNumberFormat="1" applyFill="1"/>
    <xf numFmtId="10" fontId="8" fillId="0" borderId="2" xfId="0" applyNumberFormat="1" applyFont="1" applyFill="1" applyBorder="1" applyAlignment="1">
      <alignment vertical="center" wrapText="1"/>
    </xf>
    <xf numFmtId="10" fontId="9" fillId="2" borderId="40" xfId="0" applyNumberFormat="1" applyFont="1" applyFill="1" applyBorder="1" applyAlignment="1">
      <alignment vertical="center" wrapText="1"/>
    </xf>
    <xf numFmtId="10" fontId="12" fillId="0" borderId="0" xfId="0" applyNumberFormat="1" applyFont="1" applyFill="1" applyAlignment="1">
      <alignment horizontal="right"/>
    </xf>
    <xf numFmtId="10" fontId="8" fillId="0" borderId="38" xfId="0" applyNumberFormat="1" applyFont="1" applyBorder="1" applyAlignment="1">
      <alignment horizontal="right" vertical="center" wrapText="1" inden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3" fontId="9" fillId="0" borderId="8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top" wrapText="1" indent="1"/>
    </xf>
    <xf numFmtId="164" fontId="8" fillId="0" borderId="14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Fill="1" applyBorder="1" applyAlignment="1">
      <alignment horizontal="center" vertical="top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 indent="1"/>
    </xf>
    <xf numFmtId="10" fontId="8" fillId="0" borderId="4" xfId="0" applyNumberFormat="1" applyFont="1" applyFill="1" applyBorder="1" applyAlignment="1">
      <alignment horizontal="right" vertical="center" indent="1"/>
    </xf>
    <xf numFmtId="10" fontId="9" fillId="0" borderId="17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16" fillId="0" borderId="9" xfId="0" applyNumberFormat="1" applyFont="1" applyFill="1" applyBorder="1" applyAlignment="1">
      <alignment horizontal="right" vertical="center" indent="1"/>
    </xf>
    <xf numFmtId="10" fontId="16" fillId="0" borderId="9" xfId="0" applyNumberFormat="1" applyFont="1" applyFill="1" applyBorder="1" applyAlignment="1">
      <alignment horizontal="right" vertical="center" indent="1"/>
    </xf>
    <xf numFmtId="3" fontId="16" fillId="0" borderId="29" xfId="0" applyNumberFormat="1" applyFont="1" applyFill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right" vertical="center" wrapText="1" indent="1"/>
    </xf>
    <xf numFmtId="3" fontId="17" fillId="0" borderId="4" xfId="0" applyNumberFormat="1" applyFont="1" applyFill="1" applyBorder="1" applyAlignment="1">
      <alignment horizontal="right" vertical="center" wrapText="1"/>
    </xf>
    <xf numFmtId="0" fontId="17" fillId="0" borderId="1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right" wrapText="1"/>
    </xf>
    <xf numFmtId="3" fontId="16" fillId="0" borderId="4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0" fontId="9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2" borderId="1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2" borderId="41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0" fontId="9" fillId="2" borderId="11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2"/>
    </xf>
    <xf numFmtId="0" fontId="8" fillId="0" borderId="18" xfId="0" applyFont="1" applyBorder="1" applyAlignment="1">
      <alignment horizontal="left" vertical="top" wrapText="1" indent="2"/>
    </xf>
    <xf numFmtId="0" fontId="9" fillId="2" borderId="29" xfId="0" applyFont="1" applyFill="1" applyBorder="1" applyAlignment="1">
      <alignment horizontal="left" vertical="top" wrapText="1"/>
    </xf>
    <xf numFmtId="0" fontId="9" fillId="2" borderId="43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8" fillId="0" borderId="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0" fontId="10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9" fillId="2" borderId="8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164" fontId="14" fillId="2" borderId="26" xfId="0" applyNumberFormat="1" applyFont="1" applyFill="1" applyBorder="1" applyAlignment="1">
      <alignment horizontal="center"/>
    </xf>
    <xf numFmtId="164" fontId="14" fillId="2" borderId="27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27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44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14" fillId="2" borderId="31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4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98" zoomScaleSheetLayoutView="98" workbookViewId="0">
      <selection sqref="A1:D1"/>
    </sheetView>
  </sheetViews>
  <sheetFormatPr defaultRowHeight="15.75"/>
  <cols>
    <col min="1" max="1" width="74.5703125" style="105" customWidth="1"/>
    <col min="2" max="2" width="16.28515625" style="105" customWidth="1"/>
    <col min="3" max="3" width="19" style="111" customWidth="1"/>
    <col min="4" max="5" width="17.85546875" style="111" customWidth="1"/>
    <col min="6" max="6" width="14.140625" style="111" customWidth="1"/>
    <col min="7" max="7" width="14.140625" style="438" customWidth="1"/>
    <col min="8" max="16384" width="9.140625" style="105"/>
  </cols>
  <sheetData>
    <row r="1" spans="1:7" ht="20.100000000000001" customHeight="1">
      <c r="A1" s="559" t="s">
        <v>409</v>
      </c>
      <c r="B1" s="560"/>
      <c r="C1" s="560"/>
      <c r="D1" s="560"/>
      <c r="E1" s="105"/>
      <c r="F1" s="105"/>
    </row>
    <row r="2" spans="1:7" ht="20.100000000000001" customHeight="1">
      <c r="A2" s="2"/>
      <c r="B2" s="56"/>
      <c r="C2" s="3"/>
      <c r="D2" s="3"/>
      <c r="E2" s="3"/>
      <c r="F2" s="3"/>
      <c r="G2" s="439"/>
    </row>
    <row r="3" spans="1:7" ht="39" customHeight="1">
      <c r="A3" s="563" t="s">
        <v>372</v>
      </c>
      <c r="B3" s="563"/>
      <c r="C3" s="563"/>
      <c r="D3" s="563"/>
      <c r="E3" s="563"/>
      <c r="F3" s="563"/>
      <c r="G3" s="563"/>
    </row>
    <row r="4" spans="1:7" ht="20.100000000000001" customHeight="1">
      <c r="A4" s="2" t="s">
        <v>270</v>
      </c>
      <c r="B4" s="56"/>
      <c r="C4" s="3"/>
      <c r="D4" s="3"/>
      <c r="E4" s="3"/>
      <c r="F4" s="3"/>
      <c r="G4" s="439"/>
    </row>
    <row r="5" spans="1:7" ht="20.100000000000001" customHeight="1" thickBot="1">
      <c r="A5" s="4"/>
      <c r="B5" s="5"/>
      <c r="C5" s="5"/>
      <c r="D5" s="57"/>
      <c r="E5" s="57"/>
      <c r="F5" s="418"/>
      <c r="G5" s="440" t="s">
        <v>0</v>
      </c>
    </row>
    <row r="6" spans="1:7" ht="51" customHeight="1" thickBot="1">
      <c r="A6" s="561" t="s">
        <v>322</v>
      </c>
      <c r="B6" s="562"/>
      <c r="C6" s="258"/>
      <c r="D6" s="259" t="s">
        <v>1</v>
      </c>
      <c r="E6" s="259" t="s">
        <v>336</v>
      </c>
      <c r="F6" s="259" t="s">
        <v>363</v>
      </c>
      <c r="G6" s="441" t="s">
        <v>362</v>
      </c>
    </row>
    <row r="7" spans="1:7" ht="20.100000000000001" customHeight="1">
      <c r="A7" s="51" t="s">
        <v>2</v>
      </c>
      <c r="B7" s="106"/>
      <c r="C7" s="58"/>
      <c r="D7" s="301"/>
      <c r="E7" s="301"/>
      <c r="F7" s="58"/>
      <c r="G7" s="442"/>
    </row>
    <row r="8" spans="1:7" ht="20.100000000000001" customHeight="1">
      <c r="A8" s="112" t="s">
        <v>3</v>
      </c>
      <c r="B8" s="113" t="s">
        <v>4</v>
      </c>
      <c r="C8" s="114" t="s">
        <v>4</v>
      </c>
      <c r="D8" s="302"/>
      <c r="E8" s="302"/>
      <c r="F8" s="6"/>
      <c r="G8" s="443"/>
    </row>
    <row r="9" spans="1:7" ht="20.100000000000001" customHeight="1">
      <c r="A9" s="557" t="s">
        <v>5</v>
      </c>
      <c r="B9" s="558"/>
      <c r="C9" s="107">
        <v>195932400</v>
      </c>
      <c r="D9" s="298">
        <v>195933</v>
      </c>
      <c r="E9" s="298">
        <v>195933</v>
      </c>
      <c r="F9" s="107">
        <v>148909</v>
      </c>
      <c r="G9" s="444">
        <f>SUM(F9/E9)</f>
        <v>0.7599995916971618</v>
      </c>
    </row>
    <row r="10" spans="1:7" ht="20.100000000000001" customHeight="1">
      <c r="A10" s="557" t="s">
        <v>6</v>
      </c>
      <c r="B10" s="558"/>
      <c r="C10" s="107">
        <v>29491750</v>
      </c>
      <c r="D10" s="298">
        <v>0</v>
      </c>
      <c r="E10" s="298">
        <v>0</v>
      </c>
      <c r="F10" s="107"/>
      <c r="G10" s="444"/>
    </row>
    <row r="11" spans="1:7" ht="20.100000000000001" customHeight="1">
      <c r="A11" s="557" t="s">
        <v>7</v>
      </c>
      <c r="B11" s="558"/>
      <c r="C11" s="107">
        <v>0</v>
      </c>
      <c r="D11" s="298"/>
      <c r="E11" s="298"/>
      <c r="F11" s="107"/>
      <c r="G11" s="444"/>
    </row>
    <row r="12" spans="1:7" ht="20.100000000000001" customHeight="1">
      <c r="A12" s="115" t="s">
        <v>8</v>
      </c>
      <c r="B12" s="116"/>
      <c r="C12" s="107">
        <v>54560000</v>
      </c>
      <c r="D12" s="298">
        <v>15087</v>
      </c>
      <c r="E12" s="298">
        <v>52174</v>
      </c>
      <c r="F12" s="107">
        <v>39652</v>
      </c>
      <c r="G12" s="444">
        <f>SUM(F12/E12)</f>
        <v>0.75999540000766663</v>
      </c>
    </row>
    <row r="13" spans="1:7" ht="20.100000000000001" customHeight="1">
      <c r="A13" s="557" t="s">
        <v>7</v>
      </c>
      <c r="B13" s="558"/>
      <c r="C13" s="107">
        <v>52174293</v>
      </c>
      <c r="D13" s="298"/>
      <c r="E13" s="298"/>
      <c r="F13" s="107"/>
      <c r="G13" s="444"/>
    </row>
    <row r="14" spans="1:7" ht="20.100000000000001" customHeight="1">
      <c r="A14" s="115" t="s">
        <v>9</v>
      </c>
      <c r="B14" s="116"/>
      <c r="C14" s="107">
        <v>0</v>
      </c>
      <c r="D14" s="298">
        <v>0</v>
      </c>
      <c r="E14" s="298">
        <v>0</v>
      </c>
      <c r="F14" s="107"/>
      <c r="G14" s="444"/>
    </row>
    <row r="15" spans="1:7" ht="20.100000000000001" customHeight="1">
      <c r="A15" s="115" t="s">
        <v>10</v>
      </c>
      <c r="B15" s="116"/>
      <c r="C15" s="107">
        <v>32733200</v>
      </c>
      <c r="D15" s="298">
        <v>32733</v>
      </c>
      <c r="E15" s="298">
        <v>32733</v>
      </c>
      <c r="F15" s="107">
        <v>24877</v>
      </c>
      <c r="G15" s="444">
        <f>SUM(F15/E15)</f>
        <v>0.75999755598325847</v>
      </c>
    </row>
    <row r="16" spans="1:7" ht="20.100000000000001" customHeight="1">
      <c r="A16" s="115" t="s">
        <v>11</v>
      </c>
      <c r="B16" s="116"/>
      <c r="C16" s="107">
        <v>55744200</v>
      </c>
      <c r="D16" s="298">
        <v>0</v>
      </c>
      <c r="E16" s="298">
        <v>0</v>
      </c>
      <c r="F16" s="107"/>
      <c r="G16" s="444"/>
    </row>
    <row r="17" spans="1:7" ht="20.100000000000001" customHeight="1">
      <c r="A17" s="557" t="s">
        <v>7</v>
      </c>
      <c r="B17" s="558"/>
      <c r="C17" s="107">
        <v>0</v>
      </c>
      <c r="D17" s="298"/>
      <c r="E17" s="298"/>
      <c r="F17" s="107"/>
      <c r="G17" s="444"/>
    </row>
    <row r="18" spans="1:7" ht="20.100000000000001" customHeight="1">
      <c r="A18" s="115" t="s">
        <v>12</v>
      </c>
      <c r="B18" s="116"/>
      <c r="C18" s="107">
        <v>1387200</v>
      </c>
      <c r="D18" s="298">
        <v>0</v>
      </c>
      <c r="E18" s="298">
        <v>0</v>
      </c>
      <c r="F18" s="107"/>
      <c r="G18" s="444"/>
    </row>
    <row r="19" spans="1:7" ht="20.100000000000001" customHeight="1">
      <c r="A19" s="557" t="s">
        <v>7</v>
      </c>
      <c r="B19" s="558"/>
      <c r="C19" s="107">
        <v>0</v>
      </c>
      <c r="D19" s="298"/>
      <c r="E19" s="298"/>
      <c r="F19" s="107"/>
      <c r="G19" s="444"/>
    </row>
    <row r="20" spans="1:7" ht="20.100000000000001" customHeight="1">
      <c r="A20" s="115" t="s">
        <v>13</v>
      </c>
      <c r="B20" s="116"/>
      <c r="C20" s="107">
        <v>5469950</v>
      </c>
      <c r="D20" s="298">
        <v>5470</v>
      </c>
      <c r="E20" s="298">
        <v>5470</v>
      </c>
      <c r="F20" s="107">
        <v>4157</v>
      </c>
      <c r="G20" s="444">
        <f>SUM(F20/E20)</f>
        <v>0.75996343692870205</v>
      </c>
    </row>
    <row r="21" spans="1:7" ht="20.100000000000001" customHeight="1">
      <c r="A21" s="557" t="s">
        <v>7</v>
      </c>
      <c r="B21" s="558"/>
      <c r="C21" s="107">
        <v>5469950</v>
      </c>
      <c r="D21" s="298"/>
      <c r="E21" s="298"/>
      <c r="F21" s="107"/>
      <c r="G21" s="444"/>
    </row>
    <row r="22" spans="1:7" ht="20.100000000000001" customHeight="1">
      <c r="A22" s="115" t="s">
        <v>14</v>
      </c>
      <c r="B22" s="117">
        <f>C10+C12-C13+C16+C18</f>
        <v>89008857</v>
      </c>
      <c r="C22" s="107"/>
      <c r="D22" s="298"/>
      <c r="E22" s="298"/>
      <c r="F22" s="107"/>
      <c r="G22" s="444"/>
    </row>
    <row r="23" spans="1:7" ht="20.100000000000001" customHeight="1">
      <c r="A23" s="115" t="s">
        <v>79</v>
      </c>
      <c r="B23" s="117"/>
      <c r="C23" s="107">
        <v>1779524</v>
      </c>
      <c r="D23" s="298">
        <v>1779</v>
      </c>
      <c r="E23" s="298">
        <v>1779</v>
      </c>
      <c r="F23" s="107">
        <v>1780</v>
      </c>
      <c r="G23" s="444">
        <f>SUM(F23/E23)</f>
        <v>1.0005621135469365</v>
      </c>
    </row>
    <row r="24" spans="1:7" s="277" customFormat="1" ht="25.5" customHeight="1">
      <c r="A24" s="555" t="s">
        <v>278</v>
      </c>
      <c r="B24" s="556"/>
      <c r="C24" s="291">
        <f>C9+C11+C13+C14+C15+C17+C19+C21+C23</f>
        <v>288089367</v>
      </c>
      <c r="D24" s="303">
        <f>SUM(D9:D23)</f>
        <v>251002</v>
      </c>
      <c r="E24" s="303">
        <f>SUM(E9:E23)</f>
        <v>288089</v>
      </c>
      <c r="F24" s="276">
        <f>SUM(F9:F23)</f>
        <v>219375</v>
      </c>
      <c r="G24" s="445">
        <f>F24/E24</f>
        <v>0.76148343046766798</v>
      </c>
    </row>
    <row r="25" spans="1:7" s="61" customFormat="1" ht="20.100000000000001" customHeight="1">
      <c r="A25" s="115" t="s">
        <v>87</v>
      </c>
      <c r="B25" s="116"/>
      <c r="C25" s="107">
        <v>340642300</v>
      </c>
      <c r="D25" s="298">
        <v>336376</v>
      </c>
      <c r="E25" s="298">
        <v>340642</v>
      </c>
      <c r="F25" s="107">
        <v>253422</v>
      </c>
      <c r="G25" s="444">
        <f>SUM(F25/E25)</f>
        <v>0.7439540632100563</v>
      </c>
    </row>
    <row r="26" spans="1:7" s="61" customFormat="1" ht="20.100000000000001" customHeight="1">
      <c r="A26" s="115" t="s">
        <v>15</v>
      </c>
      <c r="B26" s="116"/>
      <c r="C26" s="107"/>
      <c r="D26" s="298"/>
      <c r="E26" s="298"/>
      <c r="F26" s="107"/>
      <c r="G26" s="444"/>
    </row>
    <row r="27" spans="1:7" s="61" customFormat="1" ht="20.100000000000001" customHeight="1">
      <c r="A27" s="115" t="s">
        <v>80</v>
      </c>
      <c r="B27" s="116"/>
      <c r="C27" s="107">
        <v>53893333</v>
      </c>
      <c r="D27" s="298">
        <v>53200</v>
      </c>
      <c r="E27" s="298">
        <v>53893</v>
      </c>
      <c r="F27" s="107">
        <v>40193</v>
      </c>
      <c r="G27" s="444">
        <f>SUM(F27/E27)</f>
        <v>0.74579258901898204</v>
      </c>
    </row>
    <row r="28" spans="1:7" s="61" customFormat="1" ht="20.100000000000001" customHeight="1">
      <c r="A28" s="115" t="s">
        <v>81</v>
      </c>
      <c r="B28" s="116"/>
      <c r="C28" s="107">
        <v>9493820</v>
      </c>
      <c r="D28" s="298">
        <v>9494</v>
      </c>
      <c r="E28" s="298">
        <v>9494</v>
      </c>
      <c r="F28" s="107">
        <v>7120</v>
      </c>
      <c r="G28" s="444">
        <f>SUM(F28/E28)</f>
        <v>0.74994733515904777</v>
      </c>
    </row>
    <row r="29" spans="1:7" s="61" customFormat="1" ht="20.100000000000001" customHeight="1">
      <c r="A29" s="115" t="s">
        <v>16</v>
      </c>
      <c r="B29" s="116"/>
      <c r="C29" s="107"/>
      <c r="D29" s="298"/>
      <c r="E29" s="298"/>
      <c r="F29" s="107"/>
      <c r="G29" s="444"/>
    </row>
    <row r="30" spans="1:7" s="61" customFormat="1" ht="20.100000000000001" customHeight="1">
      <c r="A30" s="115" t="s">
        <v>82</v>
      </c>
      <c r="B30" s="116"/>
      <c r="C30" s="107">
        <v>6422000</v>
      </c>
      <c r="D30" s="298">
        <v>6422</v>
      </c>
      <c r="E30" s="298">
        <v>6422</v>
      </c>
      <c r="F30" s="107">
        <v>4881</v>
      </c>
      <c r="G30" s="444">
        <f>SUM(F30/E30)</f>
        <v>0.76004360012457184</v>
      </c>
    </row>
    <row r="31" spans="1:7" s="278" customFormat="1" ht="24" customHeight="1">
      <c r="A31" s="555" t="s">
        <v>279</v>
      </c>
      <c r="B31" s="556"/>
      <c r="C31" s="291">
        <f>SUM(C25:C30)</f>
        <v>410451453</v>
      </c>
      <c r="D31" s="303">
        <f>SUM(D25:D30)</f>
        <v>405492</v>
      </c>
      <c r="E31" s="303">
        <f>SUM(E25:E30)</f>
        <v>410451</v>
      </c>
      <c r="F31" s="276">
        <f>SUM(F25:F30)</f>
        <v>305616</v>
      </c>
      <c r="G31" s="445">
        <f>F31/E31</f>
        <v>0.74458583363178554</v>
      </c>
    </row>
    <row r="32" spans="1:7" s="61" customFormat="1" ht="20.100000000000001" customHeight="1">
      <c r="A32" s="115" t="s">
        <v>83</v>
      </c>
      <c r="B32" s="116"/>
      <c r="C32" s="107">
        <v>78966549</v>
      </c>
      <c r="D32" s="298">
        <v>78967</v>
      </c>
      <c r="E32" s="298">
        <v>78967</v>
      </c>
      <c r="F32" s="107">
        <v>60015</v>
      </c>
      <c r="G32" s="444">
        <f t="shared" ref="G32:G33" si="0">SUM(F32/E32)</f>
        <v>0.76000101308141377</v>
      </c>
    </row>
    <row r="33" spans="1:7" s="61" customFormat="1" ht="20.100000000000001" customHeight="1">
      <c r="A33" s="115" t="s">
        <v>84</v>
      </c>
      <c r="B33" s="116"/>
      <c r="C33" s="107">
        <f>SUM(B34:B45)</f>
        <v>207071364</v>
      </c>
      <c r="D33" s="298">
        <v>154981</v>
      </c>
      <c r="E33" s="298">
        <v>207071</v>
      </c>
      <c r="F33" s="107">
        <f>117786+60979</f>
        <v>178765</v>
      </c>
      <c r="G33" s="444">
        <f t="shared" si="0"/>
        <v>0.86330292508366691</v>
      </c>
    </row>
    <row r="34" spans="1:7" s="61" customFormat="1" ht="20.100000000000001" customHeight="1">
      <c r="A34" s="115" t="s">
        <v>61</v>
      </c>
      <c r="B34" s="118">
        <v>14700000</v>
      </c>
      <c r="C34" s="107"/>
      <c r="D34" s="298"/>
      <c r="E34" s="298"/>
      <c r="F34" s="107"/>
      <c r="G34" s="444"/>
    </row>
    <row r="35" spans="1:7" s="61" customFormat="1" ht="20.100000000000001" customHeight="1">
      <c r="A35" s="115" t="s">
        <v>62</v>
      </c>
      <c r="B35" s="118">
        <v>22500000</v>
      </c>
      <c r="C35" s="107"/>
      <c r="D35" s="298"/>
      <c r="E35" s="298"/>
      <c r="F35" s="107"/>
      <c r="G35" s="444"/>
    </row>
    <row r="36" spans="1:7" s="61" customFormat="1" ht="20.100000000000001" customHeight="1">
      <c r="A36" s="115" t="s">
        <v>17</v>
      </c>
      <c r="B36" s="118">
        <v>30752480</v>
      </c>
      <c r="C36" s="107"/>
      <c r="D36" s="298"/>
      <c r="E36" s="298"/>
      <c r="F36" s="107"/>
      <c r="G36" s="444"/>
    </row>
    <row r="37" spans="1:7" s="61" customFormat="1" ht="20.100000000000001" customHeight="1">
      <c r="A37" s="115" t="s">
        <v>18</v>
      </c>
      <c r="B37" s="118">
        <v>14514500</v>
      </c>
      <c r="C37" s="107"/>
      <c r="D37" s="298"/>
      <c r="E37" s="298"/>
      <c r="F37" s="107"/>
      <c r="G37" s="444"/>
    </row>
    <row r="38" spans="1:7" s="61" customFormat="1" ht="20.100000000000001" customHeight="1">
      <c r="A38" s="115" t="s">
        <v>19</v>
      </c>
      <c r="B38" s="118">
        <v>2500000</v>
      </c>
      <c r="C38" s="107"/>
      <c r="D38" s="298"/>
      <c r="E38" s="298"/>
      <c r="F38" s="107"/>
      <c r="G38" s="444"/>
    </row>
    <row r="39" spans="1:7" s="61" customFormat="1" ht="20.100000000000001" customHeight="1">
      <c r="A39" s="115" t="s">
        <v>20</v>
      </c>
      <c r="B39" s="118">
        <v>9973500</v>
      </c>
      <c r="C39" s="107"/>
      <c r="D39" s="298"/>
      <c r="E39" s="298"/>
      <c r="F39" s="107"/>
      <c r="G39" s="444"/>
    </row>
    <row r="40" spans="1:7" s="61" customFormat="1" ht="20.100000000000001" customHeight="1">
      <c r="A40" s="115" t="s">
        <v>21</v>
      </c>
      <c r="B40" s="118">
        <v>5500000</v>
      </c>
      <c r="C40" s="107"/>
      <c r="D40" s="298"/>
      <c r="E40" s="298"/>
      <c r="F40" s="107"/>
      <c r="G40" s="444"/>
    </row>
    <row r="41" spans="1:7" s="61" customFormat="1" ht="20.100000000000001" customHeight="1">
      <c r="A41" s="115" t="s">
        <v>22</v>
      </c>
      <c r="B41" s="118">
        <v>2604000</v>
      </c>
      <c r="C41" s="107"/>
      <c r="D41" s="298"/>
      <c r="E41" s="298"/>
      <c r="F41" s="107"/>
      <c r="G41" s="444"/>
    </row>
    <row r="42" spans="1:7" s="61" customFormat="1" ht="20.100000000000001" customHeight="1">
      <c r="A42" s="115" t="s">
        <v>23</v>
      </c>
      <c r="B42" s="118">
        <v>1860000</v>
      </c>
      <c r="C42" s="107"/>
      <c r="D42" s="298"/>
      <c r="E42" s="298"/>
      <c r="F42" s="107"/>
      <c r="G42" s="444"/>
    </row>
    <row r="43" spans="1:7" s="61" customFormat="1" ht="20.100000000000001" customHeight="1">
      <c r="A43" s="115" t="s">
        <v>24</v>
      </c>
      <c r="B43" s="118">
        <f>47927700+518805+1630530</f>
        <v>50077035</v>
      </c>
      <c r="C43" s="107"/>
      <c r="D43" s="298"/>
      <c r="E43" s="298"/>
      <c r="F43" s="107"/>
      <c r="G43" s="444"/>
    </row>
    <row r="44" spans="1:7" s="61" customFormat="1" ht="20.100000000000001" customHeight="1">
      <c r="A44" s="120" t="s">
        <v>373</v>
      </c>
      <c r="B44" s="118">
        <v>24862351</v>
      </c>
      <c r="C44" s="107"/>
      <c r="D44" s="298"/>
      <c r="E44" s="298"/>
      <c r="F44" s="107"/>
      <c r="G44" s="444"/>
    </row>
    <row r="45" spans="1:7" s="61" customFormat="1" ht="20.100000000000001" customHeight="1">
      <c r="A45" s="531" t="s">
        <v>374</v>
      </c>
      <c r="B45" s="118">
        <v>27227498</v>
      </c>
      <c r="C45" s="107"/>
      <c r="D45" s="298"/>
      <c r="E45" s="298"/>
      <c r="F45" s="107"/>
      <c r="G45" s="444"/>
    </row>
    <row r="46" spans="1:7" s="61" customFormat="1" ht="20.100000000000001" customHeight="1">
      <c r="A46" s="115" t="s">
        <v>85</v>
      </c>
      <c r="B46" s="116"/>
      <c r="C46" s="107">
        <f>SUM(B48:B49)</f>
        <v>316274160</v>
      </c>
      <c r="D46" s="298">
        <v>316274</v>
      </c>
      <c r="E46" s="298">
        <v>316274</v>
      </c>
      <c r="F46" s="107">
        <v>241085</v>
      </c>
      <c r="G46" s="444">
        <f t="shared" ref="G46" si="1">SUM(F46/E46)</f>
        <v>0.7622662627974478</v>
      </c>
    </row>
    <row r="47" spans="1:7" s="61" customFormat="1" ht="20.100000000000001" customHeight="1">
      <c r="A47" s="115" t="s">
        <v>25</v>
      </c>
      <c r="B47" s="116"/>
      <c r="C47" s="107"/>
      <c r="D47" s="298"/>
      <c r="E47" s="298"/>
      <c r="F47" s="107"/>
      <c r="G47" s="444"/>
    </row>
    <row r="48" spans="1:7" s="61" customFormat="1" ht="20.100000000000001" customHeight="1">
      <c r="A48" s="115" t="s">
        <v>26</v>
      </c>
      <c r="B48" s="119">
        <v>205877160</v>
      </c>
      <c r="C48" s="107"/>
      <c r="D48" s="298"/>
      <c r="E48" s="298"/>
      <c r="F48" s="107"/>
      <c r="G48" s="444"/>
    </row>
    <row r="49" spans="1:7" s="61" customFormat="1" ht="20.100000000000001" customHeight="1">
      <c r="A49" s="115" t="s">
        <v>27</v>
      </c>
      <c r="B49" s="119">
        <v>110397000</v>
      </c>
      <c r="C49" s="107"/>
      <c r="D49" s="298"/>
      <c r="E49" s="298"/>
      <c r="F49" s="107"/>
      <c r="G49" s="444"/>
    </row>
    <row r="50" spans="1:7" s="61" customFormat="1" ht="20.100000000000001" customHeight="1">
      <c r="A50" s="115" t="s">
        <v>86</v>
      </c>
      <c r="B50" s="119"/>
      <c r="C50" s="107">
        <f>SUM(B51:B53)</f>
        <v>183864326</v>
      </c>
      <c r="D50" s="298">
        <v>189691</v>
      </c>
      <c r="E50" s="298">
        <v>183865</v>
      </c>
      <c r="F50" s="107">
        <v>137712</v>
      </c>
      <c r="G50" s="444">
        <f t="shared" ref="G50" si="2">SUM(F50/E50)</f>
        <v>0.74898430913985803</v>
      </c>
    </row>
    <row r="51" spans="1:7" s="61" customFormat="1" ht="20.100000000000001" customHeight="1">
      <c r="A51" s="115" t="s">
        <v>28</v>
      </c>
      <c r="B51" s="119">
        <v>43590720</v>
      </c>
      <c r="C51" s="107"/>
      <c r="D51" s="298"/>
      <c r="E51" s="298"/>
      <c r="F51" s="107"/>
      <c r="G51" s="444"/>
    </row>
    <row r="52" spans="1:7" s="61" customFormat="1" ht="20.100000000000001" customHeight="1">
      <c r="A52" s="115" t="s">
        <v>29</v>
      </c>
      <c r="B52" s="119">
        <v>113763844</v>
      </c>
      <c r="C52" s="107"/>
      <c r="D52" s="298"/>
      <c r="E52" s="298"/>
      <c r="F52" s="107"/>
      <c r="G52" s="444"/>
    </row>
    <row r="53" spans="1:7" s="61" customFormat="1" ht="20.100000000000001" customHeight="1">
      <c r="A53" s="115" t="s">
        <v>63</v>
      </c>
      <c r="B53" s="119">
        <v>26509762</v>
      </c>
      <c r="C53" s="107"/>
      <c r="D53" s="298"/>
      <c r="E53" s="298"/>
      <c r="F53" s="107"/>
      <c r="G53" s="444"/>
    </row>
    <row r="54" spans="1:7" s="61" customFormat="1" ht="20.100000000000001" customHeight="1">
      <c r="A54" s="120" t="s">
        <v>407</v>
      </c>
      <c r="B54" s="121"/>
      <c r="C54" s="122">
        <v>4526280</v>
      </c>
      <c r="D54" s="298">
        <v>3017</v>
      </c>
      <c r="E54" s="298">
        <v>4526</v>
      </c>
      <c r="F54" s="107">
        <v>3703</v>
      </c>
      <c r="G54" s="444">
        <f t="shared" ref="G54" si="3">SUM(F54/E54)</f>
        <v>0.81816173221387534</v>
      </c>
    </row>
    <row r="55" spans="1:7" s="61" customFormat="1" ht="20.100000000000001" customHeight="1">
      <c r="A55" s="120" t="s">
        <v>406</v>
      </c>
      <c r="B55" s="121"/>
      <c r="C55" s="122"/>
      <c r="D55" s="298"/>
      <c r="E55" s="298"/>
      <c r="F55" s="107"/>
      <c r="G55" s="444"/>
    </row>
    <row r="56" spans="1:7" s="61" customFormat="1" ht="20.100000000000001" customHeight="1">
      <c r="A56" s="120" t="s">
        <v>329</v>
      </c>
      <c r="B56" s="374"/>
      <c r="C56" s="375">
        <v>0</v>
      </c>
      <c r="D56" s="376"/>
      <c r="E56" s="376">
        <v>0</v>
      </c>
      <c r="F56" s="376"/>
      <c r="G56" s="444"/>
    </row>
    <row r="57" spans="1:7" s="278" customFormat="1" ht="21" customHeight="1">
      <c r="A57" s="578" t="s">
        <v>330</v>
      </c>
      <c r="B57" s="579"/>
      <c r="C57" s="280">
        <f>SUM(C32:C56)</f>
        <v>790702679</v>
      </c>
      <c r="D57" s="304">
        <f>SUM(D32:D56)</f>
        <v>742930</v>
      </c>
      <c r="E57" s="304">
        <f>SUM(E32:E56)</f>
        <v>790703</v>
      </c>
      <c r="F57" s="304">
        <f>SUM(F32:F56)</f>
        <v>621280</v>
      </c>
      <c r="G57" s="454">
        <f>F57/E57</f>
        <v>0.78573117845765095</v>
      </c>
    </row>
    <row r="58" spans="1:7" s="278" customFormat="1" ht="20.100000000000001" customHeight="1">
      <c r="A58" s="313" t="s">
        <v>30</v>
      </c>
      <c r="B58" s="314"/>
      <c r="C58" s="315"/>
      <c r="D58" s="316"/>
      <c r="E58" s="316"/>
      <c r="F58" s="316"/>
      <c r="G58" s="446"/>
    </row>
    <row r="59" spans="1:7" ht="20.100000000000001" customHeight="1">
      <c r="A59" s="115" t="s">
        <v>331</v>
      </c>
      <c r="B59" s="127">
        <v>23536440</v>
      </c>
      <c r="C59" s="107"/>
      <c r="D59" s="298">
        <v>23536</v>
      </c>
      <c r="E59" s="298">
        <v>23536</v>
      </c>
      <c r="F59" s="298">
        <v>17888</v>
      </c>
      <c r="G59" s="444">
        <f t="shared" ref="G59" si="4">SUM(F59/E59)</f>
        <v>0.76002719238613192</v>
      </c>
    </row>
    <row r="60" spans="1:7" ht="20.100000000000001" customHeight="1">
      <c r="A60" s="115" t="s">
        <v>31</v>
      </c>
      <c r="B60" s="127"/>
      <c r="C60" s="107"/>
      <c r="D60" s="298"/>
      <c r="E60" s="298"/>
      <c r="F60" s="298"/>
      <c r="G60" s="447"/>
    </row>
    <row r="61" spans="1:7" ht="20.100000000000001" customHeight="1">
      <c r="A61" s="115" t="s">
        <v>332</v>
      </c>
      <c r="B61" s="128">
        <v>15369000</v>
      </c>
      <c r="C61" s="107"/>
      <c r="D61" s="298">
        <v>15369</v>
      </c>
      <c r="E61" s="298">
        <v>15369</v>
      </c>
      <c r="F61" s="298">
        <v>15369</v>
      </c>
      <c r="G61" s="444">
        <f t="shared" ref="G61" si="5">SUM(F61/E61)</f>
        <v>1</v>
      </c>
    </row>
    <row r="62" spans="1:7" ht="19.5" customHeight="1">
      <c r="A62" s="531" t="s">
        <v>375</v>
      </c>
      <c r="B62" s="536">
        <v>458000</v>
      </c>
      <c r="C62" s="107"/>
      <c r="D62" s="298"/>
      <c r="E62" s="298">
        <v>458</v>
      </c>
      <c r="F62" s="298"/>
      <c r="G62" s="444">
        <f t="shared" ref="G62" si="6">SUM(F62/E62)</f>
        <v>0</v>
      </c>
    </row>
    <row r="63" spans="1:7" ht="19.5" customHeight="1">
      <c r="A63" s="52" t="s">
        <v>376</v>
      </c>
      <c r="B63" s="534"/>
      <c r="C63" s="535"/>
      <c r="D63" s="300"/>
      <c r="E63" s="300"/>
      <c r="F63" s="300"/>
      <c r="G63" s="447"/>
    </row>
    <row r="64" spans="1:7" ht="23.25" customHeight="1">
      <c r="A64" s="568" t="s">
        <v>333</v>
      </c>
      <c r="B64" s="569"/>
      <c r="C64" s="379">
        <f>SUM(B59:B62)</f>
        <v>39363440</v>
      </c>
      <c r="D64" s="305">
        <f>SUM(D59:D62)</f>
        <v>38905</v>
      </c>
      <c r="E64" s="305">
        <f>SUM(E59:E62)</f>
        <v>39363</v>
      </c>
      <c r="F64" s="305">
        <f>SUM(F59:F62)</f>
        <v>33257</v>
      </c>
      <c r="G64" s="445">
        <f>F64/E64</f>
        <v>0.84487970937174506</v>
      </c>
    </row>
    <row r="65" spans="1:7" ht="20.100000000000001" customHeight="1">
      <c r="A65" s="367" t="s">
        <v>334</v>
      </c>
      <c r="B65" s="127"/>
      <c r="C65" s="107">
        <v>12181510</v>
      </c>
      <c r="D65" s="298"/>
      <c r="E65" s="298">
        <v>12181</v>
      </c>
      <c r="F65" s="298">
        <v>13707</v>
      </c>
      <c r="G65" s="444">
        <f t="shared" ref="G65" si="7">SUM(F65/E65)</f>
        <v>1.125277070848042</v>
      </c>
    </row>
    <row r="66" spans="1:7" ht="20.100000000000001" customHeight="1">
      <c r="A66" s="395" t="s">
        <v>335</v>
      </c>
      <c r="B66" s="128"/>
      <c r="C66" s="107">
        <v>0</v>
      </c>
      <c r="D66" s="298"/>
      <c r="E66" s="298">
        <v>0</v>
      </c>
      <c r="F66" s="298"/>
      <c r="G66" s="447"/>
    </row>
    <row r="67" spans="1:7" ht="20.100000000000001" customHeight="1">
      <c r="A67" s="580" t="s">
        <v>377</v>
      </c>
      <c r="B67" s="581"/>
      <c r="C67" s="107">
        <v>4817379</v>
      </c>
      <c r="D67" s="298"/>
      <c r="E67" s="298">
        <v>4817</v>
      </c>
      <c r="F67" s="298">
        <v>4817</v>
      </c>
      <c r="G67" s="447"/>
    </row>
    <row r="68" spans="1:7" ht="19.5" customHeight="1">
      <c r="A68" s="580" t="s">
        <v>378</v>
      </c>
      <c r="B68" s="581"/>
      <c r="C68" s="107">
        <v>532000</v>
      </c>
      <c r="D68" s="298"/>
      <c r="E68" s="298">
        <v>532</v>
      </c>
      <c r="F68" s="298">
        <v>532</v>
      </c>
      <c r="G68" s="444">
        <f t="shared" ref="G68" si="8">SUM(F68/E68)</f>
        <v>1</v>
      </c>
    </row>
    <row r="69" spans="1:7" ht="23.25" customHeight="1">
      <c r="A69" s="568" t="s">
        <v>379</v>
      </c>
      <c r="B69" s="569"/>
      <c r="C69" s="378">
        <f>SUM(C65:C68)</f>
        <v>17530889</v>
      </c>
      <c r="D69" s="377">
        <f>SUM(D65:D68)</f>
        <v>0</v>
      </c>
      <c r="E69" s="377">
        <f>SUM(E65:E68)</f>
        <v>17530</v>
      </c>
      <c r="F69" s="377">
        <f>SUM(F65:F68)</f>
        <v>19056</v>
      </c>
      <c r="G69" s="445">
        <f t="shared" ref="G69:G74" si="9">F69/E69</f>
        <v>1.0870507701083856</v>
      </c>
    </row>
    <row r="70" spans="1:7" ht="23.25" customHeight="1">
      <c r="A70" s="570" t="s">
        <v>32</v>
      </c>
      <c r="B70" s="571"/>
      <c r="C70" s="283"/>
      <c r="D70" s="306">
        <f>D24+D31+D57+D64+D69</f>
        <v>1438329</v>
      </c>
      <c r="E70" s="306">
        <f>E24+E31+E57+E64+E69</f>
        <v>1546136</v>
      </c>
      <c r="F70" s="455">
        <f>F24+F31+F57+F64+F69</f>
        <v>1198584</v>
      </c>
      <c r="G70" s="445">
        <f t="shared" si="9"/>
        <v>0.77521252981626454</v>
      </c>
    </row>
    <row r="71" spans="1:7" ht="23.25" customHeight="1">
      <c r="A71" s="570" t="s">
        <v>33</v>
      </c>
      <c r="B71" s="571"/>
      <c r="C71" s="282"/>
      <c r="D71" s="305">
        <f>5000+100+16877+465</f>
        <v>22442</v>
      </c>
      <c r="E71" s="305">
        <v>360396</v>
      </c>
      <c r="F71" s="456">
        <v>400573</v>
      </c>
      <c r="G71" s="445">
        <f t="shared" si="9"/>
        <v>1.1114801496132032</v>
      </c>
    </row>
    <row r="72" spans="1:7" ht="23.25" customHeight="1" thickBot="1">
      <c r="A72" s="570" t="s">
        <v>342</v>
      </c>
      <c r="B72" s="571"/>
      <c r="C72" s="396"/>
      <c r="D72" s="397"/>
      <c r="E72" s="397">
        <v>12742</v>
      </c>
      <c r="F72" s="457">
        <v>12742</v>
      </c>
      <c r="G72" s="445">
        <f t="shared" si="9"/>
        <v>1</v>
      </c>
    </row>
    <row r="73" spans="1:7" ht="23.25" customHeight="1" thickBot="1">
      <c r="A73" s="284" t="s">
        <v>34</v>
      </c>
      <c r="B73" s="285"/>
      <c r="C73" s="286"/>
      <c r="D73" s="307">
        <f>SUM(D70:D72)</f>
        <v>1460771</v>
      </c>
      <c r="E73" s="307">
        <f>SUM(E70:E72)</f>
        <v>1919274</v>
      </c>
      <c r="F73" s="458">
        <f>SUM(F70:F72)</f>
        <v>1611899</v>
      </c>
      <c r="G73" s="448">
        <f t="shared" si="9"/>
        <v>0.83984829680389561</v>
      </c>
    </row>
    <row r="74" spans="1:7" ht="23.25" customHeight="1" thickBot="1">
      <c r="A74" s="572" t="s">
        <v>35</v>
      </c>
      <c r="B74" s="573"/>
      <c r="C74" s="287"/>
      <c r="D74" s="308"/>
      <c r="E74" s="308">
        <v>92856</v>
      </c>
      <c r="F74" s="459">
        <v>92856</v>
      </c>
      <c r="G74" s="448">
        <f t="shared" si="9"/>
        <v>1</v>
      </c>
    </row>
    <row r="75" spans="1:7" ht="20.100000000000001" customHeight="1">
      <c r="A75" s="574" t="s">
        <v>36</v>
      </c>
      <c r="B75" s="575"/>
      <c r="C75" s="10"/>
      <c r="D75" s="300"/>
      <c r="E75" s="300"/>
      <c r="F75" s="7"/>
      <c r="G75" s="449"/>
    </row>
    <row r="76" spans="1:7" ht="20.100000000000001" customHeight="1">
      <c r="A76" s="576" t="s">
        <v>37</v>
      </c>
      <c r="B76" s="577"/>
      <c r="C76" s="123"/>
      <c r="D76" s="298"/>
      <c r="E76" s="298"/>
      <c r="F76" s="126"/>
      <c r="G76" s="444"/>
    </row>
    <row r="77" spans="1:7" ht="20.100000000000001" customHeight="1">
      <c r="A77" s="557" t="s">
        <v>38</v>
      </c>
      <c r="B77" s="558"/>
      <c r="C77" s="107"/>
      <c r="D77" s="298">
        <v>537000</v>
      </c>
      <c r="E77" s="298">
        <f>SUM(C78+C81)</f>
        <v>537000</v>
      </c>
      <c r="F77" s="107">
        <v>481829</v>
      </c>
      <c r="G77" s="444">
        <f t="shared" ref="G77" si="10">SUM(F77/E77)</f>
        <v>0.89726070763500931</v>
      </c>
    </row>
    <row r="78" spans="1:7" ht="20.100000000000001" customHeight="1">
      <c r="A78" s="557" t="s">
        <v>39</v>
      </c>
      <c r="B78" s="558"/>
      <c r="C78" s="107">
        <f>B79+B80</f>
        <v>533000</v>
      </c>
      <c r="D78" s="298"/>
      <c r="E78" s="298"/>
      <c r="F78" s="107"/>
      <c r="G78" s="444"/>
    </row>
    <row r="79" spans="1:7" ht="20.100000000000001" customHeight="1">
      <c r="A79" s="115" t="s">
        <v>40</v>
      </c>
      <c r="B79" s="124">
        <v>530000</v>
      </c>
      <c r="C79" s="107"/>
      <c r="D79" s="298"/>
      <c r="E79" s="298"/>
      <c r="F79" s="107"/>
      <c r="G79" s="444"/>
    </row>
    <row r="80" spans="1:7" ht="20.100000000000001" customHeight="1">
      <c r="A80" s="115" t="s">
        <v>41</v>
      </c>
      <c r="B80" s="124">
        <v>3000</v>
      </c>
      <c r="C80" s="107"/>
      <c r="D80" s="298"/>
      <c r="E80" s="298"/>
      <c r="F80" s="107"/>
      <c r="G80" s="444"/>
    </row>
    <row r="81" spans="1:7" ht="20.100000000000001" customHeight="1">
      <c r="A81" s="557" t="s">
        <v>42</v>
      </c>
      <c r="B81" s="558"/>
      <c r="C81" s="107">
        <v>4000</v>
      </c>
      <c r="D81" s="298"/>
      <c r="E81" s="298"/>
      <c r="F81" s="107"/>
      <c r="G81" s="444"/>
    </row>
    <row r="82" spans="1:7" ht="20.100000000000001" customHeight="1">
      <c r="A82" s="115" t="s">
        <v>43</v>
      </c>
      <c r="B82" s="125"/>
      <c r="C82" s="107"/>
      <c r="D82" s="298">
        <v>40200</v>
      </c>
      <c r="E82" s="298">
        <f>SUM(C83+C84)</f>
        <v>40200</v>
      </c>
      <c r="F82" s="107">
        <v>37290</v>
      </c>
      <c r="G82" s="444">
        <f t="shared" ref="G82" si="11">SUM(F82/E82)</f>
        <v>0.92761194029850746</v>
      </c>
    </row>
    <row r="83" spans="1:7" ht="20.100000000000001" customHeight="1">
      <c r="A83" s="584" t="s">
        <v>44</v>
      </c>
      <c r="B83" s="585"/>
      <c r="C83" s="107">
        <v>40000</v>
      </c>
      <c r="D83" s="299"/>
      <c r="E83" s="299"/>
      <c r="F83" s="126"/>
      <c r="G83" s="450"/>
    </row>
    <row r="84" spans="1:7" ht="20.100000000000001" customHeight="1">
      <c r="A84" s="584" t="s">
        <v>45</v>
      </c>
      <c r="B84" s="585"/>
      <c r="C84" s="107">
        <v>200</v>
      </c>
      <c r="D84" s="299"/>
      <c r="E84" s="299"/>
      <c r="F84" s="126"/>
      <c r="G84" s="450"/>
    </row>
    <row r="85" spans="1:7" ht="20.100000000000001" customHeight="1">
      <c r="A85" s="557" t="s">
        <v>46</v>
      </c>
      <c r="B85" s="558"/>
      <c r="C85" s="107"/>
      <c r="D85" s="298">
        <v>3000</v>
      </c>
      <c r="E85" s="298">
        <f>SUM(C86+C87)</f>
        <v>3000</v>
      </c>
      <c r="F85" s="107">
        <v>2202</v>
      </c>
      <c r="G85" s="444">
        <f t="shared" ref="G85" si="12">SUM(F85/E85)</f>
        <v>0.73399999999999999</v>
      </c>
    </row>
    <row r="86" spans="1:7" ht="20.100000000000001" customHeight="1">
      <c r="A86" s="115" t="s">
        <v>47</v>
      </c>
      <c r="B86" s="116"/>
      <c r="C86" s="107">
        <v>2000</v>
      </c>
      <c r="D86" s="298"/>
      <c r="E86" s="298"/>
      <c r="F86" s="107"/>
      <c r="G86" s="444"/>
    </row>
    <row r="87" spans="1:7" ht="20.100000000000001" customHeight="1">
      <c r="A87" s="115" t="s">
        <v>48</v>
      </c>
      <c r="B87" s="116"/>
      <c r="C87" s="107">
        <v>1000</v>
      </c>
      <c r="D87" s="298"/>
      <c r="E87" s="298"/>
      <c r="F87" s="107"/>
      <c r="G87" s="444"/>
    </row>
    <row r="88" spans="1:7" ht="20.100000000000001" customHeight="1" thickBot="1">
      <c r="A88" s="52" t="s">
        <v>49</v>
      </c>
      <c r="B88" s="53"/>
      <c r="C88" s="108">
        <f>8000+100</f>
        <v>8100</v>
      </c>
      <c r="D88" s="300">
        <v>8100</v>
      </c>
      <c r="E88" s="300">
        <f>SUM(C88)</f>
        <v>8100</v>
      </c>
      <c r="F88" s="7">
        <v>9666</v>
      </c>
      <c r="G88" s="444">
        <f t="shared" ref="G88" si="13">SUM(F88/E88)</f>
        <v>1.1933333333333334</v>
      </c>
    </row>
    <row r="89" spans="1:7" s="292" customFormat="1" ht="24" customHeight="1" thickBot="1">
      <c r="A89" s="586" t="s">
        <v>50</v>
      </c>
      <c r="B89" s="587"/>
      <c r="C89" s="288"/>
      <c r="D89" s="308">
        <f>SUM(D76:D88)</f>
        <v>588300</v>
      </c>
      <c r="E89" s="308">
        <f>SUM(E76:E88)</f>
        <v>588300</v>
      </c>
      <c r="F89" s="265">
        <f>SUM(F76:F88)</f>
        <v>530987</v>
      </c>
      <c r="G89" s="448">
        <f>F89/E89</f>
        <v>0.90257861635220127</v>
      </c>
    </row>
    <row r="90" spans="1:7" s="292" customFormat="1" ht="24" customHeight="1" thickBot="1">
      <c r="A90" s="289" t="s">
        <v>51</v>
      </c>
      <c r="B90" s="290"/>
      <c r="C90" s="288"/>
      <c r="D90" s="308">
        <f>402029+109577</f>
        <v>511606</v>
      </c>
      <c r="E90" s="308">
        <v>490861</v>
      </c>
      <c r="F90" s="265">
        <v>263394</v>
      </c>
      <c r="G90" s="448">
        <f>F90/E90</f>
        <v>0.53659589985759715</v>
      </c>
    </row>
    <row r="91" spans="1:7" ht="20.100000000000001" customHeight="1">
      <c r="A91" s="588" t="s">
        <v>52</v>
      </c>
      <c r="B91" s="589"/>
      <c r="C91" s="11"/>
      <c r="D91" s="309"/>
      <c r="E91" s="309"/>
      <c r="F91" s="8"/>
      <c r="G91" s="451"/>
    </row>
    <row r="92" spans="1:7" ht="20.100000000000001" customHeight="1">
      <c r="A92" s="595" t="s">
        <v>53</v>
      </c>
      <c r="B92" s="596"/>
      <c r="C92" s="118"/>
      <c r="D92" s="297">
        <v>11214</v>
      </c>
      <c r="E92" s="297">
        <v>11214</v>
      </c>
      <c r="F92" s="460">
        <v>3807</v>
      </c>
      <c r="G92" s="444">
        <f t="shared" ref="G92" si="14">SUM(F92/E92)</f>
        <v>0.3394863563402889</v>
      </c>
    </row>
    <row r="93" spans="1:7" ht="19.5" customHeight="1">
      <c r="A93" s="590" t="s">
        <v>290</v>
      </c>
      <c r="B93" s="591"/>
      <c r="C93" s="107"/>
      <c r="D93" s="297"/>
      <c r="E93" s="297"/>
      <c r="F93" s="460"/>
      <c r="G93" s="461"/>
    </row>
    <row r="94" spans="1:7" ht="19.5" customHeight="1">
      <c r="A94" s="592" t="s">
        <v>292</v>
      </c>
      <c r="B94" s="593"/>
      <c r="C94" s="594"/>
      <c r="D94" s="297"/>
      <c r="E94" s="297"/>
      <c r="F94" s="460"/>
      <c r="G94" s="461"/>
    </row>
    <row r="95" spans="1:7" ht="19.5" customHeight="1" thickBot="1">
      <c r="A95" s="592" t="s">
        <v>325</v>
      </c>
      <c r="B95" s="593"/>
      <c r="C95" s="275"/>
      <c r="D95" s="297"/>
      <c r="E95" s="297"/>
      <c r="F95" s="109"/>
      <c r="G95" s="452"/>
    </row>
    <row r="96" spans="1:7" ht="25.5" customHeight="1" thickBot="1">
      <c r="A96" s="582" t="s">
        <v>54</v>
      </c>
      <c r="B96" s="583"/>
      <c r="C96" s="293"/>
      <c r="D96" s="310">
        <f>SUM(D92:D92)</f>
        <v>11214</v>
      </c>
      <c r="E96" s="310">
        <f>SUM(E92:E92)</f>
        <v>11214</v>
      </c>
      <c r="F96" s="310">
        <f>SUM(F92:F92)</f>
        <v>3807</v>
      </c>
      <c r="G96" s="448">
        <f>F96/E96</f>
        <v>0.3394863563402889</v>
      </c>
    </row>
    <row r="97" spans="1:7" s="110" customFormat="1" ht="25.5" customHeight="1" thickBot="1">
      <c r="A97" s="564" t="s">
        <v>55</v>
      </c>
      <c r="B97" s="565"/>
      <c r="C97" s="269"/>
      <c r="D97" s="311">
        <v>0</v>
      </c>
      <c r="E97" s="311">
        <v>3850</v>
      </c>
      <c r="F97" s="319">
        <v>3850</v>
      </c>
      <c r="G97" s="453">
        <v>0</v>
      </c>
    </row>
    <row r="98" spans="1:7" s="110" customFormat="1" ht="25.5" customHeight="1" thickBot="1">
      <c r="A98" s="566" t="s">
        <v>56</v>
      </c>
      <c r="B98" s="567"/>
      <c r="C98" s="270"/>
      <c r="D98" s="312">
        <v>0</v>
      </c>
      <c r="E98" s="312">
        <v>367</v>
      </c>
      <c r="F98" s="318">
        <v>3780</v>
      </c>
      <c r="G98" s="448">
        <v>0</v>
      </c>
    </row>
    <row r="99" spans="1:7" ht="25.5" customHeight="1" thickBot="1">
      <c r="A99" s="582" t="s">
        <v>57</v>
      </c>
      <c r="B99" s="583"/>
      <c r="C99" s="293"/>
      <c r="D99" s="310">
        <f>SUM(D73+D74+D89+D90+D96+D97+D98)</f>
        <v>2571891</v>
      </c>
      <c r="E99" s="310">
        <f t="shared" ref="E99:F99" si="15">SUM(E73+E74+E89+E90+E96+E97+E98)</f>
        <v>3106722</v>
      </c>
      <c r="F99" s="310">
        <f t="shared" si="15"/>
        <v>2510573</v>
      </c>
      <c r="G99" s="448">
        <f>F99/E99</f>
        <v>0.80810996284830117</v>
      </c>
    </row>
    <row r="100" spans="1:7" ht="20.100000000000001" customHeight="1">
      <c r="A100" s="49" t="s">
        <v>58</v>
      </c>
      <c r="B100" s="50"/>
      <c r="C100" s="6"/>
      <c r="D100" s="301"/>
      <c r="E100" s="301"/>
      <c r="F100" s="6"/>
      <c r="G100" s="443"/>
    </row>
    <row r="101" spans="1:7" ht="20.100000000000001" customHeight="1" thickBot="1">
      <c r="A101" s="54" t="s">
        <v>269</v>
      </c>
      <c r="B101" s="55"/>
      <c r="C101" s="7"/>
      <c r="D101" s="296">
        <f>251219+37781</f>
        <v>289000</v>
      </c>
      <c r="E101" s="296">
        <f>D101+123472</f>
        <v>412472</v>
      </c>
      <c r="F101" s="108">
        <v>412472</v>
      </c>
      <c r="G101" s="530">
        <f t="shared" ref="G101" si="16">SUM(F101/E101)</f>
        <v>1</v>
      </c>
    </row>
    <row r="102" spans="1:7" ht="24" customHeight="1" thickBot="1">
      <c r="A102" s="294" t="s">
        <v>59</v>
      </c>
      <c r="B102" s="295"/>
      <c r="C102" s="293"/>
      <c r="D102" s="310">
        <f>SUM(D101:D101)</f>
        <v>289000</v>
      </c>
      <c r="E102" s="310">
        <f>SUM(E101:E101)</f>
        <v>412472</v>
      </c>
      <c r="F102" s="263">
        <f>SUM(F101:F101)</f>
        <v>412472</v>
      </c>
      <c r="G102" s="448">
        <f>SUM(G101:G101)</f>
        <v>1</v>
      </c>
    </row>
    <row r="103" spans="1:7" ht="24" customHeight="1" thickBot="1">
      <c r="A103" s="582" t="s">
        <v>60</v>
      </c>
      <c r="B103" s="583"/>
      <c r="C103" s="293"/>
      <c r="D103" s="310">
        <f>D99+D102</f>
        <v>2860891</v>
      </c>
      <c r="E103" s="310">
        <f>E99+E102</f>
        <v>3519194</v>
      </c>
      <c r="F103" s="263">
        <f>F99+F102</f>
        <v>2923045</v>
      </c>
      <c r="G103" s="448">
        <f>F103/E103</f>
        <v>0.83060070004665842</v>
      </c>
    </row>
  </sheetData>
  <mergeCells count="40">
    <mergeCell ref="A67:B67"/>
    <mergeCell ref="A68:B68"/>
    <mergeCell ref="A71:B71"/>
    <mergeCell ref="A103:B103"/>
    <mergeCell ref="A81:B81"/>
    <mergeCell ref="A83:B83"/>
    <mergeCell ref="A84:B84"/>
    <mergeCell ref="A85:B85"/>
    <mergeCell ref="A89:B89"/>
    <mergeCell ref="A91:B91"/>
    <mergeCell ref="A99:B99"/>
    <mergeCell ref="A93:B93"/>
    <mergeCell ref="A94:C94"/>
    <mergeCell ref="A95:B95"/>
    <mergeCell ref="A92:B92"/>
    <mergeCell ref="A96:B96"/>
    <mergeCell ref="A97:B97"/>
    <mergeCell ref="A98:B98"/>
    <mergeCell ref="A78:B78"/>
    <mergeCell ref="A13:B13"/>
    <mergeCell ref="A17:B17"/>
    <mergeCell ref="A19:B19"/>
    <mergeCell ref="A21:B21"/>
    <mergeCell ref="A64:B64"/>
    <mergeCell ref="A70:B70"/>
    <mergeCell ref="A72:B72"/>
    <mergeCell ref="A74:B74"/>
    <mergeCell ref="A75:B75"/>
    <mergeCell ref="A76:B76"/>
    <mergeCell ref="A77:B77"/>
    <mergeCell ref="A69:B69"/>
    <mergeCell ref="A57:B57"/>
    <mergeCell ref="A24:B24"/>
    <mergeCell ref="A31:B31"/>
    <mergeCell ref="A10:B10"/>
    <mergeCell ref="A1:D1"/>
    <mergeCell ref="A6:B6"/>
    <mergeCell ref="A9:B9"/>
    <mergeCell ref="A11:B11"/>
    <mergeCell ref="A3:G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="106" zoomScaleSheetLayoutView="106" workbookViewId="0">
      <selection sqref="A1:D1"/>
    </sheetView>
  </sheetViews>
  <sheetFormatPr defaultRowHeight="15.75"/>
  <cols>
    <col min="1" max="1" width="74.5703125" style="105" customWidth="1"/>
    <col min="2" max="2" width="17.85546875" style="105" customWidth="1"/>
    <col min="3" max="3" width="16.7109375" style="111" customWidth="1"/>
    <col min="4" max="6" width="14.140625" style="111" customWidth="1"/>
    <col min="7" max="7" width="14.140625" style="438" customWidth="1"/>
    <col min="8" max="8" width="24.5703125" style="105" customWidth="1"/>
    <col min="9" max="16384" width="9.140625" style="105"/>
  </cols>
  <sheetData>
    <row r="1" spans="1:7" ht="20.100000000000001" customHeight="1">
      <c r="A1" s="559" t="s">
        <v>410</v>
      </c>
      <c r="B1" s="559"/>
      <c r="C1" s="559"/>
      <c r="D1" s="559"/>
      <c r="E1" s="105"/>
      <c r="F1" s="105"/>
    </row>
    <row r="2" spans="1:7" ht="20.100000000000001" customHeight="1">
      <c r="A2" s="2"/>
      <c r="B2" s="56"/>
      <c r="C2" s="3"/>
      <c r="D2" s="3"/>
      <c r="E2" s="3"/>
      <c r="F2" s="3"/>
      <c r="G2" s="439"/>
    </row>
    <row r="3" spans="1:7" ht="38.25" customHeight="1">
      <c r="A3" s="563" t="s">
        <v>382</v>
      </c>
      <c r="B3" s="563"/>
      <c r="C3" s="563"/>
      <c r="D3" s="563"/>
      <c r="E3" s="563"/>
      <c r="F3" s="563"/>
      <c r="G3" s="563"/>
    </row>
    <row r="4" spans="1:7" ht="20.100000000000001" customHeight="1">
      <c r="A4" s="2"/>
      <c r="B4" s="56"/>
      <c r="C4" s="3"/>
      <c r="D4" s="3"/>
      <c r="E4" s="3"/>
      <c r="F4" s="3"/>
      <c r="G4" s="439"/>
    </row>
    <row r="5" spans="1:7" ht="20.100000000000001" customHeight="1" thickBot="1">
      <c r="A5" s="4"/>
      <c r="B5" s="5"/>
      <c r="C5" s="5"/>
      <c r="D5" s="57"/>
      <c r="E5" s="57"/>
      <c r="F5" s="418"/>
      <c r="G5" s="440" t="s">
        <v>0</v>
      </c>
    </row>
    <row r="6" spans="1:7" ht="51" customHeight="1" thickBot="1">
      <c r="A6" s="561" t="s">
        <v>322</v>
      </c>
      <c r="B6" s="562"/>
      <c r="C6" s="258"/>
      <c r="D6" s="259" t="s">
        <v>1</v>
      </c>
      <c r="E6" s="259" t="s">
        <v>336</v>
      </c>
      <c r="F6" s="259" t="s">
        <v>363</v>
      </c>
      <c r="G6" s="441" t="s">
        <v>362</v>
      </c>
    </row>
    <row r="7" spans="1:7" ht="20.100000000000001" customHeight="1">
      <c r="A7" s="51" t="s">
        <v>2</v>
      </c>
      <c r="B7" s="106"/>
      <c r="C7" s="58"/>
      <c r="D7" s="301"/>
      <c r="E7" s="301"/>
      <c r="F7" s="58"/>
      <c r="G7" s="442"/>
    </row>
    <row r="8" spans="1:7" ht="20.100000000000001" customHeight="1">
      <c r="A8" s="112" t="s">
        <v>3</v>
      </c>
      <c r="B8" s="113" t="s">
        <v>4</v>
      </c>
      <c r="C8" s="114" t="s">
        <v>4</v>
      </c>
      <c r="D8" s="302"/>
      <c r="E8" s="302"/>
      <c r="F8" s="6"/>
      <c r="G8" s="443"/>
    </row>
    <row r="9" spans="1:7" ht="20.100000000000001" customHeight="1">
      <c r="A9" s="557" t="s">
        <v>5</v>
      </c>
      <c r="B9" s="558"/>
      <c r="C9" s="107">
        <v>195932400</v>
      </c>
      <c r="D9" s="298">
        <v>195933</v>
      </c>
      <c r="E9" s="298">
        <v>195933</v>
      </c>
      <c r="F9" s="107">
        <v>148909</v>
      </c>
      <c r="G9" s="444">
        <f>SUM(F9/E9)</f>
        <v>0.7599995916971618</v>
      </c>
    </row>
    <row r="10" spans="1:7" ht="20.100000000000001" customHeight="1">
      <c r="A10" s="557" t="s">
        <v>6</v>
      </c>
      <c r="B10" s="558"/>
      <c r="C10" s="107">
        <v>29491750</v>
      </c>
      <c r="D10" s="298">
        <v>0</v>
      </c>
      <c r="E10" s="298">
        <v>0</v>
      </c>
      <c r="F10" s="107"/>
      <c r="G10" s="444"/>
    </row>
    <row r="11" spans="1:7" ht="20.100000000000001" customHeight="1">
      <c r="A11" s="557" t="s">
        <v>7</v>
      </c>
      <c r="B11" s="558"/>
      <c r="C11" s="107">
        <v>0</v>
      </c>
      <c r="D11" s="298"/>
      <c r="E11" s="298"/>
      <c r="F11" s="107"/>
      <c r="G11" s="444"/>
    </row>
    <row r="12" spans="1:7" ht="20.100000000000001" customHeight="1">
      <c r="A12" s="531" t="s">
        <v>8</v>
      </c>
      <c r="B12" s="532"/>
      <c r="C12" s="107">
        <v>54560000</v>
      </c>
      <c r="D12" s="298">
        <v>15087</v>
      </c>
      <c r="E12" s="298">
        <v>52174</v>
      </c>
      <c r="F12" s="107">
        <v>39652</v>
      </c>
      <c r="G12" s="444">
        <f>SUM(F12/E12)</f>
        <v>0.75999540000766663</v>
      </c>
    </row>
    <row r="13" spans="1:7" ht="20.100000000000001" customHeight="1">
      <c r="A13" s="557" t="s">
        <v>7</v>
      </c>
      <c r="B13" s="558"/>
      <c r="C13" s="107">
        <v>52174293</v>
      </c>
      <c r="D13" s="298"/>
      <c r="E13" s="298"/>
      <c r="F13" s="107"/>
      <c r="G13" s="444"/>
    </row>
    <row r="14" spans="1:7" ht="20.100000000000001" customHeight="1">
      <c r="A14" s="531" t="s">
        <v>9</v>
      </c>
      <c r="B14" s="532"/>
      <c r="C14" s="107">
        <v>0</v>
      </c>
      <c r="D14" s="298">
        <v>0</v>
      </c>
      <c r="E14" s="298">
        <v>0</v>
      </c>
      <c r="F14" s="107"/>
      <c r="G14" s="444"/>
    </row>
    <row r="15" spans="1:7" ht="20.100000000000001" customHeight="1">
      <c r="A15" s="531" t="s">
        <v>10</v>
      </c>
      <c r="B15" s="532"/>
      <c r="C15" s="107">
        <v>32733200</v>
      </c>
      <c r="D15" s="298">
        <v>32733</v>
      </c>
      <c r="E15" s="298">
        <v>32733</v>
      </c>
      <c r="F15" s="107">
        <v>24877</v>
      </c>
      <c r="G15" s="444">
        <f>SUM(F15/E15)</f>
        <v>0.75999755598325847</v>
      </c>
    </row>
    <row r="16" spans="1:7" ht="20.100000000000001" customHeight="1">
      <c r="A16" s="531" t="s">
        <v>11</v>
      </c>
      <c r="B16" s="532"/>
      <c r="C16" s="107">
        <v>55744200</v>
      </c>
      <c r="D16" s="298">
        <v>0</v>
      </c>
      <c r="E16" s="298">
        <v>0</v>
      </c>
      <c r="F16" s="107"/>
      <c r="G16" s="444"/>
    </row>
    <row r="17" spans="1:7" ht="20.100000000000001" customHeight="1">
      <c r="A17" s="557" t="s">
        <v>7</v>
      </c>
      <c r="B17" s="558"/>
      <c r="C17" s="107">
        <v>0</v>
      </c>
      <c r="D17" s="298"/>
      <c r="E17" s="298"/>
      <c r="F17" s="107"/>
      <c r="G17" s="444"/>
    </row>
    <row r="18" spans="1:7" ht="20.100000000000001" customHeight="1">
      <c r="A18" s="531" t="s">
        <v>12</v>
      </c>
      <c r="B18" s="532"/>
      <c r="C18" s="107">
        <v>1387200</v>
      </c>
      <c r="D18" s="298">
        <v>0</v>
      </c>
      <c r="E18" s="298">
        <v>0</v>
      </c>
      <c r="F18" s="107"/>
      <c r="G18" s="444"/>
    </row>
    <row r="19" spans="1:7" ht="20.100000000000001" customHeight="1">
      <c r="A19" s="557" t="s">
        <v>7</v>
      </c>
      <c r="B19" s="558"/>
      <c r="C19" s="107">
        <v>0</v>
      </c>
      <c r="D19" s="298"/>
      <c r="E19" s="298"/>
      <c r="F19" s="107"/>
      <c r="G19" s="444"/>
    </row>
    <row r="20" spans="1:7" ht="20.100000000000001" customHeight="1">
      <c r="A20" s="531" t="s">
        <v>13</v>
      </c>
      <c r="B20" s="532"/>
      <c r="C20" s="107">
        <v>5469950</v>
      </c>
      <c r="D20" s="298">
        <v>5470</v>
      </c>
      <c r="E20" s="298">
        <v>5470</v>
      </c>
      <c r="F20" s="107">
        <v>4157</v>
      </c>
      <c r="G20" s="444">
        <f>SUM(F20/E20)</f>
        <v>0.75996343692870205</v>
      </c>
    </row>
    <row r="21" spans="1:7" ht="20.100000000000001" customHeight="1">
      <c r="A21" s="557" t="s">
        <v>7</v>
      </c>
      <c r="B21" s="558"/>
      <c r="C21" s="107">
        <v>5469950</v>
      </c>
      <c r="D21" s="298"/>
      <c r="E21" s="298"/>
      <c r="F21" s="107"/>
      <c r="G21" s="444"/>
    </row>
    <row r="22" spans="1:7" ht="20.100000000000001" customHeight="1">
      <c r="A22" s="531" t="s">
        <v>14</v>
      </c>
      <c r="B22" s="117">
        <f>C10+C12-C13+C16+C18</f>
        <v>89008857</v>
      </c>
      <c r="C22" s="107"/>
      <c r="D22" s="298"/>
      <c r="E22" s="298"/>
      <c r="F22" s="107"/>
      <c r="G22" s="444"/>
    </row>
    <row r="23" spans="1:7" s="277" customFormat="1" ht="20.100000000000001" customHeight="1">
      <c r="A23" s="531" t="s">
        <v>79</v>
      </c>
      <c r="B23" s="117"/>
      <c r="C23" s="107">
        <v>1779524</v>
      </c>
      <c r="D23" s="298">
        <v>1779</v>
      </c>
      <c r="E23" s="298">
        <v>1779</v>
      </c>
      <c r="F23" s="107">
        <v>1780</v>
      </c>
      <c r="G23" s="444">
        <f>SUM(F23/E23)</f>
        <v>1.0005621135469365</v>
      </c>
    </row>
    <row r="24" spans="1:7" s="61" customFormat="1" ht="20.100000000000001" customHeight="1">
      <c r="A24" s="555" t="s">
        <v>278</v>
      </c>
      <c r="B24" s="556"/>
      <c r="C24" s="291">
        <f>C9+C11+C13+C14+C15+C17+C19+C21+C23</f>
        <v>288089367</v>
      </c>
      <c r="D24" s="303">
        <f>SUM(D9:D23)</f>
        <v>251002</v>
      </c>
      <c r="E24" s="303">
        <f>SUM(E9:E23)</f>
        <v>288089</v>
      </c>
      <c r="F24" s="276">
        <f>SUM(F9:F23)</f>
        <v>219375</v>
      </c>
      <c r="G24" s="445">
        <f>F24/E24</f>
        <v>0.76148343046766798</v>
      </c>
    </row>
    <row r="25" spans="1:7" s="61" customFormat="1" ht="20.100000000000001" customHeight="1">
      <c r="A25" s="531" t="s">
        <v>87</v>
      </c>
      <c r="B25" s="532"/>
      <c r="C25" s="107">
        <v>340642300</v>
      </c>
      <c r="D25" s="298">
        <v>336376</v>
      </c>
      <c r="E25" s="298">
        <v>340642</v>
      </c>
      <c r="F25" s="107">
        <v>253422</v>
      </c>
      <c r="G25" s="444">
        <f>SUM(F25/E25)</f>
        <v>0.7439540632100563</v>
      </c>
    </row>
    <row r="26" spans="1:7" s="61" customFormat="1" ht="20.100000000000001" customHeight="1">
      <c r="A26" s="531" t="s">
        <v>15</v>
      </c>
      <c r="B26" s="532"/>
      <c r="C26" s="107"/>
      <c r="D26" s="298"/>
      <c r="E26" s="298"/>
      <c r="F26" s="107"/>
      <c r="G26" s="444"/>
    </row>
    <row r="27" spans="1:7" s="61" customFormat="1" ht="20.100000000000001" customHeight="1">
      <c r="A27" s="531" t="s">
        <v>80</v>
      </c>
      <c r="B27" s="532"/>
      <c r="C27" s="107">
        <v>53893333</v>
      </c>
      <c r="D27" s="298">
        <v>53200</v>
      </c>
      <c r="E27" s="298">
        <v>53893</v>
      </c>
      <c r="F27" s="107">
        <v>40193</v>
      </c>
      <c r="G27" s="444">
        <f>SUM(F27/E27)</f>
        <v>0.74579258901898204</v>
      </c>
    </row>
    <row r="28" spans="1:7" s="61" customFormat="1" ht="20.100000000000001" customHeight="1">
      <c r="A28" s="531" t="s">
        <v>81</v>
      </c>
      <c r="B28" s="532"/>
      <c r="C28" s="107">
        <v>9493820</v>
      </c>
      <c r="D28" s="298">
        <v>9494</v>
      </c>
      <c r="E28" s="298">
        <v>9494</v>
      </c>
      <c r="F28" s="107">
        <v>7120</v>
      </c>
      <c r="G28" s="444">
        <f>SUM(F28/E28)</f>
        <v>0.74994733515904777</v>
      </c>
    </row>
    <row r="29" spans="1:7" s="61" customFormat="1" ht="20.100000000000001" customHeight="1">
      <c r="A29" s="531" t="s">
        <v>16</v>
      </c>
      <c r="B29" s="532"/>
      <c r="C29" s="107"/>
      <c r="D29" s="298"/>
      <c r="E29" s="298"/>
      <c r="F29" s="107"/>
      <c r="G29" s="444"/>
    </row>
    <row r="30" spans="1:7" s="278" customFormat="1" ht="20.100000000000001" customHeight="1">
      <c r="A30" s="531" t="s">
        <v>82</v>
      </c>
      <c r="B30" s="532"/>
      <c r="C30" s="107">
        <v>6422000</v>
      </c>
      <c r="D30" s="298">
        <v>6422</v>
      </c>
      <c r="E30" s="298">
        <v>6422</v>
      </c>
      <c r="F30" s="107">
        <v>4881</v>
      </c>
      <c r="G30" s="444">
        <f>SUM(F30/E30)</f>
        <v>0.76004360012457184</v>
      </c>
    </row>
    <row r="31" spans="1:7" s="61" customFormat="1" ht="20.100000000000001" customHeight="1">
      <c r="A31" s="555" t="s">
        <v>279</v>
      </c>
      <c r="B31" s="556"/>
      <c r="C31" s="291">
        <f>SUM(C25:C30)</f>
        <v>410451453</v>
      </c>
      <c r="D31" s="303">
        <f>SUM(D25:D30)</f>
        <v>405492</v>
      </c>
      <c r="E31" s="303">
        <f>SUM(E25:E30)</f>
        <v>410451</v>
      </c>
      <c r="F31" s="276">
        <f>SUM(F25:F30)</f>
        <v>305616</v>
      </c>
      <c r="G31" s="445">
        <f>F31/E31</f>
        <v>0.74458583363178554</v>
      </c>
    </row>
    <row r="32" spans="1:7" s="61" customFormat="1" ht="20.100000000000001" customHeight="1">
      <c r="A32" s="531" t="s">
        <v>83</v>
      </c>
      <c r="B32" s="532"/>
      <c r="C32" s="107">
        <v>78966549</v>
      </c>
      <c r="D32" s="298">
        <v>78967</v>
      </c>
      <c r="E32" s="298">
        <v>78967</v>
      </c>
      <c r="F32" s="107">
        <v>60015</v>
      </c>
      <c r="G32" s="444">
        <f t="shared" ref="G32:G33" si="0">SUM(F32/E32)</f>
        <v>0.76000101308141377</v>
      </c>
    </row>
    <row r="33" spans="1:7" s="61" customFormat="1" ht="20.100000000000001" customHeight="1">
      <c r="A33" s="531" t="s">
        <v>84</v>
      </c>
      <c r="B33" s="532"/>
      <c r="C33" s="107">
        <f>SUM(B34:B45)</f>
        <v>207071364</v>
      </c>
      <c r="D33" s="298">
        <v>154981</v>
      </c>
      <c r="E33" s="298">
        <v>207071</v>
      </c>
      <c r="F33" s="107">
        <v>178765</v>
      </c>
      <c r="G33" s="444">
        <f t="shared" si="0"/>
        <v>0.86330292508366691</v>
      </c>
    </row>
    <row r="34" spans="1:7" s="61" customFormat="1" ht="20.100000000000001" customHeight="1">
      <c r="A34" s="531" t="s">
        <v>61</v>
      </c>
      <c r="B34" s="118">
        <v>14700000</v>
      </c>
      <c r="C34" s="107"/>
      <c r="D34" s="298"/>
      <c r="E34" s="298"/>
      <c r="F34" s="107"/>
      <c r="G34" s="444"/>
    </row>
    <row r="35" spans="1:7" s="61" customFormat="1" ht="20.100000000000001" customHeight="1">
      <c r="A35" s="531" t="s">
        <v>62</v>
      </c>
      <c r="B35" s="118">
        <v>22500000</v>
      </c>
      <c r="C35" s="107"/>
      <c r="D35" s="298"/>
      <c r="E35" s="298"/>
      <c r="F35" s="107"/>
      <c r="G35" s="444"/>
    </row>
    <row r="36" spans="1:7" s="61" customFormat="1" ht="20.100000000000001" customHeight="1">
      <c r="A36" s="531" t="s">
        <v>17</v>
      </c>
      <c r="B36" s="118">
        <v>30752480</v>
      </c>
      <c r="C36" s="107"/>
      <c r="D36" s="298"/>
      <c r="E36" s="298"/>
      <c r="F36" s="107"/>
      <c r="G36" s="444"/>
    </row>
    <row r="37" spans="1:7" s="61" customFormat="1" ht="20.100000000000001" customHeight="1">
      <c r="A37" s="531" t="s">
        <v>18</v>
      </c>
      <c r="B37" s="118">
        <v>14514500</v>
      </c>
      <c r="C37" s="107"/>
      <c r="D37" s="298"/>
      <c r="E37" s="298"/>
      <c r="F37" s="107"/>
      <c r="G37" s="444"/>
    </row>
    <row r="38" spans="1:7" s="61" customFormat="1" ht="20.100000000000001" customHeight="1">
      <c r="A38" s="531" t="s">
        <v>19</v>
      </c>
      <c r="B38" s="118">
        <v>2500000</v>
      </c>
      <c r="C38" s="107"/>
      <c r="D38" s="298"/>
      <c r="E38" s="298"/>
      <c r="F38" s="107"/>
      <c r="G38" s="444"/>
    </row>
    <row r="39" spans="1:7" s="61" customFormat="1" ht="20.100000000000001" customHeight="1">
      <c r="A39" s="531" t="s">
        <v>20</v>
      </c>
      <c r="B39" s="118">
        <v>9973500</v>
      </c>
      <c r="C39" s="107"/>
      <c r="D39" s="298"/>
      <c r="E39" s="298"/>
      <c r="F39" s="107"/>
      <c r="G39" s="444"/>
    </row>
    <row r="40" spans="1:7" s="61" customFormat="1" ht="20.100000000000001" customHeight="1">
      <c r="A40" s="531" t="s">
        <v>21</v>
      </c>
      <c r="B40" s="118">
        <v>5500000</v>
      </c>
      <c r="C40" s="107"/>
      <c r="D40" s="298"/>
      <c r="E40" s="298"/>
      <c r="F40" s="107"/>
      <c r="G40" s="444"/>
    </row>
    <row r="41" spans="1:7" s="61" customFormat="1" ht="20.100000000000001" customHeight="1">
      <c r="A41" s="531" t="s">
        <v>22</v>
      </c>
      <c r="B41" s="118">
        <v>2604000</v>
      </c>
      <c r="C41" s="107"/>
      <c r="D41" s="298"/>
      <c r="E41" s="298"/>
      <c r="F41" s="107"/>
      <c r="G41" s="444"/>
    </row>
    <row r="42" spans="1:7" s="61" customFormat="1" ht="20.100000000000001" customHeight="1">
      <c r="A42" s="531" t="s">
        <v>23</v>
      </c>
      <c r="B42" s="118">
        <v>1860000</v>
      </c>
      <c r="C42" s="107"/>
      <c r="D42" s="298"/>
      <c r="E42" s="298"/>
      <c r="F42" s="107"/>
      <c r="G42" s="444"/>
    </row>
    <row r="43" spans="1:7" s="61" customFormat="1" ht="20.100000000000001" customHeight="1">
      <c r="A43" s="531" t="s">
        <v>24</v>
      </c>
      <c r="B43" s="118">
        <f>47927700+518805+1630530</f>
        <v>50077035</v>
      </c>
      <c r="C43" s="107"/>
      <c r="D43" s="298"/>
      <c r="E43" s="298"/>
      <c r="F43" s="107"/>
      <c r="G43" s="444"/>
    </row>
    <row r="44" spans="1:7" s="61" customFormat="1" ht="20.100000000000001" customHeight="1">
      <c r="A44" s="120" t="s">
        <v>373</v>
      </c>
      <c r="B44" s="118">
        <v>24862351</v>
      </c>
      <c r="C44" s="107"/>
      <c r="D44" s="298"/>
      <c r="E44" s="298"/>
      <c r="F44" s="107"/>
      <c r="G44" s="444"/>
    </row>
    <row r="45" spans="1:7" s="61" customFormat="1" ht="20.100000000000001" customHeight="1">
      <c r="A45" s="531" t="s">
        <v>374</v>
      </c>
      <c r="B45" s="118">
        <v>27227498</v>
      </c>
      <c r="C45" s="107"/>
      <c r="D45" s="298"/>
      <c r="E45" s="298"/>
      <c r="F45" s="107"/>
      <c r="G45" s="444"/>
    </row>
    <row r="46" spans="1:7" s="61" customFormat="1" ht="20.100000000000001" customHeight="1">
      <c r="A46" s="531" t="s">
        <v>85</v>
      </c>
      <c r="B46" s="532"/>
      <c r="C46" s="107">
        <f>SUM(B48:B49)</f>
        <v>316274160</v>
      </c>
      <c r="D46" s="298">
        <v>316274</v>
      </c>
      <c r="E46" s="298">
        <v>316274</v>
      </c>
      <c r="F46" s="107">
        <v>241085</v>
      </c>
      <c r="G46" s="444">
        <f t="shared" ref="G46" si="1">SUM(F46/E46)</f>
        <v>0.7622662627974478</v>
      </c>
    </row>
    <row r="47" spans="1:7" s="61" customFormat="1" ht="20.100000000000001" customHeight="1">
      <c r="A47" s="531" t="s">
        <v>25</v>
      </c>
      <c r="B47" s="532"/>
      <c r="C47" s="107"/>
      <c r="D47" s="298"/>
      <c r="E47" s="298"/>
      <c r="F47" s="107"/>
      <c r="G47" s="444"/>
    </row>
    <row r="48" spans="1:7" s="61" customFormat="1" ht="20.100000000000001" customHeight="1">
      <c r="A48" s="531" t="s">
        <v>26</v>
      </c>
      <c r="B48" s="119">
        <v>205877160</v>
      </c>
      <c r="C48" s="107"/>
      <c r="D48" s="298"/>
      <c r="E48" s="298"/>
      <c r="F48" s="107"/>
      <c r="G48" s="444"/>
    </row>
    <row r="49" spans="1:7" s="61" customFormat="1" ht="20.100000000000001" customHeight="1">
      <c r="A49" s="531" t="s">
        <v>27</v>
      </c>
      <c r="B49" s="119">
        <v>110397000</v>
      </c>
      <c r="C49" s="107"/>
      <c r="D49" s="298"/>
      <c r="E49" s="298"/>
      <c r="F49" s="107"/>
      <c r="G49" s="444"/>
    </row>
    <row r="50" spans="1:7" s="61" customFormat="1" ht="20.100000000000001" customHeight="1">
      <c r="A50" s="531" t="s">
        <v>86</v>
      </c>
      <c r="B50" s="119"/>
      <c r="C50" s="107">
        <f>SUM(B51:B53)</f>
        <v>183864326</v>
      </c>
      <c r="D50" s="298">
        <v>189691</v>
      </c>
      <c r="E50" s="298">
        <v>183865</v>
      </c>
      <c r="F50" s="107">
        <v>137712</v>
      </c>
      <c r="G50" s="444">
        <f t="shared" ref="G50" si="2">SUM(F50/E50)</f>
        <v>0.74898430913985803</v>
      </c>
    </row>
    <row r="51" spans="1:7" s="61" customFormat="1" ht="20.100000000000001" customHeight="1">
      <c r="A51" s="531" t="s">
        <v>28</v>
      </c>
      <c r="B51" s="119">
        <v>43590720</v>
      </c>
      <c r="C51" s="107"/>
      <c r="D51" s="298"/>
      <c r="E51" s="298"/>
      <c r="F51" s="107"/>
      <c r="G51" s="444"/>
    </row>
    <row r="52" spans="1:7" s="61" customFormat="1" ht="20.100000000000001" customHeight="1">
      <c r="A52" s="531" t="s">
        <v>29</v>
      </c>
      <c r="B52" s="119">
        <v>113763844</v>
      </c>
      <c r="C52" s="107"/>
      <c r="D52" s="298"/>
      <c r="E52" s="298"/>
      <c r="F52" s="107"/>
      <c r="G52" s="444"/>
    </row>
    <row r="53" spans="1:7" s="61" customFormat="1" ht="20.100000000000001" customHeight="1">
      <c r="A53" s="531" t="s">
        <v>63</v>
      </c>
      <c r="B53" s="119">
        <v>26509762</v>
      </c>
      <c r="C53" s="107"/>
      <c r="D53" s="298"/>
      <c r="E53" s="298"/>
      <c r="F53" s="107"/>
      <c r="G53" s="444"/>
    </row>
    <row r="54" spans="1:7" s="278" customFormat="1" ht="19.5" customHeight="1">
      <c r="A54" s="120" t="s">
        <v>380</v>
      </c>
      <c r="B54" s="121"/>
      <c r="C54" s="122">
        <v>4526280</v>
      </c>
      <c r="D54" s="298">
        <v>3017</v>
      </c>
      <c r="E54" s="298">
        <v>4526</v>
      </c>
      <c r="F54" s="107">
        <v>3703</v>
      </c>
      <c r="G54" s="444">
        <f t="shared" ref="G54" si="3">SUM(F54/E54)</f>
        <v>0.81816173221387534</v>
      </c>
    </row>
    <row r="55" spans="1:7" s="278" customFormat="1" ht="20.100000000000001" customHeight="1">
      <c r="A55" s="120" t="s">
        <v>381</v>
      </c>
      <c r="B55" s="121"/>
      <c r="C55" s="122"/>
      <c r="D55" s="298"/>
      <c r="E55" s="298"/>
      <c r="F55" s="107"/>
      <c r="G55" s="444"/>
    </row>
    <row r="56" spans="1:7" ht="20.100000000000001" customHeight="1">
      <c r="A56" s="120" t="s">
        <v>329</v>
      </c>
      <c r="B56" s="374"/>
      <c r="C56" s="375">
        <v>0</v>
      </c>
      <c r="D56" s="376"/>
      <c r="E56" s="376">
        <v>0</v>
      </c>
      <c r="F56" s="376"/>
      <c r="G56" s="444"/>
    </row>
    <row r="57" spans="1:7" ht="20.100000000000001" customHeight="1">
      <c r="A57" s="578" t="s">
        <v>330</v>
      </c>
      <c r="B57" s="579"/>
      <c r="C57" s="280">
        <f>SUM(C32:C56)</f>
        <v>790702679</v>
      </c>
      <c r="D57" s="304">
        <f>SUM(D32:D56)</f>
        <v>742930</v>
      </c>
      <c r="E57" s="304">
        <f>SUM(E32:E56)</f>
        <v>790703</v>
      </c>
      <c r="F57" s="304">
        <f>SUM(F32:F56)</f>
        <v>621280</v>
      </c>
      <c r="G57" s="454">
        <f>F57/E57</f>
        <v>0.78573117845765095</v>
      </c>
    </row>
    <row r="58" spans="1:7" ht="20.100000000000001" customHeight="1">
      <c r="A58" s="313" t="s">
        <v>30</v>
      </c>
      <c r="B58" s="314"/>
      <c r="C58" s="315"/>
      <c r="D58" s="316"/>
      <c r="E58" s="316"/>
      <c r="F58" s="316"/>
      <c r="G58" s="446"/>
    </row>
    <row r="59" spans="1:7" ht="20.100000000000001" customHeight="1">
      <c r="A59" s="531" t="s">
        <v>331</v>
      </c>
      <c r="B59" s="127">
        <v>23536440</v>
      </c>
      <c r="C59" s="107"/>
      <c r="D59" s="298">
        <v>23536</v>
      </c>
      <c r="E59" s="298">
        <v>23536</v>
      </c>
      <c r="F59" s="298">
        <v>17888</v>
      </c>
      <c r="G59" s="444">
        <f t="shared" ref="G59" si="4">SUM(F59/E59)</f>
        <v>0.76002719238613192</v>
      </c>
    </row>
    <row r="60" spans="1:7" ht="23.25" customHeight="1">
      <c r="A60" s="531" t="s">
        <v>31</v>
      </c>
      <c r="B60" s="127"/>
      <c r="C60" s="107"/>
      <c r="D60" s="298"/>
      <c r="E60" s="298"/>
      <c r="F60" s="298"/>
      <c r="G60" s="447"/>
    </row>
    <row r="61" spans="1:7" ht="20.100000000000001" customHeight="1">
      <c r="A61" s="531" t="s">
        <v>332</v>
      </c>
      <c r="B61" s="128">
        <v>15369000</v>
      </c>
      <c r="C61" s="107"/>
      <c r="D61" s="298">
        <v>15369</v>
      </c>
      <c r="E61" s="298">
        <v>15369</v>
      </c>
      <c r="F61" s="298">
        <v>15369</v>
      </c>
      <c r="G61" s="444">
        <f t="shared" ref="G61:G62" si="5">SUM(F61/E61)</f>
        <v>1</v>
      </c>
    </row>
    <row r="62" spans="1:7" ht="20.100000000000001" customHeight="1">
      <c r="A62" s="531" t="s">
        <v>375</v>
      </c>
      <c r="B62" s="536">
        <v>458000</v>
      </c>
      <c r="C62" s="107"/>
      <c r="D62" s="298"/>
      <c r="E62" s="298">
        <v>458</v>
      </c>
      <c r="F62" s="298"/>
      <c r="G62" s="444">
        <f t="shared" si="5"/>
        <v>0</v>
      </c>
    </row>
    <row r="63" spans="1:7" ht="19.5" customHeight="1">
      <c r="A63" s="52" t="s">
        <v>376</v>
      </c>
      <c r="B63" s="534"/>
      <c r="C63" s="535"/>
      <c r="D63" s="300"/>
      <c r="E63" s="300"/>
      <c r="F63" s="300"/>
      <c r="G63" s="447"/>
    </row>
    <row r="64" spans="1:7" ht="23.25" customHeight="1">
      <c r="A64" s="568" t="s">
        <v>333</v>
      </c>
      <c r="B64" s="569"/>
      <c r="C64" s="379">
        <f>SUM(B59:B62)</f>
        <v>39363440</v>
      </c>
      <c r="D64" s="305">
        <f>SUM(D59:D62)</f>
        <v>38905</v>
      </c>
      <c r="E64" s="305">
        <f>SUM(E59:E62)</f>
        <v>39363</v>
      </c>
      <c r="F64" s="305">
        <f>SUM(F59:F62)</f>
        <v>33257</v>
      </c>
      <c r="G64" s="445">
        <f>F64/E64</f>
        <v>0.84487970937174506</v>
      </c>
    </row>
    <row r="65" spans="1:7" s="277" customFormat="1" ht="20.100000000000001" customHeight="1">
      <c r="A65" s="531" t="s">
        <v>334</v>
      </c>
      <c r="B65" s="127"/>
      <c r="C65" s="107">
        <v>12181510</v>
      </c>
      <c r="D65" s="298"/>
      <c r="E65" s="298">
        <v>12181</v>
      </c>
      <c r="F65" s="298">
        <v>13707</v>
      </c>
      <c r="G65" s="444">
        <f t="shared" ref="G65" si="6">SUM(F65/E65)</f>
        <v>1.125277070848042</v>
      </c>
    </row>
    <row r="66" spans="1:7" s="277" customFormat="1" ht="20.100000000000001" customHeight="1">
      <c r="A66" s="531" t="s">
        <v>335</v>
      </c>
      <c r="B66" s="128"/>
      <c r="C66" s="107">
        <v>0</v>
      </c>
      <c r="D66" s="298"/>
      <c r="E66" s="298">
        <v>0</v>
      </c>
      <c r="F66" s="298"/>
      <c r="G66" s="447"/>
    </row>
    <row r="67" spans="1:7" ht="18.75" customHeight="1">
      <c r="A67" s="580" t="s">
        <v>377</v>
      </c>
      <c r="B67" s="581"/>
      <c r="C67" s="107">
        <v>4817379</v>
      </c>
      <c r="D67" s="298"/>
      <c r="E67" s="298">
        <v>4817</v>
      </c>
      <c r="F67" s="298">
        <v>4817</v>
      </c>
      <c r="G67" s="447"/>
    </row>
    <row r="68" spans="1:7" s="277" customFormat="1" ht="20.100000000000001" customHeight="1">
      <c r="A68" s="580" t="s">
        <v>378</v>
      </c>
      <c r="B68" s="581"/>
      <c r="C68" s="107">
        <v>532000</v>
      </c>
      <c r="D68" s="298"/>
      <c r="E68" s="298">
        <v>532</v>
      </c>
      <c r="F68" s="298">
        <v>532</v>
      </c>
      <c r="G68" s="444">
        <f t="shared" ref="G68" si="7">SUM(F68/E68)</f>
        <v>1</v>
      </c>
    </row>
    <row r="69" spans="1:7" s="277" customFormat="1" ht="20.100000000000001" customHeight="1">
      <c r="A69" s="568" t="s">
        <v>379</v>
      </c>
      <c r="B69" s="569"/>
      <c r="C69" s="378">
        <f>SUM(C65:C68)</f>
        <v>17530889</v>
      </c>
      <c r="D69" s="377">
        <f>SUM(D65:D68)</f>
        <v>0</v>
      </c>
      <c r="E69" s="377">
        <f>SUM(E65:E68)</f>
        <v>17530</v>
      </c>
      <c r="F69" s="377">
        <f>SUM(F65:F68)</f>
        <v>19056</v>
      </c>
      <c r="G69" s="445">
        <f t="shared" ref="G69:G70" si="8">F69/E69</f>
        <v>1.0870507701083856</v>
      </c>
    </row>
    <row r="70" spans="1:7" ht="20.100000000000001" customHeight="1">
      <c r="A70" s="570" t="s">
        <v>32</v>
      </c>
      <c r="B70" s="571"/>
      <c r="C70" s="283"/>
      <c r="D70" s="306">
        <f>D24+D31+D57+D64+D69</f>
        <v>1438329</v>
      </c>
      <c r="E70" s="306">
        <f>E24+E31+E57+E64+E69</f>
        <v>1546136</v>
      </c>
      <c r="F70" s="455">
        <f>F24+F31+F57+F64+F69</f>
        <v>1198584</v>
      </c>
      <c r="G70" s="445">
        <f t="shared" si="8"/>
        <v>0.77521252981626454</v>
      </c>
    </row>
    <row r="71" spans="1:7">
      <c r="A71" s="612" t="s">
        <v>33</v>
      </c>
      <c r="B71" s="613"/>
      <c r="C71" s="279"/>
      <c r="D71" s="281">
        <f>5000+100+16877</f>
        <v>21977</v>
      </c>
      <c r="E71" s="281">
        <v>24027</v>
      </c>
      <c r="F71" s="281">
        <v>24340</v>
      </c>
      <c r="G71" s="445">
        <f t="shared" ref="G71:G74" si="9">F71/E71</f>
        <v>1.0130270112789779</v>
      </c>
    </row>
    <row r="72" spans="1:7" ht="16.5" thickBot="1">
      <c r="A72" s="616" t="s">
        <v>343</v>
      </c>
      <c r="B72" s="617"/>
      <c r="C72" s="399"/>
      <c r="D72" s="400"/>
      <c r="E72" s="400">
        <v>12742</v>
      </c>
      <c r="F72" s="400">
        <v>12742</v>
      </c>
      <c r="G72" s="445">
        <f t="shared" si="9"/>
        <v>1</v>
      </c>
    </row>
    <row r="73" spans="1:7" ht="16.5" thickBot="1">
      <c r="A73" s="260" t="s">
        <v>34</v>
      </c>
      <c r="B73" s="261"/>
      <c r="C73" s="262"/>
      <c r="D73" s="263">
        <f>SUM(D70:D72)</f>
        <v>1460306</v>
      </c>
      <c r="E73" s="263">
        <f>SUM(E70:E72)</f>
        <v>1582905</v>
      </c>
      <c r="F73" s="263">
        <f>SUM(F70:F72)</f>
        <v>1235666</v>
      </c>
      <c r="G73" s="448">
        <f t="shared" si="9"/>
        <v>0.78063181302731366</v>
      </c>
    </row>
    <row r="74" spans="1:7" ht="16.5" thickBot="1">
      <c r="A74" s="614" t="s">
        <v>35</v>
      </c>
      <c r="B74" s="615"/>
      <c r="C74" s="264"/>
      <c r="D74" s="265"/>
      <c r="E74" s="265">
        <v>63600</v>
      </c>
      <c r="F74" s="265">
        <v>63600</v>
      </c>
      <c r="G74" s="448">
        <f t="shared" si="9"/>
        <v>1</v>
      </c>
    </row>
    <row r="75" spans="1:7">
      <c r="A75" s="574" t="s">
        <v>36</v>
      </c>
      <c r="B75" s="575"/>
      <c r="C75" s="10"/>
      <c r="D75" s="7"/>
      <c r="E75" s="7"/>
      <c r="F75" s="7"/>
      <c r="G75" s="449"/>
    </row>
    <row r="76" spans="1:7">
      <c r="A76" s="610" t="s">
        <v>37</v>
      </c>
      <c r="B76" s="611"/>
      <c r="C76" s="10"/>
      <c r="D76" s="7"/>
      <c r="E76" s="7"/>
      <c r="F76" s="7"/>
      <c r="G76" s="449"/>
    </row>
    <row r="77" spans="1:7">
      <c r="A77" s="557" t="s">
        <v>38</v>
      </c>
      <c r="B77" s="558"/>
      <c r="C77" s="107"/>
      <c r="D77" s="107">
        <v>537000</v>
      </c>
      <c r="E77" s="107">
        <f>SUM(C78+C81)</f>
        <v>537000</v>
      </c>
      <c r="F77" s="107">
        <v>481829</v>
      </c>
      <c r="G77" s="444">
        <f t="shared" ref="G77" si="10">SUM(F77/E77)</f>
        <v>0.89726070763500931</v>
      </c>
    </row>
    <row r="78" spans="1:7">
      <c r="A78" s="557" t="s">
        <v>39</v>
      </c>
      <c r="B78" s="558"/>
      <c r="C78" s="107">
        <f>B79+B80</f>
        <v>533000</v>
      </c>
      <c r="D78" s="107"/>
      <c r="E78" s="107"/>
      <c r="F78" s="107"/>
      <c r="G78" s="444"/>
    </row>
    <row r="79" spans="1:7">
      <c r="A79" s="115" t="s">
        <v>40</v>
      </c>
      <c r="B79" s="124">
        <v>530000</v>
      </c>
      <c r="C79" s="107"/>
      <c r="D79" s="107"/>
      <c r="E79" s="107"/>
      <c r="F79" s="107"/>
      <c r="G79" s="444"/>
    </row>
    <row r="80" spans="1:7">
      <c r="A80" s="115" t="s">
        <v>41</v>
      </c>
      <c r="B80" s="124">
        <v>3000</v>
      </c>
      <c r="C80" s="107"/>
      <c r="D80" s="107"/>
      <c r="E80" s="107"/>
      <c r="F80" s="107"/>
      <c r="G80" s="444"/>
    </row>
    <row r="81" spans="1:7">
      <c r="A81" s="557" t="s">
        <v>42</v>
      </c>
      <c r="B81" s="558"/>
      <c r="C81" s="107">
        <v>4000</v>
      </c>
      <c r="D81" s="107"/>
      <c r="E81" s="107"/>
      <c r="F81" s="107"/>
      <c r="G81" s="444"/>
    </row>
    <row r="82" spans="1:7">
      <c r="A82" s="115" t="s">
        <v>43</v>
      </c>
      <c r="B82" s="125"/>
      <c r="C82" s="107"/>
      <c r="D82" s="107">
        <v>40200</v>
      </c>
      <c r="E82" s="107">
        <f>SUM(C83:C84)</f>
        <v>40200</v>
      </c>
      <c r="F82" s="107">
        <v>37290</v>
      </c>
      <c r="G82" s="444">
        <f t="shared" ref="G82" si="11">SUM(F82/E82)</f>
        <v>0.92761194029850746</v>
      </c>
    </row>
    <row r="83" spans="1:7">
      <c r="A83" s="584" t="s">
        <v>44</v>
      </c>
      <c r="B83" s="585"/>
      <c r="C83" s="107">
        <v>40000</v>
      </c>
      <c r="D83" s="126"/>
      <c r="E83" s="126"/>
      <c r="F83" s="126"/>
      <c r="G83" s="450"/>
    </row>
    <row r="84" spans="1:7">
      <c r="A84" s="584" t="s">
        <v>45</v>
      </c>
      <c r="B84" s="585"/>
      <c r="C84" s="107">
        <v>200</v>
      </c>
      <c r="D84" s="126"/>
      <c r="E84" s="126"/>
      <c r="F84" s="126"/>
      <c r="G84" s="450"/>
    </row>
    <row r="85" spans="1:7">
      <c r="A85" s="557" t="s">
        <v>46</v>
      </c>
      <c r="B85" s="558"/>
      <c r="C85" s="107"/>
      <c r="D85" s="107">
        <v>3000</v>
      </c>
      <c r="E85" s="107">
        <f>SUM(C86:C87)</f>
        <v>3000</v>
      </c>
      <c r="F85" s="107">
        <v>2202</v>
      </c>
      <c r="G85" s="444">
        <f t="shared" ref="G85" si="12">SUM(F85/E85)</f>
        <v>0.73399999999999999</v>
      </c>
    </row>
    <row r="86" spans="1:7">
      <c r="A86" s="115" t="s">
        <v>47</v>
      </c>
      <c r="B86" s="116"/>
      <c r="C86" s="107">
        <v>2000</v>
      </c>
      <c r="D86" s="107"/>
      <c r="E86" s="107"/>
      <c r="F86" s="107"/>
      <c r="G86" s="444"/>
    </row>
    <row r="87" spans="1:7">
      <c r="A87" s="115" t="s">
        <v>48</v>
      </c>
      <c r="B87" s="116"/>
      <c r="C87" s="107">
        <v>1000</v>
      </c>
      <c r="D87" s="107"/>
      <c r="E87" s="107"/>
      <c r="F87" s="107"/>
      <c r="G87" s="444"/>
    </row>
    <row r="88" spans="1:7" ht="16.5" thickBot="1">
      <c r="A88" s="52" t="s">
        <v>49</v>
      </c>
      <c r="B88" s="53"/>
      <c r="C88" s="108">
        <v>8000</v>
      </c>
      <c r="D88" s="7">
        <v>8000</v>
      </c>
      <c r="E88" s="7">
        <f>SUM(C88)</f>
        <v>8000</v>
      </c>
      <c r="F88" s="7">
        <v>9626</v>
      </c>
      <c r="G88" s="444">
        <f t="shared" ref="G88" si="13">SUM(F88/E88)</f>
        <v>1.2032499999999999</v>
      </c>
    </row>
    <row r="89" spans="1:7" ht="16.5" thickBot="1">
      <c r="A89" s="605" t="s">
        <v>50</v>
      </c>
      <c r="B89" s="606"/>
      <c r="C89" s="265"/>
      <c r="D89" s="265">
        <f>SUM(D76:D88)</f>
        <v>588200</v>
      </c>
      <c r="E89" s="265">
        <f>SUM(E76:E88)</f>
        <v>588200</v>
      </c>
      <c r="F89" s="265">
        <f>SUM(F76:F88)</f>
        <v>530947</v>
      </c>
      <c r="G89" s="448">
        <f>F89/E89</f>
        <v>0.90266405984359066</v>
      </c>
    </row>
    <row r="90" spans="1:7" ht="16.5" thickBot="1">
      <c r="A90" s="266" t="s">
        <v>51</v>
      </c>
      <c r="B90" s="267"/>
      <c r="C90" s="265"/>
      <c r="D90" s="265">
        <v>402029</v>
      </c>
      <c r="E90" s="265">
        <v>364942</v>
      </c>
      <c r="F90" s="265">
        <v>175452</v>
      </c>
      <c r="G90" s="448">
        <f>F90/E90</f>
        <v>0.48076680678025552</v>
      </c>
    </row>
    <row r="91" spans="1:7">
      <c r="A91" s="588" t="s">
        <v>52</v>
      </c>
      <c r="B91" s="589"/>
      <c r="C91" s="11"/>
      <c r="D91" s="8"/>
      <c r="E91" s="8"/>
      <c r="F91" s="8"/>
      <c r="G91" s="451"/>
    </row>
    <row r="92" spans="1:7">
      <c r="A92" s="601" t="s">
        <v>53</v>
      </c>
      <c r="B92" s="602"/>
      <c r="C92" s="12"/>
      <c r="D92" s="109">
        <v>11214</v>
      </c>
      <c r="E92" s="109">
        <v>11214</v>
      </c>
      <c r="F92" s="109">
        <v>3807</v>
      </c>
      <c r="G92" s="451">
        <f t="shared" ref="G92" si="14">SUM(F92/E92)</f>
        <v>0.3394863563402889</v>
      </c>
    </row>
    <row r="93" spans="1:7">
      <c r="A93" s="607" t="s">
        <v>290</v>
      </c>
      <c r="B93" s="608"/>
      <c r="C93" s="7"/>
      <c r="D93" s="109"/>
      <c r="E93" s="109"/>
      <c r="F93" s="109"/>
      <c r="G93" s="452"/>
    </row>
    <row r="94" spans="1:7">
      <c r="A94" s="597" t="s">
        <v>292</v>
      </c>
      <c r="B94" s="598"/>
      <c r="C94" s="609"/>
      <c r="D94" s="109"/>
      <c r="E94" s="109"/>
      <c r="F94" s="109"/>
      <c r="G94" s="452"/>
    </row>
    <row r="95" spans="1:7">
      <c r="A95" s="597" t="s">
        <v>328</v>
      </c>
      <c r="B95" s="598"/>
      <c r="C95" s="180"/>
      <c r="D95" s="109"/>
      <c r="E95" s="109"/>
      <c r="F95" s="109"/>
      <c r="G95" s="452"/>
    </row>
    <row r="96" spans="1:7" ht="16.5" thickBot="1">
      <c r="A96" s="178" t="s">
        <v>291</v>
      </c>
      <c r="B96" s="179"/>
      <c r="C96" s="179"/>
      <c r="D96" s="109"/>
      <c r="E96" s="109"/>
      <c r="F96" s="109"/>
      <c r="G96" s="452"/>
    </row>
    <row r="97" spans="1:7" ht="16.5" thickBot="1">
      <c r="A97" s="599" t="s">
        <v>54</v>
      </c>
      <c r="B97" s="600"/>
      <c r="C97" s="268"/>
      <c r="D97" s="263">
        <f>SUM(D92:D92)</f>
        <v>11214</v>
      </c>
      <c r="E97" s="263">
        <f>SUM(E92:E92)</f>
        <v>11214</v>
      </c>
      <c r="F97" s="263">
        <f>SUM(F92:F92)</f>
        <v>3807</v>
      </c>
      <c r="G97" s="448">
        <f>F97/E97</f>
        <v>0.3394863563402889</v>
      </c>
    </row>
    <row r="98" spans="1:7" ht="16.5" thickBot="1">
      <c r="A98" s="603" t="s">
        <v>55</v>
      </c>
      <c r="B98" s="604"/>
      <c r="C98" s="317"/>
      <c r="D98" s="319">
        <v>0</v>
      </c>
      <c r="E98" s="319">
        <v>0</v>
      </c>
      <c r="F98" s="319">
        <v>0</v>
      </c>
      <c r="G98" s="453">
        <v>0</v>
      </c>
    </row>
    <row r="99" spans="1:7" ht="16.5" thickBot="1">
      <c r="A99" s="566" t="s">
        <v>56</v>
      </c>
      <c r="B99" s="567"/>
      <c r="C99" s="270"/>
      <c r="D99" s="318">
        <v>0</v>
      </c>
      <c r="E99" s="318">
        <v>367</v>
      </c>
      <c r="F99" s="318">
        <v>3280</v>
      </c>
      <c r="G99" s="448">
        <v>0</v>
      </c>
    </row>
    <row r="100" spans="1:7" ht="16.5" thickBot="1">
      <c r="A100" s="599" t="s">
        <v>57</v>
      </c>
      <c r="B100" s="600"/>
      <c r="C100" s="268"/>
      <c r="D100" s="263">
        <f>SUM(D73+D74+D89+D90+D97+D98+D99)</f>
        <v>2461749</v>
      </c>
      <c r="E100" s="263">
        <f t="shared" ref="E100:F100" si="15">SUM(E73+E74+E89+E90+E97+E98+E99)</f>
        <v>2611228</v>
      </c>
      <c r="F100" s="263">
        <f t="shared" si="15"/>
        <v>2012752</v>
      </c>
      <c r="G100" s="448">
        <f>F100/E100</f>
        <v>0.77080668559007481</v>
      </c>
    </row>
    <row r="101" spans="1:7">
      <c r="A101" s="49" t="s">
        <v>58</v>
      </c>
      <c r="B101" s="50"/>
      <c r="C101" s="6"/>
      <c r="D101" s="6"/>
      <c r="E101" s="6"/>
      <c r="F101" s="6"/>
      <c r="G101" s="476"/>
    </row>
    <row r="102" spans="1:7" ht="16.5" thickBot="1">
      <c r="A102" s="54" t="s">
        <v>269</v>
      </c>
      <c r="B102" s="55"/>
      <c r="C102" s="7"/>
      <c r="D102" s="108">
        <v>251219</v>
      </c>
      <c r="E102" s="108">
        <f>251219+93378</f>
        <v>344597</v>
      </c>
      <c r="F102" s="108">
        <v>344597</v>
      </c>
      <c r="G102" s="475">
        <f t="shared" ref="G102" si="16">SUM(F102/E102)</f>
        <v>1</v>
      </c>
    </row>
    <row r="103" spans="1:7" ht="16.5" thickBot="1">
      <c r="A103" s="271" t="s">
        <v>59</v>
      </c>
      <c r="B103" s="272"/>
      <c r="C103" s="268"/>
      <c r="D103" s="263">
        <f>SUM(D102:D102)</f>
        <v>251219</v>
      </c>
      <c r="E103" s="263">
        <f>SUM(E102:E102)</f>
        <v>344597</v>
      </c>
      <c r="F103" s="263">
        <f>SUM(F102:F102)</f>
        <v>344597</v>
      </c>
      <c r="G103" s="448">
        <f t="shared" ref="G103" si="17">F103/E103</f>
        <v>1</v>
      </c>
    </row>
    <row r="104" spans="1:7" ht="16.5" thickBot="1">
      <c r="A104" s="599" t="s">
        <v>60</v>
      </c>
      <c r="B104" s="600"/>
      <c r="C104" s="268"/>
      <c r="D104" s="263">
        <f>D100+D103</f>
        <v>2712968</v>
      </c>
      <c r="E104" s="263">
        <f>E100+E103</f>
        <v>2955825</v>
      </c>
      <c r="F104" s="263">
        <f>F100+F103</f>
        <v>2357349</v>
      </c>
      <c r="G104" s="448">
        <f>F104/E104</f>
        <v>0.79752657887391842</v>
      </c>
    </row>
  </sheetData>
  <mergeCells count="40">
    <mergeCell ref="A57:B57"/>
    <mergeCell ref="A64:B64"/>
    <mergeCell ref="A70:B70"/>
    <mergeCell ref="A11:B11"/>
    <mergeCell ref="A13:B13"/>
    <mergeCell ref="A17:B17"/>
    <mergeCell ref="A19:B19"/>
    <mergeCell ref="A67:B67"/>
    <mergeCell ref="A68:B68"/>
    <mergeCell ref="A69:B69"/>
    <mergeCell ref="A21:B21"/>
    <mergeCell ref="A24:B24"/>
    <mergeCell ref="A31:B31"/>
    <mergeCell ref="A1:D1"/>
    <mergeCell ref="A6:B6"/>
    <mergeCell ref="A3:G3"/>
    <mergeCell ref="A9:B9"/>
    <mergeCell ref="A10:B10"/>
    <mergeCell ref="A75:B75"/>
    <mergeCell ref="A93:B93"/>
    <mergeCell ref="A94:C94"/>
    <mergeCell ref="A76:B76"/>
    <mergeCell ref="A71:B71"/>
    <mergeCell ref="A81:B81"/>
    <mergeCell ref="A74:B74"/>
    <mergeCell ref="A72:B72"/>
    <mergeCell ref="A95:B95"/>
    <mergeCell ref="A104:B104"/>
    <mergeCell ref="A77:B77"/>
    <mergeCell ref="A100:B100"/>
    <mergeCell ref="A92:B92"/>
    <mergeCell ref="A97:B97"/>
    <mergeCell ref="A98:B98"/>
    <mergeCell ref="A99:B99"/>
    <mergeCell ref="A89:B89"/>
    <mergeCell ref="A91:B91"/>
    <mergeCell ref="A84:B84"/>
    <mergeCell ref="A85:B85"/>
    <mergeCell ref="A78:B78"/>
    <mergeCell ref="A83:B8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K48"/>
  <sheetViews>
    <sheetView view="pageBreakPreview" topLeftCell="V1" zoomScale="60" workbookViewId="0">
      <selection activeCell="V3" sqref="V3"/>
    </sheetView>
  </sheetViews>
  <sheetFormatPr defaultRowHeight="20.25"/>
  <cols>
    <col min="1" max="1" width="69.85546875" style="130" customWidth="1"/>
    <col min="2" max="4" width="19.140625" style="129" customWidth="1"/>
    <col min="5" max="5" width="19.140625" style="462" customWidth="1"/>
    <col min="6" max="7" width="19.140625" style="130" customWidth="1"/>
    <col min="8" max="8" width="19.140625" style="129" customWidth="1"/>
    <col min="9" max="9" width="19.140625" style="462" customWidth="1"/>
    <col min="10" max="11" width="19.140625" style="130" customWidth="1"/>
    <col min="12" max="12" width="19.140625" style="129" customWidth="1"/>
    <col min="13" max="13" width="19.140625" style="462" customWidth="1"/>
    <col min="14" max="15" width="19.140625" style="130" customWidth="1"/>
    <col min="16" max="16" width="19.140625" style="129" customWidth="1"/>
    <col min="17" max="17" width="19.140625" style="462" customWidth="1"/>
    <col min="18" max="19" width="19.140625" style="130" customWidth="1"/>
    <col min="20" max="20" width="19.140625" style="129" customWidth="1"/>
    <col min="21" max="21" width="19.140625" style="462" customWidth="1"/>
    <col min="22" max="22" width="69.85546875" style="130" customWidth="1"/>
    <col min="23" max="24" width="19.140625" style="130" customWidth="1"/>
    <col min="25" max="25" width="19.140625" style="129" customWidth="1"/>
    <col min="26" max="26" width="19.140625" style="462" customWidth="1"/>
    <col min="27" max="28" width="19.140625" style="130" customWidth="1"/>
    <col min="29" max="29" width="19.140625" style="129" customWidth="1"/>
    <col min="30" max="30" width="19.140625" style="462" customWidth="1"/>
    <col min="31" max="32" width="19.140625" style="130" customWidth="1"/>
    <col min="33" max="33" width="19.140625" style="129" customWidth="1"/>
    <col min="34" max="34" width="19.140625" style="462" customWidth="1"/>
    <col min="35" max="36" width="19.140625" style="130" customWidth="1"/>
    <col min="37" max="37" width="19.140625" style="129" customWidth="1"/>
    <col min="38" max="38" width="19.140625" style="462" customWidth="1"/>
    <col min="39" max="40" width="19.140625" style="130" customWidth="1"/>
    <col min="41" max="41" width="19.140625" style="129" customWidth="1"/>
    <col min="42" max="42" width="19.140625" style="462" customWidth="1"/>
    <col min="43" max="43" width="69.85546875" style="130" customWidth="1"/>
    <col min="44" max="45" width="19.140625" style="130" customWidth="1"/>
    <col min="46" max="46" width="19.140625" style="129" customWidth="1"/>
    <col min="47" max="47" width="19.140625" style="462" customWidth="1"/>
    <col min="48" max="49" width="19.140625" style="130" customWidth="1"/>
    <col min="50" max="50" width="19.140625" style="129" customWidth="1"/>
    <col min="51" max="51" width="19.140625" style="462" customWidth="1"/>
    <col min="52" max="53" width="19.140625" style="130" customWidth="1"/>
    <col min="54" max="54" width="19.140625" style="129" customWidth="1"/>
    <col min="55" max="55" width="19.140625" style="462" customWidth="1"/>
    <col min="56" max="56" width="10.42578125" style="130" bestFit="1" customWidth="1"/>
    <col min="57" max="16384" width="9.140625" style="130"/>
  </cols>
  <sheetData>
    <row r="2" spans="1:63">
      <c r="AB2" s="380"/>
      <c r="BA2" s="380"/>
    </row>
    <row r="3" spans="1:63" s="323" customFormat="1" ht="26.25">
      <c r="A3" s="321" t="s">
        <v>388</v>
      </c>
      <c r="B3" s="322"/>
      <c r="C3" s="322"/>
      <c r="D3" s="322"/>
      <c r="E3" s="463"/>
      <c r="H3" s="322"/>
      <c r="I3" s="463"/>
      <c r="L3" s="322"/>
      <c r="M3" s="463"/>
      <c r="P3" s="322"/>
      <c r="Q3" s="463"/>
      <c r="T3" s="322"/>
      <c r="U3" s="523" t="s">
        <v>367</v>
      </c>
      <c r="V3" s="321" t="s">
        <v>411</v>
      </c>
      <c r="Y3" s="322"/>
      <c r="Z3" s="463"/>
      <c r="AC3" s="322"/>
      <c r="AD3" s="463"/>
      <c r="AG3" s="322"/>
      <c r="AH3" s="463"/>
      <c r="AK3" s="322"/>
      <c r="AL3" s="463"/>
      <c r="AO3" s="322"/>
      <c r="AP3" s="523" t="s">
        <v>368</v>
      </c>
      <c r="AQ3" s="321" t="s">
        <v>388</v>
      </c>
      <c r="AT3" s="322"/>
      <c r="AU3" s="463"/>
      <c r="AX3" s="322"/>
      <c r="AY3" s="463"/>
      <c r="BB3" s="322"/>
      <c r="BC3" s="523" t="s">
        <v>369</v>
      </c>
    </row>
    <row r="4" spans="1:63" s="323" customFormat="1" ht="26.25">
      <c r="A4" s="324"/>
      <c r="B4" s="322"/>
      <c r="C4" s="322"/>
      <c r="D4" s="322"/>
      <c r="E4" s="463"/>
      <c r="H4" s="322"/>
      <c r="I4" s="463"/>
      <c r="L4" s="322"/>
      <c r="M4" s="463"/>
      <c r="P4" s="322"/>
      <c r="Q4" s="463"/>
      <c r="T4" s="322"/>
      <c r="U4" s="463"/>
      <c r="V4" s="324"/>
      <c r="Y4" s="322"/>
      <c r="Z4" s="463"/>
      <c r="AC4" s="322"/>
      <c r="AD4" s="463"/>
      <c r="AG4" s="322"/>
      <c r="AH4" s="463"/>
      <c r="AK4" s="322"/>
      <c r="AL4" s="463"/>
      <c r="AO4" s="322"/>
      <c r="AP4" s="463"/>
      <c r="AQ4" s="324"/>
      <c r="AT4" s="322"/>
      <c r="AU4" s="463"/>
      <c r="AX4" s="322"/>
      <c r="AY4" s="463"/>
      <c r="BB4" s="322"/>
      <c r="BC4" s="463"/>
    </row>
    <row r="5" spans="1:63" s="323" customFormat="1" ht="26.25">
      <c r="A5" s="618" t="s">
        <v>389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 t="s">
        <v>389</v>
      </c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 t="s">
        <v>389</v>
      </c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522"/>
      <c r="BE5" s="522"/>
      <c r="BF5" s="522"/>
      <c r="BG5" s="522"/>
      <c r="BH5" s="522"/>
      <c r="BI5" s="522"/>
      <c r="BJ5" s="522"/>
      <c r="BK5" s="522"/>
    </row>
    <row r="6" spans="1:63" s="323" customFormat="1" ht="26.25">
      <c r="A6" s="618" t="s">
        <v>280</v>
      </c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 t="s">
        <v>371</v>
      </c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 t="s">
        <v>280</v>
      </c>
      <c r="AR6" s="618"/>
      <c r="AS6" s="618"/>
      <c r="AT6" s="618"/>
      <c r="AU6" s="618"/>
      <c r="AV6" s="618"/>
      <c r="AW6" s="618"/>
      <c r="AX6" s="618"/>
      <c r="AY6" s="618"/>
      <c r="AZ6" s="618"/>
      <c r="BA6" s="618"/>
      <c r="BB6" s="618"/>
      <c r="BC6" s="618"/>
      <c r="BD6" s="522"/>
      <c r="BE6" s="522"/>
      <c r="BF6" s="522"/>
      <c r="BG6" s="522"/>
      <c r="BH6" s="522"/>
      <c r="BI6" s="522"/>
      <c r="BJ6" s="522"/>
      <c r="BK6" s="522"/>
    </row>
    <row r="7" spans="1:63">
      <c r="A7" s="132"/>
      <c r="B7" s="132"/>
      <c r="C7" s="132"/>
      <c r="D7" s="132"/>
      <c r="E7" s="464"/>
      <c r="H7" s="132"/>
      <c r="I7" s="464"/>
      <c r="L7" s="132"/>
      <c r="M7" s="464"/>
      <c r="P7" s="132"/>
      <c r="Q7" s="464"/>
      <c r="T7" s="132"/>
      <c r="U7" s="464"/>
      <c r="V7" s="132"/>
      <c r="Y7" s="132"/>
      <c r="Z7" s="464"/>
      <c r="AC7" s="132"/>
      <c r="AD7" s="464"/>
      <c r="AG7" s="132"/>
      <c r="AH7" s="464"/>
      <c r="AK7" s="132"/>
      <c r="AL7" s="464"/>
      <c r="AO7" s="132"/>
      <c r="AP7" s="464"/>
      <c r="AQ7" s="132"/>
      <c r="AT7" s="132"/>
      <c r="AU7" s="464"/>
      <c r="AX7" s="132"/>
      <c r="AY7" s="464"/>
      <c r="BB7" s="132"/>
      <c r="BC7" s="464"/>
    </row>
    <row r="8" spans="1:63" ht="21" thickBot="1">
      <c r="A8" s="131"/>
      <c r="V8" s="131"/>
      <c r="AQ8" s="131"/>
      <c r="AV8" s="636"/>
      <c r="AW8" s="636"/>
      <c r="AX8" s="636"/>
      <c r="AY8" s="636"/>
      <c r="AZ8" s="636"/>
      <c r="BA8" s="369"/>
      <c r="BB8" s="414"/>
      <c r="BC8" s="414" t="s">
        <v>370</v>
      </c>
    </row>
    <row r="9" spans="1:63" s="320" customFormat="1" ht="21" thickBot="1">
      <c r="A9" s="619" t="s">
        <v>75</v>
      </c>
      <c r="B9" s="639" t="s">
        <v>90</v>
      </c>
      <c r="C9" s="640"/>
      <c r="D9" s="640"/>
      <c r="E9" s="641"/>
      <c r="F9" s="639" t="s">
        <v>91</v>
      </c>
      <c r="G9" s="640"/>
      <c r="H9" s="640"/>
      <c r="I9" s="641"/>
      <c r="J9" s="639" t="s">
        <v>92</v>
      </c>
      <c r="K9" s="640"/>
      <c r="L9" s="640"/>
      <c r="M9" s="641"/>
      <c r="N9" s="639" t="s">
        <v>93</v>
      </c>
      <c r="O9" s="640"/>
      <c r="P9" s="640"/>
      <c r="Q9" s="641"/>
      <c r="R9" s="639" t="s">
        <v>94</v>
      </c>
      <c r="S9" s="640"/>
      <c r="T9" s="640"/>
      <c r="U9" s="641"/>
      <c r="V9" s="619" t="s">
        <v>75</v>
      </c>
      <c r="W9" s="639" t="s">
        <v>95</v>
      </c>
      <c r="X9" s="640"/>
      <c r="Y9" s="640"/>
      <c r="Z9" s="641"/>
      <c r="AA9" s="624" t="s">
        <v>96</v>
      </c>
      <c r="AB9" s="625"/>
      <c r="AC9" s="625"/>
      <c r="AD9" s="626"/>
      <c r="AE9" s="637" t="s">
        <v>64</v>
      </c>
      <c r="AF9" s="638"/>
      <c r="AG9" s="638"/>
      <c r="AH9" s="638"/>
      <c r="AI9" s="638"/>
      <c r="AJ9" s="638"/>
      <c r="AK9" s="638"/>
      <c r="AL9" s="638"/>
      <c r="AM9" s="638"/>
      <c r="AN9" s="638"/>
      <c r="AO9" s="415"/>
      <c r="AP9" s="415"/>
      <c r="AQ9" s="619" t="s">
        <v>75</v>
      </c>
      <c r="AR9" s="623" t="s">
        <v>245</v>
      </c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</row>
    <row r="10" spans="1:63" s="320" customFormat="1" ht="63.75" customHeight="1" thickBot="1">
      <c r="A10" s="620"/>
      <c r="B10" s="627" t="s">
        <v>323</v>
      </c>
      <c r="C10" s="628"/>
      <c r="D10" s="628"/>
      <c r="E10" s="629"/>
      <c r="F10" s="627" t="s">
        <v>324</v>
      </c>
      <c r="G10" s="628"/>
      <c r="H10" s="628"/>
      <c r="I10" s="629"/>
      <c r="J10" s="627" t="s">
        <v>99</v>
      </c>
      <c r="K10" s="628"/>
      <c r="L10" s="628"/>
      <c r="M10" s="629"/>
      <c r="N10" s="627" t="s">
        <v>100</v>
      </c>
      <c r="O10" s="628"/>
      <c r="P10" s="628"/>
      <c r="Q10" s="629"/>
      <c r="R10" s="627" t="s">
        <v>101</v>
      </c>
      <c r="S10" s="628"/>
      <c r="T10" s="628"/>
      <c r="U10" s="629"/>
      <c r="V10" s="620"/>
      <c r="W10" s="627" t="s">
        <v>65</v>
      </c>
      <c r="X10" s="628"/>
      <c r="Y10" s="628"/>
      <c r="Z10" s="629"/>
      <c r="AA10" s="627" t="s">
        <v>66</v>
      </c>
      <c r="AB10" s="628"/>
      <c r="AC10" s="628"/>
      <c r="AD10" s="629"/>
      <c r="AE10" s="633" t="s">
        <v>67</v>
      </c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5"/>
      <c r="AQ10" s="620"/>
      <c r="AR10" s="622" t="s">
        <v>76</v>
      </c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</row>
    <row r="11" spans="1:63" s="320" customFormat="1" ht="63.75" customHeight="1" thickBot="1">
      <c r="A11" s="620"/>
      <c r="B11" s="630"/>
      <c r="C11" s="631"/>
      <c r="D11" s="631"/>
      <c r="E11" s="632"/>
      <c r="F11" s="630"/>
      <c r="G11" s="631"/>
      <c r="H11" s="631"/>
      <c r="I11" s="632"/>
      <c r="J11" s="630"/>
      <c r="K11" s="631"/>
      <c r="L11" s="631"/>
      <c r="M11" s="632"/>
      <c r="N11" s="630"/>
      <c r="O11" s="631"/>
      <c r="P11" s="631"/>
      <c r="Q11" s="632"/>
      <c r="R11" s="630"/>
      <c r="S11" s="631"/>
      <c r="T11" s="631"/>
      <c r="U11" s="632"/>
      <c r="V11" s="620"/>
      <c r="W11" s="630"/>
      <c r="X11" s="631"/>
      <c r="Y11" s="631"/>
      <c r="Z11" s="632"/>
      <c r="AA11" s="630"/>
      <c r="AB11" s="631"/>
      <c r="AC11" s="631"/>
      <c r="AD11" s="632"/>
      <c r="AE11" s="633" t="s">
        <v>223</v>
      </c>
      <c r="AF11" s="634"/>
      <c r="AG11" s="634"/>
      <c r="AH11" s="635"/>
      <c r="AI11" s="633" t="s">
        <v>224</v>
      </c>
      <c r="AJ11" s="634"/>
      <c r="AK11" s="634"/>
      <c r="AL11" s="635"/>
      <c r="AM11" s="633" t="s">
        <v>225</v>
      </c>
      <c r="AN11" s="634"/>
      <c r="AO11" s="634"/>
      <c r="AP11" s="635"/>
      <c r="AQ11" s="620"/>
      <c r="AR11" s="622" t="s">
        <v>111</v>
      </c>
      <c r="AS11" s="622"/>
      <c r="AT11" s="622"/>
      <c r="AU11" s="622"/>
      <c r="AV11" s="622" t="s">
        <v>112</v>
      </c>
      <c r="AW11" s="622"/>
      <c r="AX11" s="622"/>
      <c r="AY11" s="622"/>
      <c r="AZ11" s="622" t="s">
        <v>76</v>
      </c>
      <c r="BA11" s="622"/>
      <c r="BB11" s="622"/>
      <c r="BC11" s="622"/>
    </row>
    <row r="12" spans="1:63" s="320" customFormat="1" ht="76.5" customHeight="1" thickBot="1">
      <c r="A12" s="621"/>
      <c r="B12" s="370" t="s">
        <v>113</v>
      </c>
      <c r="C12" s="370" t="s">
        <v>338</v>
      </c>
      <c r="D12" s="416" t="s">
        <v>363</v>
      </c>
      <c r="E12" s="465" t="s">
        <v>362</v>
      </c>
      <c r="F12" s="370" t="s">
        <v>113</v>
      </c>
      <c r="G12" s="370" t="s">
        <v>338</v>
      </c>
      <c r="H12" s="416" t="s">
        <v>363</v>
      </c>
      <c r="I12" s="465" t="s">
        <v>362</v>
      </c>
      <c r="J12" s="370" t="s">
        <v>113</v>
      </c>
      <c r="K12" s="370" t="s">
        <v>338</v>
      </c>
      <c r="L12" s="416" t="s">
        <v>363</v>
      </c>
      <c r="M12" s="465" t="s">
        <v>362</v>
      </c>
      <c r="N12" s="370" t="s">
        <v>113</v>
      </c>
      <c r="O12" s="370" t="s">
        <v>338</v>
      </c>
      <c r="P12" s="416" t="s">
        <v>363</v>
      </c>
      <c r="Q12" s="465" t="s">
        <v>362</v>
      </c>
      <c r="R12" s="370" t="s">
        <v>113</v>
      </c>
      <c r="S12" s="370" t="s">
        <v>338</v>
      </c>
      <c r="T12" s="416" t="s">
        <v>363</v>
      </c>
      <c r="U12" s="465" t="s">
        <v>362</v>
      </c>
      <c r="V12" s="621"/>
      <c r="W12" s="370" t="s">
        <v>113</v>
      </c>
      <c r="X12" s="370" t="s">
        <v>338</v>
      </c>
      <c r="Y12" s="416" t="s">
        <v>363</v>
      </c>
      <c r="Z12" s="465" t="s">
        <v>362</v>
      </c>
      <c r="AA12" s="370" t="s">
        <v>113</v>
      </c>
      <c r="AB12" s="370" t="s">
        <v>338</v>
      </c>
      <c r="AC12" s="416" t="s">
        <v>363</v>
      </c>
      <c r="AD12" s="465" t="s">
        <v>362</v>
      </c>
      <c r="AE12" s="370" t="s">
        <v>113</v>
      </c>
      <c r="AF12" s="370" t="s">
        <v>338</v>
      </c>
      <c r="AG12" s="416" t="s">
        <v>363</v>
      </c>
      <c r="AH12" s="465" t="s">
        <v>362</v>
      </c>
      <c r="AI12" s="370" t="s">
        <v>113</v>
      </c>
      <c r="AJ12" s="370" t="s">
        <v>338</v>
      </c>
      <c r="AK12" s="416" t="s">
        <v>363</v>
      </c>
      <c r="AL12" s="465" t="s">
        <v>362</v>
      </c>
      <c r="AM12" s="370" t="s">
        <v>113</v>
      </c>
      <c r="AN12" s="370" t="s">
        <v>338</v>
      </c>
      <c r="AO12" s="416" t="s">
        <v>363</v>
      </c>
      <c r="AP12" s="465" t="s">
        <v>362</v>
      </c>
      <c r="AQ12" s="621"/>
      <c r="AR12" s="370" t="s">
        <v>113</v>
      </c>
      <c r="AS12" s="370" t="s">
        <v>338</v>
      </c>
      <c r="AT12" s="416" t="s">
        <v>363</v>
      </c>
      <c r="AU12" s="465" t="s">
        <v>362</v>
      </c>
      <c r="AV12" s="370" t="s">
        <v>113</v>
      </c>
      <c r="AW12" s="370" t="s">
        <v>338</v>
      </c>
      <c r="AX12" s="416" t="s">
        <v>363</v>
      </c>
      <c r="AY12" s="465" t="s">
        <v>362</v>
      </c>
      <c r="AZ12" s="370" t="s">
        <v>113</v>
      </c>
      <c r="BA12" s="370" t="s">
        <v>338</v>
      </c>
      <c r="BB12" s="416" t="s">
        <v>363</v>
      </c>
      <c r="BC12" s="465" t="s">
        <v>362</v>
      </c>
    </row>
    <row r="13" spans="1:63" ht="30" customHeight="1">
      <c r="A13" s="133" t="s">
        <v>226</v>
      </c>
      <c r="B13" s="134"/>
      <c r="C13" s="134"/>
      <c r="D13" s="134"/>
      <c r="E13" s="466"/>
      <c r="F13" s="134"/>
      <c r="G13" s="134"/>
      <c r="H13" s="134"/>
      <c r="I13" s="466"/>
      <c r="J13" s="134"/>
      <c r="K13" s="134"/>
      <c r="L13" s="134"/>
      <c r="M13" s="466"/>
      <c r="N13" s="134"/>
      <c r="O13" s="134"/>
      <c r="P13" s="134"/>
      <c r="Q13" s="466"/>
      <c r="R13" s="134"/>
      <c r="S13" s="134"/>
      <c r="T13" s="134"/>
      <c r="U13" s="466"/>
      <c r="V13" s="133" t="s">
        <v>226</v>
      </c>
      <c r="W13" s="134"/>
      <c r="X13" s="134"/>
      <c r="Y13" s="134"/>
      <c r="Z13" s="466"/>
      <c r="AA13" s="134"/>
      <c r="AB13" s="134"/>
      <c r="AC13" s="134"/>
      <c r="AD13" s="466"/>
      <c r="AE13" s="134"/>
      <c r="AF13" s="134"/>
      <c r="AG13" s="134"/>
      <c r="AH13" s="466"/>
      <c r="AI13" s="134"/>
      <c r="AJ13" s="134"/>
      <c r="AK13" s="134"/>
      <c r="AL13" s="466"/>
      <c r="AM13" s="134"/>
      <c r="AN13" s="134"/>
      <c r="AO13" s="134"/>
      <c r="AP13" s="466"/>
      <c r="AQ13" s="133" t="s">
        <v>226</v>
      </c>
      <c r="AR13" s="134"/>
      <c r="AS13" s="134"/>
      <c r="AT13" s="134"/>
      <c r="AU13" s="466"/>
      <c r="AV13" s="134"/>
      <c r="AW13" s="134"/>
      <c r="AX13" s="134"/>
      <c r="AY13" s="466"/>
      <c r="AZ13" s="134"/>
      <c r="BA13" s="134"/>
      <c r="BB13" s="134"/>
      <c r="BC13" s="466"/>
    </row>
    <row r="14" spans="1:63" ht="37.5" customHeight="1">
      <c r="A14" s="135" t="s">
        <v>227</v>
      </c>
      <c r="B14" s="136">
        <v>1438329</v>
      </c>
      <c r="C14" s="136">
        <v>1546136</v>
      </c>
      <c r="D14" s="136">
        <v>1198584</v>
      </c>
      <c r="E14" s="467">
        <f>SUM(D14/C14)</f>
        <v>0.77521252981626454</v>
      </c>
      <c r="F14" s="137"/>
      <c r="G14" s="137"/>
      <c r="H14" s="136"/>
      <c r="I14" s="467"/>
      <c r="J14" s="137"/>
      <c r="K14" s="137"/>
      <c r="L14" s="136"/>
      <c r="M14" s="467"/>
      <c r="N14" s="137"/>
      <c r="O14" s="137"/>
      <c r="P14" s="136"/>
      <c r="Q14" s="467"/>
      <c r="R14" s="137"/>
      <c r="S14" s="137"/>
      <c r="T14" s="136"/>
      <c r="U14" s="467"/>
      <c r="V14" s="135" t="s">
        <v>227</v>
      </c>
      <c r="W14" s="137"/>
      <c r="X14" s="137"/>
      <c r="Y14" s="136"/>
      <c r="Z14" s="467"/>
      <c r="AA14" s="137"/>
      <c r="AB14" s="137"/>
      <c r="AC14" s="136"/>
      <c r="AD14" s="467"/>
      <c r="AE14" s="137"/>
      <c r="AF14" s="137"/>
      <c r="AG14" s="136"/>
      <c r="AH14" s="467"/>
      <c r="AI14" s="137"/>
      <c r="AJ14" s="137"/>
      <c r="AK14" s="136"/>
      <c r="AL14" s="467"/>
      <c r="AM14" s="137"/>
      <c r="AN14" s="137"/>
      <c r="AO14" s="136"/>
      <c r="AP14" s="467"/>
      <c r="AQ14" s="135" t="s">
        <v>227</v>
      </c>
      <c r="AR14" s="136">
        <f t="shared" ref="AR14:AR27" si="0">SUM(B14+J14+N14+W14+AE14+AM14)</f>
        <v>1438329</v>
      </c>
      <c r="AS14" s="136">
        <f t="shared" ref="AS14:AS27" si="1">SUM(C14+K14+O14+X14+AF14+AN14)</f>
        <v>1546136</v>
      </c>
      <c r="AT14" s="136">
        <f t="shared" ref="AT14:AT27" si="2">SUM(D14+L14+P14+Y14+AG14+AO14)</f>
        <v>1198584</v>
      </c>
      <c r="AU14" s="467">
        <f>AT14/AS14</f>
        <v>0.77521252981626454</v>
      </c>
      <c r="AV14" s="136">
        <f t="shared" ref="AV14:AV27" si="3">SUM(F14+R14+AA14+AI14)</f>
        <v>0</v>
      </c>
      <c r="AW14" s="136">
        <f t="shared" ref="AW14:AW27" si="4">SUM(G14+S14+AB14+AJ14)</f>
        <v>0</v>
      </c>
      <c r="AX14" s="136">
        <f t="shared" ref="AX14:AX27" si="5">SUM(H14+T14+AC14+AK14)</f>
        <v>0</v>
      </c>
      <c r="AY14" s="467"/>
      <c r="AZ14" s="137">
        <f t="shared" ref="AZ14:AZ27" si="6">SUM(B14+F14+J14+N14+R14+W14+AA14+AE14+AI14+AM14)</f>
        <v>1438329</v>
      </c>
      <c r="BA14" s="137">
        <f t="shared" ref="BA14:BA27" si="7">SUM(C14+G14+K14+O14+S14+X14+AB14+AF14+AJ14+AN14)</f>
        <v>1546136</v>
      </c>
      <c r="BB14" s="137">
        <f t="shared" ref="BB14:BB27" si="8">SUM(D14+H14+L14+P14+T14+Y14+AC14+AG14+AK14+AO14)</f>
        <v>1198584</v>
      </c>
      <c r="BC14" s="474">
        <f>BB14/BA14</f>
        <v>0.77521252981626454</v>
      </c>
      <c r="BD14" s="138"/>
    </row>
    <row r="15" spans="1:63" ht="30" customHeight="1">
      <c r="A15" s="135" t="s">
        <v>228</v>
      </c>
      <c r="B15" s="136">
        <v>5000</v>
      </c>
      <c r="C15" s="136">
        <v>5000</v>
      </c>
      <c r="D15" s="136">
        <f>3666+1696+1</f>
        <v>5363</v>
      </c>
      <c r="E15" s="467">
        <f t="shared" ref="E15:E16" si="9">SUM(D15/C15)</f>
        <v>1.0726</v>
      </c>
      <c r="F15" s="137"/>
      <c r="G15" s="137"/>
      <c r="H15" s="136"/>
      <c r="I15" s="467"/>
      <c r="J15" s="137"/>
      <c r="K15" s="137"/>
      <c r="L15" s="136"/>
      <c r="M15" s="467"/>
      <c r="N15" s="137"/>
      <c r="O15" s="137"/>
      <c r="P15" s="136"/>
      <c r="Q15" s="467"/>
      <c r="R15" s="137"/>
      <c r="S15" s="137"/>
      <c r="T15" s="136"/>
      <c r="U15" s="467"/>
      <c r="V15" s="135" t="s">
        <v>228</v>
      </c>
      <c r="W15" s="137"/>
      <c r="X15" s="137"/>
      <c r="Y15" s="136"/>
      <c r="Z15" s="467"/>
      <c r="AA15" s="137"/>
      <c r="AB15" s="137"/>
      <c r="AC15" s="136"/>
      <c r="AD15" s="467"/>
      <c r="AE15" s="137"/>
      <c r="AF15" s="137"/>
      <c r="AG15" s="136"/>
      <c r="AH15" s="467"/>
      <c r="AI15" s="137"/>
      <c r="AJ15" s="137"/>
      <c r="AK15" s="136"/>
      <c r="AL15" s="467"/>
      <c r="AM15" s="137"/>
      <c r="AN15" s="137"/>
      <c r="AO15" s="136"/>
      <c r="AP15" s="467"/>
      <c r="AQ15" s="135" t="s">
        <v>228</v>
      </c>
      <c r="AR15" s="136">
        <f t="shared" si="0"/>
        <v>5000</v>
      </c>
      <c r="AS15" s="136">
        <f t="shared" si="1"/>
        <v>5000</v>
      </c>
      <c r="AT15" s="136">
        <f t="shared" si="2"/>
        <v>5363</v>
      </c>
      <c r="AU15" s="467">
        <f t="shared" ref="AU15:AU44" si="10">AT15/AS15</f>
        <v>1.0726</v>
      </c>
      <c r="AV15" s="136">
        <f t="shared" si="3"/>
        <v>0</v>
      </c>
      <c r="AW15" s="136">
        <f t="shared" si="4"/>
        <v>0</v>
      </c>
      <c r="AX15" s="136">
        <f t="shared" si="5"/>
        <v>0</v>
      </c>
      <c r="AY15" s="467"/>
      <c r="AZ15" s="137">
        <f t="shared" si="6"/>
        <v>5000</v>
      </c>
      <c r="BA15" s="137">
        <f t="shared" si="7"/>
        <v>5000</v>
      </c>
      <c r="BB15" s="137">
        <f t="shared" si="8"/>
        <v>5363</v>
      </c>
      <c r="BC15" s="474">
        <f t="shared" ref="BC15:BC44" si="11">BB15/BA15</f>
        <v>1.0726</v>
      </c>
      <c r="BD15" s="138"/>
    </row>
    <row r="16" spans="1:63" ht="30" customHeight="1">
      <c r="A16" s="135" t="s">
        <v>229</v>
      </c>
      <c r="B16" s="139">
        <v>100</v>
      </c>
      <c r="C16" s="139">
        <v>100</v>
      </c>
      <c r="D16" s="139">
        <v>50</v>
      </c>
      <c r="E16" s="467">
        <f t="shared" si="9"/>
        <v>0.5</v>
      </c>
      <c r="F16" s="137"/>
      <c r="G16" s="137"/>
      <c r="H16" s="139"/>
      <c r="I16" s="467"/>
      <c r="J16" s="137"/>
      <c r="K16" s="137"/>
      <c r="L16" s="139"/>
      <c r="M16" s="467"/>
      <c r="N16" s="136"/>
      <c r="O16" s="136"/>
      <c r="P16" s="139"/>
      <c r="Q16" s="467"/>
      <c r="R16" s="137"/>
      <c r="S16" s="137"/>
      <c r="T16" s="139"/>
      <c r="U16" s="467"/>
      <c r="V16" s="135" t="s">
        <v>229</v>
      </c>
      <c r="W16" s="137"/>
      <c r="X16" s="137"/>
      <c r="Y16" s="139"/>
      <c r="Z16" s="467"/>
      <c r="AA16" s="137"/>
      <c r="AB16" s="137"/>
      <c r="AC16" s="139"/>
      <c r="AD16" s="467"/>
      <c r="AE16" s="137"/>
      <c r="AF16" s="137"/>
      <c r="AG16" s="139"/>
      <c r="AH16" s="467"/>
      <c r="AI16" s="137"/>
      <c r="AJ16" s="137"/>
      <c r="AK16" s="139"/>
      <c r="AL16" s="467"/>
      <c r="AM16" s="137"/>
      <c r="AN16" s="137"/>
      <c r="AO16" s="139"/>
      <c r="AP16" s="467"/>
      <c r="AQ16" s="135" t="s">
        <v>229</v>
      </c>
      <c r="AR16" s="136">
        <f t="shared" si="0"/>
        <v>100</v>
      </c>
      <c r="AS16" s="136">
        <f t="shared" si="1"/>
        <v>100</v>
      </c>
      <c r="AT16" s="136">
        <f t="shared" si="2"/>
        <v>50</v>
      </c>
      <c r="AU16" s="467">
        <f t="shared" si="10"/>
        <v>0.5</v>
      </c>
      <c r="AV16" s="136">
        <f t="shared" si="3"/>
        <v>0</v>
      </c>
      <c r="AW16" s="136">
        <f t="shared" si="4"/>
        <v>0</v>
      </c>
      <c r="AX16" s="136">
        <f t="shared" si="5"/>
        <v>0</v>
      </c>
      <c r="AY16" s="467"/>
      <c r="AZ16" s="137">
        <f t="shared" si="6"/>
        <v>100</v>
      </c>
      <c r="BA16" s="137">
        <f t="shared" si="7"/>
        <v>100</v>
      </c>
      <c r="BB16" s="137">
        <f t="shared" si="8"/>
        <v>50</v>
      </c>
      <c r="BC16" s="474">
        <f t="shared" si="11"/>
        <v>0.5</v>
      </c>
      <c r="BD16" s="138"/>
    </row>
    <row r="17" spans="1:56" ht="30" customHeight="1">
      <c r="A17" s="135" t="s">
        <v>337</v>
      </c>
      <c r="B17" s="139"/>
      <c r="C17" s="139"/>
      <c r="D17" s="139"/>
      <c r="E17" s="468"/>
      <c r="F17" s="137"/>
      <c r="G17" s="136">
        <v>60000</v>
      </c>
      <c r="H17" s="140">
        <v>60000</v>
      </c>
      <c r="I17" s="467">
        <f>SUM(H17/G17)</f>
        <v>1</v>
      </c>
      <c r="J17" s="137"/>
      <c r="K17" s="137"/>
      <c r="L17" s="139"/>
      <c r="M17" s="468"/>
      <c r="N17" s="136"/>
      <c r="O17" s="136"/>
      <c r="P17" s="139"/>
      <c r="Q17" s="468"/>
      <c r="R17" s="137"/>
      <c r="S17" s="137"/>
      <c r="T17" s="139"/>
      <c r="U17" s="468"/>
      <c r="V17" s="135" t="s">
        <v>337</v>
      </c>
      <c r="W17" s="137"/>
      <c r="X17" s="137"/>
      <c r="Y17" s="139"/>
      <c r="Z17" s="468"/>
      <c r="AA17" s="137"/>
      <c r="AB17" s="137"/>
      <c r="AC17" s="139"/>
      <c r="AD17" s="468"/>
      <c r="AE17" s="137"/>
      <c r="AF17" s="137"/>
      <c r="AG17" s="139"/>
      <c r="AH17" s="468"/>
      <c r="AI17" s="137"/>
      <c r="AJ17" s="137"/>
      <c r="AK17" s="139"/>
      <c r="AL17" s="468"/>
      <c r="AM17" s="137"/>
      <c r="AN17" s="137"/>
      <c r="AO17" s="139"/>
      <c r="AP17" s="468"/>
      <c r="AQ17" s="135" t="s">
        <v>337</v>
      </c>
      <c r="AR17" s="136">
        <f t="shared" si="0"/>
        <v>0</v>
      </c>
      <c r="AS17" s="136">
        <f t="shared" si="1"/>
        <v>0</v>
      </c>
      <c r="AT17" s="136">
        <f t="shared" si="2"/>
        <v>0</v>
      </c>
      <c r="AU17" s="467">
        <v>0</v>
      </c>
      <c r="AV17" s="136">
        <f t="shared" si="3"/>
        <v>0</v>
      </c>
      <c r="AW17" s="136">
        <f t="shared" si="4"/>
        <v>60000</v>
      </c>
      <c r="AX17" s="136">
        <f t="shared" si="5"/>
        <v>60000</v>
      </c>
      <c r="AY17" s="467">
        <f t="shared" ref="AY17" si="12">AX17/AW17</f>
        <v>1</v>
      </c>
      <c r="AZ17" s="137">
        <f t="shared" si="6"/>
        <v>0</v>
      </c>
      <c r="BA17" s="137">
        <f t="shared" si="7"/>
        <v>60000</v>
      </c>
      <c r="BB17" s="137">
        <f t="shared" si="8"/>
        <v>60000</v>
      </c>
      <c r="BC17" s="474">
        <f t="shared" si="11"/>
        <v>1</v>
      </c>
      <c r="BD17" s="138"/>
    </row>
    <row r="18" spans="1:56" ht="42.75" customHeight="1">
      <c r="A18" s="135" t="s">
        <v>386</v>
      </c>
      <c r="B18" s="139"/>
      <c r="C18" s="139"/>
      <c r="D18" s="139"/>
      <c r="E18" s="468"/>
      <c r="F18" s="137"/>
      <c r="G18" s="136">
        <v>1100</v>
      </c>
      <c r="H18" s="140">
        <v>1100</v>
      </c>
      <c r="I18" s="467">
        <f t="shared" ref="I18:I19" si="13">SUM(H18/G18)</f>
        <v>1</v>
      </c>
      <c r="J18" s="137"/>
      <c r="K18" s="137"/>
      <c r="L18" s="139"/>
      <c r="M18" s="468"/>
      <c r="N18" s="136"/>
      <c r="O18" s="136"/>
      <c r="P18" s="139"/>
      <c r="Q18" s="468"/>
      <c r="R18" s="137"/>
      <c r="S18" s="137"/>
      <c r="T18" s="139"/>
      <c r="U18" s="468"/>
      <c r="V18" s="135"/>
      <c r="W18" s="137"/>
      <c r="X18" s="137"/>
      <c r="Y18" s="139"/>
      <c r="Z18" s="468"/>
      <c r="AA18" s="137"/>
      <c r="AB18" s="137"/>
      <c r="AC18" s="139"/>
      <c r="AD18" s="468"/>
      <c r="AE18" s="137"/>
      <c r="AF18" s="137"/>
      <c r="AG18" s="139"/>
      <c r="AH18" s="468"/>
      <c r="AI18" s="137"/>
      <c r="AJ18" s="137"/>
      <c r="AK18" s="139"/>
      <c r="AL18" s="468"/>
      <c r="AM18" s="137"/>
      <c r="AN18" s="137"/>
      <c r="AO18" s="139"/>
      <c r="AP18" s="468"/>
      <c r="AQ18" s="135"/>
      <c r="AR18" s="136">
        <f t="shared" ref="AR18:AR19" si="14">SUM(B18+J18+N18+W18+AE18+AM18)</f>
        <v>0</v>
      </c>
      <c r="AS18" s="136">
        <f t="shared" ref="AS18:AS19" si="15">SUM(C18+K18+O18+X18+AF18+AN18)</f>
        <v>0</v>
      </c>
      <c r="AT18" s="136">
        <f t="shared" ref="AT18:AT19" si="16">SUM(D18+L18+P18+Y18+AG18+AO18)</f>
        <v>0</v>
      </c>
      <c r="AU18" s="467">
        <v>1</v>
      </c>
      <c r="AV18" s="136">
        <f t="shared" ref="AV18:AV19" si="17">SUM(F18+R18+AA18+AI18)</f>
        <v>0</v>
      </c>
      <c r="AW18" s="136">
        <f t="shared" ref="AW18:AW19" si="18">SUM(G18+S18+AB18+AJ18)</f>
        <v>1100</v>
      </c>
      <c r="AX18" s="136">
        <f t="shared" ref="AX18:AX19" si="19">SUM(H18+T18+AC18+AK18)</f>
        <v>1100</v>
      </c>
      <c r="AY18" s="467">
        <f t="shared" ref="AY18:AY19" si="20">AX18/AW18</f>
        <v>1</v>
      </c>
      <c r="AZ18" s="137">
        <f t="shared" ref="AZ18:AZ19" si="21">SUM(B18+F18+J18+N18+R18+W18+AA18+AE18+AI18+AM18)</f>
        <v>0</v>
      </c>
      <c r="BA18" s="137">
        <f t="shared" ref="BA18:BA19" si="22">SUM(C18+G18+K18+O18+S18+X18+AB18+AF18+AJ18+AN18)</f>
        <v>1100</v>
      </c>
      <c r="BB18" s="137">
        <f t="shared" ref="BB18:BB19" si="23">SUM(D18+H18+L18+P18+T18+Y18+AC18+AG18+AK18+AO18)</f>
        <v>1100</v>
      </c>
      <c r="BC18" s="474">
        <f t="shared" ref="BC18:BC19" si="24">BB18/BA18</f>
        <v>1</v>
      </c>
      <c r="BD18" s="138"/>
    </row>
    <row r="19" spans="1:56" ht="30" customHeight="1">
      <c r="A19" s="135" t="s">
        <v>387</v>
      </c>
      <c r="B19" s="139"/>
      <c r="C19" s="139"/>
      <c r="D19" s="139"/>
      <c r="E19" s="468"/>
      <c r="F19" s="137"/>
      <c r="G19" s="136">
        <v>2500</v>
      </c>
      <c r="H19" s="140">
        <v>2500</v>
      </c>
      <c r="I19" s="467">
        <f t="shared" si="13"/>
        <v>1</v>
      </c>
      <c r="J19" s="137"/>
      <c r="K19" s="137"/>
      <c r="L19" s="139"/>
      <c r="M19" s="468"/>
      <c r="N19" s="136"/>
      <c r="O19" s="136"/>
      <c r="P19" s="139"/>
      <c r="Q19" s="468"/>
      <c r="R19" s="137"/>
      <c r="S19" s="137"/>
      <c r="T19" s="139"/>
      <c r="U19" s="468"/>
      <c r="V19" s="135"/>
      <c r="W19" s="137"/>
      <c r="X19" s="137"/>
      <c r="Y19" s="139"/>
      <c r="Z19" s="468"/>
      <c r="AA19" s="137"/>
      <c r="AB19" s="137"/>
      <c r="AC19" s="139"/>
      <c r="AD19" s="468"/>
      <c r="AE19" s="137"/>
      <c r="AF19" s="137"/>
      <c r="AG19" s="139"/>
      <c r="AH19" s="468"/>
      <c r="AI19" s="137"/>
      <c r="AJ19" s="137"/>
      <c r="AK19" s="139"/>
      <c r="AL19" s="468"/>
      <c r="AM19" s="137"/>
      <c r="AN19" s="137"/>
      <c r="AO19" s="139"/>
      <c r="AP19" s="468"/>
      <c r="AQ19" s="135"/>
      <c r="AR19" s="136">
        <f t="shared" si="14"/>
        <v>0</v>
      </c>
      <c r="AS19" s="136">
        <f t="shared" si="15"/>
        <v>0</v>
      </c>
      <c r="AT19" s="136">
        <f t="shared" si="16"/>
        <v>0</v>
      </c>
      <c r="AU19" s="467">
        <v>2</v>
      </c>
      <c r="AV19" s="136">
        <f t="shared" si="17"/>
        <v>0</v>
      </c>
      <c r="AW19" s="136">
        <f t="shared" si="18"/>
        <v>2500</v>
      </c>
      <c r="AX19" s="136">
        <f t="shared" si="19"/>
        <v>2500</v>
      </c>
      <c r="AY19" s="467">
        <f t="shared" si="20"/>
        <v>1</v>
      </c>
      <c r="AZ19" s="137">
        <f t="shared" si="21"/>
        <v>0</v>
      </c>
      <c r="BA19" s="137">
        <f t="shared" si="22"/>
        <v>2500</v>
      </c>
      <c r="BB19" s="137">
        <f t="shared" si="23"/>
        <v>2500</v>
      </c>
      <c r="BC19" s="474">
        <f t="shared" si="24"/>
        <v>1</v>
      </c>
      <c r="BD19" s="138"/>
    </row>
    <row r="20" spans="1:56" ht="30" customHeight="1">
      <c r="A20" s="135" t="s">
        <v>230</v>
      </c>
      <c r="B20" s="139"/>
      <c r="C20" s="139"/>
      <c r="D20" s="139"/>
      <c r="E20" s="468"/>
      <c r="F20" s="140"/>
      <c r="G20" s="140"/>
      <c r="H20" s="139"/>
      <c r="I20" s="468"/>
      <c r="J20" s="139">
        <v>8000</v>
      </c>
      <c r="K20" s="139">
        <v>8000</v>
      </c>
      <c r="L20" s="139">
        <v>8211</v>
      </c>
      <c r="M20" s="467">
        <f t="shared" ref="M20:M26" si="25">SUM(L20/K20)</f>
        <v>1.026375</v>
      </c>
      <c r="N20" s="136"/>
      <c r="O20" s="136"/>
      <c r="P20" s="139"/>
      <c r="Q20" s="467"/>
      <c r="R20" s="139"/>
      <c r="S20" s="139"/>
      <c r="T20" s="139"/>
      <c r="U20" s="467"/>
      <c r="V20" s="135" t="s">
        <v>230</v>
      </c>
      <c r="W20" s="139"/>
      <c r="X20" s="139"/>
      <c r="Y20" s="139"/>
      <c r="Z20" s="467"/>
      <c r="AA20" s="139"/>
      <c r="AB20" s="139"/>
      <c r="AC20" s="139"/>
      <c r="AD20" s="467"/>
      <c r="AE20" s="139"/>
      <c r="AF20" s="139"/>
      <c r="AG20" s="139"/>
      <c r="AH20" s="467"/>
      <c r="AI20" s="139"/>
      <c r="AJ20" s="139"/>
      <c r="AK20" s="139"/>
      <c r="AL20" s="467"/>
      <c r="AM20" s="139"/>
      <c r="AN20" s="139"/>
      <c r="AO20" s="139"/>
      <c r="AP20" s="467"/>
      <c r="AQ20" s="135" t="s">
        <v>230</v>
      </c>
      <c r="AR20" s="136">
        <f t="shared" si="0"/>
        <v>8000</v>
      </c>
      <c r="AS20" s="136">
        <f t="shared" si="1"/>
        <v>8000</v>
      </c>
      <c r="AT20" s="136">
        <f t="shared" si="2"/>
        <v>8211</v>
      </c>
      <c r="AU20" s="467">
        <f t="shared" si="10"/>
        <v>1.026375</v>
      </c>
      <c r="AV20" s="136">
        <f t="shared" si="3"/>
        <v>0</v>
      </c>
      <c r="AW20" s="136">
        <f t="shared" si="4"/>
        <v>0</v>
      </c>
      <c r="AX20" s="136">
        <f t="shared" si="5"/>
        <v>0</v>
      </c>
      <c r="AY20" s="467"/>
      <c r="AZ20" s="137">
        <f t="shared" si="6"/>
        <v>8000</v>
      </c>
      <c r="BA20" s="137">
        <f t="shared" si="7"/>
        <v>8000</v>
      </c>
      <c r="BB20" s="137">
        <f t="shared" si="8"/>
        <v>8211</v>
      </c>
      <c r="BC20" s="474">
        <f t="shared" si="11"/>
        <v>1.026375</v>
      </c>
      <c r="BD20" s="138"/>
    </row>
    <row r="21" spans="1:56" ht="30" customHeight="1">
      <c r="A21" s="135" t="s">
        <v>231</v>
      </c>
      <c r="B21" s="139"/>
      <c r="C21" s="139"/>
      <c r="D21" s="139"/>
      <c r="E21" s="468"/>
      <c r="F21" s="140"/>
      <c r="G21" s="140"/>
      <c r="H21" s="139"/>
      <c r="I21" s="468"/>
      <c r="J21" s="139"/>
      <c r="K21" s="139"/>
      <c r="L21" s="139"/>
      <c r="M21" s="467"/>
      <c r="N21" s="136">
        <v>1000</v>
      </c>
      <c r="O21" s="136">
        <v>1000</v>
      </c>
      <c r="P21" s="140">
        <v>721</v>
      </c>
      <c r="Q21" s="467">
        <f>P21/O21</f>
        <v>0.72099999999999997</v>
      </c>
      <c r="R21" s="139"/>
      <c r="S21" s="139"/>
      <c r="T21" s="139"/>
      <c r="U21" s="467"/>
      <c r="V21" s="135" t="s">
        <v>231</v>
      </c>
      <c r="W21" s="139"/>
      <c r="X21" s="139"/>
      <c r="Y21" s="139"/>
      <c r="Z21" s="467"/>
      <c r="AA21" s="139"/>
      <c r="AB21" s="139"/>
      <c r="AC21" s="139"/>
      <c r="AD21" s="467"/>
      <c r="AE21" s="139"/>
      <c r="AF21" s="139"/>
      <c r="AG21" s="139"/>
      <c r="AH21" s="467"/>
      <c r="AI21" s="139"/>
      <c r="AJ21" s="139"/>
      <c r="AK21" s="139"/>
      <c r="AL21" s="467"/>
      <c r="AM21" s="139"/>
      <c r="AN21" s="139"/>
      <c r="AO21" s="139"/>
      <c r="AP21" s="467"/>
      <c r="AQ21" s="135" t="s">
        <v>231</v>
      </c>
      <c r="AR21" s="136">
        <f t="shared" si="0"/>
        <v>1000</v>
      </c>
      <c r="AS21" s="136">
        <f t="shared" si="1"/>
        <v>1000</v>
      </c>
      <c r="AT21" s="136">
        <f t="shared" si="2"/>
        <v>721</v>
      </c>
      <c r="AU21" s="467">
        <f t="shared" si="10"/>
        <v>0.72099999999999997</v>
      </c>
      <c r="AV21" s="136">
        <f t="shared" si="3"/>
        <v>0</v>
      </c>
      <c r="AW21" s="136">
        <f t="shared" si="4"/>
        <v>0</v>
      </c>
      <c r="AX21" s="136">
        <f t="shared" si="5"/>
        <v>0</v>
      </c>
      <c r="AY21" s="467"/>
      <c r="AZ21" s="137">
        <f t="shared" si="6"/>
        <v>1000</v>
      </c>
      <c r="BA21" s="137">
        <f t="shared" si="7"/>
        <v>1000</v>
      </c>
      <c r="BB21" s="137">
        <f t="shared" si="8"/>
        <v>721</v>
      </c>
      <c r="BC21" s="474">
        <f t="shared" si="11"/>
        <v>0.72099999999999997</v>
      </c>
      <c r="BD21" s="138"/>
    </row>
    <row r="22" spans="1:56" ht="30" customHeight="1">
      <c r="A22" s="135" t="s">
        <v>232</v>
      </c>
      <c r="B22" s="139"/>
      <c r="C22" s="139"/>
      <c r="D22" s="139"/>
      <c r="E22" s="468"/>
      <c r="F22" s="140"/>
      <c r="G22" s="140"/>
      <c r="H22" s="139"/>
      <c r="I22" s="468"/>
      <c r="J22" s="139">
        <v>533000</v>
      </c>
      <c r="K22" s="139">
        <v>533000</v>
      </c>
      <c r="L22" s="139">
        <v>478699</v>
      </c>
      <c r="M22" s="467">
        <f t="shared" si="25"/>
        <v>0.89812195121951222</v>
      </c>
      <c r="N22" s="136"/>
      <c r="O22" s="136"/>
      <c r="P22" s="139"/>
      <c r="Q22" s="467"/>
      <c r="R22" s="139"/>
      <c r="S22" s="139"/>
      <c r="T22" s="139"/>
      <c r="U22" s="467"/>
      <c r="V22" s="135" t="s">
        <v>232</v>
      </c>
      <c r="W22" s="139"/>
      <c r="X22" s="139"/>
      <c r="Y22" s="139"/>
      <c r="Z22" s="467"/>
      <c r="AA22" s="139"/>
      <c r="AB22" s="139"/>
      <c r="AC22" s="139"/>
      <c r="AD22" s="467"/>
      <c r="AE22" s="139"/>
      <c r="AF22" s="139"/>
      <c r="AG22" s="139"/>
      <c r="AH22" s="467"/>
      <c r="AI22" s="139"/>
      <c r="AJ22" s="139"/>
      <c r="AK22" s="139"/>
      <c r="AL22" s="467"/>
      <c r="AM22" s="139"/>
      <c r="AN22" s="139"/>
      <c r="AO22" s="139"/>
      <c r="AP22" s="467"/>
      <c r="AQ22" s="135" t="s">
        <v>232</v>
      </c>
      <c r="AR22" s="136">
        <f t="shared" si="0"/>
        <v>533000</v>
      </c>
      <c r="AS22" s="136">
        <f t="shared" si="1"/>
        <v>533000</v>
      </c>
      <c r="AT22" s="136">
        <f t="shared" si="2"/>
        <v>478699</v>
      </c>
      <c r="AU22" s="467">
        <f t="shared" si="10"/>
        <v>0.89812195121951222</v>
      </c>
      <c r="AV22" s="136">
        <f t="shared" si="3"/>
        <v>0</v>
      </c>
      <c r="AW22" s="136">
        <f t="shared" si="4"/>
        <v>0</v>
      </c>
      <c r="AX22" s="136">
        <f t="shared" si="5"/>
        <v>0</v>
      </c>
      <c r="AY22" s="467"/>
      <c r="AZ22" s="137">
        <f t="shared" si="6"/>
        <v>533000</v>
      </c>
      <c r="BA22" s="137">
        <f t="shared" si="7"/>
        <v>533000</v>
      </c>
      <c r="BB22" s="137">
        <f t="shared" si="8"/>
        <v>478699</v>
      </c>
      <c r="BC22" s="474">
        <f t="shared" si="11"/>
        <v>0.89812195121951222</v>
      </c>
      <c r="BD22" s="138"/>
    </row>
    <row r="23" spans="1:56" ht="30" customHeight="1">
      <c r="A23" s="135" t="s">
        <v>233</v>
      </c>
      <c r="B23" s="139"/>
      <c r="C23" s="139"/>
      <c r="D23" s="139"/>
      <c r="E23" s="468"/>
      <c r="F23" s="140"/>
      <c r="G23" s="140"/>
      <c r="H23" s="139"/>
      <c r="I23" s="468"/>
      <c r="J23" s="139">
        <v>4000</v>
      </c>
      <c r="K23" s="139">
        <v>4000</v>
      </c>
      <c r="L23" s="139">
        <v>3130</v>
      </c>
      <c r="M23" s="467">
        <f t="shared" si="25"/>
        <v>0.78249999999999997</v>
      </c>
      <c r="N23" s="136"/>
      <c r="O23" s="136"/>
      <c r="P23" s="139"/>
      <c r="Q23" s="467"/>
      <c r="R23" s="139"/>
      <c r="S23" s="139"/>
      <c r="T23" s="139"/>
      <c r="U23" s="467"/>
      <c r="V23" s="135" t="s">
        <v>233</v>
      </c>
      <c r="W23" s="139"/>
      <c r="X23" s="139"/>
      <c r="Y23" s="139"/>
      <c r="Z23" s="467"/>
      <c r="AA23" s="139"/>
      <c r="AB23" s="139"/>
      <c r="AC23" s="139"/>
      <c r="AD23" s="467"/>
      <c r="AE23" s="139"/>
      <c r="AF23" s="139"/>
      <c r="AG23" s="139"/>
      <c r="AH23" s="467"/>
      <c r="AI23" s="139"/>
      <c r="AJ23" s="139"/>
      <c r="AK23" s="139"/>
      <c r="AL23" s="467"/>
      <c r="AM23" s="139"/>
      <c r="AN23" s="139"/>
      <c r="AO23" s="139"/>
      <c r="AP23" s="467"/>
      <c r="AQ23" s="135" t="s">
        <v>233</v>
      </c>
      <c r="AR23" s="136">
        <f t="shared" si="0"/>
        <v>4000</v>
      </c>
      <c r="AS23" s="136">
        <f t="shared" si="1"/>
        <v>4000</v>
      </c>
      <c r="AT23" s="136">
        <f t="shared" si="2"/>
        <v>3130</v>
      </c>
      <c r="AU23" s="467">
        <f t="shared" si="10"/>
        <v>0.78249999999999997</v>
      </c>
      <c r="AV23" s="136">
        <f t="shared" si="3"/>
        <v>0</v>
      </c>
      <c r="AW23" s="136">
        <f t="shared" si="4"/>
        <v>0</v>
      </c>
      <c r="AX23" s="136">
        <f t="shared" si="5"/>
        <v>0</v>
      </c>
      <c r="AY23" s="467"/>
      <c r="AZ23" s="137">
        <f t="shared" si="6"/>
        <v>4000</v>
      </c>
      <c r="BA23" s="137">
        <f t="shared" si="7"/>
        <v>4000</v>
      </c>
      <c r="BB23" s="137">
        <f t="shared" si="8"/>
        <v>3130</v>
      </c>
      <c r="BC23" s="474">
        <f t="shared" si="11"/>
        <v>0.78249999999999997</v>
      </c>
      <c r="BD23" s="138"/>
    </row>
    <row r="24" spans="1:56" ht="30" customHeight="1">
      <c r="A24" s="135" t="s">
        <v>234</v>
      </c>
      <c r="B24" s="139"/>
      <c r="C24" s="139"/>
      <c r="D24" s="139"/>
      <c r="E24" s="468"/>
      <c r="F24" s="140"/>
      <c r="G24" s="140"/>
      <c r="H24" s="139"/>
      <c r="I24" s="468"/>
      <c r="J24" s="139">
        <v>40000</v>
      </c>
      <c r="K24" s="139">
        <v>40000</v>
      </c>
      <c r="L24" s="139">
        <v>37290</v>
      </c>
      <c r="M24" s="467">
        <f t="shared" si="25"/>
        <v>0.93225000000000002</v>
      </c>
      <c r="N24" s="136"/>
      <c r="O24" s="136"/>
      <c r="P24" s="139"/>
      <c r="Q24" s="467"/>
      <c r="R24" s="139"/>
      <c r="S24" s="139"/>
      <c r="T24" s="139"/>
      <c r="U24" s="467"/>
      <c r="V24" s="135" t="s">
        <v>234</v>
      </c>
      <c r="W24" s="139"/>
      <c r="X24" s="139"/>
      <c r="Y24" s="139"/>
      <c r="Z24" s="467"/>
      <c r="AA24" s="139"/>
      <c r="AB24" s="139"/>
      <c r="AC24" s="139"/>
      <c r="AD24" s="467"/>
      <c r="AE24" s="139"/>
      <c r="AF24" s="139"/>
      <c r="AG24" s="139"/>
      <c r="AH24" s="467"/>
      <c r="AI24" s="139"/>
      <c r="AJ24" s="139"/>
      <c r="AK24" s="139"/>
      <c r="AL24" s="467"/>
      <c r="AM24" s="139"/>
      <c r="AN24" s="139"/>
      <c r="AO24" s="139"/>
      <c r="AP24" s="467"/>
      <c r="AQ24" s="135" t="s">
        <v>234</v>
      </c>
      <c r="AR24" s="136">
        <f t="shared" si="0"/>
        <v>40000</v>
      </c>
      <c r="AS24" s="136">
        <f t="shared" si="1"/>
        <v>40000</v>
      </c>
      <c r="AT24" s="136">
        <f t="shared" si="2"/>
        <v>37290</v>
      </c>
      <c r="AU24" s="467">
        <f t="shared" si="10"/>
        <v>0.93225000000000002</v>
      </c>
      <c r="AV24" s="136">
        <f t="shared" si="3"/>
        <v>0</v>
      </c>
      <c r="AW24" s="136">
        <f t="shared" si="4"/>
        <v>0</v>
      </c>
      <c r="AX24" s="136">
        <f t="shared" si="5"/>
        <v>0</v>
      </c>
      <c r="AY24" s="467"/>
      <c r="AZ24" s="137">
        <f t="shared" si="6"/>
        <v>40000</v>
      </c>
      <c r="BA24" s="137">
        <f t="shared" si="7"/>
        <v>40000</v>
      </c>
      <c r="BB24" s="137">
        <f t="shared" si="8"/>
        <v>37290</v>
      </c>
      <c r="BC24" s="474">
        <f t="shared" si="11"/>
        <v>0.93225000000000002</v>
      </c>
      <c r="BD24" s="138"/>
    </row>
    <row r="25" spans="1:56" ht="30" customHeight="1">
      <c r="A25" s="135" t="s">
        <v>235</v>
      </c>
      <c r="B25" s="139"/>
      <c r="C25" s="139"/>
      <c r="D25" s="139"/>
      <c r="E25" s="468"/>
      <c r="F25" s="140"/>
      <c r="G25" s="140"/>
      <c r="H25" s="139"/>
      <c r="I25" s="468"/>
      <c r="J25" s="139">
        <v>200</v>
      </c>
      <c r="K25" s="139">
        <v>200</v>
      </c>
      <c r="L25" s="139">
        <v>272</v>
      </c>
      <c r="M25" s="467">
        <f t="shared" si="25"/>
        <v>1.36</v>
      </c>
      <c r="N25" s="136"/>
      <c r="O25" s="136"/>
      <c r="P25" s="139"/>
      <c r="Q25" s="467"/>
      <c r="R25" s="139"/>
      <c r="S25" s="139"/>
      <c r="T25" s="139"/>
      <c r="U25" s="467"/>
      <c r="V25" s="135" t="s">
        <v>235</v>
      </c>
      <c r="W25" s="139"/>
      <c r="X25" s="139"/>
      <c r="Y25" s="139"/>
      <c r="Z25" s="467"/>
      <c r="AA25" s="139"/>
      <c r="AB25" s="139"/>
      <c r="AC25" s="139"/>
      <c r="AD25" s="467"/>
      <c r="AE25" s="139"/>
      <c r="AF25" s="139"/>
      <c r="AG25" s="139"/>
      <c r="AH25" s="467"/>
      <c r="AI25" s="139"/>
      <c r="AJ25" s="139"/>
      <c r="AK25" s="139"/>
      <c r="AL25" s="467"/>
      <c r="AM25" s="139"/>
      <c r="AN25" s="139"/>
      <c r="AO25" s="139"/>
      <c r="AP25" s="467"/>
      <c r="AQ25" s="135" t="s">
        <v>235</v>
      </c>
      <c r="AR25" s="136">
        <f t="shared" si="0"/>
        <v>200</v>
      </c>
      <c r="AS25" s="136">
        <f t="shared" si="1"/>
        <v>200</v>
      </c>
      <c r="AT25" s="136">
        <f t="shared" si="2"/>
        <v>272</v>
      </c>
      <c r="AU25" s="467">
        <f t="shared" si="10"/>
        <v>1.36</v>
      </c>
      <c r="AV25" s="136">
        <f t="shared" si="3"/>
        <v>0</v>
      </c>
      <c r="AW25" s="136">
        <f t="shared" si="4"/>
        <v>0</v>
      </c>
      <c r="AX25" s="136">
        <f t="shared" si="5"/>
        <v>0</v>
      </c>
      <c r="AY25" s="467"/>
      <c r="AZ25" s="137">
        <f t="shared" si="6"/>
        <v>200</v>
      </c>
      <c r="BA25" s="137">
        <f t="shared" si="7"/>
        <v>200</v>
      </c>
      <c r="BB25" s="137">
        <f t="shared" si="8"/>
        <v>272</v>
      </c>
      <c r="BC25" s="474">
        <f t="shared" si="11"/>
        <v>1.36</v>
      </c>
      <c r="BD25" s="138"/>
    </row>
    <row r="26" spans="1:56" ht="30" customHeight="1">
      <c r="A26" s="135" t="s">
        <v>236</v>
      </c>
      <c r="B26" s="139"/>
      <c r="C26" s="139"/>
      <c r="D26" s="139"/>
      <c r="E26" s="468"/>
      <c r="F26" s="140"/>
      <c r="G26" s="140"/>
      <c r="H26" s="139"/>
      <c r="I26" s="468"/>
      <c r="J26" s="139">
        <v>3000</v>
      </c>
      <c r="K26" s="139">
        <v>3000</v>
      </c>
      <c r="L26" s="139">
        <v>3345</v>
      </c>
      <c r="M26" s="467">
        <f t="shared" si="25"/>
        <v>1.115</v>
      </c>
      <c r="N26" s="136"/>
      <c r="O26" s="136"/>
      <c r="P26" s="139"/>
      <c r="Q26" s="467"/>
      <c r="R26" s="139"/>
      <c r="S26" s="139"/>
      <c r="T26" s="139"/>
      <c r="U26" s="467"/>
      <c r="V26" s="135" t="s">
        <v>236</v>
      </c>
      <c r="W26" s="139"/>
      <c r="X26" s="139"/>
      <c r="Y26" s="139"/>
      <c r="Z26" s="467"/>
      <c r="AA26" s="139"/>
      <c r="AB26" s="139"/>
      <c r="AC26" s="139"/>
      <c r="AD26" s="467"/>
      <c r="AE26" s="139"/>
      <c r="AF26" s="139"/>
      <c r="AG26" s="139"/>
      <c r="AH26" s="467"/>
      <c r="AI26" s="139"/>
      <c r="AJ26" s="139"/>
      <c r="AK26" s="139"/>
      <c r="AL26" s="467"/>
      <c r="AM26" s="139"/>
      <c r="AN26" s="139"/>
      <c r="AO26" s="139"/>
      <c r="AP26" s="467"/>
      <c r="AQ26" s="135" t="s">
        <v>236</v>
      </c>
      <c r="AR26" s="136">
        <f t="shared" si="0"/>
        <v>3000</v>
      </c>
      <c r="AS26" s="136">
        <f t="shared" si="1"/>
        <v>3000</v>
      </c>
      <c r="AT26" s="136">
        <f t="shared" si="2"/>
        <v>3345</v>
      </c>
      <c r="AU26" s="467">
        <f t="shared" si="10"/>
        <v>1.115</v>
      </c>
      <c r="AV26" s="136">
        <f t="shared" si="3"/>
        <v>0</v>
      </c>
      <c r="AW26" s="136">
        <f t="shared" si="4"/>
        <v>0</v>
      </c>
      <c r="AX26" s="136">
        <f t="shared" si="5"/>
        <v>0</v>
      </c>
      <c r="AY26" s="467"/>
      <c r="AZ26" s="137">
        <f t="shared" si="6"/>
        <v>3000</v>
      </c>
      <c r="BA26" s="137">
        <f t="shared" si="7"/>
        <v>3000</v>
      </c>
      <c r="BB26" s="137">
        <f t="shared" si="8"/>
        <v>3345</v>
      </c>
      <c r="BC26" s="474">
        <f t="shared" si="11"/>
        <v>1.115</v>
      </c>
      <c r="BD26" s="138"/>
    </row>
    <row r="27" spans="1:56" s="146" customFormat="1" ht="30" customHeight="1" thickBot="1">
      <c r="A27" s="141" t="s">
        <v>242</v>
      </c>
      <c r="B27" s="142"/>
      <c r="C27" s="142">
        <v>12742</v>
      </c>
      <c r="D27" s="142">
        <v>12742</v>
      </c>
      <c r="E27" s="467">
        <f t="shared" ref="E27" si="26">SUM(D27/C27)</f>
        <v>1</v>
      </c>
      <c r="F27" s="143"/>
      <c r="G27" s="143"/>
      <c r="H27" s="142"/>
      <c r="I27" s="467"/>
      <c r="J27" s="143"/>
      <c r="K27" s="143"/>
      <c r="L27" s="142"/>
      <c r="M27" s="467"/>
      <c r="N27" s="144"/>
      <c r="O27" s="144"/>
      <c r="P27" s="142"/>
      <c r="Q27" s="467"/>
      <c r="R27" s="144"/>
      <c r="S27" s="144"/>
      <c r="T27" s="142"/>
      <c r="U27" s="467"/>
      <c r="V27" s="141" t="s">
        <v>242</v>
      </c>
      <c r="W27" s="144"/>
      <c r="X27" s="144"/>
      <c r="Y27" s="142"/>
      <c r="Z27" s="467"/>
      <c r="AA27" s="144"/>
      <c r="AB27" s="144"/>
      <c r="AC27" s="142"/>
      <c r="AD27" s="467"/>
      <c r="AE27" s="144">
        <v>183739</v>
      </c>
      <c r="AF27" s="144">
        <f>183739+414+2494+33+254+571+1410+86846-1742</f>
        <v>274019</v>
      </c>
      <c r="AG27" s="142">
        <v>274019</v>
      </c>
      <c r="AH27" s="467">
        <f>AF27/AE27</f>
        <v>1.4913491419894525</v>
      </c>
      <c r="AI27" s="144"/>
      <c r="AJ27" s="144"/>
      <c r="AK27" s="142"/>
      <c r="AL27" s="467"/>
      <c r="AM27" s="144"/>
      <c r="AN27" s="144"/>
      <c r="AO27" s="142"/>
      <c r="AP27" s="467"/>
      <c r="AQ27" s="141" t="s">
        <v>242</v>
      </c>
      <c r="AR27" s="142">
        <f t="shared" si="0"/>
        <v>183739</v>
      </c>
      <c r="AS27" s="142">
        <f t="shared" si="1"/>
        <v>286761</v>
      </c>
      <c r="AT27" s="142">
        <f t="shared" si="2"/>
        <v>286761</v>
      </c>
      <c r="AU27" s="467">
        <f t="shared" si="10"/>
        <v>1</v>
      </c>
      <c r="AV27" s="142">
        <f t="shared" si="3"/>
        <v>0</v>
      </c>
      <c r="AW27" s="142">
        <f t="shared" si="4"/>
        <v>0</v>
      </c>
      <c r="AX27" s="142">
        <f t="shared" si="5"/>
        <v>0</v>
      </c>
      <c r="AY27" s="467"/>
      <c r="AZ27" s="137">
        <f t="shared" si="6"/>
        <v>183739</v>
      </c>
      <c r="BA27" s="137">
        <f t="shared" si="7"/>
        <v>286761</v>
      </c>
      <c r="BB27" s="137">
        <f t="shared" si="8"/>
        <v>286761</v>
      </c>
      <c r="BC27" s="474">
        <f t="shared" si="11"/>
        <v>1</v>
      </c>
      <c r="BD27" s="145"/>
    </row>
    <row r="28" spans="1:56" s="328" customFormat="1" ht="39" customHeight="1" thickBot="1">
      <c r="A28" s="325" t="s">
        <v>237</v>
      </c>
      <c r="B28" s="326">
        <f t="shared" ref="B28:AZ28" si="27">SUM(B14:B27)</f>
        <v>1443429</v>
      </c>
      <c r="C28" s="326">
        <f>SUM(C14:C27)</f>
        <v>1563978</v>
      </c>
      <c r="D28" s="326">
        <f>SUM(D14:D27)</f>
        <v>1216739</v>
      </c>
      <c r="E28" s="469">
        <f>D28/C28</f>
        <v>0.77797705594324218</v>
      </c>
      <c r="F28" s="326">
        <f t="shared" si="27"/>
        <v>0</v>
      </c>
      <c r="G28" s="326">
        <f t="shared" ref="G28" si="28">SUM(G14:G27)</f>
        <v>63600</v>
      </c>
      <c r="H28" s="326">
        <f>SUM(H14:H27)</f>
        <v>63600</v>
      </c>
      <c r="I28" s="469">
        <f>H28/G28</f>
        <v>1</v>
      </c>
      <c r="J28" s="326">
        <f t="shared" si="27"/>
        <v>588200</v>
      </c>
      <c r="K28" s="326">
        <f t="shared" ref="K28" si="29">SUM(K14:K27)</f>
        <v>588200</v>
      </c>
      <c r="L28" s="326">
        <f>SUM(L14:L27)</f>
        <v>530947</v>
      </c>
      <c r="M28" s="469">
        <f>L28/K28</f>
        <v>0.90266405984359066</v>
      </c>
      <c r="N28" s="326">
        <f t="shared" si="27"/>
        <v>1000</v>
      </c>
      <c r="O28" s="326">
        <f t="shared" ref="O28" si="30">SUM(O14:O27)</f>
        <v>1000</v>
      </c>
      <c r="P28" s="326">
        <f>SUM(P14:P27)</f>
        <v>721</v>
      </c>
      <c r="Q28" s="469">
        <f>P28/O28</f>
        <v>0.72099999999999997</v>
      </c>
      <c r="R28" s="326">
        <f t="shared" si="27"/>
        <v>0</v>
      </c>
      <c r="S28" s="326">
        <f t="shared" ref="S28" si="31">SUM(S14:S27)</f>
        <v>0</v>
      </c>
      <c r="T28" s="326">
        <f>SUM(T14:T27)</f>
        <v>0</v>
      </c>
      <c r="U28" s="469">
        <v>0</v>
      </c>
      <c r="V28" s="325" t="s">
        <v>237</v>
      </c>
      <c r="W28" s="326">
        <f t="shared" si="27"/>
        <v>0</v>
      </c>
      <c r="X28" s="326">
        <f t="shared" ref="X28" si="32">SUM(X14:X27)</f>
        <v>0</v>
      </c>
      <c r="Y28" s="326">
        <f>SUM(Y14:Y27)</f>
        <v>0</v>
      </c>
      <c r="Z28" s="469">
        <v>0</v>
      </c>
      <c r="AA28" s="326">
        <f t="shared" si="27"/>
        <v>0</v>
      </c>
      <c r="AB28" s="326">
        <f t="shared" ref="AB28" si="33">SUM(AB14:AB27)</f>
        <v>0</v>
      </c>
      <c r="AC28" s="326">
        <f>SUM(AC14:AC27)</f>
        <v>0</v>
      </c>
      <c r="AD28" s="469">
        <v>0</v>
      </c>
      <c r="AE28" s="326">
        <f t="shared" si="27"/>
        <v>183739</v>
      </c>
      <c r="AF28" s="326">
        <f t="shared" ref="AF28" si="34">SUM(AF14:AF27)</f>
        <v>274019</v>
      </c>
      <c r="AG28" s="326">
        <f>SUM(AG14:AG27)</f>
        <v>274019</v>
      </c>
      <c r="AH28" s="469">
        <v>0</v>
      </c>
      <c r="AI28" s="326">
        <f t="shared" si="27"/>
        <v>0</v>
      </c>
      <c r="AJ28" s="326">
        <f t="shared" ref="AJ28" si="35">SUM(AJ14:AJ27)</f>
        <v>0</v>
      </c>
      <c r="AK28" s="326">
        <f>SUM(AK14:AK27)</f>
        <v>0</v>
      </c>
      <c r="AL28" s="469">
        <v>0</v>
      </c>
      <c r="AM28" s="326">
        <f t="shared" si="27"/>
        <v>0</v>
      </c>
      <c r="AN28" s="326">
        <f t="shared" ref="AN28" si="36">SUM(AN14:AN27)</f>
        <v>0</v>
      </c>
      <c r="AO28" s="326">
        <f>SUM(AO14:AO27)</f>
        <v>0</v>
      </c>
      <c r="AP28" s="469">
        <v>0</v>
      </c>
      <c r="AQ28" s="325" t="s">
        <v>237</v>
      </c>
      <c r="AR28" s="326">
        <f t="shared" si="27"/>
        <v>2216368</v>
      </c>
      <c r="AS28" s="326">
        <f t="shared" ref="AS28:AT28" si="37">SUM(AS14:AS27)</f>
        <v>2427197</v>
      </c>
      <c r="AT28" s="326">
        <f t="shared" si="37"/>
        <v>2022426</v>
      </c>
      <c r="AU28" s="469">
        <f>AT28/AS28</f>
        <v>0.83323520917337979</v>
      </c>
      <c r="AV28" s="326">
        <f t="shared" si="27"/>
        <v>0</v>
      </c>
      <c r="AW28" s="326">
        <f>SUM(AW14:AW27)</f>
        <v>63600</v>
      </c>
      <c r="AX28" s="326">
        <f t="shared" ref="AX28" si="38">SUM(AX14:AX27)</f>
        <v>63600</v>
      </c>
      <c r="AY28" s="469">
        <f>AX28/AW28</f>
        <v>1</v>
      </c>
      <c r="AZ28" s="326">
        <f t="shared" si="27"/>
        <v>2216368</v>
      </c>
      <c r="BA28" s="326">
        <f t="shared" ref="BA28:BB28" si="39">SUM(BA14:BA27)</f>
        <v>2490797</v>
      </c>
      <c r="BB28" s="326">
        <f t="shared" si="39"/>
        <v>2086026</v>
      </c>
      <c r="BC28" s="469">
        <v>0</v>
      </c>
      <c r="BD28" s="327"/>
    </row>
    <row r="29" spans="1:56" ht="30" customHeight="1">
      <c r="A29" s="147" t="s">
        <v>238</v>
      </c>
      <c r="B29" s="148"/>
      <c r="C29" s="148"/>
      <c r="D29" s="148"/>
      <c r="E29" s="470"/>
      <c r="F29" s="149"/>
      <c r="G29" s="149"/>
      <c r="H29" s="148"/>
      <c r="I29" s="470"/>
      <c r="J29" s="149"/>
      <c r="K29" s="149"/>
      <c r="L29" s="148"/>
      <c r="M29" s="470"/>
      <c r="N29" s="150"/>
      <c r="O29" s="150"/>
      <c r="P29" s="148"/>
      <c r="Q29" s="470"/>
      <c r="R29" s="150"/>
      <c r="S29" s="150"/>
      <c r="T29" s="148"/>
      <c r="U29" s="470"/>
      <c r="V29" s="147" t="s">
        <v>238</v>
      </c>
      <c r="W29" s="150"/>
      <c r="X29" s="150"/>
      <c r="Y29" s="148"/>
      <c r="Z29" s="470"/>
      <c r="AA29" s="150"/>
      <c r="AB29" s="150"/>
      <c r="AC29" s="148"/>
      <c r="AD29" s="470"/>
      <c r="AE29" s="150"/>
      <c r="AF29" s="150"/>
      <c r="AG29" s="148"/>
      <c r="AH29" s="470"/>
      <c r="AI29" s="150"/>
      <c r="AJ29" s="150"/>
      <c r="AK29" s="148"/>
      <c r="AL29" s="470"/>
      <c r="AM29" s="150"/>
      <c r="AN29" s="150"/>
      <c r="AO29" s="148"/>
      <c r="AP29" s="470"/>
      <c r="AQ29" s="147" t="s">
        <v>238</v>
      </c>
      <c r="AR29" s="148">
        <f t="shared" ref="AR29:AR37" si="40">SUM(B29+J29+N29+W29+AE29+AM29)</f>
        <v>0</v>
      </c>
      <c r="AS29" s="148">
        <f t="shared" ref="AS29:AS37" si="41">SUM(C29+K29+O29+X29+AF29+AN29)</f>
        <v>0</v>
      </c>
      <c r="AT29" s="148">
        <f t="shared" ref="AT29:AT37" si="42">SUM(D29+L29+P29+Y29+AG29+AO29)</f>
        <v>0</v>
      </c>
      <c r="AU29" s="467"/>
      <c r="AV29" s="148">
        <f t="shared" ref="AV29:AX32" si="43">SUM(F29+R29+AA29+AI29)</f>
        <v>0</v>
      </c>
      <c r="AW29" s="148">
        <f t="shared" si="43"/>
        <v>0</v>
      </c>
      <c r="AX29" s="148">
        <f t="shared" si="43"/>
        <v>0</v>
      </c>
      <c r="AY29" s="470"/>
      <c r="AZ29" s="137">
        <f t="shared" ref="AZ29:AZ42" si="44">SUM(B29+F29+J29+N29+R29+W29+AA29+AE29+AI29+AM29)</f>
        <v>0</v>
      </c>
      <c r="BA29" s="137">
        <f t="shared" ref="BA29:BA42" si="45">SUM(C29+G29+K29+O29+S29+X29+AB29+AF29+AJ29+AN29)</f>
        <v>0</v>
      </c>
      <c r="BB29" s="137">
        <f t="shared" ref="BB29:BB42" si="46">SUM(D29+H29+L29+P29+T29+Y29+AC29+AG29+AK29+AO29)</f>
        <v>0</v>
      </c>
      <c r="BC29" s="474">
        <v>0</v>
      </c>
      <c r="BD29" s="138"/>
    </row>
    <row r="30" spans="1:56" ht="30" customHeight="1">
      <c r="A30" s="135" t="s">
        <v>239</v>
      </c>
      <c r="B30" s="139"/>
      <c r="C30" s="139"/>
      <c r="D30" s="139"/>
      <c r="E30" s="468"/>
      <c r="F30" s="140"/>
      <c r="G30" s="140"/>
      <c r="H30" s="139"/>
      <c r="I30" s="468"/>
      <c r="J30" s="139"/>
      <c r="K30" s="139"/>
      <c r="L30" s="139"/>
      <c r="M30" s="468"/>
      <c r="N30" s="136">
        <v>46000</v>
      </c>
      <c r="O30" s="136">
        <v>46000</v>
      </c>
      <c r="P30" s="140">
        <v>9091</v>
      </c>
      <c r="Q30" s="467">
        <f>P30/O30</f>
        <v>0.19763043478260869</v>
      </c>
      <c r="R30" s="139"/>
      <c r="S30" s="139"/>
      <c r="T30" s="139"/>
      <c r="U30" s="467"/>
      <c r="V30" s="135" t="s">
        <v>239</v>
      </c>
      <c r="W30" s="139"/>
      <c r="X30" s="139"/>
      <c r="Y30" s="139"/>
      <c r="Z30" s="467"/>
      <c r="AA30" s="139"/>
      <c r="AB30" s="139"/>
      <c r="AC30" s="139"/>
      <c r="AD30" s="467"/>
      <c r="AE30" s="139"/>
      <c r="AF30" s="139"/>
      <c r="AG30" s="139"/>
      <c r="AH30" s="467"/>
      <c r="AI30" s="139"/>
      <c r="AJ30" s="139"/>
      <c r="AK30" s="139"/>
      <c r="AL30" s="467"/>
      <c r="AM30" s="139"/>
      <c r="AN30" s="139"/>
      <c r="AO30" s="139"/>
      <c r="AP30" s="467"/>
      <c r="AQ30" s="135" t="s">
        <v>239</v>
      </c>
      <c r="AR30" s="136">
        <f t="shared" si="40"/>
        <v>46000</v>
      </c>
      <c r="AS30" s="136">
        <f t="shared" si="41"/>
        <v>46000</v>
      </c>
      <c r="AT30" s="136">
        <f t="shared" si="42"/>
        <v>9091</v>
      </c>
      <c r="AU30" s="467">
        <f t="shared" si="10"/>
        <v>0.19763043478260869</v>
      </c>
      <c r="AV30" s="136">
        <f t="shared" si="43"/>
        <v>0</v>
      </c>
      <c r="AW30" s="136">
        <f t="shared" si="43"/>
        <v>0</v>
      </c>
      <c r="AX30" s="136">
        <f t="shared" si="43"/>
        <v>0</v>
      </c>
      <c r="AY30" s="467"/>
      <c r="AZ30" s="137">
        <f t="shared" si="44"/>
        <v>46000</v>
      </c>
      <c r="BA30" s="137">
        <f t="shared" si="45"/>
        <v>46000</v>
      </c>
      <c r="BB30" s="137">
        <f t="shared" si="46"/>
        <v>9091</v>
      </c>
      <c r="BC30" s="474">
        <f t="shared" si="11"/>
        <v>0.19763043478260869</v>
      </c>
      <c r="BD30" s="138"/>
    </row>
    <row r="31" spans="1:56" ht="30" customHeight="1">
      <c r="A31" s="135" t="s">
        <v>240</v>
      </c>
      <c r="B31" s="139"/>
      <c r="C31" s="139"/>
      <c r="D31" s="139"/>
      <c r="E31" s="468"/>
      <c r="F31" s="140"/>
      <c r="G31" s="140"/>
      <c r="H31" s="139"/>
      <c r="I31" s="468"/>
      <c r="J31" s="139"/>
      <c r="K31" s="139"/>
      <c r="L31" s="139"/>
      <c r="M31" s="468"/>
      <c r="N31" s="136">
        <v>3000</v>
      </c>
      <c r="O31" s="136">
        <v>3000</v>
      </c>
      <c r="P31" s="140">
        <v>2361</v>
      </c>
      <c r="Q31" s="467">
        <f t="shared" ref="Q31:Q34" si="47">P31/O31</f>
        <v>0.78700000000000003</v>
      </c>
      <c r="R31" s="139"/>
      <c r="S31" s="139"/>
      <c r="T31" s="139"/>
      <c r="U31" s="467"/>
      <c r="V31" s="135" t="s">
        <v>240</v>
      </c>
      <c r="W31" s="139"/>
      <c r="X31" s="139"/>
      <c r="Y31" s="139"/>
      <c r="Z31" s="467"/>
      <c r="AA31" s="139"/>
      <c r="AB31" s="139"/>
      <c r="AC31" s="139"/>
      <c r="AD31" s="467"/>
      <c r="AE31" s="139"/>
      <c r="AF31" s="139"/>
      <c r="AG31" s="139"/>
      <c r="AH31" s="467"/>
      <c r="AI31" s="139"/>
      <c r="AJ31" s="139"/>
      <c r="AK31" s="139"/>
      <c r="AL31" s="467"/>
      <c r="AM31" s="139"/>
      <c r="AN31" s="139"/>
      <c r="AO31" s="139"/>
      <c r="AP31" s="467"/>
      <c r="AQ31" s="135" t="s">
        <v>240</v>
      </c>
      <c r="AR31" s="136">
        <f t="shared" si="40"/>
        <v>3000</v>
      </c>
      <c r="AS31" s="136">
        <f t="shared" si="41"/>
        <v>3000</v>
      </c>
      <c r="AT31" s="136">
        <f t="shared" si="42"/>
        <v>2361</v>
      </c>
      <c r="AU31" s="467">
        <f t="shared" si="10"/>
        <v>0.78700000000000003</v>
      </c>
      <c r="AV31" s="136">
        <f t="shared" si="43"/>
        <v>0</v>
      </c>
      <c r="AW31" s="136">
        <f t="shared" si="43"/>
        <v>0</v>
      </c>
      <c r="AX31" s="136">
        <f t="shared" si="43"/>
        <v>0</v>
      </c>
      <c r="AY31" s="467"/>
      <c r="AZ31" s="137">
        <f t="shared" si="44"/>
        <v>3000</v>
      </c>
      <c r="BA31" s="137">
        <f t="shared" si="45"/>
        <v>3000</v>
      </c>
      <c r="BB31" s="137">
        <f t="shared" si="46"/>
        <v>2361</v>
      </c>
      <c r="BC31" s="474">
        <f t="shared" si="11"/>
        <v>0.78700000000000003</v>
      </c>
      <c r="BD31" s="138"/>
    </row>
    <row r="32" spans="1:56" ht="30" customHeight="1">
      <c r="A32" s="135" t="s">
        <v>246</v>
      </c>
      <c r="B32" s="139"/>
      <c r="C32" s="139"/>
      <c r="D32" s="139"/>
      <c r="E32" s="468"/>
      <c r="F32" s="140"/>
      <c r="G32" s="140"/>
      <c r="H32" s="139"/>
      <c r="I32" s="468"/>
      <c r="J32" s="139"/>
      <c r="K32" s="139"/>
      <c r="L32" s="139"/>
      <c r="M32" s="468"/>
      <c r="N32" s="136">
        <v>140970</v>
      </c>
      <c r="O32" s="136">
        <v>140970</v>
      </c>
      <c r="P32" s="140">
        <v>140970</v>
      </c>
      <c r="Q32" s="467">
        <f t="shared" si="47"/>
        <v>1</v>
      </c>
      <c r="R32" s="139"/>
      <c r="S32" s="139"/>
      <c r="T32" s="139"/>
      <c r="U32" s="467"/>
      <c r="V32" s="135" t="s">
        <v>246</v>
      </c>
      <c r="W32" s="139"/>
      <c r="X32" s="139"/>
      <c r="Y32" s="139"/>
      <c r="Z32" s="467"/>
      <c r="AA32" s="139"/>
      <c r="AB32" s="139"/>
      <c r="AC32" s="139"/>
      <c r="AD32" s="467"/>
      <c r="AE32" s="139"/>
      <c r="AF32" s="139"/>
      <c r="AG32" s="139"/>
      <c r="AH32" s="467"/>
      <c r="AI32" s="139"/>
      <c r="AJ32" s="139"/>
      <c r="AK32" s="139"/>
      <c r="AL32" s="467"/>
      <c r="AM32" s="139"/>
      <c r="AN32" s="139"/>
      <c r="AO32" s="139"/>
      <c r="AP32" s="467"/>
      <c r="AQ32" s="135" t="s">
        <v>246</v>
      </c>
      <c r="AR32" s="136">
        <f t="shared" si="40"/>
        <v>140970</v>
      </c>
      <c r="AS32" s="136">
        <f t="shared" si="41"/>
        <v>140970</v>
      </c>
      <c r="AT32" s="136">
        <f t="shared" si="42"/>
        <v>140970</v>
      </c>
      <c r="AU32" s="467">
        <f t="shared" si="10"/>
        <v>1</v>
      </c>
      <c r="AV32" s="136">
        <f t="shared" si="43"/>
        <v>0</v>
      </c>
      <c r="AW32" s="136">
        <f t="shared" si="43"/>
        <v>0</v>
      </c>
      <c r="AX32" s="136">
        <f t="shared" si="43"/>
        <v>0</v>
      </c>
      <c r="AY32" s="467"/>
      <c r="AZ32" s="137">
        <f t="shared" si="44"/>
        <v>140970</v>
      </c>
      <c r="BA32" s="137">
        <f t="shared" si="45"/>
        <v>140970</v>
      </c>
      <c r="BB32" s="137">
        <f t="shared" si="46"/>
        <v>140970</v>
      </c>
      <c r="BC32" s="474">
        <f t="shared" si="11"/>
        <v>1</v>
      </c>
      <c r="BD32" s="138"/>
    </row>
    <row r="33" spans="1:56" ht="30" customHeight="1">
      <c r="A33" s="135" t="s">
        <v>327</v>
      </c>
      <c r="B33" s="139"/>
      <c r="C33" s="139"/>
      <c r="D33" s="139"/>
      <c r="E33" s="468"/>
      <c r="F33" s="140"/>
      <c r="G33" s="140"/>
      <c r="H33" s="139"/>
      <c r="I33" s="468"/>
      <c r="J33" s="139"/>
      <c r="K33" s="139"/>
      <c r="L33" s="139"/>
      <c r="M33" s="468"/>
      <c r="N33" s="136">
        <v>201904</v>
      </c>
      <c r="O33" s="136">
        <v>164817</v>
      </c>
      <c r="P33" s="140">
        <v>14527</v>
      </c>
      <c r="Q33" s="467">
        <f t="shared" si="47"/>
        <v>8.8140179714471203E-2</v>
      </c>
      <c r="R33" s="139"/>
      <c r="S33" s="139"/>
      <c r="T33" s="139"/>
      <c r="U33" s="467"/>
      <c r="V33" s="135" t="s">
        <v>327</v>
      </c>
      <c r="W33" s="139"/>
      <c r="X33" s="139"/>
      <c r="Y33" s="139"/>
      <c r="Z33" s="467"/>
      <c r="AA33" s="139"/>
      <c r="AB33" s="139"/>
      <c r="AC33" s="139"/>
      <c r="AD33" s="467"/>
      <c r="AE33" s="139"/>
      <c r="AF33" s="139"/>
      <c r="AG33" s="139"/>
      <c r="AH33" s="467"/>
      <c r="AI33" s="139"/>
      <c r="AJ33" s="139"/>
      <c r="AK33" s="139"/>
      <c r="AL33" s="467"/>
      <c r="AM33" s="139"/>
      <c r="AN33" s="139"/>
      <c r="AO33" s="139"/>
      <c r="AP33" s="467"/>
      <c r="AQ33" s="135" t="s">
        <v>327</v>
      </c>
      <c r="AR33" s="136">
        <f t="shared" si="40"/>
        <v>201904</v>
      </c>
      <c r="AS33" s="136">
        <f t="shared" si="41"/>
        <v>164817</v>
      </c>
      <c r="AT33" s="136">
        <f t="shared" si="42"/>
        <v>14527</v>
      </c>
      <c r="AU33" s="467">
        <f t="shared" si="10"/>
        <v>8.8140179714471203E-2</v>
      </c>
      <c r="AV33" s="136"/>
      <c r="AW33" s="136"/>
      <c r="AX33" s="136"/>
      <c r="AY33" s="467"/>
      <c r="AZ33" s="137">
        <f t="shared" si="44"/>
        <v>201904</v>
      </c>
      <c r="BA33" s="137">
        <f t="shared" si="45"/>
        <v>164817</v>
      </c>
      <c r="BB33" s="137">
        <f t="shared" si="46"/>
        <v>14527</v>
      </c>
      <c r="BC33" s="474">
        <f t="shared" si="11"/>
        <v>8.8140179714471203E-2</v>
      </c>
      <c r="BD33" s="138"/>
    </row>
    <row r="34" spans="1:56" ht="30" customHeight="1">
      <c r="A34" s="135" t="s">
        <v>241</v>
      </c>
      <c r="B34" s="139"/>
      <c r="C34" s="139"/>
      <c r="D34" s="139"/>
      <c r="E34" s="468"/>
      <c r="F34" s="140"/>
      <c r="G34" s="140"/>
      <c r="H34" s="139"/>
      <c r="I34" s="468"/>
      <c r="J34" s="139"/>
      <c r="K34" s="139"/>
      <c r="L34" s="139"/>
      <c r="M34" s="468"/>
      <c r="N34" s="136">
        <v>8310</v>
      </c>
      <c r="O34" s="136">
        <v>8310</v>
      </c>
      <c r="P34" s="140">
        <v>7147</v>
      </c>
      <c r="Q34" s="467">
        <f t="shared" si="47"/>
        <v>0.86004813477737663</v>
      </c>
      <c r="R34" s="139"/>
      <c r="S34" s="139"/>
      <c r="T34" s="139"/>
      <c r="U34" s="467"/>
      <c r="V34" s="135" t="s">
        <v>241</v>
      </c>
      <c r="W34" s="139"/>
      <c r="X34" s="139"/>
      <c r="Y34" s="139"/>
      <c r="Z34" s="467"/>
      <c r="AA34" s="139"/>
      <c r="AB34" s="139"/>
      <c r="AC34" s="139"/>
      <c r="AD34" s="467"/>
      <c r="AE34" s="139"/>
      <c r="AF34" s="139"/>
      <c r="AG34" s="139"/>
      <c r="AH34" s="467"/>
      <c r="AI34" s="139"/>
      <c r="AJ34" s="139"/>
      <c r="AK34" s="139"/>
      <c r="AL34" s="467"/>
      <c r="AM34" s="139"/>
      <c r="AN34" s="139"/>
      <c r="AO34" s="139"/>
      <c r="AP34" s="467"/>
      <c r="AQ34" s="135" t="s">
        <v>241</v>
      </c>
      <c r="AR34" s="136">
        <f t="shared" si="40"/>
        <v>8310</v>
      </c>
      <c r="AS34" s="136">
        <f t="shared" si="41"/>
        <v>8310</v>
      </c>
      <c r="AT34" s="136">
        <f t="shared" si="42"/>
        <v>7147</v>
      </c>
      <c r="AU34" s="467">
        <f t="shared" si="10"/>
        <v>0.86004813477737663</v>
      </c>
      <c r="AV34" s="136">
        <f t="shared" ref="AV34:AX42" si="48">SUM(F34+R34+AA34+AI34)</f>
        <v>0</v>
      </c>
      <c r="AW34" s="136">
        <f t="shared" si="48"/>
        <v>0</v>
      </c>
      <c r="AX34" s="136">
        <f t="shared" si="48"/>
        <v>0</v>
      </c>
      <c r="AY34" s="467"/>
      <c r="AZ34" s="137">
        <f t="shared" si="44"/>
        <v>8310</v>
      </c>
      <c r="BA34" s="137">
        <f t="shared" si="45"/>
        <v>8310</v>
      </c>
      <c r="BB34" s="137">
        <f t="shared" si="46"/>
        <v>7147</v>
      </c>
      <c r="BC34" s="474">
        <f t="shared" si="11"/>
        <v>0.86004813477737663</v>
      </c>
      <c r="BD34" s="138"/>
    </row>
    <row r="35" spans="1:56" ht="55.5" customHeight="1">
      <c r="A35" s="151" t="s">
        <v>200</v>
      </c>
      <c r="B35" s="136">
        <v>16877</v>
      </c>
      <c r="C35" s="136">
        <v>16877</v>
      </c>
      <c r="D35" s="136">
        <v>16877</v>
      </c>
      <c r="E35" s="467">
        <v>0</v>
      </c>
      <c r="F35" s="136"/>
      <c r="G35" s="136"/>
      <c r="H35" s="136"/>
      <c r="I35" s="467"/>
      <c r="J35" s="140"/>
      <c r="K35" s="140"/>
      <c r="L35" s="136"/>
      <c r="M35" s="467"/>
      <c r="N35" s="139"/>
      <c r="O35" s="139"/>
      <c r="P35" s="136"/>
      <c r="Q35" s="467"/>
      <c r="R35" s="139"/>
      <c r="S35" s="139"/>
      <c r="T35" s="136"/>
      <c r="U35" s="467"/>
      <c r="V35" s="151" t="s">
        <v>200</v>
      </c>
      <c r="W35" s="139"/>
      <c r="X35" s="139"/>
      <c r="Y35" s="136"/>
      <c r="Z35" s="467"/>
      <c r="AA35" s="139"/>
      <c r="AB35" s="139"/>
      <c r="AC35" s="136"/>
      <c r="AD35" s="467"/>
      <c r="AE35" s="139"/>
      <c r="AF35" s="139"/>
      <c r="AG35" s="136"/>
      <c r="AH35" s="467"/>
      <c r="AI35" s="139"/>
      <c r="AJ35" s="139"/>
      <c r="AK35" s="136"/>
      <c r="AL35" s="467"/>
      <c r="AM35" s="139"/>
      <c r="AN35" s="139"/>
      <c r="AO35" s="136"/>
      <c r="AP35" s="467"/>
      <c r="AQ35" s="151" t="s">
        <v>200</v>
      </c>
      <c r="AR35" s="136">
        <f t="shared" si="40"/>
        <v>16877</v>
      </c>
      <c r="AS35" s="136">
        <f t="shared" si="41"/>
        <v>16877</v>
      </c>
      <c r="AT35" s="136">
        <f t="shared" si="42"/>
        <v>16877</v>
      </c>
      <c r="AU35" s="467">
        <f t="shared" si="10"/>
        <v>1</v>
      </c>
      <c r="AV35" s="136">
        <f t="shared" si="48"/>
        <v>0</v>
      </c>
      <c r="AW35" s="136">
        <f t="shared" si="48"/>
        <v>0</v>
      </c>
      <c r="AX35" s="136">
        <f t="shared" si="48"/>
        <v>0</v>
      </c>
      <c r="AY35" s="467">
        <v>0</v>
      </c>
      <c r="AZ35" s="137">
        <f t="shared" si="44"/>
        <v>16877</v>
      </c>
      <c r="BA35" s="137">
        <f t="shared" si="45"/>
        <v>16877</v>
      </c>
      <c r="BB35" s="137">
        <f t="shared" si="46"/>
        <v>16877</v>
      </c>
      <c r="BC35" s="474">
        <f t="shared" si="11"/>
        <v>1</v>
      </c>
      <c r="BD35" s="138"/>
    </row>
    <row r="36" spans="1:56" ht="95.25" customHeight="1">
      <c r="A36" s="151" t="s">
        <v>326</v>
      </c>
      <c r="B36" s="136"/>
      <c r="C36" s="136"/>
      <c r="D36" s="136"/>
      <c r="E36" s="467"/>
      <c r="F36" s="136"/>
      <c r="G36" s="136"/>
      <c r="H36" s="136"/>
      <c r="I36" s="467"/>
      <c r="J36" s="140"/>
      <c r="K36" s="140"/>
      <c r="L36" s="136"/>
      <c r="M36" s="467"/>
      <c r="N36" s="139"/>
      <c r="O36" s="139"/>
      <c r="P36" s="136"/>
      <c r="Q36" s="467"/>
      <c r="R36" s="140">
        <v>11214</v>
      </c>
      <c r="S36" s="140">
        <v>11214</v>
      </c>
      <c r="T36" s="136">
        <v>3807</v>
      </c>
      <c r="U36" s="467">
        <f t="shared" ref="U36" si="49">T36/S36</f>
        <v>0.3394863563402889</v>
      </c>
      <c r="V36" s="151" t="s">
        <v>326</v>
      </c>
      <c r="W36" s="139"/>
      <c r="X36" s="139"/>
      <c r="Y36" s="136"/>
      <c r="Z36" s="467"/>
      <c r="AA36" s="139"/>
      <c r="AB36" s="139"/>
      <c r="AC36" s="136"/>
      <c r="AD36" s="467"/>
      <c r="AE36" s="139"/>
      <c r="AF36" s="139"/>
      <c r="AG36" s="136"/>
      <c r="AH36" s="467"/>
      <c r="AI36" s="139"/>
      <c r="AJ36" s="139"/>
      <c r="AK36" s="136"/>
      <c r="AL36" s="467"/>
      <c r="AM36" s="139"/>
      <c r="AN36" s="139"/>
      <c r="AO36" s="136"/>
      <c r="AP36" s="467"/>
      <c r="AQ36" s="151" t="s">
        <v>326</v>
      </c>
      <c r="AR36" s="136">
        <f t="shared" si="40"/>
        <v>0</v>
      </c>
      <c r="AS36" s="136">
        <f t="shared" si="41"/>
        <v>0</v>
      </c>
      <c r="AT36" s="136">
        <f t="shared" si="42"/>
        <v>0</v>
      </c>
      <c r="AU36" s="467">
        <v>0</v>
      </c>
      <c r="AV36" s="136">
        <f t="shared" si="48"/>
        <v>11214</v>
      </c>
      <c r="AW36" s="136">
        <f t="shared" si="48"/>
        <v>11214</v>
      </c>
      <c r="AX36" s="136">
        <f t="shared" si="48"/>
        <v>3807</v>
      </c>
      <c r="AY36" s="467">
        <f t="shared" ref="AY36" si="50">AX36/AW36</f>
        <v>0.3394863563402889</v>
      </c>
      <c r="AZ36" s="137">
        <f t="shared" si="44"/>
        <v>11214</v>
      </c>
      <c r="BA36" s="137">
        <f t="shared" si="45"/>
        <v>11214</v>
      </c>
      <c r="BB36" s="137">
        <f t="shared" si="46"/>
        <v>3807</v>
      </c>
      <c r="BC36" s="474">
        <f t="shared" si="11"/>
        <v>0.3394863563402889</v>
      </c>
      <c r="BD36" s="138"/>
    </row>
    <row r="37" spans="1:56" ht="38.25" customHeight="1">
      <c r="A37" s="151" t="s">
        <v>202</v>
      </c>
      <c r="B37" s="136"/>
      <c r="C37" s="136"/>
      <c r="D37" s="136"/>
      <c r="E37" s="467"/>
      <c r="F37" s="136"/>
      <c r="G37" s="136"/>
      <c r="H37" s="136"/>
      <c r="I37" s="467"/>
      <c r="J37" s="140"/>
      <c r="K37" s="140"/>
      <c r="L37" s="136"/>
      <c r="M37" s="467"/>
      <c r="N37" s="140">
        <v>845</v>
      </c>
      <c r="O37" s="140">
        <v>845</v>
      </c>
      <c r="P37" s="136">
        <v>635</v>
      </c>
      <c r="Q37" s="467">
        <f t="shared" ref="Q37" si="51">P37/O37</f>
        <v>0.75147928994082835</v>
      </c>
      <c r="R37" s="139"/>
      <c r="S37" s="139"/>
      <c r="T37" s="136"/>
      <c r="U37" s="467"/>
      <c r="V37" s="151" t="s">
        <v>202</v>
      </c>
      <c r="W37" s="139"/>
      <c r="X37" s="139"/>
      <c r="Y37" s="136"/>
      <c r="Z37" s="467"/>
      <c r="AA37" s="139"/>
      <c r="AB37" s="139"/>
      <c r="AC37" s="136"/>
      <c r="AD37" s="467"/>
      <c r="AE37" s="139"/>
      <c r="AF37" s="139"/>
      <c r="AG37" s="136"/>
      <c r="AH37" s="467"/>
      <c r="AI37" s="139"/>
      <c r="AJ37" s="139"/>
      <c r="AK37" s="136"/>
      <c r="AL37" s="467"/>
      <c r="AM37" s="139"/>
      <c r="AN37" s="139"/>
      <c r="AO37" s="136"/>
      <c r="AP37" s="467"/>
      <c r="AQ37" s="151" t="s">
        <v>202</v>
      </c>
      <c r="AR37" s="136">
        <f t="shared" si="40"/>
        <v>845</v>
      </c>
      <c r="AS37" s="136">
        <f t="shared" si="41"/>
        <v>845</v>
      </c>
      <c r="AT37" s="136">
        <f t="shared" si="42"/>
        <v>635</v>
      </c>
      <c r="AU37" s="467">
        <f t="shared" si="10"/>
        <v>0.75147928994082835</v>
      </c>
      <c r="AV37" s="136">
        <f t="shared" si="48"/>
        <v>0</v>
      </c>
      <c r="AW37" s="136">
        <f t="shared" si="48"/>
        <v>0</v>
      </c>
      <c r="AX37" s="136">
        <f t="shared" si="48"/>
        <v>0</v>
      </c>
      <c r="AY37" s="467">
        <v>0</v>
      </c>
      <c r="AZ37" s="137">
        <f t="shared" si="44"/>
        <v>845</v>
      </c>
      <c r="BA37" s="137">
        <f t="shared" si="45"/>
        <v>845</v>
      </c>
      <c r="BB37" s="137">
        <f t="shared" si="46"/>
        <v>635</v>
      </c>
      <c r="BC37" s="474">
        <f t="shared" si="11"/>
        <v>0.75147928994082835</v>
      </c>
      <c r="BD37" s="138"/>
    </row>
    <row r="38" spans="1:56" ht="38.25" customHeight="1">
      <c r="A38" s="151" t="s">
        <v>383</v>
      </c>
      <c r="B38" s="136"/>
      <c r="C38" s="136">
        <v>2000</v>
      </c>
      <c r="D38" s="136">
        <v>2000</v>
      </c>
      <c r="E38" s="467"/>
      <c r="F38" s="136"/>
      <c r="G38" s="136"/>
      <c r="H38" s="136"/>
      <c r="I38" s="467"/>
      <c r="J38" s="140"/>
      <c r="K38" s="140"/>
      <c r="L38" s="136"/>
      <c r="M38" s="467"/>
      <c r="N38" s="139"/>
      <c r="O38" s="139"/>
      <c r="P38" s="136"/>
      <c r="Q38" s="467"/>
      <c r="R38" s="139"/>
      <c r="S38" s="139"/>
      <c r="T38" s="136"/>
      <c r="U38" s="467"/>
      <c r="V38" s="151" t="s">
        <v>383</v>
      </c>
      <c r="W38" s="139"/>
      <c r="X38" s="139"/>
      <c r="Y38" s="136"/>
      <c r="Z38" s="467"/>
      <c r="AA38" s="139"/>
      <c r="AB38" s="139"/>
      <c r="AC38" s="136"/>
      <c r="AD38" s="467"/>
      <c r="AE38" s="139"/>
      <c r="AF38" s="139"/>
      <c r="AG38" s="136"/>
      <c r="AH38" s="467"/>
      <c r="AI38" s="139"/>
      <c r="AJ38" s="139"/>
      <c r="AK38" s="136"/>
      <c r="AL38" s="467"/>
      <c r="AM38" s="139"/>
      <c r="AN38" s="139"/>
      <c r="AO38" s="136"/>
      <c r="AP38" s="467"/>
      <c r="AQ38" s="151" t="s">
        <v>383</v>
      </c>
      <c r="AR38" s="136">
        <f t="shared" ref="AR38:AR40" si="52">SUM(B38+J38+N38+W38+AE38+AM38)</f>
        <v>0</v>
      </c>
      <c r="AS38" s="136">
        <f t="shared" ref="AS38:AS40" si="53">SUM(C38+K38+O38+X38+AF38+AN38)</f>
        <v>2000</v>
      </c>
      <c r="AT38" s="136">
        <f t="shared" ref="AT38:AT40" si="54">SUM(D38+L38+P38+Y38+AG38+AO38)</f>
        <v>2000</v>
      </c>
      <c r="AU38" s="467">
        <f t="shared" ref="AU38:AU39" si="55">AT38/AS38</f>
        <v>1</v>
      </c>
      <c r="AV38" s="136">
        <f t="shared" ref="AV38:AV40" si="56">SUM(F38+R38+AA38+AI38)</f>
        <v>0</v>
      </c>
      <c r="AW38" s="136">
        <f t="shared" ref="AW38:AW40" si="57">SUM(G38+S38+AB38+AJ38)</f>
        <v>0</v>
      </c>
      <c r="AX38" s="136">
        <f t="shared" ref="AX38:AX40" si="58">SUM(H38+T38+AC38+AK38)</f>
        <v>0</v>
      </c>
      <c r="AY38" s="467">
        <v>1</v>
      </c>
      <c r="AZ38" s="137">
        <f t="shared" ref="AZ38:AZ40" si="59">SUM(B38+F38+J38+N38+R38+W38+AA38+AE38+AI38+AM38)</f>
        <v>0</v>
      </c>
      <c r="BA38" s="137">
        <f t="shared" ref="BA38:BA40" si="60">SUM(C38+G38+K38+O38+S38+X38+AB38+AF38+AJ38+AN38)</f>
        <v>2000</v>
      </c>
      <c r="BB38" s="137">
        <f t="shared" ref="BB38:BB40" si="61">SUM(D38+H38+L38+P38+T38+Y38+AC38+AG38+AK38+AO38)</f>
        <v>2000</v>
      </c>
      <c r="BC38" s="474">
        <f t="shared" ref="BC38:BC40" si="62">BB38/BA38</f>
        <v>1</v>
      </c>
      <c r="BD38" s="138"/>
    </row>
    <row r="39" spans="1:56" ht="38.25" customHeight="1">
      <c r="A39" s="151" t="s">
        <v>384</v>
      </c>
      <c r="B39" s="136"/>
      <c r="C39" s="136">
        <v>50</v>
      </c>
      <c r="D39" s="136">
        <v>50</v>
      </c>
      <c r="E39" s="467"/>
      <c r="F39" s="136"/>
      <c r="G39" s="136"/>
      <c r="H39" s="136"/>
      <c r="I39" s="467"/>
      <c r="J39" s="140"/>
      <c r="K39" s="140"/>
      <c r="L39" s="136"/>
      <c r="M39" s="467"/>
      <c r="N39" s="139"/>
      <c r="O39" s="139"/>
      <c r="P39" s="136"/>
      <c r="Q39" s="467"/>
      <c r="R39" s="139"/>
      <c r="S39" s="139"/>
      <c r="T39" s="136"/>
      <c r="U39" s="467"/>
      <c r="V39" s="151" t="s">
        <v>384</v>
      </c>
      <c r="W39" s="139"/>
      <c r="X39" s="139"/>
      <c r="Y39" s="136"/>
      <c r="Z39" s="467"/>
      <c r="AA39" s="139"/>
      <c r="AB39" s="139"/>
      <c r="AC39" s="136"/>
      <c r="AD39" s="467"/>
      <c r="AE39" s="139"/>
      <c r="AF39" s="139"/>
      <c r="AG39" s="136"/>
      <c r="AH39" s="467"/>
      <c r="AI39" s="139"/>
      <c r="AJ39" s="139"/>
      <c r="AK39" s="136"/>
      <c r="AL39" s="467"/>
      <c r="AM39" s="139"/>
      <c r="AN39" s="139"/>
      <c r="AO39" s="136"/>
      <c r="AP39" s="467"/>
      <c r="AQ39" s="151" t="s">
        <v>384</v>
      </c>
      <c r="AR39" s="136">
        <f t="shared" si="52"/>
        <v>0</v>
      </c>
      <c r="AS39" s="136">
        <f t="shared" si="53"/>
        <v>50</v>
      </c>
      <c r="AT39" s="136">
        <f t="shared" si="54"/>
        <v>50</v>
      </c>
      <c r="AU39" s="467">
        <f t="shared" si="55"/>
        <v>1</v>
      </c>
      <c r="AV39" s="136">
        <f t="shared" si="56"/>
        <v>0</v>
      </c>
      <c r="AW39" s="136">
        <f t="shared" si="57"/>
        <v>0</v>
      </c>
      <c r="AX39" s="136">
        <f t="shared" si="58"/>
        <v>0</v>
      </c>
      <c r="AY39" s="467">
        <v>2</v>
      </c>
      <c r="AZ39" s="137">
        <f t="shared" si="59"/>
        <v>0</v>
      </c>
      <c r="BA39" s="137">
        <f t="shared" si="60"/>
        <v>50</v>
      </c>
      <c r="BB39" s="137">
        <f t="shared" si="61"/>
        <v>50</v>
      </c>
      <c r="BC39" s="474">
        <f t="shared" si="62"/>
        <v>1</v>
      </c>
      <c r="BD39" s="138"/>
    </row>
    <row r="40" spans="1:56" ht="38.25" customHeight="1">
      <c r="A40" s="151" t="s">
        <v>385</v>
      </c>
      <c r="B40" s="136"/>
      <c r="C40" s="136"/>
      <c r="D40" s="136"/>
      <c r="E40" s="467"/>
      <c r="F40" s="136"/>
      <c r="G40" s="136"/>
      <c r="H40" s="136"/>
      <c r="I40" s="467"/>
      <c r="J40" s="140"/>
      <c r="K40" s="140"/>
      <c r="L40" s="136"/>
      <c r="M40" s="467"/>
      <c r="N40" s="139"/>
      <c r="O40" s="139"/>
      <c r="P40" s="136"/>
      <c r="Q40" s="467"/>
      <c r="R40" s="139"/>
      <c r="S40" s="139"/>
      <c r="T40" s="136"/>
      <c r="U40" s="467"/>
      <c r="V40" s="151" t="s">
        <v>385</v>
      </c>
      <c r="W40" s="139"/>
      <c r="X40" s="139"/>
      <c r="Y40" s="136"/>
      <c r="Z40" s="467"/>
      <c r="AA40" s="139"/>
      <c r="AB40" s="140">
        <v>367</v>
      </c>
      <c r="AC40" s="136"/>
      <c r="AD40" s="467"/>
      <c r="AE40" s="139"/>
      <c r="AF40" s="139"/>
      <c r="AG40" s="136"/>
      <c r="AH40" s="467"/>
      <c r="AI40" s="139"/>
      <c r="AJ40" s="139"/>
      <c r="AK40" s="136"/>
      <c r="AL40" s="467"/>
      <c r="AM40" s="139"/>
      <c r="AN40" s="139"/>
      <c r="AO40" s="136"/>
      <c r="AP40" s="467"/>
      <c r="AQ40" s="151" t="s">
        <v>385</v>
      </c>
      <c r="AR40" s="136">
        <f t="shared" si="52"/>
        <v>0</v>
      </c>
      <c r="AS40" s="136">
        <f t="shared" si="53"/>
        <v>0</v>
      </c>
      <c r="AT40" s="136">
        <f t="shared" si="54"/>
        <v>0</v>
      </c>
      <c r="AU40" s="467">
        <v>0</v>
      </c>
      <c r="AV40" s="136">
        <f t="shared" si="56"/>
        <v>0</v>
      </c>
      <c r="AW40" s="136">
        <f t="shared" si="57"/>
        <v>367</v>
      </c>
      <c r="AX40" s="136">
        <f t="shared" si="58"/>
        <v>0</v>
      </c>
      <c r="AY40" s="467">
        <v>3</v>
      </c>
      <c r="AZ40" s="137">
        <f t="shared" si="59"/>
        <v>0</v>
      </c>
      <c r="BA40" s="137">
        <f t="shared" si="60"/>
        <v>367</v>
      </c>
      <c r="BB40" s="137">
        <f t="shared" si="61"/>
        <v>0</v>
      </c>
      <c r="BC40" s="474">
        <f t="shared" si="62"/>
        <v>0</v>
      </c>
      <c r="BD40" s="138"/>
    </row>
    <row r="41" spans="1:56" ht="38.25" customHeight="1">
      <c r="A41" s="151" t="s">
        <v>408</v>
      </c>
      <c r="B41" s="136"/>
      <c r="C41" s="136"/>
      <c r="D41" s="136"/>
      <c r="E41" s="467"/>
      <c r="F41" s="136"/>
      <c r="G41" s="136"/>
      <c r="H41" s="136"/>
      <c r="I41" s="467"/>
      <c r="J41" s="140"/>
      <c r="K41" s="140"/>
      <c r="L41" s="136"/>
      <c r="M41" s="467"/>
      <c r="N41" s="139"/>
      <c r="O41" s="139"/>
      <c r="P41" s="136"/>
      <c r="Q41" s="467"/>
      <c r="R41" s="139"/>
      <c r="S41" s="139"/>
      <c r="T41" s="136"/>
      <c r="U41" s="467"/>
      <c r="V41" s="151" t="s">
        <v>408</v>
      </c>
      <c r="W41" s="139"/>
      <c r="X41" s="139"/>
      <c r="Y41" s="136"/>
      <c r="Z41" s="467"/>
      <c r="AA41" s="139"/>
      <c r="AB41" s="139"/>
      <c r="AC41" s="136">
        <v>3280</v>
      </c>
      <c r="AD41" s="467">
        <v>0</v>
      </c>
      <c r="AE41" s="139"/>
      <c r="AF41" s="139"/>
      <c r="AG41" s="136"/>
      <c r="AH41" s="467"/>
      <c r="AI41" s="139"/>
      <c r="AJ41" s="139"/>
      <c r="AK41" s="136"/>
      <c r="AL41" s="467"/>
      <c r="AM41" s="139"/>
      <c r="AN41" s="139"/>
      <c r="AO41" s="136"/>
      <c r="AP41" s="467"/>
      <c r="AQ41" s="151" t="s">
        <v>408</v>
      </c>
      <c r="AR41" s="136">
        <f t="shared" ref="AR41" si="63">SUM(B41+J41+N41+W41+AE41+AM41)</f>
        <v>0</v>
      </c>
      <c r="AS41" s="136">
        <f t="shared" ref="AS41" si="64">SUM(C41+K41+O41+X41+AF41+AN41)</f>
        <v>0</v>
      </c>
      <c r="AT41" s="136">
        <f t="shared" ref="AT41" si="65">SUM(D41+L41+P41+Y41+AG41+AO41)</f>
        <v>0</v>
      </c>
      <c r="AU41" s="467">
        <v>1</v>
      </c>
      <c r="AV41" s="136">
        <f t="shared" si="48"/>
        <v>0</v>
      </c>
      <c r="AW41" s="136">
        <f t="shared" si="48"/>
        <v>0</v>
      </c>
      <c r="AX41" s="136">
        <f t="shared" si="48"/>
        <v>3280</v>
      </c>
      <c r="AY41" s="467">
        <v>1</v>
      </c>
      <c r="AZ41" s="137">
        <f t="shared" si="44"/>
        <v>0</v>
      </c>
      <c r="BA41" s="137">
        <f t="shared" si="45"/>
        <v>0</v>
      </c>
      <c r="BB41" s="137">
        <f t="shared" si="46"/>
        <v>3280</v>
      </c>
      <c r="BC41" s="474">
        <v>0</v>
      </c>
      <c r="BD41" s="138"/>
    </row>
    <row r="42" spans="1:56" s="146" customFormat="1" ht="30" customHeight="1" thickBot="1">
      <c r="A42" s="152" t="s">
        <v>242</v>
      </c>
      <c r="B42" s="153"/>
      <c r="C42" s="153"/>
      <c r="D42" s="153"/>
      <c r="E42" s="471"/>
      <c r="F42" s="154"/>
      <c r="G42" s="154"/>
      <c r="H42" s="153"/>
      <c r="I42" s="471"/>
      <c r="J42" s="154"/>
      <c r="K42" s="154"/>
      <c r="L42" s="153"/>
      <c r="M42" s="471"/>
      <c r="N42" s="155"/>
      <c r="O42" s="155"/>
      <c r="P42" s="153"/>
      <c r="Q42" s="471"/>
      <c r="R42" s="155"/>
      <c r="S42" s="155"/>
      <c r="T42" s="153"/>
      <c r="U42" s="471"/>
      <c r="V42" s="152" t="s">
        <v>242</v>
      </c>
      <c r="W42" s="155"/>
      <c r="X42" s="155"/>
      <c r="Y42" s="153"/>
      <c r="Z42" s="471"/>
      <c r="AA42" s="155"/>
      <c r="AB42" s="155"/>
      <c r="AC42" s="153"/>
      <c r="AD42" s="471"/>
      <c r="AE42" s="155">
        <v>133</v>
      </c>
      <c r="AF42" s="155">
        <v>133</v>
      </c>
      <c r="AG42" s="153">
        <v>133</v>
      </c>
      <c r="AH42" s="467">
        <f>AG42/AF42</f>
        <v>1</v>
      </c>
      <c r="AI42" s="155">
        <v>67347</v>
      </c>
      <c r="AJ42" s="155">
        <f>67347+3000+98</f>
        <v>70445</v>
      </c>
      <c r="AK42" s="153">
        <v>70445</v>
      </c>
      <c r="AL42" s="467">
        <f>AK42/AJ42</f>
        <v>1</v>
      </c>
      <c r="AM42" s="155"/>
      <c r="AN42" s="155"/>
      <c r="AO42" s="153"/>
      <c r="AP42" s="471"/>
      <c r="AQ42" s="152" t="s">
        <v>242</v>
      </c>
      <c r="AR42" s="472">
        <f>SUM(B42+J42+N42+W42+AE42+AM42)</f>
        <v>133</v>
      </c>
      <c r="AS42" s="472">
        <f>SUM(C42+K42+O42+X42+AF42+AN42)</f>
        <v>133</v>
      </c>
      <c r="AT42" s="472">
        <f>SUM(D42+L42+P42+Y42+AG42+AO42)</f>
        <v>133</v>
      </c>
      <c r="AU42" s="467">
        <f t="shared" si="10"/>
        <v>1</v>
      </c>
      <c r="AV42" s="472">
        <f t="shared" si="48"/>
        <v>67347</v>
      </c>
      <c r="AW42" s="472">
        <f t="shared" si="48"/>
        <v>70445</v>
      </c>
      <c r="AX42" s="472">
        <f t="shared" si="48"/>
        <v>70445</v>
      </c>
      <c r="AY42" s="467">
        <f t="shared" ref="AY42:AY44" si="66">AX42/AW42</f>
        <v>1</v>
      </c>
      <c r="AZ42" s="473">
        <f t="shared" si="44"/>
        <v>67480</v>
      </c>
      <c r="BA42" s="473">
        <f t="shared" si="45"/>
        <v>70578</v>
      </c>
      <c r="BB42" s="473">
        <f t="shared" si="46"/>
        <v>70578</v>
      </c>
      <c r="BC42" s="474">
        <f t="shared" si="11"/>
        <v>1</v>
      </c>
      <c r="BD42" s="145"/>
    </row>
    <row r="43" spans="1:56" s="328" customFormat="1" ht="42.75" customHeight="1" thickBot="1">
      <c r="A43" s="329" t="s">
        <v>243</v>
      </c>
      <c r="B43" s="326">
        <f t="shared" ref="B43:AZ43" si="67">SUM(B30:B42)</f>
        <v>16877</v>
      </c>
      <c r="C43" s="326">
        <f t="shared" ref="C43:D43" si="68">SUM(C30:C42)</f>
        <v>18927</v>
      </c>
      <c r="D43" s="326">
        <f t="shared" si="68"/>
        <v>18927</v>
      </c>
      <c r="E43" s="469">
        <f t="shared" ref="E43:E44" si="69">D43/C43</f>
        <v>1</v>
      </c>
      <c r="F43" s="326">
        <f t="shared" si="67"/>
        <v>0</v>
      </c>
      <c r="G43" s="326">
        <f t="shared" ref="G43:H43" si="70">SUM(G30:G42)</f>
        <v>0</v>
      </c>
      <c r="H43" s="326">
        <f t="shared" si="70"/>
        <v>0</v>
      </c>
      <c r="I43" s="469">
        <v>0</v>
      </c>
      <c r="J43" s="326">
        <f t="shared" si="67"/>
        <v>0</v>
      </c>
      <c r="K43" s="326">
        <f t="shared" ref="K43:L43" si="71">SUM(K30:K42)</f>
        <v>0</v>
      </c>
      <c r="L43" s="326">
        <f t="shared" si="71"/>
        <v>0</v>
      </c>
      <c r="M43" s="469">
        <v>0</v>
      </c>
      <c r="N43" s="326">
        <f t="shared" si="67"/>
        <v>401029</v>
      </c>
      <c r="O43" s="326">
        <f t="shared" ref="O43:P43" si="72">SUM(O30:O42)</f>
        <v>363942</v>
      </c>
      <c r="P43" s="326">
        <f t="shared" si="72"/>
        <v>174731</v>
      </c>
      <c r="Q43" s="469">
        <f>P43/O43</f>
        <v>0.48010672030158652</v>
      </c>
      <c r="R43" s="326">
        <f t="shared" si="67"/>
        <v>11214</v>
      </c>
      <c r="S43" s="326">
        <f t="shared" ref="S43:T43" si="73">SUM(S30:S42)</f>
        <v>11214</v>
      </c>
      <c r="T43" s="326">
        <f t="shared" si="73"/>
        <v>3807</v>
      </c>
      <c r="U43" s="469">
        <f>T43/S43</f>
        <v>0.3394863563402889</v>
      </c>
      <c r="V43" s="329" t="s">
        <v>243</v>
      </c>
      <c r="W43" s="326">
        <f t="shared" si="67"/>
        <v>0</v>
      </c>
      <c r="X43" s="326">
        <f t="shared" ref="X43:Y43" si="74">SUM(X30:X42)</f>
        <v>0</v>
      </c>
      <c r="Y43" s="326">
        <f t="shared" si="74"/>
        <v>0</v>
      </c>
      <c r="Z43" s="469">
        <v>0</v>
      </c>
      <c r="AA43" s="326">
        <f t="shared" si="67"/>
        <v>0</v>
      </c>
      <c r="AB43" s="326">
        <f t="shared" ref="AB43:AC43" si="75">SUM(AB30:AB42)</f>
        <v>367</v>
      </c>
      <c r="AC43" s="326">
        <f t="shared" si="75"/>
        <v>3280</v>
      </c>
      <c r="AD43" s="469">
        <v>0</v>
      </c>
      <c r="AE43" s="326">
        <f t="shared" si="67"/>
        <v>133</v>
      </c>
      <c r="AF43" s="326">
        <f t="shared" ref="AF43:AG43" si="76">SUM(AF30:AF42)</f>
        <v>133</v>
      </c>
      <c r="AG43" s="326">
        <f t="shared" si="76"/>
        <v>133</v>
      </c>
      <c r="AH43" s="469">
        <f>AG43/AF43</f>
        <v>1</v>
      </c>
      <c r="AI43" s="326">
        <f t="shared" si="67"/>
        <v>67347</v>
      </c>
      <c r="AJ43" s="326">
        <f t="shared" ref="AJ43:AK43" si="77">SUM(AJ30:AJ42)</f>
        <v>70445</v>
      </c>
      <c r="AK43" s="326">
        <f t="shared" si="77"/>
        <v>70445</v>
      </c>
      <c r="AL43" s="469">
        <v>0</v>
      </c>
      <c r="AM43" s="326">
        <f t="shared" si="67"/>
        <v>0</v>
      </c>
      <c r="AN43" s="326">
        <f t="shared" ref="AN43:AO43" si="78">SUM(AN30:AN42)</f>
        <v>0</v>
      </c>
      <c r="AO43" s="326">
        <f t="shared" si="78"/>
        <v>0</v>
      </c>
      <c r="AP43" s="469">
        <v>0</v>
      </c>
      <c r="AQ43" s="329" t="s">
        <v>243</v>
      </c>
      <c r="AR43" s="326">
        <f t="shared" si="67"/>
        <v>418039</v>
      </c>
      <c r="AS43" s="326">
        <f t="shared" ref="AS43" si="79">SUM(AS30:AS42)</f>
        <v>383002</v>
      </c>
      <c r="AT43" s="326">
        <f t="shared" ref="AT43" si="80">SUM(AT30:AT42)</f>
        <v>193791</v>
      </c>
      <c r="AU43" s="469">
        <f t="shared" si="10"/>
        <v>0.5059790810491851</v>
      </c>
      <c r="AV43" s="326">
        <f t="shared" si="67"/>
        <v>78561</v>
      </c>
      <c r="AW43" s="326">
        <f t="shared" ref="AW43:AX43" si="81">SUM(AW30:AW42)</f>
        <v>82026</v>
      </c>
      <c r="AX43" s="326">
        <f t="shared" si="81"/>
        <v>77532</v>
      </c>
      <c r="AY43" s="469">
        <f t="shared" si="66"/>
        <v>0.94521249359959036</v>
      </c>
      <c r="AZ43" s="326">
        <f t="shared" si="67"/>
        <v>496600</v>
      </c>
      <c r="BA43" s="326">
        <f t="shared" ref="BA43" si="82">SUM(BA30:BA42)</f>
        <v>465028</v>
      </c>
      <c r="BB43" s="326">
        <f>SUM(BB30:BB42)</f>
        <v>271323</v>
      </c>
      <c r="BC43" s="469">
        <f t="shared" si="11"/>
        <v>0.58345518979502309</v>
      </c>
    </row>
    <row r="44" spans="1:56" s="328" customFormat="1" ht="42.75" customHeight="1" thickBot="1">
      <c r="A44" s="330" t="s">
        <v>244</v>
      </c>
      <c r="B44" s="326">
        <f t="shared" ref="B44:AZ44" si="83">SUM(B28+B43)</f>
        <v>1460306</v>
      </c>
      <c r="C44" s="326">
        <f>SUM(C28+C43)</f>
        <v>1582905</v>
      </c>
      <c r="D44" s="326">
        <f>SUM(D28+D43)</f>
        <v>1235666</v>
      </c>
      <c r="E44" s="469">
        <f t="shared" si="69"/>
        <v>0.78063181302731366</v>
      </c>
      <c r="F44" s="326">
        <f t="shared" si="83"/>
        <v>0</v>
      </c>
      <c r="G44" s="326">
        <f t="shared" ref="G44" si="84">SUM(G28+G43)</f>
        <v>63600</v>
      </c>
      <c r="H44" s="326">
        <f>SUM(H28+H43)</f>
        <v>63600</v>
      </c>
      <c r="I44" s="469">
        <f t="shared" ref="I44" si="85">H44/G44</f>
        <v>1</v>
      </c>
      <c r="J44" s="326">
        <f t="shared" si="83"/>
        <v>588200</v>
      </c>
      <c r="K44" s="326">
        <f t="shared" ref="K44" si="86">SUM(K28+K43)</f>
        <v>588200</v>
      </c>
      <c r="L44" s="326">
        <f>SUM(L28+L43)</f>
        <v>530947</v>
      </c>
      <c r="M44" s="469">
        <f t="shared" ref="M44" si="87">L44/K44</f>
        <v>0.90266405984359066</v>
      </c>
      <c r="N44" s="326">
        <f t="shared" si="83"/>
        <v>402029</v>
      </c>
      <c r="O44" s="326">
        <f t="shared" ref="O44" si="88">SUM(O28+O43)</f>
        <v>364942</v>
      </c>
      <c r="P44" s="326">
        <f>SUM(P28+P43)</f>
        <v>175452</v>
      </c>
      <c r="Q44" s="469">
        <f>P44/O44</f>
        <v>0.48076680678025552</v>
      </c>
      <c r="R44" s="326">
        <f t="shared" si="83"/>
        <v>11214</v>
      </c>
      <c r="S44" s="326">
        <f t="shared" ref="S44" si="89">SUM(S28+S43)</f>
        <v>11214</v>
      </c>
      <c r="T44" s="326">
        <f>SUM(T28+T43)</f>
        <v>3807</v>
      </c>
      <c r="U44" s="469">
        <f>T44/S44</f>
        <v>0.3394863563402889</v>
      </c>
      <c r="V44" s="330" t="s">
        <v>244</v>
      </c>
      <c r="W44" s="326">
        <f t="shared" si="83"/>
        <v>0</v>
      </c>
      <c r="X44" s="326">
        <f t="shared" ref="X44" si="90">SUM(X28+X43)</f>
        <v>0</v>
      </c>
      <c r="Y44" s="326">
        <f>SUM(Y28+Y43)</f>
        <v>0</v>
      </c>
      <c r="Z44" s="469">
        <v>0</v>
      </c>
      <c r="AA44" s="326">
        <f t="shared" si="83"/>
        <v>0</v>
      </c>
      <c r="AB44" s="326">
        <f t="shared" ref="AB44" si="91">SUM(AB28+AB43)</f>
        <v>367</v>
      </c>
      <c r="AC44" s="326">
        <f>SUM(AC28+AC43)</f>
        <v>3280</v>
      </c>
      <c r="AD44" s="469">
        <v>0</v>
      </c>
      <c r="AE44" s="326">
        <f t="shared" si="83"/>
        <v>183872</v>
      </c>
      <c r="AF44" s="326">
        <f t="shared" ref="AF44" si="92">SUM(AF28+AF43)</f>
        <v>274152</v>
      </c>
      <c r="AG44" s="326">
        <f>SUM(AG28+AG43)</f>
        <v>274152</v>
      </c>
      <c r="AH44" s="469">
        <f>AG44/AF44</f>
        <v>1</v>
      </c>
      <c r="AI44" s="326">
        <f t="shared" si="83"/>
        <v>67347</v>
      </c>
      <c r="AJ44" s="326">
        <f t="shared" ref="AJ44" si="93">SUM(AJ28+AJ43)</f>
        <v>70445</v>
      </c>
      <c r="AK44" s="326">
        <f>SUM(AK28+AK43)</f>
        <v>70445</v>
      </c>
      <c r="AL44" s="469">
        <v>0</v>
      </c>
      <c r="AM44" s="326">
        <f t="shared" si="83"/>
        <v>0</v>
      </c>
      <c r="AN44" s="326">
        <f t="shared" ref="AN44" si="94">SUM(AN28+AN43)</f>
        <v>0</v>
      </c>
      <c r="AO44" s="326">
        <f>SUM(AO28+AO43)</f>
        <v>0</v>
      </c>
      <c r="AP44" s="469">
        <v>0</v>
      </c>
      <c r="AQ44" s="330" t="s">
        <v>244</v>
      </c>
      <c r="AR44" s="326">
        <f>SUM(AR28+AR43)</f>
        <v>2634407</v>
      </c>
      <c r="AS44" s="326">
        <f>SUM(AS28+AS43)</f>
        <v>2810199</v>
      </c>
      <c r="AT44" s="326">
        <f>SUM(AT28+AT43)</f>
        <v>2216217</v>
      </c>
      <c r="AU44" s="469">
        <f t="shared" si="10"/>
        <v>0.7886334739995281</v>
      </c>
      <c r="AV44" s="326">
        <f t="shared" si="83"/>
        <v>78561</v>
      </c>
      <c r="AW44" s="326">
        <f>SUM(AW28+AW43)</f>
        <v>145626</v>
      </c>
      <c r="AX44" s="326">
        <f>SUM(AX28+AX43)</f>
        <v>141132</v>
      </c>
      <c r="AY44" s="469">
        <f t="shared" si="66"/>
        <v>0.96914012607638744</v>
      </c>
      <c r="AZ44" s="326">
        <f t="shared" si="83"/>
        <v>2712968</v>
      </c>
      <c r="BA44" s="326">
        <f t="shared" ref="BA44" si="95">SUM(BA28+BA43)</f>
        <v>2955825</v>
      </c>
      <c r="BB44" s="326">
        <f>SUM(BB28+BB43)</f>
        <v>2357349</v>
      </c>
      <c r="BC44" s="469">
        <f t="shared" si="11"/>
        <v>0.79752657887391842</v>
      </c>
    </row>
    <row r="46" spans="1:56">
      <c r="AI46" s="138"/>
      <c r="AJ46" s="138"/>
      <c r="AS46" s="138"/>
      <c r="AW46" s="138"/>
      <c r="BA46" s="138"/>
    </row>
    <row r="47" spans="1:56">
      <c r="BA47" s="138"/>
    </row>
    <row r="48" spans="1:56">
      <c r="R48" s="138"/>
      <c r="S48" s="138"/>
    </row>
  </sheetData>
  <mergeCells count="34">
    <mergeCell ref="AV8:AZ8"/>
    <mergeCell ref="A9:A12"/>
    <mergeCell ref="AE9:AN9"/>
    <mergeCell ref="B9:E9"/>
    <mergeCell ref="B10:E11"/>
    <mergeCell ref="F9:I9"/>
    <mergeCell ref="F10:I11"/>
    <mergeCell ref="J9:M9"/>
    <mergeCell ref="J10:M11"/>
    <mergeCell ref="N9:Q9"/>
    <mergeCell ref="N10:Q11"/>
    <mergeCell ref="R9:U9"/>
    <mergeCell ref="R10:U11"/>
    <mergeCell ref="W9:Z9"/>
    <mergeCell ref="W10:Z11"/>
    <mergeCell ref="V9:V12"/>
    <mergeCell ref="AA9:AD9"/>
    <mergeCell ref="AA10:AD11"/>
    <mergeCell ref="AE11:AH11"/>
    <mergeCell ref="AI11:AL11"/>
    <mergeCell ref="AE10:AP10"/>
    <mergeCell ref="AM11:AP11"/>
    <mergeCell ref="AQ9:AQ12"/>
    <mergeCell ref="AR11:AU11"/>
    <mergeCell ref="AV11:AY11"/>
    <mergeCell ref="AZ11:BC11"/>
    <mergeCell ref="AR10:BC10"/>
    <mergeCell ref="AR9:BC9"/>
    <mergeCell ref="A6:U6"/>
    <mergeCell ref="V6:AP6"/>
    <mergeCell ref="AQ6:BC6"/>
    <mergeCell ref="A5:U5"/>
    <mergeCell ref="V5:AP5"/>
    <mergeCell ref="AQ5:BC5"/>
  </mergeCells>
  <phoneticPr fontId="18" type="noConversion"/>
  <pageMargins left="0.25" right="0.25" top="0.75" bottom="0.75" header="0.3" footer="0.3"/>
  <pageSetup paperSize="9" scale="30" orientation="landscape" horizontalDpi="300" verticalDpi="300" r:id="rId1"/>
  <colBreaks count="2" manualBreakCount="2">
    <brk id="21" max="38" man="1"/>
    <brk id="4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40"/>
  <sheetViews>
    <sheetView view="pageBreakPreview" topLeftCell="AM1" zoomScale="93" zoomScaleSheetLayoutView="93" workbookViewId="0">
      <selection activeCell="AW39" sqref="AW39"/>
    </sheetView>
  </sheetViews>
  <sheetFormatPr defaultRowHeight="15"/>
  <cols>
    <col min="1" max="1" width="55.7109375" customWidth="1"/>
    <col min="2" max="21" width="11.28515625" style="1" customWidth="1"/>
    <col min="22" max="22" width="55.7109375" customWidth="1"/>
    <col min="23" max="30" width="11.28515625" style="1" customWidth="1"/>
    <col min="31" max="32" width="13.28515625" style="1" customWidth="1"/>
    <col min="33" max="33" width="11.28515625" style="1" customWidth="1"/>
    <col min="34" max="36" width="13.28515625" style="1" customWidth="1"/>
    <col min="37" max="37" width="11.28515625" style="1" customWidth="1"/>
    <col min="38" max="38" width="13.28515625" style="1" customWidth="1"/>
    <col min="39" max="39" width="55.7109375" customWidth="1"/>
    <col min="40" max="47" width="13.28515625" style="1" customWidth="1"/>
    <col min="48" max="49" width="13.28515625" style="14" customWidth="1"/>
    <col min="50" max="52" width="13.28515625" style="1" customWidth="1"/>
    <col min="53" max="53" width="14.140625" style="1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61" customFormat="1" ht="15.75">
      <c r="A1" s="559" t="s">
        <v>390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9"/>
      <c r="BC1" s="9"/>
      <c r="BD1" s="9"/>
      <c r="BE1" s="9"/>
      <c r="BF1" s="9"/>
    </row>
    <row r="2" spans="1:79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385" t="s">
        <v>367</v>
      </c>
      <c r="V2" s="43"/>
      <c r="W2" s="43"/>
      <c r="X2" s="43"/>
      <c r="Y2" s="43"/>
      <c r="Z2" s="43"/>
      <c r="AA2" s="43"/>
      <c r="AB2" s="385"/>
      <c r="AC2" s="43"/>
      <c r="AD2" s="43"/>
      <c r="AE2" s="43"/>
      <c r="AF2" s="43"/>
      <c r="AG2" s="43"/>
      <c r="AH2" s="43"/>
      <c r="AI2" s="43"/>
      <c r="AJ2" s="43"/>
      <c r="AK2" s="43"/>
      <c r="AL2" s="385" t="s">
        <v>368</v>
      </c>
      <c r="AM2" s="43"/>
      <c r="AN2" s="43"/>
      <c r="AO2" s="43"/>
      <c r="AP2" s="43"/>
      <c r="AQ2" s="43"/>
      <c r="AR2" s="43"/>
      <c r="AS2" s="43"/>
      <c r="AT2" s="43"/>
      <c r="AU2" s="43"/>
      <c r="AV2" s="62"/>
      <c r="AW2" s="385"/>
      <c r="AX2" s="43"/>
      <c r="AY2" s="385" t="s">
        <v>369</v>
      </c>
      <c r="AZ2" s="43"/>
      <c r="BA2" s="43"/>
      <c r="BB2" s="59"/>
      <c r="BC2" s="59"/>
      <c r="BD2" s="59"/>
      <c r="BE2" s="59"/>
      <c r="BF2" s="59"/>
    </row>
    <row r="3" spans="1:79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62"/>
      <c r="AW3" s="62"/>
      <c r="AX3" s="43"/>
      <c r="AY3" s="43"/>
      <c r="AZ3" s="43"/>
      <c r="BA3" s="43"/>
      <c r="BB3" s="59"/>
      <c r="BC3" s="59"/>
      <c r="BD3" s="59"/>
      <c r="BE3" s="59"/>
      <c r="BF3" s="59"/>
    </row>
    <row r="4" spans="1:79">
      <c r="A4" s="4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4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43"/>
      <c r="AN4" s="63"/>
      <c r="AO4" s="63"/>
      <c r="AP4" s="63"/>
      <c r="AQ4" s="63"/>
      <c r="AR4" s="63"/>
      <c r="AS4" s="63"/>
      <c r="AT4" s="63"/>
      <c r="AU4" s="63"/>
      <c r="AV4" s="64"/>
      <c r="AW4" s="64"/>
      <c r="AX4" s="63"/>
      <c r="AY4" s="63"/>
      <c r="AZ4" s="63"/>
      <c r="BA4" s="63"/>
      <c r="BB4" s="59"/>
      <c r="BC4" s="59"/>
      <c r="BD4" s="59"/>
      <c r="BE4" s="59"/>
      <c r="BF4" s="59"/>
    </row>
    <row r="5" spans="1:79" s="66" customFormat="1" ht="39.75" customHeight="1">
      <c r="A5" s="642" t="s">
        <v>391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 t="s">
        <v>391</v>
      </c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 t="s">
        <v>391</v>
      </c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642"/>
      <c r="AY5" s="642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</row>
    <row r="6" spans="1:79" ht="15.75">
      <c r="A6" s="67"/>
      <c r="B6" s="67"/>
      <c r="C6" s="368"/>
      <c r="D6" s="410"/>
      <c r="E6" s="410"/>
      <c r="F6" s="67"/>
      <c r="G6" s="368"/>
      <c r="H6" s="410"/>
      <c r="I6" s="410"/>
      <c r="J6" s="67"/>
      <c r="K6" s="368"/>
      <c r="L6" s="410"/>
      <c r="M6" s="410"/>
      <c r="N6" s="67"/>
      <c r="O6" s="368"/>
      <c r="P6" s="410"/>
      <c r="Q6" s="410"/>
      <c r="R6" s="67"/>
      <c r="S6" s="368"/>
      <c r="T6" s="410"/>
      <c r="U6" s="410"/>
      <c r="V6" s="410"/>
      <c r="W6" s="67"/>
      <c r="X6" s="368"/>
      <c r="Y6" s="410"/>
      <c r="Z6" s="410"/>
      <c r="AA6" s="67"/>
      <c r="AB6" s="368"/>
      <c r="AC6" s="410"/>
      <c r="AD6" s="410"/>
      <c r="AE6" s="67"/>
      <c r="AF6" s="368"/>
      <c r="AG6" s="410"/>
      <c r="AH6" s="410"/>
      <c r="AI6" s="67"/>
      <c r="AJ6" s="368"/>
      <c r="AK6" s="410"/>
      <c r="AL6" s="410"/>
      <c r="AM6" s="410"/>
      <c r="AN6" s="67"/>
      <c r="AO6" s="368"/>
      <c r="AP6" s="410"/>
      <c r="AQ6" s="410"/>
      <c r="AR6" s="67"/>
      <c r="AS6" s="368"/>
      <c r="AT6" s="410"/>
      <c r="AU6" s="410"/>
      <c r="AV6" s="67"/>
      <c r="AW6" s="368"/>
      <c r="AX6" s="410"/>
      <c r="AY6" s="410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</row>
    <row r="7" spans="1:79" ht="16.5" thickBot="1">
      <c r="A7" s="67"/>
      <c r="B7" s="67"/>
      <c r="C7" s="368"/>
      <c r="D7" s="410"/>
      <c r="E7" s="410"/>
      <c r="F7" s="67"/>
      <c r="G7" s="368"/>
      <c r="H7" s="410"/>
      <c r="I7" s="410"/>
      <c r="J7" s="67"/>
      <c r="K7" s="368"/>
      <c r="L7" s="410"/>
      <c r="M7" s="410"/>
      <c r="N7" s="67"/>
      <c r="O7" s="368"/>
      <c r="P7" s="410"/>
      <c r="Q7" s="410"/>
      <c r="R7" s="67"/>
      <c r="S7" s="368"/>
      <c r="T7" s="410"/>
      <c r="U7" s="410"/>
      <c r="V7" s="410"/>
      <c r="W7" s="67"/>
      <c r="X7" s="368"/>
      <c r="Y7" s="410"/>
      <c r="Z7" s="410"/>
      <c r="AA7" s="67"/>
      <c r="AB7" s="368"/>
      <c r="AC7" s="410"/>
      <c r="AD7" s="410"/>
      <c r="AE7" s="67"/>
      <c r="AF7" s="368"/>
      <c r="AG7" s="410"/>
      <c r="AH7" s="410"/>
      <c r="AI7" s="67"/>
      <c r="AJ7" s="368"/>
      <c r="AK7" s="410"/>
      <c r="AL7" s="410"/>
      <c r="AM7" s="410"/>
      <c r="AN7" s="67"/>
      <c r="AO7" s="368"/>
      <c r="AP7" s="410"/>
      <c r="AQ7" s="410"/>
      <c r="AR7" s="646"/>
      <c r="AS7" s="646"/>
      <c r="AT7" s="646"/>
      <c r="AU7" s="646"/>
      <c r="AV7" s="646"/>
      <c r="AW7" s="371"/>
      <c r="AX7" s="412"/>
      <c r="AY7" s="511" t="s">
        <v>0</v>
      </c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</row>
    <row r="8" spans="1:79" s="337" customFormat="1" ht="13.5" customHeight="1" thickBot="1">
      <c r="A8" s="643" t="s">
        <v>248</v>
      </c>
      <c r="B8" s="649" t="s">
        <v>90</v>
      </c>
      <c r="C8" s="650"/>
      <c r="D8" s="650"/>
      <c r="E8" s="651"/>
      <c r="F8" s="649" t="s">
        <v>91</v>
      </c>
      <c r="G8" s="650"/>
      <c r="H8" s="650"/>
      <c r="I8" s="651"/>
      <c r="J8" s="649" t="s">
        <v>92</v>
      </c>
      <c r="K8" s="650"/>
      <c r="L8" s="650"/>
      <c r="M8" s="651"/>
      <c r="N8" s="649" t="s">
        <v>93</v>
      </c>
      <c r="O8" s="650"/>
      <c r="P8" s="650"/>
      <c r="Q8" s="651"/>
      <c r="R8" s="649" t="s">
        <v>94</v>
      </c>
      <c r="S8" s="650"/>
      <c r="T8" s="650"/>
      <c r="U8" s="651"/>
      <c r="V8" s="643" t="s">
        <v>248</v>
      </c>
      <c r="W8" s="649" t="s">
        <v>95</v>
      </c>
      <c r="X8" s="650"/>
      <c r="Y8" s="650"/>
      <c r="Z8" s="651"/>
      <c r="AA8" s="649" t="s">
        <v>96</v>
      </c>
      <c r="AB8" s="650"/>
      <c r="AC8" s="650"/>
      <c r="AD8" s="651"/>
      <c r="AE8" s="649" t="s">
        <v>97</v>
      </c>
      <c r="AF8" s="650"/>
      <c r="AG8" s="650"/>
      <c r="AH8" s="650"/>
      <c r="AI8" s="650"/>
      <c r="AJ8" s="650"/>
      <c r="AK8" s="650"/>
      <c r="AL8" s="651"/>
      <c r="AM8" s="643" t="s">
        <v>248</v>
      </c>
      <c r="AN8" s="647" t="s">
        <v>98</v>
      </c>
      <c r="AO8" s="647"/>
      <c r="AP8" s="647"/>
      <c r="AQ8" s="647"/>
      <c r="AR8" s="647"/>
      <c r="AS8" s="647"/>
      <c r="AT8" s="647"/>
      <c r="AU8" s="647"/>
      <c r="AV8" s="647"/>
      <c r="AW8" s="647"/>
      <c r="AX8" s="647"/>
      <c r="AY8" s="647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</row>
    <row r="9" spans="1:79" s="339" customFormat="1" ht="15.75" customHeight="1" thickBot="1">
      <c r="A9" s="644"/>
      <c r="B9" s="652" t="s">
        <v>323</v>
      </c>
      <c r="C9" s="653"/>
      <c r="D9" s="653"/>
      <c r="E9" s="654"/>
      <c r="F9" s="652" t="s">
        <v>324</v>
      </c>
      <c r="G9" s="653"/>
      <c r="H9" s="653"/>
      <c r="I9" s="654"/>
      <c r="J9" s="652" t="s">
        <v>99</v>
      </c>
      <c r="K9" s="653"/>
      <c r="L9" s="653"/>
      <c r="M9" s="654"/>
      <c r="N9" s="652" t="s">
        <v>100</v>
      </c>
      <c r="O9" s="653"/>
      <c r="P9" s="653"/>
      <c r="Q9" s="654"/>
      <c r="R9" s="652" t="s">
        <v>101</v>
      </c>
      <c r="S9" s="653"/>
      <c r="T9" s="653"/>
      <c r="U9" s="654"/>
      <c r="V9" s="644"/>
      <c r="W9" s="652" t="s">
        <v>65</v>
      </c>
      <c r="X9" s="653"/>
      <c r="Y9" s="653"/>
      <c r="Z9" s="654"/>
      <c r="AA9" s="652" t="s">
        <v>66</v>
      </c>
      <c r="AB9" s="653"/>
      <c r="AC9" s="653"/>
      <c r="AD9" s="654"/>
      <c r="AE9" s="658" t="s">
        <v>67</v>
      </c>
      <c r="AF9" s="659"/>
      <c r="AG9" s="659"/>
      <c r="AH9" s="659"/>
      <c r="AI9" s="659"/>
      <c r="AJ9" s="659"/>
      <c r="AK9" s="659"/>
      <c r="AL9" s="660"/>
      <c r="AM9" s="644"/>
      <c r="AN9" s="648" t="s">
        <v>76</v>
      </c>
      <c r="AO9" s="648"/>
      <c r="AP9" s="648"/>
      <c r="AQ9" s="648"/>
      <c r="AR9" s="648"/>
      <c r="AS9" s="648"/>
      <c r="AT9" s="648"/>
      <c r="AU9" s="648"/>
      <c r="AV9" s="648"/>
      <c r="AW9" s="648"/>
      <c r="AX9" s="648"/>
      <c r="AY9" s="64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</row>
    <row r="10" spans="1:79" s="339" customFormat="1" ht="51" customHeight="1" thickBot="1">
      <c r="A10" s="644"/>
      <c r="B10" s="655"/>
      <c r="C10" s="656"/>
      <c r="D10" s="656"/>
      <c r="E10" s="657"/>
      <c r="F10" s="655"/>
      <c r="G10" s="656"/>
      <c r="H10" s="656"/>
      <c r="I10" s="657"/>
      <c r="J10" s="655"/>
      <c r="K10" s="656"/>
      <c r="L10" s="656"/>
      <c r="M10" s="657"/>
      <c r="N10" s="655"/>
      <c r="O10" s="656"/>
      <c r="P10" s="656"/>
      <c r="Q10" s="657"/>
      <c r="R10" s="655"/>
      <c r="S10" s="656"/>
      <c r="T10" s="656"/>
      <c r="U10" s="657"/>
      <c r="V10" s="644"/>
      <c r="W10" s="655"/>
      <c r="X10" s="656"/>
      <c r="Y10" s="656"/>
      <c r="Z10" s="657"/>
      <c r="AA10" s="655"/>
      <c r="AB10" s="656"/>
      <c r="AC10" s="656"/>
      <c r="AD10" s="657"/>
      <c r="AE10" s="658" t="s">
        <v>249</v>
      </c>
      <c r="AF10" s="659"/>
      <c r="AG10" s="659"/>
      <c r="AH10" s="660"/>
      <c r="AI10" s="658" t="s">
        <v>250</v>
      </c>
      <c r="AJ10" s="659"/>
      <c r="AK10" s="659"/>
      <c r="AL10" s="660"/>
      <c r="AM10" s="644"/>
      <c r="AN10" s="648" t="s">
        <v>111</v>
      </c>
      <c r="AO10" s="648"/>
      <c r="AP10" s="648"/>
      <c r="AQ10" s="648"/>
      <c r="AR10" s="648" t="s">
        <v>112</v>
      </c>
      <c r="AS10" s="648"/>
      <c r="AT10" s="648"/>
      <c r="AU10" s="648"/>
      <c r="AV10" s="648" t="s">
        <v>76</v>
      </c>
      <c r="AW10" s="648"/>
      <c r="AX10" s="648"/>
      <c r="AY10" s="64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</row>
    <row r="11" spans="1:79" s="338" customFormat="1" ht="51" customHeight="1" thickBot="1">
      <c r="A11" s="645"/>
      <c r="B11" s="381" t="s">
        <v>113</v>
      </c>
      <c r="C11" s="381" t="s">
        <v>338</v>
      </c>
      <c r="D11" s="381" t="s">
        <v>363</v>
      </c>
      <c r="E11" s="381" t="s">
        <v>362</v>
      </c>
      <c r="F11" s="381" t="s">
        <v>113</v>
      </c>
      <c r="G11" s="381" t="s">
        <v>338</v>
      </c>
      <c r="H11" s="381" t="s">
        <v>363</v>
      </c>
      <c r="I11" s="381" t="s">
        <v>362</v>
      </c>
      <c r="J11" s="381" t="s">
        <v>113</v>
      </c>
      <c r="K11" s="381" t="s">
        <v>338</v>
      </c>
      <c r="L11" s="381" t="s">
        <v>363</v>
      </c>
      <c r="M11" s="381" t="s">
        <v>362</v>
      </c>
      <c r="N11" s="381" t="s">
        <v>113</v>
      </c>
      <c r="O11" s="381" t="s">
        <v>338</v>
      </c>
      <c r="P11" s="381" t="s">
        <v>363</v>
      </c>
      <c r="Q11" s="381" t="s">
        <v>362</v>
      </c>
      <c r="R11" s="381" t="s">
        <v>113</v>
      </c>
      <c r="S11" s="381" t="s">
        <v>338</v>
      </c>
      <c r="T11" s="381" t="s">
        <v>363</v>
      </c>
      <c r="U11" s="381" t="s">
        <v>362</v>
      </c>
      <c r="V11" s="645"/>
      <c r="W11" s="381" t="s">
        <v>113</v>
      </c>
      <c r="X11" s="381" t="s">
        <v>338</v>
      </c>
      <c r="Y11" s="381" t="s">
        <v>363</v>
      </c>
      <c r="Z11" s="381" t="s">
        <v>362</v>
      </c>
      <c r="AA11" s="381" t="s">
        <v>113</v>
      </c>
      <c r="AB11" s="381" t="s">
        <v>338</v>
      </c>
      <c r="AC11" s="381" t="s">
        <v>363</v>
      </c>
      <c r="AD11" s="381" t="s">
        <v>362</v>
      </c>
      <c r="AE11" s="381" t="s">
        <v>113</v>
      </c>
      <c r="AF11" s="381" t="s">
        <v>338</v>
      </c>
      <c r="AG11" s="381" t="s">
        <v>363</v>
      </c>
      <c r="AH11" s="381" t="s">
        <v>362</v>
      </c>
      <c r="AI11" s="381" t="s">
        <v>113</v>
      </c>
      <c r="AJ11" s="381" t="s">
        <v>338</v>
      </c>
      <c r="AK11" s="381" t="s">
        <v>363</v>
      </c>
      <c r="AL11" s="381" t="s">
        <v>362</v>
      </c>
      <c r="AM11" s="645"/>
      <c r="AN11" s="381" t="s">
        <v>113</v>
      </c>
      <c r="AO11" s="381" t="s">
        <v>338</v>
      </c>
      <c r="AP11" s="381" t="s">
        <v>363</v>
      </c>
      <c r="AQ11" s="381" t="s">
        <v>362</v>
      </c>
      <c r="AR11" s="381" t="s">
        <v>113</v>
      </c>
      <c r="AS11" s="381" t="s">
        <v>338</v>
      </c>
      <c r="AT11" s="381" t="s">
        <v>363</v>
      </c>
      <c r="AU11" s="381" t="s">
        <v>362</v>
      </c>
      <c r="AV11" s="381" t="s">
        <v>113</v>
      </c>
      <c r="AW11" s="381" t="s">
        <v>338</v>
      </c>
      <c r="AX11" s="381" t="s">
        <v>363</v>
      </c>
      <c r="AY11" s="381" t="s">
        <v>362</v>
      </c>
    </row>
    <row r="12" spans="1:79" s="72" customFormat="1" ht="21" customHeight="1">
      <c r="A12" s="68" t="s">
        <v>78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 t="s">
        <v>78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8" t="s">
        <v>78</v>
      </c>
      <c r="AN12" s="69"/>
      <c r="AO12" s="69"/>
      <c r="AP12" s="69"/>
      <c r="AQ12" s="69"/>
      <c r="AR12" s="69"/>
      <c r="AS12" s="69"/>
      <c r="AT12" s="69"/>
      <c r="AU12" s="69"/>
      <c r="AV12" s="70"/>
      <c r="AW12" s="70"/>
      <c r="AX12" s="69"/>
      <c r="AY12" s="69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</row>
    <row r="13" spans="1:79" s="72" customFormat="1" ht="21" customHeight="1">
      <c r="A13" s="73" t="s">
        <v>114</v>
      </c>
      <c r="B13" s="74"/>
      <c r="C13" s="74">
        <v>14427</v>
      </c>
      <c r="D13" s="74">
        <v>18955</v>
      </c>
      <c r="E13" s="419">
        <f>D13/C13</f>
        <v>1.3138559645109864</v>
      </c>
      <c r="F13" s="74"/>
      <c r="G13" s="74"/>
      <c r="H13" s="74"/>
      <c r="I13" s="419"/>
      <c r="J13" s="74"/>
      <c r="K13" s="74"/>
      <c r="L13" s="74"/>
      <c r="M13" s="419"/>
      <c r="N13" s="74">
        <v>7295</v>
      </c>
      <c r="O13" s="74">
        <v>7295</v>
      </c>
      <c r="P13" s="74">
        <v>3804</v>
      </c>
      <c r="Q13" s="419">
        <f>P13/O13</f>
        <v>0.52145305003427</v>
      </c>
      <c r="R13" s="74"/>
      <c r="S13" s="74"/>
      <c r="T13" s="74"/>
      <c r="U13" s="419"/>
      <c r="V13" s="73" t="s">
        <v>114</v>
      </c>
      <c r="W13" s="74"/>
      <c r="X13" s="74"/>
      <c r="Y13" s="74"/>
      <c r="Z13" s="419"/>
      <c r="AA13" s="74"/>
      <c r="AB13" s="74"/>
      <c r="AC13" s="74"/>
      <c r="AD13" s="419"/>
      <c r="AE13" s="74"/>
      <c r="AF13" s="74">
        <v>9733</v>
      </c>
      <c r="AG13" s="74">
        <v>9733</v>
      </c>
      <c r="AH13" s="419">
        <f>AG13/AF13</f>
        <v>1</v>
      </c>
      <c r="AI13" s="74">
        <v>519246</v>
      </c>
      <c r="AJ13" s="74">
        <v>525225</v>
      </c>
      <c r="AK13" s="74">
        <v>386319</v>
      </c>
      <c r="AL13" s="419">
        <f>AK13/AJ13</f>
        <v>0.73553048693417111</v>
      </c>
      <c r="AM13" s="73" t="s">
        <v>114</v>
      </c>
      <c r="AN13" s="74">
        <f>SUM(B13+J13+N13+W13+AI13)</f>
        <v>526541</v>
      </c>
      <c r="AO13" s="74">
        <f>SUM(C13+K13+O13+X13+AJ13+AF13)</f>
        <v>556680</v>
      </c>
      <c r="AP13" s="74">
        <f>SUM(D13+L13+P13+Y13+AK13+AG13)</f>
        <v>418811</v>
      </c>
      <c r="AQ13" s="419">
        <f>AP13/AO13</f>
        <v>0.75233706977078396</v>
      </c>
      <c r="AR13" s="74">
        <f t="shared" ref="AR13:AT14" si="0">SUM(F13+R13+AA13)</f>
        <v>0</v>
      </c>
      <c r="AS13" s="74">
        <f t="shared" si="0"/>
        <v>0</v>
      </c>
      <c r="AT13" s="74">
        <f t="shared" si="0"/>
        <v>0</v>
      </c>
      <c r="AU13" s="419">
        <v>0</v>
      </c>
      <c r="AV13" s="75">
        <f t="shared" ref="AV13:AX14" si="1">SUM(AN13+AR13)</f>
        <v>526541</v>
      </c>
      <c r="AW13" s="75">
        <f t="shared" si="1"/>
        <v>556680</v>
      </c>
      <c r="AX13" s="75">
        <f t="shared" si="1"/>
        <v>418811</v>
      </c>
      <c r="AY13" s="419">
        <f>AX13/AW13</f>
        <v>0.75233706977078396</v>
      </c>
      <c r="AZ13" s="76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</row>
    <row r="14" spans="1:79" s="72" customFormat="1" ht="21" customHeight="1" thickBot="1">
      <c r="A14" s="77" t="s">
        <v>139</v>
      </c>
      <c r="B14" s="78"/>
      <c r="C14" s="78"/>
      <c r="D14" s="78"/>
      <c r="E14" s="419"/>
      <c r="F14" s="78"/>
      <c r="G14" s="78"/>
      <c r="H14" s="78"/>
      <c r="I14" s="419"/>
      <c r="J14" s="78"/>
      <c r="K14" s="78"/>
      <c r="L14" s="78"/>
      <c r="M14" s="419"/>
      <c r="N14" s="78"/>
      <c r="O14" s="78"/>
      <c r="P14" s="78"/>
      <c r="Q14" s="419"/>
      <c r="R14" s="78"/>
      <c r="S14" s="78"/>
      <c r="T14" s="78"/>
      <c r="U14" s="419"/>
      <c r="V14" s="77" t="s">
        <v>139</v>
      </c>
      <c r="W14" s="78"/>
      <c r="X14" s="78"/>
      <c r="Y14" s="78"/>
      <c r="Z14" s="419"/>
      <c r="AA14" s="78"/>
      <c r="AB14" s="78"/>
      <c r="AC14" s="78"/>
      <c r="AD14" s="419"/>
      <c r="AE14" s="78"/>
      <c r="AF14" s="78"/>
      <c r="AG14" s="78"/>
      <c r="AH14" s="419"/>
      <c r="AI14" s="78"/>
      <c r="AJ14" s="78"/>
      <c r="AK14" s="78"/>
      <c r="AL14" s="419"/>
      <c r="AM14" s="77" t="s">
        <v>139</v>
      </c>
      <c r="AN14" s="79">
        <f>SUM(B14+J14+N14+W14+AI14)</f>
        <v>0</v>
      </c>
      <c r="AO14" s="79">
        <f>SUM(C14+K14+O14+X14+AJ14)</f>
        <v>0</v>
      </c>
      <c r="AP14" s="79">
        <f>SUM(D14+L14+P14+Y14+AK14)</f>
        <v>0</v>
      </c>
      <c r="AQ14" s="419"/>
      <c r="AR14" s="79">
        <f t="shared" si="0"/>
        <v>0</v>
      </c>
      <c r="AS14" s="79">
        <f t="shared" si="0"/>
        <v>0</v>
      </c>
      <c r="AT14" s="79">
        <f t="shared" si="0"/>
        <v>0</v>
      </c>
      <c r="AU14" s="419">
        <v>0</v>
      </c>
      <c r="AV14" s="75">
        <f t="shared" si="1"/>
        <v>0</v>
      </c>
      <c r="AW14" s="75">
        <f t="shared" si="1"/>
        <v>0</v>
      </c>
      <c r="AX14" s="75">
        <f t="shared" si="1"/>
        <v>0</v>
      </c>
      <c r="AY14" s="419">
        <v>0</v>
      </c>
      <c r="AZ14" s="76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</row>
    <row r="15" spans="1:79" s="335" customFormat="1" ht="26.25" customHeight="1" thickBot="1">
      <c r="A15" s="331" t="s">
        <v>251</v>
      </c>
      <c r="B15" s="332">
        <f>B13+B14</f>
        <v>0</v>
      </c>
      <c r="C15" s="332">
        <f>C13+C14</f>
        <v>14427</v>
      </c>
      <c r="D15" s="332">
        <f t="shared" ref="D15" si="2">D13+D14</f>
        <v>18955</v>
      </c>
      <c r="E15" s="421">
        <f>D15/C15</f>
        <v>1.3138559645109864</v>
      </c>
      <c r="F15" s="332">
        <f t="shared" ref="F15:AI15" si="3">F13+F14</f>
        <v>0</v>
      </c>
      <c r="G15" s="332">
        <f t="shared" ref="G15:H15" si="4">G13+G14</f>
        <v>0</v>
      </c>
      <c r="H15" s="332">
        <f t="shared" si="4"/>
        <v>0</v>
      </c>
      <c r="I15" s="421">
        <v>0</v>
      </c>
      <c r="J15" s="332">
        <f t="shared" si="3"/>
        <v>0</v>
      </c>
      <c r="K15" s="332">
        <f t="shared" ref="K15:L15" si="5">K13+K14</f>
        <v>0</v>
      </c>
      <c r="L15" s="332">
        <f t="shared" si="5"/>
        <v>0</v>
      </c>
      <c r="M15" s="421">
        <v>0</v>
      </c>
      <c r="N15" s="332">
        <f t="shared" si="3"/>
        <v>7295</v>
      </c>
      <c r="O15" s="332">
        <f t="shared" ref="O15:P15" si="6">O13+O14</f>
        <v>7295</v>
      </c>
      <c r="P15" s="332">
        <f t="shared" si="6"/>
        <v>3804</v>
      </c>
      <c r="Q15" s="421">
        <f>P15/O15</f>
        <v>0.52145305003427</v>
      </c>
      <c r="R15" s="332">
        <f t="shared" si="3"/>
        <v>0</v>
      </c>
      <c r="S15" s="332">
        <f t="shared" ref="S15:T15" si="7">S13+S14</f>
        <v>0</v>
      </c>
      <c r="T15" s="332">
        <f t="shared" si="7"/>
        <v>0</v>
      </c>
      <c r="U15" s="421">
        <v>0</v>
      </c>
      <c r="V15" s="331" t="s">
        <v>251</v>
      </c>
      <c r="W15" s="332">
        <f t="shared" si="3"/>
        <v>0</v>
      </c>
      <c r="X15" s="332">
        <f t="shared" ref="X15:Y15" si="8">X13+X14</f>
        <v>0</v>
      </c>
      <c r="Y15" s="332">
        <f t="shared" si="8"/>
        <v>0</v>
      </c>
      <c r="Z15" s="421">
        <v>0</v>
      </c>
      <c r="AA15" s="332">
        <f t="shared" si="3"/>
        <v>0</v>
      </c>
      <c r="AB15" s="332">
        <f t="shared" ref="AB15:AC15" si="9">AB13+AB14</f>
        <v>0</v>
      </c>
      <c r="AC15" s="332">
        <f t="shared" si="9"/>
        <v>0</v>
      </c>
      <c r="AD15" s="421">
        <v>0</v>
      </c>
      <c r="AE15" s="332">
        <f>AE13+AE14</f>
        <v>0</v>
      </c>
      <c r="AF15" s="332">
        <f>AF13+AF14</f>
        <v>9733</v>
      </c>
      <c r="AG15" s="332">
        <f t="shared" ref="AG15" si="10">AG13+AG14</f>
        <v>9733</v>
      </c>
      <c r="AH15" s="421">
        <f>AG15/AF15</f>
        <v>1</v>
      </c>
      <c r="AI15" s="332">
        <f t="shared" si="3"/>
        <v>519246</v>
      </c>
      <c r="AJ15" s="332">
        <f>AJ13+AJ14</f>
        <v>525225</v>
      </c>
      <c r="AK15" s="332">
        <f t="shared" ref="AK15" si="11">AK13+AK14</f>
        <v>386319</v>
      </c>
      <c r="AL15" s="421">
        <f>AK15/AJ15</f>
        <v>0.73553048693417111</v>
      </c>
      <c r="AM15" s="331" t="s">
        <v>251</v>
      </c>
      <c r="AN15" s="332">
        <f t="shared" ref="AN15:AW15" si="12">AN13+AN14</f>
        <v>526541</v>
      </c>
      <c r="AO15" s="332">
        <f t="shared" si="12"/>
        <v>556680</v>
      </c>
      <c r="AP15" s="332">
        <f t="shared" ref="AP15" si="13">AP13+AP14</f>
        <v>418811</v>
      </c>
      <c r="AQ15" s="421">
        <f>AP15/AO15</f>
        <v>0.75233706977078396</v>
      </c>
      <c r="AR15" s="332">
        <f t="shared" si="12"/>
        <v>0</v>
      </c>
      <c r="AS15" s="332">
        <f t="shared" si="12"/>
        <v>0</v>
      </c>
      <c r="AT15" s="332">
        <f t="shared" ref="AT15" si="14">AT13+AT14</f>
        <v>0</v>
      </c>
      <c r="AU15" s="421">
        <v>0</v>
      </c>
      <c r="AV15" s="332">
        <f t="shared" si="12"/>
        <v>526541</v>
      </c>
      <c r="AW15" s="332">
        <f t="shared" si="12"/>
        <v>556680</v>
      </c>
      <c r="AX15" s="332">
        <f t="shared" ref="AX15" si="15">AX13+AX14</f>
        <v>418811</v>
      </c>
      <c r="AY15" s="421">
        <f>AX15/AW15</f>
        <v>0.75233706977078396</v>
      </c>
      <c r="AZ15" s="333"/>
      <c r="BA15" s="333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</row>
    <row r="16" spans="1:79" s="72" customFormat="1" ht="36.75" customHeight="1">
      <c r="A16" s="68" t="s">
        <v>252</v>
      </c>
      <c r="B16" s="79"/>
      <c r="C16" s="79"/>
      <c r="D16" s="79"/>
      <c r="E16" s="422"/>
      <c r="F16" s="79"/>
      <c r="G16" s="79"/>
      <c r="H16" s="79"/>
      <c r="I16" s="422"/>
      <c r="J16" s="79"/>
      <c r="K16" s="79"/>
      <c r="L16" s="79"/>
      <c r="M16" s="422"/>
      <c r="N16" s="79"/>
      <c r="O16" s="79"/>
      <c r="P16" s="79"/>
      <c r="Q16" s="422"/>
      <c r="R16" s="79"/>
      <c r="S16" s="79"/>
      <c r="T16" s="79"/>
      <c r="U16" s="422"/>
      <c r="V16" s="68" t="s">
        <v>252</v>
      </c>
      <c r="W16" s="79"/>
      <c r="X16" s="79"/>
      <c r="Y16" s="79"/>
      <c r="Z16" s="422"/>
      <c r="AA16" s="79"/>
      <c r="AB16" s="79"/>
      <c r="AC16" s="79"/>
      <c r="AD16" s="422"/>
      <c r="AE16" s="79"/>
      <c r="AF16" s="79"/>
      <c r="AG16" s="79"/>
      <c r="AH16" s="422"/>
      <c r="AI16" s="79"/>
      <c r="AJ16" s="79"/>
      <c r="AK16" s="79"/>
      <c r="AL16" s="422"/>
      <c r="AM16" s="68" t="s">
        <v>252</v>
      </c>
      <c r="AN16" s="79"/>
      <c r="AO16" s="79"/>
      <c r="AP16" s="79"/>
      <c r="AQ16" s="422"/>
      <c r="AR16" s="79"/>
      <c r="AS16" s="79"/>
      <c r="AT16" s="79"/>
      <c r="AU16" s="422">
        <v>0</v>
      </c>
      <c r="AV16" s="80"/>
      <c r="AW16" s="80"/>
      <c r="AX16" s="80"/>
      <c r="AY16" s="422"/>
      <c r="AZ16" s="76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</row>
    <row r="17" spans="1:79" s="72" customFormat="1" ht="24.75" customHeight="1">
      <c r="A17" s="73" t="s">
        <v>114</v>
      </c>
      <c r="B17" s="74"/>
      <c r="C17" s="74">
        <v>21618</v>
      </c>
      <c r="D17" s="74">
        <v>15203</v>
      </c>
      <c r="E17" s="419">
        <f>D17/C17</f>
        <v>0.7032565454713664</v>
      </c>
      <c r="F17" s="74"/>
      <c r="G17" s="74"/>
      <c r="H17" s="74"/>
      <c r="I17" s="419"/>
      <c r="J17" s="74"/>
      <c r="K17" s="74"/>
      <c r="L17" s="74"/>
      <c r="M17" s="419"/>
      <c r="N17" s="74">
        <v>20599</v>
      </c>
      <c r="O17" s="74">
        <v>35779</v>
      </c>
      <c r="P17" s="74">
        <v>44153</v>
      </c>
      <c r="Q17" s="419">
        <f>P17/O17</f>
        <v>1.2340479051957853</v>
      </c>
      <c r="R17" s="74"/>
      <c r="S17" s="74"/>
      <c r="T17" s="74"/>
      <c r="U17" s="419"/>
      <c r="V17" s="73" t="s">
        <v>114</v>
      </c>
      <c r="W17" s="74"/>
      <c r="X17" s="74">
        <v>3150</v>
      </c>
      <c r="Y17" s="74">
        <v>3150</v>
      </c>
      <c r="Z17" s="419">
        <v>0</v>
      </c>
      <c r="AA17" s="74"/>
      <c r="AB17" s="74"/>
      <c r="AC17" s="74"/>
      <c r="AD17" s="419"/>
      <c r="AE17" s="74"/>
      <c r="AF17" s="74">
        <v>7174</v>
      </c>
      <c r="AG17" s="74">
        <v>7174</v>
      </c>
      <c r="AH17" s="419">
        <f>AG17/AF17</f>
        <v>1</v>
      </c>
      <c r="AI17" s="74">
        <v>104214</v>
      </c>
      <c r="AJ17" s="74">
        <v>97048</v>
      </c>
      <c r="AK17" s="74">
        <v>71561</v>
      </c>
      <c r="AL17" s="419">
        <f>AK17/AJ17</f>
        <v>0.73737738026543564</v>
      </c>
      <c r="AM17" s="73" t="s">
        <v>114</v>
      </c>
      <c r="AN17" s="74">
        <f>SUM(B17+J17+N17+W17+AI17)</f>
        <v>124813</v>
      </c>
      <c r="AO17" s="74">
        <f>SUM(C17+K17+O17+X17+AJ17+AF17)</f>
        <v>164769</v>
      </c>
      <c r="AP17" s="74">
        <f>SUM(D17+L17+P17+Y17+AK17+AG17)</f>
        <v>141241</v>
      </c>
      <c r="AQ17" s="419">
        <f>AP17/AO17</f>
        <v>0.85720614921496152</v>
      </c>
      <c r="AR17" s="74">
        <f t="shared" ref="AR17:AT18" si="16">SUM(F17+R17+AA17)</f>
        <v>0</v>
      </c>
      <c r="AS17" s="74">
        <f t="shared" si="16"/>
        <v>0</v>
      </c>
      <c r="AT17" s="74">
        <f t="shared" si="16"/>
        <v>0</v>
      </c>
      <c r="AU17" s="419">
        <v>0</v>
      </c>
      <c r="AV17" s="75">
        <f t="shared" ref="AV17:AV18" si="17">SUM(AN17+AR17)</f>
        <v>124813</v>
      </c>
      <c r="AW17" s="75">
        <f>SUM(AO17+AS17)</f>
        <v>164769</v>
      </c>
      <c r="AX17" s="75">
        <f>SUM(AP17+AT17)</f>
        <v>141241</v>
      </c>
      <c r="AY17" s="419">
        <f>AX17/AW17</f>
        <v>0.85720614921496152</v>
      </c>
      <c r="AZ17" s="76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</row>
    <row r="18" spans="1:79" s="72" customFormat="1" ht="24.75" customHeight="1" thickBot="1">
      <c r="A18" s="77" t="s">
        <v>139</v>
      </c>
      <c r="B18" s="78"/>
      <c r="C18" s="78"/>
      <c r="D18" s="78"/>
      <c r="E18" s="419"/>
      <c r="F18" s="78"/>
      <c r="G18" s="78"/>
      <c r="H18" s="78"/>
      <c r="I18" s="419"/>
      <c r="J18" s="78"/>
      <c r="K18" s="78"/>
      <c r="L18" s="78"/>
      <c r="M18" s="419"/>
      <c r="N18" s="78">
        <v>7430</v>
      </c>
      <c r="O18" s="78">
        <v>7430</v>
      </c>
      <c r="P18" s="78"/>
      <c r="Q18" s="419"/>
      <c r="R18" s="78"/>
      <c r="S18" s="78"/>
      <c r="T18" s="78"/>
      <c r="U18" s="419"/>
      <c r="V18" s="77" t="s">
        <v>139</v>
      </c>
      <c r="W18" s="78"/>
      <c r="X18" s="78"/>
      <c r="Y18" s="78"/>
      <c r="Z18" s="419"/>
      <c r="AA18" s="78"/>
      <c r="AB18" s="78"/>
      <c r="AC18" s="78"/>
      <c r="AD18" s="419"/>
      <c r="AE18" s="78"/>
      <c r="AF18" s="78"/>
      <c r="AG18" s="78"/>
      <c r="AH18" s="419"/>
      <c r="AI18" s="78">
        <v>8897</v>
      </c>
      <c r="AJ18" s="78">
        <v>8897</v>
      </c>
      <c r="AK18" s="78"/>
      <c r="AL18" s="419"/>
      <c r="AM18" s="77" t="s">
        <v>139</v>
      </c>
      <c r="AN18" s="79">
        <f>SUM(B18+J18+N18+W18+AI18)</f>
        <v>16327</v>
      </c>
      <c r="AO18" s="79">
        <f>SUM(C18+K18+O18+X18+AJ18)</f>
        <v>16327</v>
      </c>
      <c r="AP18" s="79">
        <f>SUM(D18+L18+P18+Y18+AK18)</f>
        <v>0</v>
      </c>
      <c r="AQ18" s="419"/>
      <c r="AR18" s="79">
        <f t="shared" si="16"/>
        <v>0</v>
      </c>
      <c r="AS18" s="79">
        <f t="shared" si="16"/>
        <v>0</v>
      </c>
      <c r="AT18" s="79">
        <f t="shared" si="16"/>
        <v>0</v>
      </c>
      <c r="AU18" s="419">
        <v>0</v>
      </c>
      <c r="AV18" s="75">
        <f t="shared" si="17"/>
        <v>16327</v>
      </c>
      <c r="AW18" s="75">
        <f>SUM(AO18+AS18)</f>
        <v>16327</v>
      </c>
      <c r="AX18" s="75">
        <f>SUM(AP18+AT18)</f>
        <v>0</v>
      </c>
      <c r="AY18" s="419">
        <v>0</v>
      </c>
      <c r="AZ18" s="76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</row>
    <row r="19" spans="1:79" s="72" customFormat="1" ht="32.25" thickBot="1">
      <c r="A19" s="331" t="s">
        <v>253</v>
      </c>
      <c r="B19" s="332">
        <f>B17+B18</f>
        <v>0</v>
      </c>
      <c r="C19" s="332">
        <f>C17+C18</f>
        <v>21618</v>
      </c>
      <c r="D19" s="332">
        <f t="shared" ref="D19" si="18">D17+D18</f>
        <v>15203</v>
      </c>
      <c r="E19" s="421">
        <f>D19/C19</f>
        <v>0.7032565454713664</v>
      </c>
      <c r="F19" s="332">
        <f t="shared" ref="F19:AN19" si="19">F17+F18</f>
        <v>0</v>
      </c>
      <c r="G19" s="332">
        <f t="shared" ref="G19:H19" si="20">G17+G18</f>
        <v>0</v>
      </c>
      <c r="H19" s="332">
        <f t="shared" si="20"/>
        <v>0</v>
      </c>
      <c r="I19" s="421">
        <v>0</v>
      </c>
      <c r="J19" s="332">
        <f t="shared" si="19"/>
        <v>0</v>
      </c>
      <c r="K19" s="332">
        <f t="shared" ref="K19:L19" si="21">K17+K18</f>
        <v>0</v>
      </c>
      <c r="L19" s="332">
        <f t="shared" si="21"/>
        <v>0</v>
      </c>
      <c r="M19" s="421">
        <v>0</v>
      </c>
      <c r="N19" s="332">
        <f t="shared" si="19"/>
        <v>28029</v>
      </c>
      <c r="O19" s="332">
        <f t="shared" ref="O19:P19" si="22">O17+O18</f>
        <v>43209</v>
      </c>
      <c r="P19" s="332">
        <f t="shared" si="22"/>
        <v>44153</v>
      </c>
      <c r="Q19" s="421">
        <f>P19/O19</f>
        <v>1.0218473003309496</v>
      </c>
      <c r="R19" s="332">
        <f t="shared" si="19"/>
        <v>0</v>
      </c>
      <c r="S19" s="332">
        <f t="shared" ref="S19:T19" si="23">S17+S18</f>
        <v>0</v>
      </c>
      <c r="T19" s="332">
        <f t="shared" si="23"/>
        <v>0</v>
      </c>
      <c r="U19" s="421">
        <v>0</v>
      </c>
      <c r="V19" s="331" t="s">
        <v>253</v>
      </c>
      <c r="W19" s="332">
        <f t="shared" si="19"/>
        <v>0</v>
      </c>
      <c r="X19" s="332">
        <f t="shared" ref="X19:Y19" si="24">X17+X18</f>
        <v>3150</v>
      </c>
      <c r="Y19" s="332">
        <f t="shared" si="24"/>
        <v>3150</v>
      </c>
      <c r="Z19" s="421">
        <v>0</v>
      </c>
      <c r="AA19" s="332">
        <f t="shared" si="19"/>
        <v>0</v>
      </c>
      <c r="AB19" s="332">
        <f t="shared" ref="AB19:AC19" si="25">AB17+AB18</f>
        <v>0</v>
      </c>
      <c r="AC19" s="332">
        <f t="shared" si="25"/>
        <v>0</v>
      </c>
      <c r="AD19" s="421">
        <v>0</v>
      </c>
      <c r="AE19" s="332">
        <f>AE17+AE18</f>
        <v>0</v>
      </c>
      <c r="AF19" s="332">
        <f>AF17+AF18</f>
        <v>7174</v>
      </c>
      <c r="AG19" s="332">
        <f t="shared" ref="AG19" si="26">AG17+AG18</f>
        <v>7174</v>
      </c>
      <c r="AH19" s="421">
        <f>AG19/AF19</f>
        <v>1</v>
      </c>
      <c r="AI19" s="332">
        <f t="shared" si="19"/>
        <v>113111</v>
      </c>
      <c r="AJ19" s="332">
        <f t="shared" ref="AJ19:AK19" si="27">AJ17+AJ18</f>
        <v>105945</v>
      </c>
      <c r="AK19" s="332">
        <f t="shared" si="27"/>
        <v>71561</v>
      </c>
      <c r="AL19" s="421">
        <f>AK19/AJ19</f>
        <v>0.67545424512718866</v>
      </c>
      <c r="AM19" s="331" t="s">
        <v>253</v>
      </c>
      <c r="AN19" s="332">
        <f t="shared" si="19"/>
        <v>141140</v>
      </c>
      <c r="AO19" s="332">
        <f t="shared" ref="AO19:AP19" si="28">AO17+AO18</f>
        <v>181096</v>
      </c>
      <c r="AP19" s="332">
        <f t="shared" si="28"/>
        <v>141241</v>
      </c>
      <c r="AQ19" s="421">
        <f>AP19/AO19</f>
        <v>0.77992335556831738</v>
      </c>
      <c r="AR19" s="332">
        <f>AR17+AR18</f>
        <v>0</v>
      </c>
      <c r="AS19" s="332">
        <f>AS17+AS18</f>
        <v>0</v>
      </c>
      <c r="AT19" s="332">
        <f>AT17+AT18</f>
        <v>0</v>
      </c>
      <c r="AU19" s="421">
        <v>0</v>
      </c>
      <c r="AV19" s="332">
        <f>AV17+AV18</f>
        <v>141140</v>
      </c>
      <c r="AW19" s="332">
        <f>AW17+AW18</f>
        <v>181096</v>
      </c>
      <c r="AX19" s="332">
        <f>AX17+AX18</f>
        <v>141241</v>
      </c>
      <c r="AY19" s="421">
        <f>AX19/AW19</f>
        <v>0.77992335556831738</v>
      </c>
      <c r="AZ19" s="76"/>
      <c r="BA19" s="333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</row>
    <row r="20" spans="1:79" s="72" customFormat="1" ht="23.25" customHeight="1">
      <c r="A20" s="68" t="s">
        <v>254</v>
      </c>
      <c r="B20" s="79"/>
      <c r="C20" s="79"/>
      <c r="D20" s="79"/>
      <c r="E20" s="422"/>
      <c r="F20" s="79"/>
      <c r="G20" s="79"/>
      <c r="H20" s="79"/>
      <c r="I20" s="422"/>
      <c r="J20" s="79"/>
      <c r="K20" s="79"/>
      <c r="L20" s="79"/>
      <c r="M20" s="422"/>
      <c r="N20" s="79"/>
      <c r="O20" s="79"/>
      <c r="P20" s="79"/>
      <c r="Q20" s="422"/>
      <c r="R20" s="79"/>
      <c r="S20" s="79"/>
      <c r="T20" s="79"/>
      <c r="U20" s="422"/>
      <c r="V20" s="68" t="s">
        <v>254</v>
      </c>
      <c r="W20" s="79"/>
      <c r="X20" s="79"/>
      <c r="Y20" s="79"/>
      <c r="Z20" s="422"/>
      <c r="AA20" s="79"/>
      <c r="AB20" s="79"/>
      <c r="AC20" s="79"/>
      <c r="AD20" s="422"/>
      <c r="AE20" s="79"/>
      <c r="AF20" s="79"/>
      <c r="AG20" s="79"/>
      <c r="AH20" s="422"/>
      <c r="AI20" s="79"/>
      <c r="AJ20" s="79"/>
      <c r="AK20" s="79"/>
      <c r="AL20" s="422"/>
      <c r="AM20" s="68" t="s">
        <v>254</v>
      </c>
      <c r="AN20" s="79"/>
      <c r="AO20" s="79"/>
      <c r="AP20" s="79"/>
      <c r="AQ20" s="422"/>
      <c r="AR20" s="79"/>
      <c r="AS20" s="79"/>
      <c r="AT20" s="79"/>
      <c r="AU20" s="422">
        <v>0</v>
      </c>
      <c r="AV20" s="80"/>
      <c r="AW20" s="80"/>
      <c r="AX20" s="80"/>
      <c r="AY20" s="422"/>
      <c r="AZ20" s="76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</row>
    <row r="21" spans="1:79" s="72" customFormat="1" ht="23.25" customHeight="1">
      <c r="A21" s="73" t="s">
        <v>114</v>
      </c>
      <c r="B21" s="74">
        <v>465</v>
      </c>
      <c r="C21" s="74">
        <v>296524</v>
      </c>
      <c r="D21" s="74">
        <v>334711</v>
      </c>
      <c r="E21" s="419">
        <f>D21/C21</f>
        <v>1.1287821559131808</v>
      </c>
      <c r="F21" s="74"/>
      <c r="G21" s="74">
        <v>29256</v>
      </c>
      <c r="H21" s="74">
        <v>29256</v>
      </c>
      <c r="I21" s="419">
        <f>H21/G21</f>
        <v>1</v>
      </c>
      <c r="J21" s="74"/>
      <c r="K21" s="74"/>
      <c r="L21" s="74"/>
      <c r="M21" s="419"/>
      <c r="N21" s="74">
        <v>61600</v>
      </c>
      <c r="O21" s="74">
        <v>61600</v>
      </c>
      <c r="P21" s="74">
        <v>28980</v>
      </c>
      <c r="Q21" s="419">
        <f>P21/O21</f>
        <v>0.47045454545454546</v>
      </c>
      <c r="R21" s="74"/>
      <c r="S21" s="74"/>
      <c r="T21" s="74"/>
      <c r="U21" s="419"/>
      <c r="V21" s="73" t="s">
        <v>114</v>
      </c>
      <c r="W21" s="74"/>
      <c r="X21" s="74"/>
      <c r="Y21" s="74"/>
      <c r="Z21" s="419"/>
      <c r="AA21" s="74"/>
      <c r="AB21" s="74"/>
      <c r="AC21" s="74">
        <v>500</v>
      </c>
      <c r="AD21" s="419">
        <v>0</v>
      </c>
      <c r="AE21" s="74">
        <v>37781</v>
      </c>
      <c r="AF21" s="74">
        <f>37781+3804</f>
        <v>41585</v>
      </c>
      <c r="AG21" s="74">
        <v>41585</v>
      </c>
      <c r="AH21" s="419">
        <f>AG21/AF21</f>
        <v>1</v>
      </c>
      <c r="AI21" s="74">
        <v>237961</v>
      </c>
      <c r="AJ21" s="74">
        <v>267726</v>
      </c>
      <c r="AK21" s="74">
        <v>273015</v>
      </c>
      <c r="AL21" s="419">
        <f>AK21/AJ21</f>
        <v>1.0197552721812599</v>
      </c>
      <c r="AM21" s="73" t="s">
        <v>114</v>
      </c>
      <c r="AN21" s="74">
        <f>SUM(B21+J21+N21+W21+AI21+AE21-656)</f>
        <v>337151</v>
      </c>
      <c r="AO21" s="74">
        <f>SUM(C21+K21+O21+X21+AJ21+AF21)</f>
        <v>667435</v>
      </c>
      <c r="AP21" s="74">
        <f>SUM(D21+L21+P21+Y21+AK21+AG21)</f>
        <v>678291</v>
      </c>
      <c r="AQ21" s="419">
        <f>AP21/AO21</f>
        <v>1.0162652542944257</v>
      </c>
      <c r="AR21" s="74">
        <v>656</v>
      </c>
      <c r="AS21" s="74">
        <f>G21+S21+AB21</f>
        <v>29256</v>
      </c>
      <c r="AT21" s="74">
        <f>H21+T21+AC21</f>
        <v>29756</v>
      </c>
      <c r="AU21" s="419">
        <f>AT21/AS21</f>
        <v>1.0170905113480995</v>
      </c>
      <c r="AV21" s="75">
        <f t="shared" ref="AV21:AV22" si="29">SUM(AN21+AR21)</f>
        <v>337807</v>
      </c>
      <c r="AW21" s="75">
        <f>SUM(AO21+AS21)</f>
        <v>696691</v>
      </c>
      <c r="AX21" s="75">
        <f>SUM(AP21+AT21)</f>
        <v>708047</v>
      </c>
      <c r="AY21" s="419">
        <f>AX21/AW21</f>
        <v>1.0162999091419296</v>
      </c>
      <c r="AZ21" s="76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</row>
    <row r="22" spans="1:79" s="72" customFormat="1" ht="23.25" customHeight="1" thickBot="1">
      <c r="A22" s="77" t="s">
        <v>139</v>
      </c>
      <c r="B22" s="78"/>
      <c r="C22" s="78"/>
      <c r="D22" s="78"/>
      <c r="E22" s="419"/>
      <c r="F22" s="78"/>
      <c r="G22" s="78"/>
      <c r="H22" s="78"/>
      <c r="I22" s="419"/>
      <c r="J22" s="78"/>
      <c r="K22" s="78"/>
      <c r="L22" s="78"/>
      <c r="M22" s="419"/>
      <c r="N22" s="78"/>
      <c r="O22" s="78"/>
      <c r="P22" s="78"/>
      <c r="Q22" s="419"/>
      <c r="R22" s="78"/>
      <c r="S22" s="78"/>
      <c r="T22" s="78"/>
      <c r="U22" s="419">
        <v>0</v>
      </c>
      <c r="V22" s="77" t="s">
        <v>139</v>
      </c>
      <c r="W22" s="78"/>
      <c r="X22" s="78"/>
      <c r="Y22" s="78"/>
      <c r="Z22" s="419"/>
      <c r="AA22" s="78"/>
      <c r="AB22" s="78"/>
      <c r="AC22" s="78"/>
      <c r="AD22" s="419"/>
      <c r="AE22" s="78"/>
      <c r="AF22" s="78"/>
      <c r="AG22" s="78"/>
      <c r="AH22" s="419"/>
      <c r="AI22" s="78"/>
      <c r="AJ22" s="78"/>
      <c r="AK22" s="78"/>
      <c r="AL22" s="419"/>
      <c r="AM22" s="77" t="s">
        <v>139</v>
      </c>
      <c r="AN22" s="79">
        <f>SUM(B22+J22+N22+W22+AI22)</f>
        <v>0</v>
      </c>
      <c r="AO22" s="79">
        <f>SUM(C22+K22+O22+X22+AJ22)</f>
        <v>0</v>
      </c>
      <c r="AP22" s="79">
        <f>SUM(D22+L22+P22+Y22+AK22)</f>
        <v>0</v>
      </c>
      <c r="AQ22" s="419"/>
      <c r="AR22" s="79">
        <f>SUM(F22+R22+AA22)</f>
        <v>0</v>
      </c>
      <c r="AS22" s="79">
        <f>SUM(G22+S22+AB22)</f>
        <v>0</v>
      </c>
      <c r="AT22" s="79">
        <f>SUM(H22+T22+AC22)</f>
        <v>0</v>
      </c>
      <c r="AU22" s="419">
        <v>0</v>
      </c>
      <c r="AV22" s="75">
        <f t="shared" si="29"/>
        <v>0</v>
      </c>
      <c r="AW22" s="75">
        <f>SUM(AO22+AS22)</f>
        <v>0</v>
      </c>
      <c r="AX22" s="75">
        <f>SUM(AP22+AT22)</f>
        <v>0</v>
      </c>
      <c r="AY22" s="419">
        <v>0</v>
      </c>
      <c r="AZ22" s="76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</row>
    <row r="23" spans="1:79" s="342" customFormat="1" ht="16.5" thickBot="1">
      <c r="A23" s="331" t="s">
        <v>255</v>
      </c>
      <c r="B23" s="332">
        <f>B21+B22</f>
        <v>465</v>
      </c>
      <c r="C23" s="332">
        <f>C21+C22</f>
        <v>296524</v>
      </c>
      <c r="D23" s="332">
        <f t="shared" ref="D23" si="30">D21+D22</f>
        <v>334711</v>
      </c>
      <c r="E23" s="421">
        <f>D23/C23</f>
        <v>1.1287821559131808</v>
      </c>
      <c r="F23" s="332">
        <f t="shared" ref="F23:AN23" si="31">F21+F22</f>
        <v>0</v>
      </c>
      <c r="G23" s="332">
        <f t="shared" ref="G23:H23" si="32">G21+G22</f>
        <v>29256</v>
      </c>
      <c r="H23" s="332">
        <f t="shared" si="32"/>
        <v>29256</v>
      </c>
      <c r="I23" s="421">
        <f>H23/G23</f>
        <v>1</v>
      </c>
      <c r="J23" s="332">
        <f t="shared" si="31"/>
        <v>0</v>
      </c>
      <c r="K23" s="332">
        <f t="shared" ref="K23:L23" si="33">K21+K22</f>
        <v>0</v>
      </c>
      <c r="L23" s="332">
        <f t="shared" si="33"/>
        <v>0</v>
      </c>
      <c r="M23" s="421">
        <v>0</v>
      </c>
      <c r="N23" s="332">
        <f t="shared" si="31"/>
        <v>61600</v>
      </c>
      <c r="O23" s="332">
        <f t="shared" ref="O23:P23" si="34">O21+O22</f>
        <v>61600</v>
      </c>
      <c r="P23" s="332">
        <f t="shared" si="34"/>
        <v>28980</v>
      </c>
      <c r="Q23" s="421">
        <f>P23/O23</f>
        <v>0.47045454545454546</v>
      </c>
      <c r="R23" s="332">
        <f t="shared" si="31"/>
        <v>0</v>
      </c>
      <c r="S23" s="332">
        <f t="shared" ref="S23:T23" si="35">S21+S22</f>
        <v>0</v>
      </c>
      <c r="T23" s="332">
        <f t="shared" si="35"/>
        <v>0</v>
      </c>
      <c r="U23" s="421"/>
      <c r="V23" s="331" t="s">
        <v>255</v>
      </c>
      <c r="W23" s="332">
        <f t="shared" si="31"/>
        <v>0</v>
      </c>
      <c r="X23" s="332">
        <f t="shared" ref="X23:Y23" si="36">X21+X22</f>
        <v>0</v>
      </c>
      <c r="Y23" s="332">
        <f t="shared" si="36"/>
        <v>0</v>
      </c>
      <c r="Z23" s="421">
        <v>0</v>
      </c>
      <c r="AA23" s="332">
        <f t="shared" si="31"/>
        <v>0</v>
      </c>
      <c r="AB23" s="332">
        <f t="shared" ref="AB23:AC23" si="37">AB21+AB22</f>
        <v>0</v>
      </c>
      <c r="AC23" s="332">
        <f t="shared" si="37"/>
        <v>500</v>
      </c>
      <c r="AD23" s="421">
        <v>0</v>
      </c>
      <c r="AE23" s="332">
        <f>AE21+AE22</f>
        <v>37781</v>
      </c>
      <c r="AF23" s="332">
        <f>AF21+AF22</f>
        <v>41585</v>
      </c>
      <c r="AG23" s="332">
        <f t="shared" ref="AG23" si="38">AG21+AG22</f>
        <v>41585</v>
      </c>
      <c r="AH23" s="421">
        <f>AG23/AF23</f>
        <v>1</v>
      </c>
      <c r="AI23" s="332">
        <f t="shared" si="31"/>
        <v>237961</v>
      </c>
      <c r="AJ23" s="332">
        <f t="shared" ref="AJ23:AK23" si="39">AJ21+AJ22</f>
        <v>267726</v>
      </c>
      <c r="AK23" s="332">
        <f t="shared" si="39"/>
        <v>273015</v>
      </c>
      <c r="AL23" s="421">
        <f>AK23/AJ23</f>
        <v>1.0197552721812599</v>
      </c>
      <c r="AM23" s="331" t="s">
        <v>255</v>
      </c>
      <c r="AN23" s="332">
        <f t="shared" si="31"/>
        <v>337151</v>
      </c>
      <c r="AO23" s="332">
        <f>AO21+AO22</f>
        <v>667435</v>
      </c>
      <c r="AP23" s="332">
        <f>AP21+AP22</f>
        <v>678291</v>
      </c>
      <c r="AQ23" s="421">
        <f>AP23/AO23</f>
        <v>1.0162652542944257</v>
      </c>
      <c r="AR23" s="332">
        <f>AR21+AR22</f>
        <v>656</v>
      </c>
      <c r="AS23" s="332">
        <f>AS21+AS22</f>
        <v>29256</v>
      </c>
      <c r="AT23" s="332">
        <f>AT21+AT22</f>
        <v>29756</v>
      </c>
      <c r="AU23" s="421">
        <f>AT23/AS23</f>
        <v>1.0170905113480995</v>
      </c>
      <c r="AV23" s="332">
        <f>AV21+AV22</f>
        <v>337807</v>
      </c>
      <c r="AW23" s="332">
        <f>AW21+AW22</f>
        <v>696691</v>
      </c>
      <c r="AX23" s="332">
        <f>AX21+AX22</f>
        <v>708047</v>
      </c>
      <c r="AY23" s="421">
        <f>AX23/AW23</f>
        <v>1.0162999091419296</v>
      </c>
      <c r="AZ23" s="340"/>
      <c r="BA23" s="333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</row>
    <row r="24" spans="1:79" s="72" customFormat="1" ht="23.25" customHeight="1">
      <c r="A24" s="68" t="s">
        <v>256</v>
      </c>
      <c r="B24" s="79"/>
      <c r="C24" s="79"/>
      <c r="D24" s="79"/>
      <c r="E24" s="422"/>
      <c r="F24" s="79"/>
      <c r="G24" s="79"/>
      <c r="H24" s="79"/>
      <c r="I24" s="422"/>
      <c r="J24" s="79"/>
      <c r="K24" s="79"/>
      <c r="L24" s="79"/>
      <c r="M24" s="422"/>
      <c r="N24" s="79"/>
      <c r="O24" s="79"/>
      <c r="P24" s="79"/>
      <c r="Q24" s="422"/>
      <c r="R24" s="79"/>
      <c r="S24" s="79"/>
      <c r="T24" s="79"/>
      <c r="U24" s="422"/>
      <c r="V24" s="68" t="s">
        <v>256</v>
      </c>
      <c r="W24" s="79"/>
      <c r="X24" s="79"/>
      <c r="Y24" s="79"/>
      <c r="Z24" s="422"/>
      <c r="AA24" s="79"/>
      <c r="AB24" s="79"/>
      <c r="AC24" s="79"/>
      <c r="AD24" s="422"/>
      <c r="AE24" s="79"/>
      <c r="AF24" s="79"/>
      <c r="AG24" s="79"/>
      <c r="AH24" s="422"/>
      <c r="AI24" s="79"/>
      <c r="AJ24" s="79"/>
      <c r="AK24" s="79"/>
      <c r="AL24" s="422"/>
      <c r="AM24" s="68" t="s">
        <v>256</v>
      </c>
      <c r="AN24" s="79"/>
      <c r="AO24" s="79"/>
      <c r="AP24" s="79"/>
      <c r="AQ24" s="422"/>
      <c r="AR24" s="79"/>
      <c r="AS24" s="79"/>
      <c r="AT24" s="79"/>
      <c r="AU24" s="422"/>
      <c r="AV24" s="80"/>
      <c r="AW24" s="80"/>
      <c r="AX24" s="80"/>
      <c r="AY24" s="422"/>
      <c r="AZ24" s="76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</row>
    <row r="25" spans="1:79" s="87" customFormat="1" ht="23.25" customHeight="1">
      <c r="A25" s="477" t="s">
        <v>114</v>
      </c>
      <c r="B25" s="346"/>
      <c r="C25" s="346">
        <v>824</v>
      </c>
      <c r="D25" s="84">
        <v>1183</v>
      </c>
      <c r="E25" s="478">
        <f>D25/C25</f>
        <v>1.4356796116504855</v>
      </c>
      <c r="F25" s="346"/>
      <c r="G25" s="346"/>
      <c r="H25" s="346"/>
      <c r="I25" s="478"/>
      <c r="J25" s="346"/>
      <c r="K25" s="346"/>
      <c r="L25" s="346"/>
      <c r="M25" s="478"/>
      <c r="N25" s="346">
        <v>600</v>
      </c>
      <c r="O25" s="346">
        <v>600</v>
      </c>
      <c r="P25" s="346">
        <v>403</v>
      </c>
      <c r="Q25" s="478">
        <f t="shared" ref="Q25:Q30" si="40">P25/O25</f>
        <v>0.67166666666666663</v>
      </c>
      <c r="R25" s="346"/>
      <c r="S25" s="346"/>
      <c r="T25" s="346"/>
      <c r="U25" s="478"/>
      <c r="V25" s="477" t="s">
        <v>114</v>
      </c>
      <c r="W25" s="346"/>
      <c r="X25" s="346"/>
      <c r="Y25" s="346"/>
      <c r="Z25" s="478"/>
      <c r="AA25" s="346"/>
      <c r="AB25" s="346"/>
      <c r="AC25" s="346"/>
      <c r="AD25" s="478"/>
      <c r="AE25" s="346"/>
      <c r="AF25" s="346">
        <v>615</v>
      </c>
      <c r="AG25" s="346">
        <v>615</v>
      </c>
      <c r="AH25" s="478">
        <f>AG25/AF25</f>
        <v>1</v>
      </c>
      <c r="AI25" s="346">
        <v>22569</v>
      </c>
      <c r="AJ25" s="346">
        <v>27171</v>
      </c>
      <c r="AK25" s="346">
        <v>15362</v>
      </c>
      <c r="AL25" s="478">
        <f t="shared" ref="AL25:AL30" si="41">AK25/AJ25</f>
        <v>0.56538220897280189</v>
      </c>
      <c r="AM25" s="477" t="s">
        <v>114</v>
      </c>
      <c r="AN25" s="84">
        <f>SUM(B25+J25+N25+W25+AI25)</f>
        <v>23169</v>
      </c>
      <c r="AO25" s="84">
        <f>SUM(C25+K25+O25+X25+AJ25+AF25)</f>
        <v>29210</v>
      </c>
      <c r="AP25" s="84">
        <f>SUM(D25+L25+P25+Y25+AK25+AG25)</f>
        <v>17563</v>
      </c>
      <c r="AQ25" s="478">
        <f>AP25/AO25</f>
        <v>0.6012666894899007</v>
      </c>
      <c r="AR25" s="84">
        <f t="shared" ref="AR25:AT26" si="42">SUM(F25+R25+AA25)</f>
        <v>0</v>
      </c>
      <c r="AS25" s="84">
        <f t="shared" si="42"/>
        <v>0</v>
      </c>
      <c r="AT25" s="84">
        <f t="shared" si="42"/>
        <v>0</v>
      </c>
      <c r="AU25" s="478">
        <v>0</v>
      </c>
      <c r="AV25" s="479">
        <f t="shared" ref="AV25:AV26" si="43">SUM(AN25+AR25)</f>
        <v>23169</v>
      </c>
      <c r="AW25" s="479">
        <f>SUM(AO25+AS25)</f>
        <v>29210</v>
      </c>
      <c r="AX25" s="479">
        <f>SUM(AP25+AT25)</f>
        <v>17563</v>
      </c>
      <c r="AY25" s="478">
        <f t="shared" ref="AY25:AY30" si="44">AX25/AW25</f>
        <v>0.6012666894899007</v>
      </c>
      <c r="AZ25" s="85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</row>
    <row r="26" spans="1:79" s="87" customFormat="1" ht="23.25" customHeight="1" thickBot="1">
      <c r="A26" s="82" t="s">
        <v>139</v>
      </c>
      <c r="B26" s="83"/>
      <c r="C26" s="83"/>
      <c r="D26" s="83"/>
      <c r="E26" s="478"/>
      <c r="F26" s="83"/>
      <c r="G26" s="83"/>
      <c r="H26" s="83"/>
      <c r="I26" s="478"/>
      <c r="J26" s="83"/>
      <c r="K26" s="83"/>
      <c r="L26" s="83"/>
      <c r="M26" s="478"/>
      <c r="N26" s="83">
        <v>1553</v>
      </c>
      <c r="O26" s="83">
        <v>1553</v>
      </c>
      <c r="P26" s="83">
        <v>1073</v>
      </c>
      <c r="Q26" s="478">
        <f t="shared" si="40"/>
        <v>0.69092079845460397</v>
      </c>
      <c r="R26" s="83"/>
      <c r="S26" s="83"/>
      <c r="T26" s="83"/>
      <c r="U26" s="478"/>
      <c r="V26" s="82" t="s">
        <v>139</v>
      </c>
      <c r="W26" s="83"/>
      <c r="X26" s="83"/>
      <c r="Y26" s="83"/>
      <c r="Z26" s="478"/>
      <c r="AA26" s="83"/>
      <c r="AB26" s="83"/>
      <c r="AC26" s="83"/>
      <c r="AD26" s="478"/>
      <c r="AE26" s="83"/>
      <c r="AF26" s="83"/>
      <c r="AG26" s="83"/>
      <c r="AH26" s="478"/>
      <c r="AI26" s="83">
        <v>19788</v>
      </c>
      <c r="AJ26" s="83">
        <v>19788</v>
      </c>
      <c r="AK26" s="83">
        <v>12610</v>
      </c>
      <c r="AL26" s="478">
        <f t="shared" si="41"/>
        <v>0.63725490196078427</v>
      </c>
      <c r="AM26" s="82" t="s">
        <v>139</v>
      </c>
      <c r="AN26" s="346">
        <f>SUM(B26+J26+N26+W26+AI26)</f>
        <v>21341</v>
      </c>
      <c r="AO26" s="346">
        <f>SUM(C26+K26+O26+X26+AJ26)</f>
        <v>21341</v>
      </c>
      <c r="AP26" s="346">
        <f>SUM(D26+L26+P26+Y26+AK26)</f>
        <v>13683</v>
      </c>
      <c r="AQ26" s="478"/>
      <c r="AR26" s="346">
        <f t="shared" si="42"/>
        <v>0</v>
      </c>
      <c r="AS26" s="346">
        <f t="shared" si="42"/>
        <v>0</v>
      </c>
      <c r="AT26" s="346">
        <f t="shared" si="42"/>
        <v>0</v>
      </c>
      <c r="AU26" s="478">
        <v>0</v>
      </c>
      <c r="AV26" s="479">
        <f t="shared" si="43"/>
        <v>21341</v>
      </c>
      <c r="AW26" s="479">
        <f>SUM(AO26+AS26)</f>
        <v>21341</v>
      </c>
      <c r="AX26" s="479">
        <f>SUM(AP26+AT26)</f>
        <v>13683</v>
      </c>
      <c r="AY26" s="478">
        <f t="shared" si="44"/>
        <v>0.64116020805023199</v>
      </c>
      <c r="AZ26" s="85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</row>
    <row r="27" spans="1:79" s="72" customFormat="1" ht="37.5" customHeight="1" thickBot="1">
      <c r="A27" s="331" t="s">
        <v>257</v>
      </c>
      <c r="B27" s="332">
        <f>B25+B26</f>
        <v>0</v>
      </c>
      <c r="C27" s="332">
        <f>C25+C26</f>
        <v>824</v>
      </c>
      <c r="D27" s="332">
        <f t="shared" ref="D27" si="45">D25+D26</f>
        <v>1183</v>
      </c>
      <c r="E27" s="421">
        <f>D27/C27</f>
        <v>1.4356796116504855</v>
      </c>
      <c r="F27" s="332">
        <f t="shared" ref="F27:AN27" si="46">F25+F26</f>
        <v>0</v>
      </c>
      <c r="G27" s="332">
        <f t="shared" ref="G27:H27" si="47">G25+G26</f>
        <v>0</v>
      </c>
      <c r="H27" s="332">
        <f t="shared" si="47"/>
        <v>0</v>
      </c>
      <c r="I27" s="421">
        <v>0</v>
      </c>
      <c r="J27" s="332">
        <f t="shared" si="46"/>
        <v>0</v>
      </c>
      <c r="K27" s="332">
        <f t="shared" ref="K27:L27" si="48">K25+K26</f>
        <v>0</v>
      </c>
      <c r="L27" s="332">
        <f t="shared" si="48"/>
        <v>0</v>
      </c>
      <c r="M27" s="421">
        <v>0</v>
      </c>
      <c r="N27" s="332">
        <f t="shared" si="46"/>
        <v>2153</v>
      </c>
      <c r="O27" s="332">
        <f t="shared" ref="O27:P27" si="49">O25+O26</f>
        <v>2153</v>
      </c>
      <c r="P27" s="332">
        <f t="shared" si="49"/>
        <v>1476</v>
      </c>
      <c r="Q27" s="421">
        <f t="shared" si="40"/>
        <v>0.68555503947979568</v>
      </c>
      <c r="R27" s="332">
        <f t="shared" si="46"/>
        <v>0</v>
      </c>
      <c r="S27" s="332">
        <f t="shared" ref="S27:T27" si="50">S25+S26</f>
        <v>0</v>
      </c>
      <c r="T27" s="332">
        <f t="shared" si="50"/>
        <v>0</v>
      </c>
      <c r="U27" s="421">
        <v>0</v>
      </c>
      <c r="V27" s="331" t="s">
        <v>257</v>
      </c>
      <c r="W27" s="332">
        <f t="shared" si="46"/>
        <v>0</v>
      </c>
      <c r="X27" s="332">
        <f t="shared" ref="X27:Y27" si="51">X25+X26</f>
        <v>0</v>
      </c>
      <c r="Y27" s="332">
        <f t="shared" si="51"/>
        <v>0</v>
      </c>
      <c r="Z27" s="421">
        <v>0</v>
      </c>
      <c r="AA27" s="332">
        <f t="shared" si="46"/>
        <v>0</v>
      </c>
      <c r="AB27" s="332">
        <f t="shared" ref="AB27:AC27" si="52">AB25+AB26</f>
        <v>0</v>
      </c>
      <c r="AC27" s="332">
        <f t="shared" si="52"/>
        <v>0</v>
      </c>
      <c r="AD27" s="421">
        <v>0</v>
      </c>
      <c r="AE27" s="332">
        <f>AE25+AE26</f>
        <v>0</v>
      </c>
      <c r="AF27" s="332">
        <f>AF25+AF26</f>
        <v>615</v>
      </c>
      <c r="AG27" s="332">
        <f t="shared" ref="AG27" si="53">AG25+AG26</f>
        <v>615</v>
      </c>
      <c r="AH27" s="421">
        <f>AG27/AF27</f>
        <v>1</v>
      </c>
      <c r="AI27" s="332">
        <f t="shared" si="46"/>
        <v>42357</v>
      </c>
      <c r="AJ27" s="332">
        <f t="shared" ref="AJ27:AK27" si="54">AJ25+AJ26</f>
        <v>46959</v>
      </c>
      <c r="AK27" s="332">
        <f t="shared" si="54"/>
        <v>27972</v>
      </c>
      <c r="AL27" s="421">
        <f t="shared" si="41"/>
        <v>0.5956685619370089</v>
      </c>
      <c r="AM27" s="331" t="s">
        <v>257</v>
      </c>
      <c r="AN27" s="332">
        <f t="shared" si="46"/>
        <v>44510</v>
      </c>
      <c r="AO27" s="332">
        <f t="shared" ref="AO27:AP27" si="55">AO25+AO26</f>
        <v>50551</v>
      </c>
      <c r="AP27" s="332">
        <f t="shared" si="55"/>
        <v>31246</v>
      </c>
      <c r="AQ27" s="421">
        <f>AP27/AO27</f>
        <v>0.61810844493679651</v>
      </c>
      <c r="AR27" s="332">
        <f>AR25+AR26</f>
        <v>0</v>
      </c>
      <c r="AS27" s="332">
        <f>AS25+AS26</f>
        <v>0</v>
      </c>
      <c r="AT27" s="332">
        <f>AT25+AT26</f>
        <v>0</v>
      </c>
      <c r="AU27" s="421">
        <v>0</v>
      </c>
      <c r="AV27" s="332">
        <f>AV25+AV26</f>
        <v>44510</v>
      </c>
      <c r="AW27" s="332">
        <f>AW25+AW26</f>
        <v>50551</v>
      </c>
      <c r="AX27" s="332">
        <f>AX25+AX26</f>
        <v>31246</v>
      </c>
      <c r="AY27" s="421">
        <f t="shared" si="44"/>
        <v>0.61810844493679651</v>
      </c>
      <c r="AZ27" s="76"/>
      <c r="BA27" s="333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</row>
    <row r="28" spans="1:79" s="72" customFormat="1" ht="32.25" thickBot="1">
      <c r="A28" s="81" t="s">
        <v>258</v>
      </c>
      <c r="B28" s="343">
        <f t="shared" ref="B28:D29" si="56">B13+B17+B21+B25</f>
        <v>465</v>
      </c>
      <c r="C28" s="343">
        <f t="shared" si="56"/>
        <v>333393</v>
      </c>
      <c r="D28" s="343">
        <f t="shared" si="56"/>
        <v>370052</v>
      </c>
      <c r="E28" s="425">
        <f>D28/C28</f>
        <v>1.1099573176401425</v>
      </c>
      <c r="F28" s="343">
        <f>F13+F17+F21+F25</f>
        <v>0</v>
      </c>
      <c r="G28" s="343">
        <f>G13+G17+G21+G25</f>
        <v>29256</v>
      </c>
      <c r="H28" s="343">
        <f>H13+H17+H21+H25</f>
        <v>29256</v>
      </c>
      <c r="I28" s="425">
        <f>H28/G28</f>
        <v>1</v>
      </c>
      <c r="J28" s="343">
        <f>J13+J17+J21+J25</f>
        <v>0</v>
      </c>
      <c r="K28" s="343">
        <f>K13+K17+K21+K25</f>
        <v>0</v>
      </c>
      <c r="L28" s="343">
        <f>L13+L17+L21+L25</f>
        <v>0</v>
      </c>
      <c r="M28" s="425">
        <v>0</v>
      </c>
      <c r="N28" s="343">
        <f>N13+N17+N21+N25</f>
        <v>90094</v>
      </c>
      <c r="O28" s="343">
        <f>O13+O17+O21+O25</f>
        <v>105274</v>
      </c>
      <c r="P28" s="343">
        <f>P13+P17+P21+P25</f>
        <v>77340</v>
      </c>
      <c r="Q28" s="425">
        <f t="shared" si="40"/>
        <v>0.7346543306039478</v>
      </c>
      <c r="R28" s="343">
        <f>R13+R17+R21+R25</f>
        <v>0</v>
      </c>
      <c r="S28" s="343">
        <f>S13+S17+S21+S25</f>
        <v>0</v>
      </c>
      <c r="T28" s="343">
        <f>T13+T17+T21+T25</f>
        <v>0</v>
      </c>
      <c r="U28" s="425">
        <v>0</v>
      </c>
      <c r="V28" s="81" t="s">
        <v>258</v>
      </c>
      <c r="W28" s="343">
        <f>W13+W17+W21+W25</f>
        <v>0</v>
      </c>
      <c r="X28" s="343">
        <f>X13+X17+X21+X25</f>
        <v>3150</v>
      </c>
      <c r="Y28" s="343">
        <f>Y13+Y17+Y21+Y25</f>
        <v>3150</v>
      </c>
      <c r="Z28" s="425">
        <v>0</v>
      </c>
      <c r="AA28" s="343">
        <f>AA13+AA17+AA21+AA25</f>
        <v>0</v>
      </c>
      <c r="AB28" s="343">
        <f>AB13+AB17+AB21+AB25</f>
        <v>0</v>
      </c>
      <c r="AC28" s="343">
        <f>AC13+AC17+AC21+AC25</f>
        <v>500</v>
      </c>
      <c r="AD28" s="425">
        <v>0</v>
      </c>
      <c r="AE28" s="343">
        <f>AE13+AE17+AE21+AE25</f>
        <v>37781</v>
      </c>
      <c r="AF28" s="343">
        <f>AF13+AF17+AF21+AF25</f>
        <v>59107</v>
      </c>
      <c r="AG28" s="343">
        <f>AG13+AG17+AG21+AG25</f>
        <v>59107</v>
      </c>
      <c r="AH28" s="425">
        <f>AG28/AF28</f>
        <v>1</v>
      </c>
      <c r="AI28" s="343">
        <f>AI13+AI17+AI21+AI25</f>
        <v>883990</v>
      </c>
      <c r="AJ28" s="343">
        <f>AJ13+AJ17+AJ21+AJ25</f>
        <v>917170</v>
      </c>
      <c r="AK28" s="343">
        <f>AK13+AK17+AK21+AK25</f>
        <v>746257</v>
      </c>
      <c r="AL28" s="425">
        <f t="shared" si="41"/>
        <v>0.81365177666081534</v>
      </c>
      <c r="AM28" s="81" t="s">
        <v>258</v>
      </c>
      <c r="AN28" s="343">
        <f>AN13+AN17+AN21+AN25</f>
        <v>1011674</v>
      </c>
      <c r="AO28" s="343">
        <f>AO13+AO17+AO21+AO25</f>
        <v>1418094</v>
      </c>
      <c r="AP28" s="343">
        <f>AP13+AP17+AP21+AP25</f>
        <v>1255906</v>
      </c>
      <c r="AQ28" s="425">
        <f>AP28/AO28</f>
        <v>0.88562958449862983</v>
      </c>
      <c r="AR28" s="343">
        <f t="shared" ref="AR28:AS28" si="57">AR13+AR17+AR21+AR25</f>
        <v>656</v>
      </c>
      <c r="AS28" s="343">
        <f t="shared" si="57"/>
        <v>29256</v>
      </c>
      <c r="AT28" s="343">
        <f t="shared" ref="AT28" si="58">AT13+AT17+AT21+AT25</f>
        <v>29756</v>
      </c>
      <c r="AU28" s="425">
        <f>AT28/AS28</f>
        <v>1.0170905113480995</v>
      </c>
      <c r="AV28" s="348">
        <f>AV13+AV17+AV21+AV25</f>
        <v>1012330</v>
      </c>
      <c r="AW28" s="348">
        <f>AW13+AW17+AW21+AW25</f>
        <v>1447350</v>
      </c>
      <c r="AX28" s="348">
        <f>AX13+AX17+AX21+AX25</f>
        <v>1285662</v>
      </c>
      <c r="AY28" s="426">
        <f t="shared" si="44"/>
        <v>0.88828686910560684</v>
      </c>
      <c r="AZ28" s="76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</row>
    <row r="29" spans="1:79" s="72" customFormat="1" ht="54" customHeight="1" thickBot="1">
      <c r="A29" s="344" t="s">
        <v>259</v>
      </c>
      <c r="B29" s="79">
        <f t="shared" si="56"/>
        <v>0</v>
      </c>
      <c r="C29" s="79">
        <f t="shared" si="56"/>
        <v>0</v>
      </c>
      <c r="D29" s="79">
        <f t="shared" si="56"/>
        <v>0</v>
      </c>
      <c r="E29" s="419">
        <v>0</v>
      </c>
      <c r="F29" s="79">
        <f t="shared" ref="F29" si="59">F14+F18+F22+F26</f>
        <v>0</v>
      </c>
      <c r="G29" s="79">
        <f t="shared" ref="G29:H29" si="60">G14+G18+G22+G26</f>
        <v>0</v>
      </c>
      <c r="H29" s="79">
        <f t="shared" si="60"/>
        <v>0</v>
      </c>
      <c r="I29" s="419">
        <v>0</v>
      </c>
      <c r="J29" s="79">
        <f t="shared" ref="J29:L29" si="61">J14+J18+J22+J26</f>
        <v>0</v>
      </c>
      <c r="K29" s="79">
        <f t="shared" si="61"/>
        <v>0</v>
      </c>
      <c r="L29" s="79">
        <f t="shared" si="61"/>
        <v>0</v>
      </c>
      <c r="M29" s="419">
        <v>0</v>
      </c>
      <c r="N29" s="79">
        <f t="shared" ref="N29:P29" si="62">N14+N18+N22+N26</f>
        <v>8983</v>
      </c>
      <c r="O29" s="79">
        <f t="shared" si="62"/>
        <v>8983</v>
      </c>
      <c r="P29" s="79">
        <f t="shared" si="62"/>
        <v>1073</v>
      </c>
      <c r="Q29" s="425">
        <f t="shared" si="40"/>
        <v>0.11944784593120339</v>
      </c>
      <c r="R29" s="79">
        <f t="shared" ref="R29:T29" si="63">R14+R18+R22+R26</f>
        <v>0</v>
      </c>
      <c r="S29" s="79">
        <f t="shared" si="63"/>
        <v>0</v>
      </c>
      <c r="T29" s="79">
        <f t="shared" si="63"/>
        <v>0</v>
      </c>
      <c r="U29" s="419">
        <v>0</v>
      </c>
      <c r="V29" s="344" t="s">
        <v>259</v>
      </c>
      <c r="W29" s="79">
        <f t="shared" ref="W29:Y29" si="64">W14+W18+W22+W26</f>
        <v>0</v>
      </c>
      <c r="X29" s="79">
        <f t="shared" si="64"/>
        <v>0</v>
      </c>
      <c r="Y29" s="79">
        <f t="shared" si="64"/>
        <v>0</v>
      </c>
      <c r="Z29" s="419">
        <v>0</v>
      </c>
      <c r="AA29" s="79">
        <f t="shared" ref="AA29:AC29" si="65">AA14+AA18+AA22+AA26</f>
        <v>0</v>
      </c>
      <c r="AB29" s="79">
        <f t="shared" si="65"/>
        <v>0</v>
      </c>
      <c r="AC29" s="79">
        <f t="shared" si="65"/>
        <v>0</v>
      </c>
      <c r="AD29" s="419">
        <v>0</v>
      </c>
      <c r="AE29" s="79">
        <f t="shared" ref="AE29:AG29" si="66">AE14+AE18+AE22+AE26</f>
        <v>0</v>
      </c>
      <c r="AF29" s="79">
        <f t="shared" si="66"/>
        <v>0</v>
      </c>
      <c r="AG29" s="79">
        <f t="shared" si="66"/>
        <v>0</v>
      </c>
      <c r="AH29" s="419"/>
      <c r="AI29" s="79">
        <f t="shared" ref="AI29:AK29" si="67">AI14+AI18+AI22+AI26</f>
        <v>28685</v>
      </c>
      <c r="AJ29" s="79">
        <f t="shared" si="67"/>
        <v>28685</v>
      </c>
      <c r="AK29" s="79">
        <f t="shared" si="67"/>
        <v>12610</v>
      </c>
      <c r="AL29" s="425">
        <f t="shared" si="41"/>
        <v>0.43960257974551159</v>
      </c>
      <c r="AM29" s="344" t="s">
        <v>259</v>
      </c>
      <c r="AN29" s="79">
        <f t="shared" ref="AN29:AP29" si="68">AN14+AN18+AN22+AN26</f>
        <v>37668</v>
      </c>
      <c r="AO29" s="79">
        <f t="shared" si="68"/>
        <v>37668</v>
      </c>
      <c r="AP29" s="79">
        <f t="shared" si="68"/>
        <v>13683</v>
      </c>
      <c r="AQ29" s="419"/>
      <c r="AR29" s="345">
        <f>SUM(F29+R29+AA29)</f>
        <v>0</v>
      </c>
      <c r="AS29" s="345">
        <f>SUM(G29+S29+AB29)</f>
        <v>0</v>
      </c>
      <c r="AT29" s="345">
        <f>SUM(H29+T29+AC29)</f>
        <v>0</v>
      </c>
      <c r="AU29" s="419">
        <v>0</v>
      </c>
      <c r="AV29" s="80">
        <f t="shared" ref="AV29:AW29" si="69">AV14+AV18+AV22+AV26</f>
        <v>37668</v>
      </c>
      <c r="AW29" s="80">
        <f t="shared" si="69"/>
        <v>37668</v>
      </c>
      <c r="AX29" s="80">
        <f>AX14+AX18+AX22+AX26</f>
        <v>13683</v>
      </c>
      <c r="AY29" s="426">
        <f t="shared" si="44"/>
        <v>0.36325262822554955</v>
      </c>
      <c r="AZ29" s="76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</row>
    <row r="30" spans="1:79" s="72" customFormat="1" ht="32.25" thickBot="1">
      <c r="A30" s="331" t="s">
        <v>260</v>
      </c>
      <c r="B30" s="332">
        <f>B28+B29</f>
        <v>465</v>
      </c>
      <c r="C30" s="332">
        <f>C28+C29</f>
        <v>333393</v>
      </c>
      <c r="D30" s="332">
        <f>D28+D29</f>
        <v>370052</v>
      </c>
      <c r="E30" s="421">
        <f>D30/C30</f>
        <v>1.1099573176401425</v>
      </c>
      <c r="F30" s="332">
        <f t="shared" ref="F30" si="70">F28+F29</f>
        <v>0</v>
      </c>
      <c r="G30" s="332">
        <f t="shared" ref="G30" si="71">G28+G29</f>
        <v>29256</v>
      </c>
      <c r="H30" s="332">
        <f t="shared" ref="H30" si="72">H28+H29</f>
        <v>29256</v>
      </c>
      <c r="I30" s="421">
        <f>H30/G30</f>
        <v>1</v>
      </c>
      <c r="J30" s="332">
        <f t="shared" ref="J30:L30" si="73">J28+J29</f>
        <v>0</v>
      </c>
      <c r="K30" s="332">
        <f t="shared" si="73"/>
        <v>0</v>
      </c>
      <c r="L30" s="332">
        <f t="shared" si="73"/>
        <v>0</v>
      </c>
      <c r="M30" s="421">
        <v>0</v>
      </c>
      <c r="N30" s="332">
        <f t="shared" ref="N30:P30" si="74">N28+N29</f>
        <v>99077</v>
      </c>
      <c r="O30" s="332">
        <f t="shared" si="74"/>
        <v>114257</v>
      </c>
      <c r="P30" s="332">
        <f t="shared" si="74"/>
        <v>78413</v>
      </c>
      <c r="Q30" s="421">
        <f t="shared" si="40"/>
        <v>0.68628617940257486</v>
      </c>
      <c r="R30" s="332">
        <f t="shared" ref="R30:T30" si="75">R28+R29</f>
        <v>0</v>
      </c>
      <c r="S30" s="332">
        <f t="shared" si="75"/>
        <v>0</v>
      </c>
      <c r="T30" s="332">
        <f t="shared" si="75"/>
        <v>0</v>
      </c>
      <c r="U30" s="421">
        <v>0</v>
      </c>
      <c r="V30" s="331" t="s">
        <v>260</v>
      </c>
      <c r="W30" s="332">
        <f t="shared" ref="W30:Y30" si="76">W28+W29</f>
        <v>0</v>
      </c>
      <c r="X30" s="332">
        <f t="shared" si="76"/>
        <v>3150</v>
      </c>
      <c r="Y30" s="332">
        <f t="shared" si="76"/>
        <v>3150</v>
      </c>
      <c r="Z30" s="421">
        <v>0</v>
      </c>
      <c r="AA30" s="332">
        <f t="shared" ref="AA30:AC30" si="77">AA28+AA29</f>
        <v>0</v>
      </c>
      <c r="AB30" s="332">
        <f t="shared" si="77"/>
        <v>0</v>
      </c>
      <c r="AC30" s="332">
        <f t="shared" si="77"/>
        <v>500</v>
      </c>
      <c r="AD30" s="421">
        <v>0</v>
      </c>
      <c r="AE30" s="332">
        <f t="shared" ref="AE30:AG30" si="78">AE28+AE29</f>
        <v>37781</v>
      </c>
      <c r="AF30" s="332">
        <f t="shared" si="78"/>
        <v>59107</v>
      </c>
      <c r="AG30" s="332">
        <f t="shared" si="78"/>
        <v>59107</v>
      </c>
      <c r="AH30" s="421">
        <f>AG30/AF30</f>
        <v>1</v>
      </c>
      <c r="AI30" s="332">
        <f t="shared" ref="AI30:AK30" si="79">AI28+AI29</f>
        <v>912675</v>
      </c>
      <c r="AJ30" s="332">
        <f t="shared" si="79"/>
        <v>945855</v>
      </c>
      <c r="AK30" s="332">
        <f t="shared" si="79"/>
        <v>758867</v>
      </c>
      <c r="AL30" s="421">
        <f t="shared" si="41"/>
        <v>0.80230796475146826</v>
      </c>
      <c r="AM30" s="331" t="s">
        <v>260</v>
      </c>
      <c r="AN30" s="332">
        <f t="shared" ref="AN30:AP30" si="80">AN28+AN29</f>
        <v>1049342</v>
      </c>
      <c r="AO30" s="332">
        <f t="shared" si="80"/>
        <v>1455762</v>
      </c>
      <c r="AP30" s="332">
        <f t="shared" si="80"/>
        <v>1269589</v>
      </c>
      <c r="AQ30" s="421">
        <f>AP30/AO30</f>
        <v>0.87211302396957746</v>
      </c>
      <c r="AR30" s="332">
        <f>AR28+AR29</f>
        <v>656</v>
      </c>
      <c r="AS30" s="332">
        <f>AS28+AS29</f>
        <v>29256</v>
      </c>
      <c r="AT30" s="332">
        <f>AT28+AT29</f>
        <v>29756</v>
      </c>
      <c r="AU30" s="421">
        <f>AT30/AS30</f>
        <v>1.0170905113480995</v>
      </c>
      <c r="AV30" s="332">
        <f t="shared" ref="AV30:AX30" si="81">AV28+AV29</f>
        <v>1049998</v>
      </c>
      <c r="AW30" s="332">
        <f t="shared" si="81"/>
        <v>1485018</v>
      </c>
      <c r="AX30" s="332">
        <f t="shared" si="81"/>
        <v>1299345</v>
      </c>
      <c r="AY30" s="421">
        <f t="shared" si="44"/>
        <v>0.87496919229261871</v>
      </c>
      <c r="AZ30" s="76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</row>
    <row r="31" spans="1:79" s="72" customFormat="1" ht="24.75" customHeight="1">
      <c r="A31" s="68" t="s">
        <v>261</v>
      </c>
      <c r="B31" s="79"/>
      <c r="C31" s="79"/>
      <c r="D31" s="79"/>
      <c r="E31" s="422"/>
      <c r="F31" s="79"/>
      <c r="G31" s="79"/>
      <c r="H31" s="79"/>
      <c r="I31" s="422"/>
      <c r="J31" s="79"/>
      <c r="K31" s="79"/>
      <c r="L31" s="79"/>
      <c r="M31" s="422"/>
      <c r="N31" s="79"/>
      <c r="O31" s="79"/>
      <c r="P31" s="79"/>
      <c r="Q31" s="422"/>
      <c r="R31" s="79"/>
      <c r="S31" s="79"/>
      <c r="T31" s="79"/>
      <c r="U31" s="422"/>
      <c r="V31" s="68" t="s">
        <v>261</v>
      </c>
      <c r="W31" s="79"/>
      <c r="X31" s="79"/>
      <c r="Y31" s="79"/>
      <c r="Z31" s="422"/>
      <c r="AA31" s="79"/>
      <c r="AB31" s="79"/>
      <c r="AC31" s="79"/>
      <c r="AD31" s="422"/>
      <c r="AE31" s="79"/>
      <c r="AF31" s="79"/>
      <c r="AG31" s="79"/>
      <c r="AH31" s="422"/>
      <c r="AI31" s="79"/>
      <c r="AJ31" s="79"/>
      <c r="AK31" s="79"/>
      <c r="AL31" s="422"/>
      <c r="AM31" s="68" t="s">
        <v>261</v>
      </c>
      <c r="AN31" s="79"/>
      <c r="AO31" s="79"/>
      <c r="AP31" s="79"/>
      <c r="AQ31" s="422"/>
      <c r="AR31" s="79"/>
      <c r="AS31" s="79"/>
      <c r="AT31" s="79"/>
      <c r="AU31" s="422"/>
      <c r="AV31" s="80"/>
      <c r="AW31" s="80"/>
      <c r="AX31" s="80"/>
      <c r="AY31" s="422"/>
      <c r="AZ31" s="76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</row>
    <row r="32" spans="1:79" s="72" customFormat="1" ht="24.75" customHeight="1">
      <c r="A32" s="81" t="s">
        <v>114</v>
      </c>
      <c r="B32" s="79"/>
      <c r="C32" s="79">
        <v>2976</v>
      </c>
      <c r="D32" s="74">
        <v>6181</v>
      </c>
      <c r="E32" s="419">
        <f>D32/C32</f>
        <v>2.076948924731183</v>
      </c>
      <c r="F32" s="79"/>
      <c r="G32" s="79"/>
      <c r="H32" s="79"/>
      <c r="I32" s="419"/>
      <c r="J32" s="79"/>
      <c r="K32" s="79"/>
      <c r="L32" s="79"/>
      <c r="M32" s="419"/>
      <c r="N32" s="79">
        <v>10500</v>
      </c>
      <c r="O32" s="79">
        <f>N32+1162</f>
        <v>11662</v>
      </c>
      <c r="P32" s="79">
        <v>9529</v>
      </c>
      <c r="Q32" s="419">
        <f>P32/O32</f>
        <v>0.81709826787857998</v>
      </c>
      <c r="R32" s="79"/>
      <c r="S32" s="79"/>
      <c r="T32" s="79"/>
      <c r="U32" s="419"/>
      <c r="V32" s="81" t="s">
        <v>114</v>
      </c>
      <c r="W32" s="79"/>
      <c r="X32" s="79"/>
      <c r="Y32" s="79"/>
      <c r="Z32" s="419"/>
      <c r="AA32" s="79"/>
      <c r="AB32" s="79"/>
      <c r="AC32" s="79"/>
      <c r="AD32" s="419"/>
      <c r="AE32" s="79"/>
      <c r="AF32" s="79">
        <v>8768</v>
      </c>
      <c r="AG32" s="79">
        <v>8768</v>
      </c>
      <c r="AH32" s="419">
        <f>AG32/AF32</f>
        <v>1</v>
      </c>
      <c r="AI32" s="79">
        <v>315300</v>
      </c>
      <c r="AJ32" s="79">
        <v>316878</v>
      </c>
      <c r="AK32" s="79">
        <v>202705</v>
      </c>
      <c r="AL32" s="419">
        <f>AK32/AJ32</f>
        <v>0.639694140962768</v>
      </c>
      <c r="AM32" s="81" t="s">
        <v>114</v>
      </c>
      <c r="AN32" s="74">
        <f>SUM(B32+J32+N32+W32+AI32)</f>
        <v>325800</v>
      </c>
      <c r="AO32" s="74">
        <f>SUM(C32+K32+O32+X32+AJ32+AF32)</f>
        <v>340284</v>
      </c>
      <c r="AP32" s="74">
        <f>SUM(D32+L32+P32+Y32+AK32+AG32)</f>
        <v>227183</v>
      </c>
      <c r="AQ32" s="419">
        <f>AP32/AO32</f>
        <v>0.66762762868662651</v>
      </c>
      <c r="AR32" s="74">
        <f t="shared" ref="AR32:AT34" si="82">SUM(F32+R32+AA32)</f>
        <v>0</v>
      </c>
      <c r="AS32" s="74">
        <f t="shared" si="82"/>
        <v>0</v>
      </c>
      <c r="AT32" s="74">
        <f t="shared" si="82"/>
        <v>0</v>
      </c>
      <c r="AU32" s="419">
        <v>0</v>
      </c>
      <c r="AV32" s="75">
        <f t="shared" ref="AV32:AV33" si="83">SUM(AN32+AR32)</f>
        <v>325800</v>
      </c>
      <c r="AW32" s="75">
        <f t="shared" ref="AW32:AW33" si="84">SUM(AO32:AS32)</f>
        <v>567467.66762762866</v>
      </c>
      <c r="AX32" s="479">
        <f t="shared" ref="AX32:AX34" si="85">SUM(AP32+AT32)</f>
        <v>227183</v>
      </c>
      <c r="AY32" s="419">
        <f>AX32/AW32</f>
        <v>0.40034527596923303</v>
      </c>
      <c r="AZ32" s="76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</row>
    <row r="33" spans="1:79" s="72" customFormat="1" ht="24.75" customHeight="1">
      <c r="A33" s="77" t="s">
        <v>139</v>
      </c>
      <c r="B33" s="78"/>
      <c r="C33" s="78"/>
      <c r="D33" s="78"/>
      <c r="E33" s="420"/>
      <c r="F33" s="78"/>
      <c r="G33" s="78"/>
      <c r="H33" s="78"/>
      <c r="I33" s="420"/>
      <c r="J33" s="78"/>
      <c r="K33" s="78"/>
      <c r="L33" s="78"/>
      <c r="M33" s="420"/>
      <c r="N33" s="78"/>
      <c r="O33" s="78"/>
      <c r="P33" s="78"/>
      <c r="Q33" s="420"/>
      <c r="R33" s="78"/>
      <c r="S33" s="78"/>
      <c r="T33" s="78"/>
      <c r="U33" s="420"/>
      <c r="V33" s="77" t="s">
        <v>139</v>
      </c>
      <c r="W33" s="78"/>
      <c r="X33" s="78">
        <v>700</v>
      </c>
      <c r="Y33" s="78">
        <v>700</v>
      </c>
      <c r="Z33" s="420">
        <v>0</v>
      </c>
      <c r="AA33" s="78"/>
      <c r="AB33" s="78"/>
      <c r="AC33" s="78"/>
      <c r="AD33" s="420"/>
      <c r="AE33" s="78"/>
      <c r="AF33" s="78"/>
      <c r="AG33" s="78"/>
      <c r="AH33" s="420"/>
      <c r="AI33" s="78">
        <v>755</v>
      </c>
      <c r="AJ33" s="78">
        <v>755</v>
      </c>
      <c r="AK33" s="78"/>
      <c r="AL33" s="420"/>
      <c r="AM33" s="77" t="s">
        <v>139</v>
      </c>
      <c r="AN33" s="74">
        <f>SUM(B33+J33+N33+W33+AI33)</f>
        <v>755</v>
      </c>
      <c r="AO33" s="74">
        <f>SUM(C33+K33+O33+X33+AJ33)</f>
        <v>1455</v>
      </c>
      <c r="AP33" s="74">
        <f>SUM(D33+L33+P33+Y33+AK33)</f>
        <v>700</v>
      </c>
      <c r="AQ33" s="419">
        <f t="shared" ref="AQ33:AQ34" si="86">AP33/AO33</f>
        <v>0.48109965635738833</v>
      </c>
      <c r="AR33" s="74">
        <f t="shared" si="82"/>
        <v>0</v>
      </c>
      <c r="AS33" s="74">
        <f t="shared" si="82"/>
        <v>0</v>
      </c>
      <c r="AT33" s="74">
        <f t="shared" si="82"/>
        <v>0</v>
      </c>
      <c r="AU33" s="420">
        <v>0</v>
      </c>
      <c r="AV33" s="75">
        <f t="shared" si="83"/>
        <v>755</v>
      </c>
      <c r="AW33" s="75">
        <f t="shared" si="84"/>
        <v>2155.4810996563574</v>
      </c>
      <c r="AX33" s="479">
        <f t="shared" si="85"/>
        <v>700</v>
      </c>
      <c r="AY33" s="419">
        <f t="shared" ref="AY33:AY34" si="87">AX33/AW33</f>
        <v>0.32475348548015526</v>
      </c>
      <c r="AZ33" s="76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</row>
    <row r="34" spans="1:79" s="87" customFormat="1" ht="24.75" customHeight="1" thickBot="1">
      <c r="A34" s="82" t="s">
        <v>262</v>
      </c>
      <c r="B34" s="83"/>
      <c r="C34" s="83"/>
      <c r="D34" s="83"/>
      <c r="E34" s="423"/>
      <c r="F34" s="83"/>
      <c r="G34" s="83"/>
      <c r="H34" s="83"/>
      <c r="I34" s="423"/>
      <c r="J34" s="83">
        <v>100</v>
      </c>
      <c r="K34" s="83">
        <v>100</v>
      </c>
      <c r="L34" s="83">
        <v>40</v>
      </c>
      <c r="M34" s="419">
        <f>L34/K34</f>
        <v>0.4</v>
      </c>
      <c r="N34" s="83"/>
      <c r="O34" s="83"/>
      <c r="P34" s="83"/>
      <c r="Q34" s="423"/>
      <c r="R34" s="83"/>
      <c r="S34" s="83"/>
      <c r="T34" s="83"/>
      <c r="U34" s="423"/>
      <c r="V34" s="82" t="s">
        <v>262</v>
      </c>
      <c r="W34" s="83"/>
      <c r="X34" s="83"/>
      <c r="Y34" s="83"/>
      <c r="Z34" s="423"/>
      <c r="AA34" s="83"/>
      <c r="AB34" s="83"/>
      <c r="AC34" s="83"/>
      <c r="AD34" s="423"/>
      <c r="AE34" s="83"/>
      <c r="AF34" s="83"/>
      <c r="AG34" s="83"/>
      <c r="AH34" s="423"/>
      <c r="AI34" s="83"/>
      <c r="AJ34" s="83"/>
      <c r="AK34" s="83"/>
      <c r="AL34" s="423"/>
      <c r="AM34" s="82" t="s">
        <v>262</v>
      </c>
      <c r="AN34" s="346">
        <f>SUM(B34+J34+N34+W34+AI34)</f>
        <v>100</v>
      </c>
      <c r="AO34" s="346">
        <f>SUM(C34+K34+O34+X34+AJ34)</f>
        <v>100</v>
      </c>
      <c r="AP34" s="346">
        <f>SUM(D34+L34+P34+Y34+AK34)</f>
        <v>40</v>
      </c>
      <c r="AQ34" s="419">
        <f t="shared" si="86"/>
        <v>0.4</v>
      </c>
      <c r="AR34" s="346">
        <f t="shared" si="82"/>
        <v>0</v>
      </c>
      <c r="AS34" s="346">
        <f t="shared" si="82"/>
        <v>0</v>
      </c>
      <c r="AT34" s="346">
        <f t="shared" si="82"/>
        <v>0</v>
      </c>
      <c r="AU34" s="423">
        <v>0</v>
      </c>
      <c r="AV34" s="75">
        <f>SUM(AN34+AR34)</f>
        <v>100</v>
      </c>
      <c r="AW34" s="75">
        <f>SUM(AO34+AS34)</f>
        <v>100</v>
      </c>
      <c r="AX34" s="479">
        <f t="shared" si="85"/>
        <v>40</v>
      </c>
      <c r="AY34" s="419">
        <f t="shared" si="87"/>
        <v>0.4</v>
      </c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</row>
    <row r="35" spans="1:79" s="72" customFormat="1" ht="27.75" customHeight="1" thickBot="1">
      <c r="A35" s="331" t="s">
        <v>263</v>
      </c>
      <c r="B35" s="332">
        <f>SUM(B32:B34)</f>
        <v>0</v>
      </c>
      <c r="C35" s="332">
        <f>SUM(C32:C34)</f>
        <v>2976</v>
      </c>
      <c r="D35" s="332">
        <f>D33+D34+D32</f>
        <v>6181</v>
      </c>
      <c r="E35" s="421">
        <f>D35/C35</f>
        <v>2.076948924731183</v>
      </c>
      <c r="F35" s="332">
        <f t="shared" ref="F35:AR35" si="88">SUM(F32:F34)</f>
        <v>0</v>
      </c>
      <c r="G35" s="332">
        <f t="shared" ref="G35:H35" si="89">SUM(G32:G34)</f>
        <v>0</v>
      </c>
      <c r="H35" s="332">
        <f t="shared" si="89"/>
        <v>0</v>
      </c>
      <c r="I35" s="421">
        <v>0</v>
      </c>
      <c r="J35" s="332">
        <f t="shared" si="88"/>
        <v>100</v>
      </c>
      <c r="K35" s="332">
        <f t="shared" ref="K35:L35" si="90">SUM(K32:K34)</f>
        <v>100</v>
      </c>
      <c r="L35" s="332">
        <f t="shared" si="90"/>
        <v>40</v>
      </c>
      <c r="M35" s="421">
        <f>L35/K35</f>
        <v>0.4</v>
      </c>
      <c r="N35" s="332">
        <f t="shared" si="88"/>
        <v>10500</v>
      </c>
      <c r="O35" s="332">
        <f t="shared" ref="O35:P35" si="91">SUM(O32:O34)</f>
        <v>11662</v>
      </c>
      <c r="P35" s="332">
        <f t="shared" si="91"/>
        <v>9529</v>
      </c>
      <c r="Q35" s="421">
        <f>P35/O35</f>
        <v>0.81709826787857998</v>
      </c>
      <c r="R35" s="332">
        <f t="shared" si="88"/>
        <v>0</v>
      </c>
      <c r="S35" s="332">
        <f t="shared" ref="S35:T35" si="92">SUM(S32:S34)</f>
        <v>0</v>
      </c>
      <c r="T35" s="332">
        <f t="shared" si="92"/>
        <v>0</v>
      </c>
      <c r="U35" s="421">
        <v>0</v>
      </c>
      <c r="V35" s="331" t="s">
        <v>263</v>
      </c>
      <c r="W35" s="332">
        <f t="shared" si="88"/>
        <v>0</v>
      </c>
      <c r="X35" s="332">
        <f t="shared" ref="X35:Y35" si="93">SUM(X32:X34)</f>
        <v>700</v>
      </c>
      <c r="Y35" s="332">
        <f t="shared" si="93"/>
        <v>700</v>
      </c>
      <c r="Z35" s="421">
        <v>0</v>
      </c>
      <c r="AA35" s="332">
        <f t="shared" si="88"/>
        <v>0</v>
      </c>
      <c r="AB35" s="332">
        <f t="shared" ref="AB35:AC35" si="94">SUM(AB32:AB34)</f>
        <v>0</v>
      </c>
      <c r="AC35" s="332">
        <f t="shared" si="94"/>
        <v>0</v>
      </c>
      <c r="AD35" s="421">
        <v>0</v>
      </c>
      <c r="AE35" s="332">
        <f t="shared" si="88"/>
        <v>0</v>
      </c>
      <c r="AF35" s="332">
        <f t="shared" ref="AF35:AG35" si="95">SUM(AF32:AF34)</f>
        <v>8768</v>
      </c>
      <c r="AG35" s="332">
        <f t="shared" si="95"/>
        <v>8768</v>
      </c>
      <c r="AH35" s="421">
        <f>AG35/AF35</f>
        <v>1</v>
      </c>
      <c r="AI35" s="332">
        <f t="shared" si="88"/>
        <v>316055</v>
      </c>
      <c r="AJ35" s="332">
        <f>SUM(AJ32:AJ34)</f>
        <v>317633</v>
      </c>
      <c r="AK35" s="332">
        <f t="shared" ref="AK35" si="96">SUM(AK32:AK34)</f>
        <v>202705</v>
      </c>
      <c r="AL35" s="421">
        <f>AK35/AJ35</f>
        <v>0.63817361546186957</v>
      </c>
      <c r="AM35" s="331" t="s">
        <v>263</v>
      </c>
      <c r="AN35" s="332">
        <f t="shared" si="88"/>
        <v>326655</v>
      </c>
      <c r="AO35" s="332">
        <f t="shared" ref="AO35" si="97">SUM(AO32:AO34)</f>
        <v>341839</v>
      </c>
      <c r="AP35" s="332">
        <f>SUM(AP32:AP34)</f>
        <v>227923</v>
      </c>
      <c r="AQ35" s="421">
        <f>AP35/AO35</f>
        <v>0.6667554023970349</v>
      </c>
      <c r="AR35" s="332">
        <f t="shared" si="88"/>
        <v>0</v>
      </c>
      <c r="AS35" s="332">
        <f t="shared" ref="AS35:AT35" si="98">SUM(AS32:AS34)</f>
        <v>0</v>
      </c>
      <c r="AT35" s="332">
        <f t="shared" si="98"/>
        <v>0</v>
      </c>
      <c r="AU35" s="421">
        <v>0</v>
      </c>
      <c r="AV35" s="332">
        <f>SUM(AV32:AV34)</f>
        <v>326655</v>
      </c>
      <c r="AW35" s="332">
        <f>SUM(AW32:AW34)</f>
        <v>569723.14872728498</v>
      </c>
      <c r="AX35" s="332">
        <f>SUM(AX32:AX34)</f>
        <v>227923</v>
      </c>
      <c r="AY35" s="421">
        <f>AX35/AW35</f>
        <v>0.400059222640262</v>
      </c>
      <c r="AZ35" s="76"/>
      <c r="BA35" s="333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</row>
    <row r="36" spans="1:79" s="72" customFormat="1" ht="16.5" thickBot="1">
      <c r="A36" s="347" t="s">
        <v>264</v>
      </c>
      <c r="B36" s="348">
        <f t="shared" ref="B36:D37" si="99">B28+B32</f>
        <v>465</v>
      </c>
      <c r="C36" s="348">
        <f t="shared" si="99"/>
        <v>336369</v>
      </c>
      <c r="D36" s="348">
        <f t="shared" si="99"/>
        <v>376233</v>
      </c>
      <c r="E36" s="422">
        <f t="shared" ref="E36" si="100">D36/C36</f>
        <v>1.1185127047974099</v>
      </c>
      <c r="F36" s="348">
        <f t="shared" ref="F36:O36" si="101">SUM(F28,F32)</f>
        <v>0</v>
      </c>
      <c r="G36" s="348">
        <f t="shared" si="101"/>
        <v>29256</v>
      </c>
      <c r="H36" s="348">
        <f>H28+H32</f>
        <v>29256</v>
      </c>
      <c r="I36" s="422">
        <f t="shared" ref="I36" si="102">H36/G36</f>
        <v>1</v>
      </c>
      <c r="J36" s="348">
        <f t="shared" si="101"/>
        <v>0</v>
      </c>
      <c r="K36" s="348">
        <f t="shared" si="101"/>
        <v>0</v>
      </c>
      <c r="L36" s="348">
        <f>L28+L32</f>
        <v>0</v>
      </c>
      <c r="M36" s="422">
        <v>0</v>
      </c>
      <c r="N36" s="348">
        <f t="shared" si="101"/>
        <v>100594</v>
      </c>
      <c r="O36" s="348">
        <f t="shared" si="101"/>
        <v>116936</v>
      </c>
      <c r="P36" s="348">
        <f>P28+P32</f>
        <v>86869</v>
      </c>
      <c r="Q36" s="422">
        <f t="shared" ref="Q36:Q37" si="103">P36/O36</f>
        <v>0.74287644523500029</v>
      </c>
      <c r="R36" s="348">
        <f>R28+R32</f>
        <v>0</v>
      </c>
      <c r="S36" s="348">
        <f>S28+S32</f>
        <v>0</v>
      </c>
      <c r="T36" s="348">
        <f>T28+T32</f>
        <v>0</v>
      </c>
      <c r="U36" s="422">
        <v>0</v>
      </c>
      <c r="V36" s="347" t="s">
        <v>264</v>
      </c>
      <c r="W36" s="80">
        <f>SUM(W28,W32)</f>
        <v>0</v>
      </c>
      <c r="X36" s="80">
        <f>SUM(X28,X32)</f>
        <v>3150</v>
      </c>
      <c r="Y36" s="348">
        <f>Y28+Y32</f>
        <v>3150</v>
      </c>
      <c r="Z36" s="422">
        <v>0</v>
      </c>
      <c r="AA36" s="80"/>
      <c r="AB36" s="80"/>
      <c r="AC36" s="348">
        <f>AC28+AC32</f>
        <v>500</v>
      </c>
      <c r="AD36" s="422">
        <v>0</v>
      </c>
      <c r="AE36" s="80">
        <f t="shared" ref="AE36:AS36" si="104">SUM(AE28,AE32)</f>
        <v>37781</v>
      </c>
      <c r="AF36" s="80">
        <f t="shared" si="104"/>
        <v>67875</v>
      </c>
      <c r="AG36" s="348">
        <f>AG28+AG32</f>
        <v>67875</v>
      </c>
      <c r="AH36" s="422">
        <f t="shared" ref="AH36" si="105">AG36/AF36</f>
        <v>1</v>
      </c>
      <c r="AI36" s="80">
        <f t="shared" si="104"/>
        <v>1199290</v>
      </c>
      <c r="AJ36" s="80">
        <f>SUM(AJ28,AJ32)</f>
        <v>1234048</v>
      </c>
      <c r="AK36" s="348">
        <f>AK28+AK32</f>
        <v>948962</v>
      </c>
      <c r="AL36" s="422">
        <f t="shared" ref="AL36:AL37" si="106">AK36/AJ36</f>
        <v>0.768983054143761</v>
      </c>
      <c r="AM36" s="347" t="s">
        <v>264</v>
      </c>
      <c r="AN36" s="80">
        <f t="shared" si="104"/>
        <v>1337474</v>
      </c>
      <c r="AO36" s="80">
        <f t="shared" si="104"/>
        <v>1758378</v>
      </c>
      <c r="AP36" s="348">
        <f>AP28+AP32</f>
        <v>1483089</v>
      </c>
      <c r="AQ36" s="422">
        <f t="shared" ref="AQ36:AQ38" si="107">AP36/AO36</f>
        <v>0.84344151257579425</v>
      </c>
      <c r="AR36" s="80">
        <f t="shared" si="104"/>
        <v>656</v>
      </c>
      <c r="AS36" s="80">
        <f t="shared" si="104"/>
        <v>29256</v>
      </c>
      <c r="AT36" s="348">
        <f>AT28+AT32</f>
        <v>29756</v>
      </c>
      <c r="AU36" s="422">
        <f t="shared" ref="AU36" si="108">AT36/AS36</f>
        <v>1.0170905113480995</v>
      </c>
      <c r="AV36" s="75">
        <f t="shared" ref="AV36:AV38" si="109">SUM(AN36+AR36)</f>
        <v>1338130</v>
      </c>
      <c r="AW36" s="75">
        <f>SUM(AO36+AS36)</f>
        <v>1787634</v>
      </c>
      <c r="AX36" s="75">
        <f>SUM(AP36+AT36)</f>
        <v>1512845</v>
      </c>
      <c r="AY36" s="422">
        <f t="shared" ref="AY36:AY38" si="110">AX36/AW36</f>
        <v>0.84628341148132114</v>
      </c>
      <c r="AZ36" s="76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</row>
    <row r="37" spans="1:79" ht="32.25" thickBot="1">
      <c r="A37" s="88" t="s">
        <v>265</v>
      </c>
      <c r="B37" s="80">
        <f t="shared" si="99"/>
        <v>0</v>
      </c>
      <c r="C37" s="80">
        <f t="shared" si="99"/>
        <v>0</v>
      </c>
      <c r="D37" s="80">
        <f t="shared" si="99"/>
        <v>0</v>
      </c>
      <c r="E37" s="425">
        <v>0</v>
      </c>
      <c r="F37" s="80">
        <f t="shared" ref="F37:AI37" si="111">F29+F33</f>
        <v>0</v>
      </c>
      <c r="G37" s="80">
        <f t="shared" ref="G37" si="112">G29+G33</f>
        <v>0</v>
      </c>
      <c r="H37" s="80">
        <f>H29+H33</f>
        <v>0</v>
      </c>
      <c r="I37" s="425">
        <v>0</v>
      </c>
      <c r="J37" s="80">
        <f t="shared" si="111"/>
        <v>0</v>
      </c>
      <c r="K37" s="80">
        <f t="shared" ref="K37" si="113">K29+K33</f>
        <v>0</v>
      </c>
      <c r="L37" s="80">
        <f>L29+L33</f>
        <v>0</v>
      </c>
      <c r="M37" s="425">
        <v>0</v>
      </c>
      <c r="N37" s="80">
        <f t="shared" si="111"/>
        <v>8983</v>
      </c>
      <c r="O37" s="80">
        <f t="shared" ref="O37" si="114">O29+O33</f>
        <v>8983</v>
      </c>
      <c r="P37" s="80">
        <f>P29+P33</f>
        <v>1073</v>
      </c>
      <c r="Q37" s="425">
        <f t="shared" si="103"/>
        <v>0.11944784593120339</v>
      </c>
      <c r="R37" s="80">
        <f t="shared" si="111"/>
        <v>0</v>
      </c>
      <c r="S37" s="80">
        <f t="shared" ref="S37" si="115">S29+S33</f>
        <v>0</v>
      </c>
      <c r="T37" s="80">
        <f>T29+T33</f>
        <v>0</v>
      </c>
      <c r="U37" s="425">
        <v>0</v>
      </c>
      <c r="V37" s="88" t="s">
        <v>265</v>
      </c>
      <c r="W37" s="89">
        <f t="shared" si="111"/>
        <v>0</v>
      </c>
      <c r="X37" s="89">
        <f t="shared" ref="X37" si="116">X29+X33</f>
        <v>700</v>
      </c>
      <c r="Y37" s="80">
        <f>Y29+Y33</f>
        <v>700</v>
      </c>
      <c r="Z37" s="425">
        <v>0</v>
      </c>
      <c r="AA37" s="89">
        <f t="shared" si="111"/>
        <v>0</v>
      </c>
      <c r="AB37" s="89">
        <f t="shared" ref="AB37" si="117">AB29+AB33</f>
        <v>0</v>
      </c>
      <c r="AC37" s="80">
        <f>AC29+AC33</f>
        <v>0</v>
      </c>
      <c r="AD37" s="425">
        <v>0</v>
      </c>
      <c r="AE37" s="89">
        <f t="shared" si="111"/>
        <v>0</v>
      </c>
      <c r="AF37" s="89">
        <f t="shared" ref="AF37" si="118">AF29+AF33</f>
        <v>0</v>
      </c>
      <c r="AG37" s="80">
        <f>AG29+AG33</f>
        <v>0</v>
      </c>
      <c r="AH37" s="425">
        <v>0</v>
      </c>
      <c r="AI37" s="89">
        <f t="shared" si="111"/>
        <v>29440</v>
      </c>
      <c r="AJ37" s="89">
        <f t="shared" ref="AJ37" si="119">AJ29+AJ33</f>
        <v>29440</v>
      </c>
      <c r="AK37" s="80">
        <f>AK29+AK33</f>
        <v>12610</v>
      </c>
      <c r="AL37" s="425">
        <f t="shared" si="106"/>
        <v>0.42832880434782611</v>
      </c>
      <c r="AM37" s="88" t="s">
        <v>265</v>
      </c>
      <c r="AN37" s="90">
        <f>SUM(B37+J37+N37+W37+AI37)</f>
        <v>38423</v>
      </c>
      <c r="AO37" s="90">
        <f>SUM(C37+K37+O37+X37+AJ37)</f>
        <v>39123</v>
      </c>
      <c r="AP37" s="80">
        <f>AP29+AP33</f>
        <v>14383</v>
      </c>
      <c r="AQ37" s="425">
        <f t="shared" si="107"/>
        <v>0.36763540628274927</v>
      </c>
      <c r="AR37" s="90">
        <f>SUM(F37+R37+AA37)</f>
        <v>0</v>
      </c>
      <c r="AS37" s="90">
        <f>SUM(G37+S37+AB37)</f>
        <v>0</v>
      </c>
      <c r="AT37" s="80">
        <f>AT29+AT33</f>
        <v>0</v>
      </c>
      <c r="AU37" s="425">
        <v>0</v>
      </c>
      <c r="AV37" s="80">
        <f t="shared" si="109"/>
        <v>38423</v>
      </c>
      <c r="AW37" s="80">
        <f>SUM(AO37+AS37)</f>
        <v>39123</v>
      </c>
      <c r="AX37" s="80">
        <f>SUM(AP37+AT37)</f>
        <v>14383</v>
      </c>
      <c r="AY37" s="524">
        <f t="shared" si="110"/>
        <v>0.36763540628274927</v>
      </c>
      <c r="AZ37" s="76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</row>
    <row r="38" spans="1:79" ht="32.25" thickBot="1">
      <c r="A38" s="349" t="s">
        <v>266</v>
      </c>
      <c r="B38" s="90">
        <f>SUM(B34)</f>
        <v>0</v>
      </c>
      <c r="C38" s="90">
        <f>SUM(C34)</f>
        <v>0</v>
      </c>
      <c r="D38" s="90">
        <f>SUM(D34)</f>
        <v>0</v>
      </c>
      <c r="E38" s="425">
        <v>0</v>
      </c>
      <c r="F38" s="90">
        <f t="shared" ref="F38:AR38" si="120">SUM(F34)</f>
        <v>0</v>
      </c>
      <c r="G38" s="90">
        <f t="shared" ref="G38" si="121">SUM(G34)</f>
        <v>0</v>
      </c>
      <c r="H38" s="90">
        <f>SUM(H34)</f>
        <v>0</v>
      </c>
      <c r="I38" s="425">
        <v>0</v>
      </c>
      <c r="J38" s="90">
        <f t="shared" si="120"/>
        <v>100</v>
      </c>
      <c r="K38" s="90">
        <f t="shared" ref="K38" si="122">SUM(K34)</f>
        <v>100</v>
      </c>
      <c r="L38" s="90">
        <f>SUM(L34)</f>
        <v>40</v>
      </c>
      <c r="M38" s="425">
        <f t="shared" ref="M38" si="123">L38/K38</f>
        <v>0.4</v>
      </c>
      <c r="N38" s="90">
        <f t="shared" si="120"/>
        <v>0</v>
      </c>
      <c r="O38" s="90">
        <f t="shared" ref="O38" si="124">SUM(O34)</f>
        <v>0</v>
      </c>
      <c r="P38" s="90">
        <f>SUM(P34)</f>
        <v>0</v>
      </c>
      <c r="Q38" s="425">
        <v>0</v>
      </c>
      <c r="R38" s="90">
        <f t="shared" si="120"/>
        <v>0</v>
      </c>
      <c r="S38" s="90">
        <f t="shared" ref="S38" si="125">SUM(S34)</f>
        <v>0</v>
      </c>
      <c r="T38" s="90">
        <f>SUM(T34)</f>
        <v>0</v>
      </c>
      <c r="U38" s="425">
        <v>0</v>
      </c>
      <c r="V38" s="349" t="s">
        <v>266</v>
      </c>
      <c r="W38" s="90">
        <f t="shared" si="120"/>
        <v>0</v>
      </c>
      <c r="X38" s="90">
        <f t="shared" ref="X38" si="126">SUM(X34)</f>
        <v>0</v>
      </c>
      <c r="Y38" s="90">
        <f>SUM(Y34)</f>
        <v>0</v>
      </c>
      <c r="Z38" s="425">
        <v>0</v>
      </c>
      <c r="AA38" s="90">
        <f t="shared" si="120"/>
        <v>0</v>
      </c>
      <c r="AB38" s="90">
        <f t="shared" ref="AB38" si="127">SUM(AB34)</f>
        <v>0</v>
      </c>
      <c r="AC38" s="90">
        <f>SUM(AC34)</f>
        <v>0</v>
      </c>
      <c r="AD38" s="425">
        <v>0</v>
      </c>
      <c r="AE38" s="90">
        <f t="shared" si="120"/>
        <v>0</v>
      </c>
      <c r="AF38" s="90">
        <f t="shared" ref="AF38" si="128">SUM(AF34)</f>
        <v>0</v>
      </c>
      <c r="AG38" s="90">
        <f>SUM(AG34)</f>
        <v>0</v>
      </c>
      <c r="AH38" s="425">
        <v>0</v>
      </c>
      <c r="AI38" s="90">
        <f t="shared" si="120"/>
        <v>0</v>
      </c>
      <c r="AJ38" s="90">
        <f t="shared" ref="AJ38" si="129">SUM(AJ34)</f>
        <v>0</v>
      </c>
      <c r="AK38" s="90">
        <f>SUM(AK34)</f>
        <v>0</v>
      </c>
      <c r="AL38" s="425">
        <v>0</v>
      </c>
      <c r="AM38" s="349" t="s">
        <v>266</v>
      </c>
      <c r="AN38" s="90">
        <f t="shared" si="120"/>
        <v>100</v>
      </c>
      <c r="AO38" s="90">
        <f t="shared" ref="AO38" si="130">SUM(AO34)</f>
        <v>100</v>
      </c>
      <c r="AP38" s="90">
        <f>SUM(AP34)</f>
        <v>40</v>
      </c>
      <c r="AQ38" s="425">
        <f t="shared" si="107"/>
        <v>0.4</v>
      </c>
      <c r="AR38" s="90">
        <f t="shared" si="120"/>
        <v>0</v>
      </c>
      <c r="AS38" s="90">
        <f t="shared" ref="AS38" si="131">SUM(AS34)</f>
        <v>0</v>
      </c>
      <c r="AT38" s="90">
        <f>SUM(AT34)</f>
        <v>0</v>
      </c>
      <c r="AU38" s="425">
        <v>0</v>
      </c>
      <c r="AV38" s="89">
        <f t="shared" si="109"/>
        <v>100</v>
      </c>
      <c r="AW38" s="89">
        <f>SUM(AW34)</f>
        <v>100</v>
      </c>
      <c r="AX38" s="89">
        <f t="shared" ref="AX38" si="132">SUM(AX34)</f>
        <v>40</v>
      </c>
      <c r="AY38" s="425">
        <f t="shared" si="110"/>
        <v>0.4</v>
      </c>
      <c r="AZ38" s="76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</row>
    <row r="39" spans="1:79" s="352" customFormat="1" ht="26.25" customHeight="1" thickBot="1">
      <c r="A39" s="350" t="s">
        <v>267</v>
      </c>
      <c r="B39" s="351">
        <f>B36+B37+B38</f>
        <v>465</v>
      </c>
      <c r="C39" s="351">
        <f>C36+C37+C38</f>
        <v>336369</v>
      </c>
      <c r="D39" s="351">
        <f>D36+D37+D38</f>
        <v>376233</v>
      </c>
      <c r="E39" s="421">
        <f>D39/C39</f>
        <v>1.1185127047974099</v>
      </c>
      <c r="F39" s="351">
        <f t="shared" ref="F39:AR39" si="133">F36+F37+F38</f>
        <v>0</v>
      </c>
      <c r="G39" s="351">
        <f t="shared" ref="G39" si="134">G36+G37+G38</f>
        <v>29256</v>
      </c>
      <c r="H39" s="351">
        <f>H36+H37+H38</f>
        <v>29256</v>
      </c>
      <c r="I39" s="421">
        <f>H39/G39</f>
        <v>1</v>
      </c>
      <c r="J39" s="351">
        <f t="shared" si="133"/>
        <v>100</v>
      </c>
      <c r="K39" s="351">
        <f t="shared" ref="K39" si="135">K36+K37+K38</f>
        <v>100</v>
      </c>
      <c r="L39" s="351">
        <f>L36+L37+L38</f>
        <v>40</v>
      </c>
      <c r="M39" s="421">
        <f>L39/K39</f>
        <v>0.4</v>
      </c>
      <c r="N39" s="351">
        <f t="shared" si="133"/>
        <v>109577</v>
      </c>
      <c r="O39" s="351">
        <f t="shared" ref="O39" si="136">O36+O37+O38</f>
        <v>125919</v>
      </c>
      <c r="P39" s="351">
        <f>P36+P37+P38</f>
        <v>87942</v>
      </c>
      <c r="Q39" s="421">
        <f>P39/O39</f>
        <v>0.69840135325089936</v>
      </c>
      <c r="R39" s="351">
        <f t="shared" si="133"/>
        <v>0</v>
      </c>
      <c r="S39" s="351">
        <f t="shared" ref="S39" si="137">S36+S37+S38</f>
        <v>0</v>
      </c>
      <c r="T39" s="351">
        <f>T36+T37+T38</f>
        <v>0</v>
      </c>
      <c r="U39" s="421">
        <v>0</v>
      </c>
      <c r="V39" s="350" t="s">
        <v>267</v>
      </c>
      <c r="W39" s="351">
        <f t="shared" si="133"/>
        <v>0</v>
      </c>
      <c r="X39" s="351">
        <f t="shared" ref="X39" si="138">X36+X37+X38</f>
        <v>3850</v>
      </c>
      <c r="Y39" s="351">
        <f>Y36+Y37+Y38</f>
        <v>3850</v>
      </c>
      <c r="Z39" s="421">
        <v>0</v>
      </c>
      <c r="AA39" s="351">
        <f t="shared" si="133"/>
        <v>0</v>
      </c>
      <c r="AB39" s="351">
        <f t="shared" ref="AB39" si="139">AB36+AB37+AB38</f>
        <v>0</v>
      </c>
      <c r="AC39" s="351">
        <f>AC36+AC37+AC38</f>
        <v>500</v>
      </c>
      <c r="AD39" s="421">
        <v>0</v>
      </c>
      <c r="AE39" s="351">
        <f t="shared" si="133"/>
        <v>37781</v>
      </c>
      <c r="AF39" s="351">
        <f t="shared" ref="AF39" si="140">AF36+AF37+AF38</f>
        <v>67875</v>
      </c>
      <c r="AG39" s="351">
        <f>AG36+AG37+AG38</f>
        <v>67875</v>
      </c>
      <c r="AH39" s="421"/>
      <c r="AI39" s="351">
        <f t="shared" si="133"/>
        <v>1228730</v>
      </c>
      <c r="AJ39" s="351">
        <f t="shared" ref="AJ39" si="141">AJ36+AJ37+AJ38</f>
        <v>1263488</v>
      </c>
      <c r="AK39" s="351">
        <f>AK36+AK37+AK38</f>
        <v>961572</v>
      </c>
      <c r="AL39" s="421">
        <f>AK39/AJ39</f>
        <v>0.76104561341302801</v>
      </c>
      <c r="AM39" s="350" t="s">
        <v>267</v>
      </c>
      <c r="AN39" s="351">
        <f t="shared" si="133"/>
        <v>1375997</v>
      </c>
      <c r="AO39" s="351">
        <f t="shared" ref="AO39" si="142">AO36+AO37+AO38</f>
        <v>1797601</v>
      </c>
      <c r="AP39" s="351">
        <f>AP36+AP37+AP38</f>
        <v>1497512</v>
      </c>
      <c r="AQ39" s="421">
        <f>AP39/AO39</f>
        <v>0.83306139682832847</v>
      </c>
      <c r="AR39" s="351">
        <f t="shared" si="133"/>
        <v>656</v>
      </c>
      <c r="AS39" s="351">
        <f t="shared" ref="AS39" si="143">AS36+AS37+AS38</f>
        <v>29256</v>
      </c>
      <c r="AT39" s="351">
        <f>AT36+AT37+AT38</f>
        <v>29756</v>
      </c>
      <c r="AU39" s="421">
        <f>AT39/AS39</f>
        <v>1.0170905113480995</v>
      </c>
      <c r="AV39" s="351">
        <f>AV36+AV37+AV38</f>
        <v>1376653</v>
      </c>
      <c r="AW39" s="351">
        <f>AW36+AW37+AW38</f>
        <v>1826857</v>
      </c>
      <c r="AX39" s="351">
        <f>AX36+AX37+AX38</f>
        <v>1527268</v>
      </c>
      <c r="AY39" s="421">
        <f>AX39/AW39</f>
        <v>0.83600851079203242</v>
      </c>
      <c r="AZ39" s="333"/>
      <c r="BA39" s="401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</row>
    <row r="40" spans="1:79" ht="15.75" thickTop="1"/>
  </sheetData>
  <mergeCells count="31">
    <mergeCell ref="AE8:AL8"/>
    <mergeCell ref="AE10:AH10"/>
    <mergeCell ref="AI10:AL10"/>
    <mergeCell ref="AE9:AL9"/>
    <mergeCell ref="W8:Z8"/>
    <mergeCell ref="W9:Z10"/>
    <mergeCell ref="J8:M8"/>
    <mergeCell ref="V8:V11"/>
    <mergeCell ref="AA8:AD8"/>
    <mergeCell ref="AA9:AD10"/>
    <mergeCell ref="J9:M10"/>
    <mergeCell ref="N8:Q8"/>
    <mergeCell ref="N9:Q10"/>
    <mergeCell ref="R8:U8"/>
    <mergeCell ref="R9:U10"/>
    <mergeCell ref="A5:U5"/>
    <mergeCell ref="V5:AL5"/>
    <mergeCell ref="AM5:AY5"/>
    <mergeCell ref="AM8:AM11"/>
    <mergeCell ref="A1:BA1"/>
    <mergeCell ref="AR7:AV7"/>
    <mergeCell ref="A8:A11"/>
    <mergeCell ref="AN8:AY8"/>
    <mergeCell ref="AN10:AQ10"/>
    <mergeCell ref="AR10:AU10"/>
    <mergeCell ref="AV10:AY10"/>
    <mergeCell ref="AN9:AY9"/>
    <mergeCell ref="B8:E8"/>
    <mergeCell ref="B9:E10"/>
    <mergeCell ref="F8:I8"/>
    <mergeCell ref="F9:I10"/>
  </mergeCells>
  <phoneticPr fontId="18" type="noConversion"/>
  <pageMargins left="0.7" right="0.7" top="0.75" bottom="0.75" header="0.3" footer="0.3"/>
  <pageSetup paperSize="9" scale="47" orientation="landscape" horizontalDpi="300" verticalDpi="300" r:id="rId1"/>
  <colBreaks count="2" manualBreakCount="2">
    <brk id="21" max="38" man="1"/>
    <brk id="38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21"/>
  <sheetViews>
    <sheetView view="pageBreakPreview" topLeftCell="V1" zoomScaleSheetLayoutView="100" workbookViewId="0">
      <selection activeCell="Z1" sqref="Z1"/>
    </sheetView>
  </sheetViews>
  <sheetFormatPr defaultRowHeight="15"/>
  <cols>
    <col min="1" max="1" width="26.140625" style="60" customWidth="1"/>
    <col min="2" max="4" width="12" style="101" customWidth="1"/>
    <col min="5" max="5" width="12" style="526" customWidth="1"/>
    <col min="6" max="7" width="12" style="60" customWidth="1"/>
    <col min="8" max="8" width="12" style="101" customWidth="1"/>
    <col min="9" max="9" width="12" style="526" customWidth="1"/>
    <col min="10" max="11" width="12" style="60" customWidth="1"/>
    <col min="12" max="12" width="12" style="101" customWidth="1"/>
    <col min="13" max="13" width="12" style="526" customWidth="1"/>
    <col min="14" max="15" width="12" style="60" customWidth="1"/>
    <col min="16" max="16" width="12" style="101" customWidth="1"/>
    <col min="17" max="17" width="12" style="526" customWidth="1"/>
    <col min="18" max="19" width="12" style="60" customWidth="1"/>
    <col min="20" max="20" width="12" style="101" customWidth="1"/>
    <col min="21" max="21" width="12" style="526" customWidth="1"/>
    <col min="22" max="23" width="12" style="60" customWidth="1"/>
    <col min="24" max="24" width="12" style="101" customWidth="1"/>
    <col min="25" max="25" width="12" style="526" customWidth="1"/>
    <col min="26" max="26" width="26.140625" style="60" customWidth="1"/>
    <col min="27" max="28" width="12" style="60" customWidth="1"/>
    <col min="29" max="29" width="12" style="101" customWidth="1"/>
    <col min="30" max="30" width="12" style="526" customWidth="1"/>
    <col min="31" max="32" width="12" style="60" customWidth="1"/>
    <col min="33" max="33" width="12" style="101" customWidth="1"/>
    <col min="34" max="34" width="12" style="526" customWidth="1"/>
    <col min="35" max="36" width="12" style="60" customWidth="1"/>
    <col min="37" max="37" width="12" style="101" customWidth="1"/>
    <col min="38" max="38" width="12" style="526" customWidth="1"/>
    <col min="39" max="40" width="12" style="60" customWidth="1"/>
    <col min="41" max="41" width="12" style="101" customWidth="1"/>
    <col min="42" max="42" width="12" style="526" customWidth="1"/>
    <col min="43" max="44" width="12" style="60" customWidth="1"/>
    <col min="45" max="45" width="12" style="101" customWidth="1"/>
    <col min="46" max="46" width="12" style="526" customWidth="1"/>
    <col min="47" max="48" width="12" style="60" customWidth="1"/>
    <col min="49" max="49" width="12" style="101" customWidth="1"/>
    <col min="50" max="50" width="12" style="526" customWidth="1"/>
    <col min="51" max="51" width="13.5703125" style="60" customWidth="1"/>
    <col min="52" max="52" width="13.28515625" style="60" bestFit="1" customWidth="1"/>
    <col min="53" max="55" width="13.5703125" style="60" customWidth="1"/>
    <col min="56" max="56" width="14.28515625" style="60" customWidth="1"/>
    <col min="57" max="59" width="13.5703125" style="60" customWidth="1"/>
    <col min="60" max="16384" width="9.140625" style="60"/>
  </cols>
  <sheetData>
    <row r="1" spans="1:91" s="99" customFormat="1" ht="15.75">
      <c r="A1" s="366" t="s">
        <v>392</v>
      </c>
      <c r="B1" s="98"/>
      <c r="C1" s="98"/>
      <c r="D1" s="98"/>
      <c r="E1" s="525"/>
      <c r="H1" s="98"/>
      <c r="I1" s="525"/>
      <c r="L1" s="98"/>
      <c r="M1" s="525"/>
      <c r="P1" s="98"/>
      <c r="Q1" s="525"/>
      <c r="T1" s="98"/>
      <c r="U1" s="525"/>
      <c r="X1" s="98"/>
      <c r="Y1" s="529" t="s">
        <v>339</v>
      </c>
      <c r="Z1" s="515" t="s">
        <v>412</v>
      </c>
      <c r="AC1" s="98"/>
      <c r="AD1" s="525"/>
      <c r="AG1" s="98"/>
      <c r="AH1" s="525"/>
      <c r="AK1" s="98"/>
      <c r="AL1" s="525"/>
      <c r="AO1" s="98"/>
      <c r="AP1" s="525"/>
      <c r="AS1" s="98"/>
      <c r="AT1" s="525"/>
      <c r="AW1" s="98"/>
      <c r="AX1" s="529" t="s">
        <v>340</v>
      </c>
    </row>
    <row r="2" spans="1:91" ht="15.75">
      <c r="A2" s="100"/>
      <c r="Z2" s="100"/>
    </row>
    <row r="3" spans="1:91" ht="15.75">
      <c r="A3" s="100"/>
      <c r="Z3" s="100"/>
    </row>
    <row r="4" spans="1:91" ht="15.75">
      <c r="A4" s="100"/>
      <c r="Z4" s="100"/>
    </row>
    <row r="5" spans="1:91" ht="19.5">
      <c r="A5" s="661" t="s">
        <v>393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513"/>
      <c r="AA5" s="661" t="s">
        <v>393</v>
      </c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T5" s="661"/>
      <c r="AU5" s="661"/>
      <c r="AV5" s="661"/>
      <c r="AW5" s="661"/>
      <c r="AX5" s="661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91">
      <c r="A6" s="103"/>
      <c r="Z6" s="103"/>
    </row>
    <row r="7" spans="1:91">
      <c r="A7" s="103"/>
      <c r="Z7" s="103"/>
    </row>
    <row r="8" spans="1:91" ht="15.75">
      <c r="A8" s="104" t="s">
        <v>271</v>
      </c>
      <c r="Z8" s="104" t="s">
        <v>271</v>
      </c>
      <c r="AZ8" s="663"/>
      <c r="BA8" s="663"/>
      <c r="BB8" s="663"/>
      <c r="BC8" s="663"/>
      <c r="BD8" s="663"/>
      <c r="BE8" s="663"/>
      <c r="BF8" s="663"/>
      <c r="BG8" s="663"/>
    </row>
    <row r="9" spans="1:91" customFormat="1" ht="15.75">
      <c r="A9" s="67"/>
      <c r="B9" s="67"/>
      <c r="C9" s="372"/>
      <c r="D9" s="510"/>
      <c r="E9" s="432"/>
      <c r="F9" s="372"/>
      <c r="G9" s="372"/>
      <c r="H9" s="510"/>
      <c r="I9" s="432"/>
      <c r="J9" s="67"/>
      <c r="K9" s="372"/>
      <c r="L9" s="510"/>
      <c r="M9" s="432"/>
      <c r="N9" s="67"/>
      <c r="O9" s="372"/>
      <c r="P9" s="510"/>
      <c r="Q9" s="432"/>
      <c r="R9" s="67"/>
      <c r="S9" s="372"/>
      <c r="T9" s="510"/>
      <c r="U9" s="432"/>
      <c r="V9" s="67"/>
      <c r="W9" s="372"/>
      <c r="X9" s="510"/>
      <c r="Y9" s="432"/>
      <c r="Z9" s="510"/>
      <c r="AA9" s="67"/>
      <c r="AB9" s="372"/>
      <c r="AC9" s="510"/>
      <c r="AD9" s="432"/>
      <c r="AE9" s="67"/>
      <c r="AF9" s="372"/>
      <c r="AG9" s="510"/>
      <c r="AH9" s="432"/>
      <c r="AI9" s="67"/>
      <c r="AJ9" s="372"/>
      <c r="AK9" s="510"/>
      <c r="AL9" s="432"/>
      <c r="AM9" s="67"/>
      <c r="AN9" s="372"/>
      <c r="AO9" s="510"/>
      <c r="AP9" s="432"/>
      <c r="AQ9" s="67"/>
      <c r="AR9" s="372"/>
      <c r="AS9" s="510"/>
      <c r="AT9" s="432"/>
      <c r="AU9" s="67"/>
      <c r="AV9" s="372"/>
      <c r="AW9" s="510"/>
      <c r="AX9" s="432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customFormat="1" ht="16.5" thickBot="1">
      <c r="A10" s="67"/>
      <c r="B10" s="67"/>
      <c r="C10" s="372"/>
      <c r="D10" s="510"/>
      <c r="E10" s="432"/>
      <c r="F10" s="372"/>
      <c r="G10" s="372"/>
      <c r="H10" s="510"/>
      <c r="I10" s="432"/>
      <c r="J10" s="67"/>
      <c r="K10" s="372"/>
      <c r="L10" s="510"/>
      <c r="M10" s="432"/>
      <c r="N10" s="67"/>
      <c r="O10" s="372"/>
      <c r="P10" s="510"/>
      <c r="Q10" s="432"/>
      <c r="R10" s="67"/>
      <c r="S10" s="372"/>
      <c r="T10" s="510"/>
      <c r="U10" s="432"/>
      <c r="V10" s="67"/>
      <c r="W10" s="372"/>
      <c r="X10" s="510"/>
      <c r="Y10" s="432"/>
      <c r="Z10" s="510"/>
      <c r="AA10" s="67"/>
      <c r="AB10" s="372"/>
      <c r="AC10" s="510"/>
      <c r="AD10" s="432"/>
      <c r="AE10" s="67"/>
      <c r="AF10" s="372"/>
      <c r="AG10" s="510"/>
      <c r="AH10" s="432"/>
      <c r="AI10" s="67"/>
      <c r="AJ10" s="372"/>
      <c r="AK10" s="510"/>
      <c r="AL10" s="432"/>
      <c r="AM10" s="67"/>
      <c r="AN10" s="372"/>
      <c r="AO10" s="510"/>
      <c r="AP10" s="432"/>
      <c r="AQ10" s="664"/>
      <c r="AR10" s="664"/>
      <c r="AS10" s="664"/>
      <c r="AT10" s="664"/>
      <c r="AU10" s="664"/>
      <c r="AV10" s="57"/>
      <c r="AW10" s="514"/>
      <c r="AX10" s="514" t="s">
        <v>0</v>
      </c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</row>
    <row r="11" spans="1:91" s="337" customFormat="1" ht="13.5" customHeight="1" thickBot="1">
      <c r="A11" s="662" t="s">
        <v>248</v>
      </c>
      <c r="B11" s="649" t="s">
        <v>102</v>
      </c>
      <c r="C11" s="650"/>
      <c r="D11" s="650"/>
      <c r="E11" s="651"/>
      <c r="F11" s="649" t="s">
        <v>103</v>
      </c>
      <c r="G11" s="650"/>
      <c r="H11" s="650"/>
      <c r="I11" s="651"/>
      <c r="J11" s="649" t="s">
        <v>104</v>
      </c>
      <c r="K11" s="650"/>
      <c r="L11" s="650"/>
      <c r="M11" s="651"/>
      <c r="N11" s="649" t="s">
        <v>105</v>
      </c>
      <c r="O11" s="650"/>
      <c r="P11" s="650"/>
      <c r="Q11" s="651"/>
      <c r="R11" s="649" t="s">
        <v>106</v>
      </c>
      <c r="S11" s="650"/>
      <c r="T11" s="650"/>
      <c r="U11" s="651"/>
      <c r="V11" s="649" t="s">
        <v>107</v>
      </c>
      <c r="W11" s="650"/>
      <c r="X11" s="650"/>
      <c r="Y11" s="651"/>
      <c r="Z11" s="662" t="s">
        <v>248</v>
      </c>
      <c r="AA11" s="649" t="s">
        <v>108</v>
      </c>
      <c r="AB11" s="650"/>
      <c r="AC11" s="650"/>
      <c r="AD11" s="651"/>
      <c r="AE11" s="649" t="s">
        <v>109</v>
      </c>
      <c r="AF11" s="650"/>
      <c r="AG11" s="650"/>
      <c r="AH11" s="651"/>
      <c r="AI11" s="649" t="s">
        <v>272</v>
      </c>
      <c r="AJ11" s="650"/>
      <c r="AK11" s="650"/>
      <c r="AL11" s="651"/>
      <c r="AM11" s="649" t="s">
        <v>341</v>
      </c>
      <c r="AN11" s="650"/>
      <c r="AO11" s="650"/>
      <c r="AP11" s="650"/>
      <c r="AQ11" s="650"/>
      <c r="AR11" s="650"/>
      <c r="AS11" s="650"/>
      <c r="AT11" s="650"/>
      <c r="AU11" s="650"/>
      <c r="AV11" s="650"/>
      <c r="AW11" s="650"/>
      <c r="AX11" s="651"/>
      <c r="AY11" s="353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</row>
    <row r="12" spans="1:91" s="339" customFormat="1" ht="30" customHeight="1" thickBot="1">
      <c r="A12" s="662"/>
      <c r="B12" s="652" t="s">
        <v>68</v>
      </c>
      <c r="C12" s="653"/>
      <c r="D12" s="653"/>
      <c r="E12" s="654"/>
      <c r="F12" s="652" t="s">
        <v>69</v>
      </c>
      <c r="G12" s="653"/>
      <c r="H12" s="653"/>
      <c r="I12" s="654"/>
      <c r="J12" s="652" t="s">
        <v>70</v>
      </c>
      <c r="K12" s="653"/>
      <c r="L12" s="653"/>
      <c r="M12" s="654"/>
      <c r="N12" s="652" t="s">
        <v>88</v>
      </c>
      <c r="O12" s="653"/>
      <c r="P12" s="653"/>
      <c r="Q12" s="654"/>
      <c r="R12" s="652" t="s">
        <v>71</v>
      </c>
      <c r="S12" s="653"/>
      <c r="T12" s="653"/>
      <c r="U12" s="654"/>
      <c r="V12" s="652" t="s">
        <v>73</v>
      </c>
      <c r="W12" s="653"/>
      <c r="X12" s="653"/>
      <c r="Y12" s="654"/>
      <c r="Z12" s="662"/>
      <c r="AA12" s="652" t="s">
        <v>72</v>
      </c>
      <c r="AB12" s="653"/>
      <c r="AC12" s="653"/>
      <c r="AD12" s="654"/>
      <c r="AE12" s="652" t="s">
        <v>74</v>
      </c>
      <c r="AF12" s="653"/>
      <c r="AG12" s="653"/>
      <c r="AH12" s="654"/>
      <c r="AI12" s="652" t="s">
        <v>110</v>
      </c>
      <c r="AJ12" s="653"/>
      <c r="AK12" s="653"/>
      <c r="AL12" s="654"/>
      <c r="AM12" s="655" t="s">
        <v>77</v>
      </c>
      <c r="AN12" s="656"/>
      <c r="AO12" s="656"/>
      <c r="AP12" s="656"/>
      <c r="AQ12" s="656"/>
      <c r="AR12" s="656"/>
      <c r="AS12" s="656"/>
      <c r="AT12" s="656"/>
      <c r="AU12" s="656"/>
      <c r="AV12" s="656"/>
      <c r="AW12" s="656"/>
      <c r="AX12" s="657"/>
      <c r="AY12" s="354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</row>
    <row r="13" spans="1:91" s="339" customFormat="1" ht="12.75" customHeight="1" thickBot="1">
      <c r="A13" s="662"/>
      <c r="B13" s="655"/>
      <c r="C13" s="656"/>
      <c r="D13" s="656"/>
      <c r="E13" s="657"/>
      <c r="F13" s="655"/>
      <c r="G13" s="656"/>
      <c r="H13" s="656"/>
      <c r="I13" s="657"/>
      <c r="J13" s="655"/>
      <c r="K13" s="656"/>
      <c r="L13" s="656"/>
      <c r="M13" s="657"/>
      <c r="N13" s="655"/>
      <c r="O13" s="656"/>
      <c r="P13" s="656"/>
      <c r="Q13" s="657"/>
      <c r="R13" s="655"/>
      <c r="S13" s="656"/>
      <c r="T13" s="656"/>
      <c r="U13" s="657"/>
      <c r="V13" s="655"/>
      <c r="W13" s="656"/>
      <c r="X13" s="656"/>
      <c r="Y13" s="657"/>
      <c r="Z13" s="662"/>
      <c r="AA13" s="655"/>
      <c r="AB13" s="656"/>
      <c r="AC13" s="656"/>
      <c r="AD13" s="657"/>
      <c r="AE13" s="655"/>
      <c r="AF13" s="656"/>
      <c r="AG13" s="656"/>
      <c r="AH13" s="657"/>
      <c r="AI13" s="655"/>
      <c r="AJ13" s="656"/>
      <c r="AK13" s="656"/>
      <c r="AL13" s="657"/>
      <c r="AM13" s="658" t="s">
        <v>111</v>
      </c>
      <c r="AN13" s="659"/>
      <c r="AO13" s="659"/>
      <c r="AP13" s="660"/>
      <c r="AQ13" s="658" t="s">
        <v>112</v>
      </c>
      <c r="AR13" s="659"/>
      <c r="AS13" s="659"/>
      <c r="AT13" s="660"/>
      <c r="AU13" s="658" t="s">
        <v>77</v>
      </c>
      <c r="AV13" s="659"/>
      <c r="AW13" s="659"/>
      <c r="AX13" s="660"/>
      <c r="AY13" s="354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</row>
    <row r="14" spans="1:91" s="339" customFormat="1" ht="38.25" customHeight="1" thickBot="1">
      <c r="A14" s="662"/>
      <c r="B14" s="373" t="s">
        <v>113</v>
      </c>
      <c r="C14" s="373" t="s">
        <v>338</v>
      </c>
      <c r="D14" s="512" t="s">
        <v>363</v>
      </c>
      <c r="E14" s="433" t="s">
        <v>362</v>
      </c>
      <c r="F14" s="373" t="s">
        <v>113</v>
      </c>
      <c r="G14" s="373" t="s">
        <v>338</v>
      </c>
      <c r="H14" s="512" t="s">
        <v>363</v>
      </c>
      <c r="I14" s="433" t="s">
        <v>362</v>
      </c>
      <c r="J14" s="373" t="s">
        <v>113</v>
      </c>
      <c r="K14" s="373" t="s">
        <v>338</v>
      </c>
      <c r="L14" s="512" t="s">
        <v>363</v>
      </c>
      <c r="M14" s="433" t="s">
        <v>362</v>
      </c>
      <c r="N14" s="373" t="s">
        <v>113</v>
      </c>
      <c r="O14" s="373" t="s">
        <v>338</v>
      </c>
      <c r="P14" s="512" t="s">
        <v>363</v>
      </c>
      <c r="Q14" s="433" t="s">
        <v>362</v>
      </c>
      <c r="R14" s="373" t="s">
        <v>113</v>
      </c>
      <c r="S14" s="373" t="s">
        <v>338</v>
      </c>
      <c r="T14" s="512" t="s">
        <v>363</v>
      </c>
      <c r="U14" s="433" t="s">
        <v>362</v>
      </c>
      <c r="V14" s="373" t="s">
        <v>113</v>
      </c>
      <c r="W14" s="373" t="s">
        <v>338</v>
      </c>
      <c r="X14" s="512" t="s">
        <v>363</v>
      </c>
      <c r="Y14" s="433" t="s">
        <v>362</v>
      </c>
      <c r="Z14" s="662"/>
      <c r="AA14" s="373" t="s">
        <v>113</v>
      </c>
      <c r="AB14" s="373" t="s">
        <v>338</v>
      </c>
      <c r="AC14" s="512" t="s">
        <v>363</v>
      </c>
      <c r="AD14" s="433" t="s">
        <v>362</v>
      </c>
      <c r="AE14" s="373" t="s">
        <v>113</v>
      </c>
      <c r="AF14" s="373" t="s">
        <v>338</v>
      </c>
      <c r="AG14" s="512" t="s">
        <v>363</v>
      </c>
      <c r="AH14" s="433" t="s">
        <v>362</v>
      </c>
      <c r="AI14" s="373" t="s">
        <v>113</v>
      </c>
      <c r="AJ14" s="373" t="s">
        <v>338</v>
      </c>
      <c r="AK14" s="512" t="s">
        <v>363</v>
      </c>
      <c r="AL14" s="433" t="s">
        <v>362</v>
      </c>
      <c r="AM14" s="373" t="s">
        <v>113</v>
      </c>
      <c r="AN14" s="373" t="s">
        <v>338</v>
      </c>
      <c r="AO14" s="512" t="s">
        <v>363</v>
      </c>
      <c r="AP14" s="433" t="s">
        <v>362</v>
      </c>
      <c r="AQ14" s="373" t="s">
        <v>113</v>
      </c>
      <c r="AR14" s="373" t="s">
        <v>338</v>
      </c>
      <c r="AS14" s="512" t="s">
        <v>363</v>
      </c>
      <c r="AT14" s="433" t="s">
        <v>362</v>
      </c>
      <c r="AU14" s="373" t="s">
        <v>113</v>
      </c>
      <c r="AV14" s="373" t="s">
        <v>338</v>
      </c>
      <c r="AW14" s="512" t="s">
        <v>363</v>
      </c>
      <c r="AX14" s="433" t="s">
        <v>362</v>
      </c>
      <c r="AY14" s="354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</row>
    <row r="15" spans="1:91" s="72" customFormat="1" ht="39.950000000000003" customHeight="1">
      <c r="A15" s="68" t="s">
        <v>273</v>
      </c>
      <c r="B15" s="69"/>
      <c r="C15" s="69"/>
      <c r="D15" s="69"/>
      <c r="E15" s="434"/>
      <c r="F15" s="69"/>
      <c r="G15" s="69"/>
      <c r="H15" s="69"/>
      <c r="I15" s="434"/>
      <c r="J15" s="69"/>
      <c r="K15" s="69"/>
      <c r="L15" s="69"/>
      <c r="M15" s="434"/>
      <c r="N15" s="69"/>
      <c r="O15" s="69"/>
      <c r="P15" s="69"/>
      <c r="Q15" s="434"/>
      <c r="R15" s="69"/>
      <c r="S15" s="69"/>
      <c r="T15" s="69"/>
      <c r="U15" s="434"/>
      <c r="V15" s="69"/>
      <c r="W15" s="69"/>
      <c r="X15" s="69"/>
      <c r="Y15" s="434"/>
      <c r="Z15" s="68" t="s">
        <v>273</v>
      </c>
      <c r="AA15" s="69"/>
      <c r="AB15" s="69"/>
      <c r="AC15" s="69"/>
      <c r="AD15" s="434"/>
      <c r="AE15" s="69"/>
      <c r="AF15" s="69"/>
      <c r="AG15" s="69"/>
      <c r="AH15" s="434"/>
      <c r="AI15" s="69"/>
      <c r="AJ15" s="69"/>
      <c r="AK15" s="69"/>
      <c r="AL15" s="434"/>
      <c r="AM15" s="69"/>
      <c r="AN15" s="69"/>
      <c r="AO15" s="69"/>
      <c r="AP15" s="434"/>
      <c r="AQ15" s="69"/>
      <c r="AR15" s="69"/>
      <c r="AS15" s="69"/>
      <c r="AT15" s="434"/>
      <c r="AU15" s="69"/>
      <c r="AV15" s="69"/>
      <c r="AW15" s="69"/>
      <c r="AX15" s="434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</row>
    <row r="16" spans="1:91" s="72" customFormat="1" ht="57" customHeight="1">
      <c r="A16" s="73" t="s">
        <v>276</v>
      </c>
      <c r="B16" s="74">
        <f>SUM('8. sz. melléklet'!B39)</f>
        <v>711549</v>
      </c>
      <c r="C16" s="74">
        <f>SUM('8. sz. melléklet'!C39)</f>
        <v>974416</v>
      </c>
      <c r="D16" s="74">
        <f>SUM('8. sz. melléklet'!D39)</f>
        <v>789390</v>
      </c>
      <c r="E16" s="419">
        <f>SUM(D16/C16)</f>
        <v>0.8101160079473243</v>
      </c>
      <c r="F16" s="74">
        <f>SUM('8. sz. melléklet'!F39)</f>
        <v>191321</v>
      </c>
      <c r="G16" s="74">
        <f>SUM('8. sz. melléklet'!G39)</f>
        <v>232652</v>
      </c>
      <c r="H16" s="74">
        <f>SUM('8. sz. melléklet'!H39)</f>
        <v>189285</v>
      </c>
      <c r="I16" s="419">
        <f>SUM(H16/G16)</f>
        <v>0.81359713219744512</v>
      </c>
      <c r="J16" s="74">
        <f>SUM('8. sz. melléklet'!J39)</f>
        <v>403341</v>
      </c>
      <c r="K16" s="74">
        <f>SUM('8. sz. melléklet'!K39)</f>
        <v>497969</v>
      </c>
      <c r="L16" s="74">
        <f>SUM('8. sz. melléklet'!L39)</f>
        <v>351962</v>
      </c>
      <c r="M16" s="419">
        <f>SUM(L16/K16)</f>
        <v>0.7067950012952614</v>
      </c>
      <c r="N16" s="74">
        <f>SUM('8. sz. melléklet'!N39)</f>
        <v>0</v>
      </c>
      <c r="O16" s="74">
        <f>SUM('8. sz. melléklet'!O39)</f>
        <v>0</v>
      </c>
      <c r="P16" s="74">
        <f>SUM('8. sz. melléklet'!P39)</f>
        <v>0</v>
      </c>
      <c r="Q16" s="419">
        <v>0</v>
      </c>
      <c r="R16" s="74">
        <f>SUM('8. sz. melléklet'!R39)</f>
        <v>55562</v>
      </c>
      <c r="S16" s="74">
        <f>SUM('8. sz. melléklet'!S39)</f>
        <v>69664</v>
      </c>
      <c r="T16" s="74">
        <f>SUM('8. sz. melléklet'!T39)</f>
        <v>15097</v>
      </c>
      <c r="U16" s="419">
        <f>SUM(T16/S16)</f>
        <v>0.21671164446485991</v>
      </c>
      <c r="V16" s="74">
        <f>SUM('8. sz. melléklet'!V39)</f>
        <v>6880</v>
      </c>
      <c r="W16" s="74">
        <f>SUM('8. sz. melléklet'!W39)</f>
        <v>35631</v>
      </c>
      <c r="X16" s="74">
        <f>SUM('8. sz. melléklet'!X39)</f>
        <v>10778</v>
      </c>
      <c r="Y16" s="419">
        <f>SUM(X16/W16)</f>
        <v>0.30248940529314361</v>
      </c>
      <c r="Z16" s="73" t="s">
        <v>276</v>
      </c>
      <c r="AA16" s="74">
        <f>SUM('8. sz. melléklet'!Z39)</f>
        <v>0</v>
      </c>
      <c r="AB16" s="74">
        <f>SUM('8. sz. melléklet'!AA39)</f>
        <v>8166</v>
      </c>
      <c r="AC16" s="74">
        <f>SUM('8. sz. melléklet'!AB39)</f>
        <v>29461</v>
      </c>
      <c r="AD16" s="419">
        <f>SUM(AC16/AB16)</f>
        <v>3.6077638990938037</v>
      </c>
      <c r="AE16" s="74">
        <f>SUM('8. sz. melléklet'!AD39)</f>
        <v>8000</v>
      </c>
      <c r="AF16" s="74">
        <f>SUM('8. sz. melléklet'!AE39)</f>
        <v>8359</v>
      </c>
      <c r="AG16" s="74">
        <f>SUM('8. sz. melléklet'!AF39)</f>
        <v>0</v>
      </c>
      <c r="AH16" s="419">
        <f>SUM(AG16/AF16)</f>
        <v>0</v>
      </c>
      <c r="AI16" s="74"/>
      <c r="AJ16" s="74"/>
      <c r="AK16" s="74"/>
      <c r="AL16" s="419"/>
      <c r="AM16" s="74">
        <f>SUM(B16+F16+J16+N16+R16)</f>
        <v>1361773</v>
      </c>
      <c r="AN16" s="74">
        <f>SUM(C16+G16+K16+O16+S16)</f>
        <v>1774701</v>
      </c>
      <c r="AO16" s="74">
        <f>SUM('8. sz. melléklet'!AJ39)</f>
        <v>1345734</v>
      </c>
      <c r="AP16" s="419">
        <f>SUM(AO16/AN16)</f>
        <v>0.75828773410281503</v>
      </c>
      <c r="AQ16" s="74">
        <f>SUM(V16+AA16+AE16+AI16)</f>
        <v>14880</v>
      </c>
      <c r="AR16" s="74">
        <f>SUM(W16+AB16+AF16+AJ16)</f>
        <v>52156</v>
      </c>
      <c r="AS16" s="74">
        <f>SUM('8. sz. melléklet'!AN39)</f>
        <v>40239</v>
      </c>
      <c r="AT16" s="419">
        <f>SUM(AS16/AR16)</f>
        <v>0.7715123859191656</v>
      </c>
      <c r="AU16" s="74">
        <f>SUM(AM16+AQ16)</f>
        <v>1376653</v>
      </c>
      <c r="AV16" s="74">
        <f>SUM(AN16+AR16)</f>
        <v>1826857</v>
      </c>
      <c r="AW16" s="74">
        <f>SUM('8. sz. melléklet'!AR39)</f>
        <v>1385973</v>
      </c>
      <c r="AX16" s="419">
        <f>SUM(AW16/AV16)</f>
        <v>0.75866529235731095</v>
      </c>
      <c r="AY16" s="93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</row>
    <row r="17" spans="1:91" s="72" customFormat="1" ht="70.5" customHeight="1">
      <c r="A17" s="68" t="s">
        <v>274</v>
      </c>
      <c r="B17" s="346"/>
      <c r="C17" s="346"/>
      <c r="D17" s="346"/>
      <c r="E17" s="527"/>
      <c r="F17" s="346"/>
      <c r="G17" s="346"/>
      <c r="H17" s="346"/>
      <c r="I17" s="527"/>
      <c r="J17" s="346"/>
      <c r="K17" s="346"/>
      <c r="L17" s="346"/>
      <c r="M17" s="527"/>
      <c r="N17" s="346"/>
      <c r="O17" s="346"/>
      <c r="P17" s="346"/>
      <c r="Q17" s="527"/>
      <c r="R17" s="346"/>
      <c r="S17" s="346"/>
      <c r="T17" s="346"/>
      <c r="U17" s="527"/>
      <c r="V17" s="346"/>
      <c r="W17" s="346"/>
      <c r="X17" s="346"/>
      <c r="Y17" s="527"/>
      <c r="Z17" s="68" t="s">
        <v>274</v>
      </c>
      <c r="AA17" s="346"/>
      <c r="AB17" s="346"/>
      <c r="AC17" s="346"/>
      <c r="AD17" s="527"/>
      <c r="AE17" s="346"/>
      <c r="AF17" s="346"/>
      <c r="AG17" s="346"/>
      <c r="AH17" s="527"/>
      <c r="AI17" s="346"/>
      <c r="AJ17" s="346"/>
      <c r="AK17" s="346"/>
      <c r="AL17" s="527"/>
      <c r="AM17" s="346"/>
      <c r="AN17" s="346"/>
      <c r="AO17" s="346"/>
      <c r="AP17" s="527"/>
      <c r="AQ17" s="346"/>
      <c r="AR17" s="346"/>
      <c r="AS17" s="346"/>
      <c r="AT17" s="527"/>
      <c r="AU17" s="79"/>
      <c r="AV17" s="79"/>
      <c r="AW17" s="346"/>
      <c r="AX17" s="527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</row>
    <row r="18" spans="1:91" s="87" customFormat="1" ht="39.950000000000003" customHeight="1" thickBot="1">
      <c r="A18" s="94" t="s">
        <v>277</v>
      </c>
      <c r="B18" s="84">
        <f>SUM('7. sz. melléklet'!C22)</f>
        <v>40428</v>
      </c>
      <c r="C18" s="84">
        <f>SUM('7. sz. melléklet'!D22)</f>
        <v>40428</v>
      </c>
      <c r="D18" s="84">
        <f>SUM('7. sz. melléklet'!E22)</f>
        <v>34295</v>
      </c>
      <c r="E18" s="419">
        <f>SUM(D18/C18)</f>
        <v>0.84829820916196697</v>
      </c>
      <c r="F18" s="84">
        <f>SUM('7. sz. melléklet'!C39)</f>
        <v>11181</v>
      </c>
      <c r="G18" s="84">
        <f>SUM('7. sz. melléklet'!D39)</f>
        <v>12181</v>
      </c>
      <c r="H18" s="84">
        <f>SUM('7. sz. melléklet'!E39)</f>
        <v>10606</v>
      </c>
      <c r="I18" s="419">
        <f>SUM(H18/G18)</f>
        <v>0.87070027091371804</v>
      </c>
      <c r="J18" s="84">
        <f>SUM('7. sz. melléklet'!C116)</f>
        <v>223692</v>
      </c>
      <c r="K18" s="84">
        <f>SUM('7. sz. melléklet'!D116)</f>
        <v>236283</v>
      </c>
      <c r="L18" s="84">
        <f>SUM('7. sz. melléklet'!E116)</f>
        <v>125195</v>
      </c>
      <c r="M18" s="419">
        <f>SUM(L18/K18)</f>
        <v>0.52985191486480199</v>
      </c>
      <c r="N18" s="84">
        <f>SUM('7. sz. melléklet'!C128)</f>
        <v>85067</v>
      </c>
      <c r="O18" s="84">
        <f>SUM('7. sz. melléklet'!D128)</f>
        <v>85067</v>
      </c>
      <c r="P18" s="84">
        <f>SUM('7. sz. melléklet'!E128)</f>
        <v>41762</v>
      </c>
      <c r="Q18" s="419">
        <f>SUM(P18/O18)</f>
        <v>0.4909306781713238</v>
      </c>
      <c r="R18" s="84">
        <f>SUM('7. sz. melléklet'!C180)</f>
        <v>1009338</v>
      </c>
      <c r="S18" s="84">
        <f>SUM('7. sz. melléklet'!D180)</f>
        <v>1091117</v>
      </c>
      <c r="T18" s="84">
        <f>SUM('7. sz. melléklet'!E180)</f>
        <v>642906</v>
      </c>
      <c r="U18" s="419">
        <f>SUM(T18/S18)</f>
        <v>0.58921820483046272</v>
      </c>
      <c r="V18" s="84">
        <f>SUM('7. sz. melléklet'!C194)</f>
        <v>1250</v>
      </c>
      <c r="W18" s="84">
        <f>SUM('7. sz. melléklet'!D194)</f>
        <v>9469</v>
      </c>
      <c r="X18" s="84">
        <f>SUM('7. sz. melléklet'!E194)</f>
        <v>10143</v>
      </c>
      <c r="Y18" s="419">
        <f>SUM(X18/W18)</f>
        <v>1.0711796388214172</v>
      </c>
      <c r="Z18" s="94" t="s">
        <v>277</v>
      </c>
      <c r="AA18" s="84">
        <f>SUM('7. sz. melléklet'!C212)</f>
        <v>59472</v>
      </c>
      <c r="AB18" s="84">
        <f>SUM('7. sz. melléklet'!D212)</f>
        <v>117484</v>
      </c>
      <c r="AC18" s="84">
        <f>SUM('7. sz. melléklet'!E212)</f>
        <v>50386</v>
      </c>
      <c r="AD18" s="419">
        <f>SUM(AC18/AB18)</f>
        <v>0.42887542133396889</v>
      </c>
      <c r="AE18" s="84">
        <f>SUM('7. sz. melléklet'!C222)</f>
        <v>3875</v>
      </c>
      <c r="AF18" s="84">
        <f>SUM('7. sz. melléklet'!D222)</f>
        <v>50373</v>
      </c>
      <c r="AG18" s="84">
        <f>SUM('7. sz. melléklet'!E222)</f>
        <v>1098</v>
      </c>
      <c r="AH18" s="419">
        <f>SUM(AG18/AF18)</f>
        <v>2.1797391459710561E-2</v>
      </c>
      <c r="AI18" s="84">
        <f>'7. sz. melléklet'!C225</f>
        <v>49935</v>
      </c>
      <c r="AJ18" s="84">
        <f>'7. sz. melléklet'!D225</f>
        <v>49935</v>
      </c>
      <c r="AK18" s="84">
        <f>'7. sz. melléklet'!E225</f>
        <v>49935</v>
      </c>
      <c r="AL18" s="419">
        <f>SUM(AK18/AJ18)</f>
        <v>1</v>
      </c>
      <c r="AM18" s="74">
        <f>SUM(B18+F18+J18+N18+R18)</f>
        <v>1369706</v>
      </c>
      <c r="AN18" s="74">
        <f>SUM(C18+G18+K18+O18+S18)</f>
        <v>1465076</v>
      </c>
      <c r="AO18" s="74">
        <f>SUM(D18+H18+L18+P18+T18+AK18)</f>
        <v>904699</v>
      </c>
      <c r="AP18" s="419">
        <f>SUM(AO18/AN18)</f>
        <v>0.61750994487657973</v>
      </c>
      <c r="AQ18" s="74">
        <f>SUM(V18+AA18+AE18+AI18)</f>
        <v>114532</v>
      </c>
      <c r="AR18" s="74">
        <f>SUM(W18+AB18+AF18+AJ18)</f>
        <v>227261</v>
      </c>
      <c r="AS18" s="74">
        <f>SUM(X18+AC18+AG18)</f>
        <v>61627</v>
      </c>
      <c r="AT18" s="419">
        <f>SUM(AS18/AR18)</f>
        <v>0.27117279251609383</v>
      </c>
      <c r="AU18" s="74">
        <f>SUM(AM18+AQ18)</f>
        <v>1484238</v>
      </c>
      <c r="AV18" s="74">
        <f>SUM(AN18+AR18)</f>
        <v>1692337</v>
      </c>
      <c r="AW18" s="74">
        <f>SUM(AO18+AS18)</f>
        <v>966326</v>
      </c>
      <c r="AX18" s="419">
        <f>SUM(AW18/AV18)</f>
        <v>0.57100092948390302</v>
      </c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</row>
    <row r="19" spans="1:91" s="352" customFormat="1" ht="39.75" customHeight="1" thickTop="1" thickBot="1">
      <c r="A19" s="355" t="s">
        <v>275</v>
      </c>
      <c r="B19" s="356">
        <f>SUM(B16+B18)</f>
        <v>751977</v>
      </c>
      <c r="C19" s="356">
        <f>SUM(C16+C18)</f>
        <v>1014844</v>
      </c>
      <c r="D19" s="356">
        <f>SUM(D16+D18)</f>
        <v>823685</v>
      </c>
      <c r="E19" s="528">
        <f>D19/C19</f>
        <v>0.81163705948894604</v>
      </c>
      <c r="F19" s="356">
        <f>SUM(F16+F18)</f>
        <v>202502</v>
      </c>
      <c r="G19" s="356">
        <f t="shared" ref="G19" si="0">SUM(G16+G18)</f>
        <v>244833</v>
      </c>
      <c r="H19" s="356">
        <f>SUM(H16+H18)</f>
        <v>199891</v>
      </c>
      <c r="I19" s="528">
        <f>H19/G19</f>
        <v>0.81643814355091027</v>
      </c>
      <c r="J19" s="356">
        <f t="shared" ref="J19:AU19" si="1">SUM(J16+J18)</f>
        <v>627033</v>
      </c>
      <c r="K19" s="356">
        <f t="shared" ref="K19" si="2">SUM(K16+K18)</f>
        <v>734252</v>
      </c>
      <c r="L19" s="356">
        <f t="shared" ref="L19" si="3">SUM(L16+L18)</f>
        <v>477157</v>
      </c>
      <c r="M19" s="528">
        <f>L19/K19</f>
        <v>0.64985454585074331</v>
      </c>
      <c r="N19" s="356">
        <f t="shared" si="1"/>
        <v>85067</v>
      </c>
      <c r="O19" s="356">
        <f t="shared" ref="O19" si="4">SUM(O16+O18)</f>
        <v>85067</v>
      </c>
      <c r="P19" s="356">
        <f t="shared" ref="P19" si="5">SUM(P16+P18)</f>
        <v>41762</v>
      </c>
      <c r="Q19" s="528">
        <f>P19/O19</f>
        <v>0.4909306781713238</v>
      </c>
      <c r="R19" s="356">
        <f t="shared" si="1"/>
        <v>1064900</v>
      </c>
      <c r="S19" s="356">
        <f t="shared" ref="S19" si="6">SUM(S16+S18)</f>
        <v>1160781</v>
      </c>
      <c r="T19" s="356">
        <f t="shared" ref="T19" si="7">SUM(T16+T18)</f>
        <v>658003</v>
      </c>
      <c r="U19" s="528">
        <f>T19/S19</f>
        <v>0.56686231080625893</v>
      </c>
      <c r="V19" s="356">
        <f t="shared" si="1"/>
        <v>8130</v>
      </c>
      <c r="W19" s="356">
        <f>SUM(W16+W18)</f>
        <v>45100</v>
      </c>
      <c r="X19" s="356">
        <f t="shared" ref="X19" si="8">SUM(X16+X18)</f>
        <v>20921</v>
      </c>
      <c r="Y19" s="528">
        <f>X19/W19</f>
        <v>0.46388026607538801</v>
      </c>
      <c r="Z19" s="355" t="s">
        <v>275</v>
      </c>
      <c r="AA19" s="356">
        <f t="shared" si="1"/>
        <v>59472</v>
      </c>
      <c r="AB19" s="356">
        <f t="shared" ref="AB19" si="9">SUM(AB16+AB18)</f>
        <v>125650</v>
      </c>
      <c r="AC19" s="356">
        <f t="shared" ref="AC19" si="10">SUM(AC16+AC18)</f>
        <v>79847</v>
      </c>
      <c r="AD19" s="528">
        <f>AC19/AB19</f>
        <v>0.63547154795065663</v>
      </c>
      <c r="AE19" s="356">
        <f t="shared" si="1"/>
        <v>11875</v>
      </c>
      <c r="AF19" s="356">
        <f t="shared" ref="AF19" si="11">SUM(AF16+AF18)</f>
        <v>58732</v>
      </c>
      <c r="AG19" s="356">
        <f t="shared" ref="AG19" si="12">SUM(AG16+AG18)</f>
        <v>1098</v>
      </c>
      <c r="AH19" s="528">
        <f>AG19/AF19</f>
        <v>1.8695089559354356E-2</v>
      </c>
      <c r="AI19" s="356">
        <f t="shared" si="1"/>
        <v>49935</v>
      </c>
      <c r="AJ19" s="356">
        <f t="shared" ref="AJ19" si="13">SUM(AJ16+AJ18)</f>
        <v>49935</v>
      </c>
      <c r="AK19" s="356">
        <f t="shared" ref="AK19" si="14">SUM(AK16+AK18)</f>
        <v>49935</v>
      </c>
      <c r="AL19" s="528">
        <f>AK19/AJ19</f>
        <v>1</v>
      </c>
      <c r="AM19" s="356">
        <f t="shared" si="1"/>
        <v>2731479</v>
      </c>
      <c r="AN19" s="356">
        <f t="shared" ref="AN19" si="15">SUM(AN16+AN18)</f>
        <v>3239777</v>
      </c>
      <c r="AO19" s="356">
        <f t="shared" ref="AO19" si="16">SUM(AO16+AO18)</f>
        <v>2250433</v>
      </c>
      <c r="AP19" s="528">
        <f>AO19/AN19</f>
        <v>0.69462589554774912</v>
      </c>
      <c r="AQ19" s="356">
        <f t="shared" si="1"/>
        <v>129412</v>
      </c>
      <c r="AR19" s="356">
        <f t="shared" ref="AR19" si="17">SUM(AR16+AR18)</f>
        <v>279417</v>
      </c>
      <c r="AS19" s="356">
        <f t="shared" ref="AS19" si="18">SUM(AS16+AS18)</f>
        <v>101866</v>
      </c>
      <c r="AT19" s="528">
        <f>AS19/AR19</f>
        <v>0.36456622181184395</v>
      </c>
      <c r="AU19" s="356">
        <f t="shared" si="1"/>
        <v>2860891</v>
      </c>
      <c r="AV19" s="356">
        <f t="shared" ref="AV19" si="19">SUM(AV16+AV18)</f>
        <v>3519194</v>
      </c>
      <c r="AW19" s="356">
        <f t="shared" ref="AW19" si="20">SUM(AW16+AW18)</f>
        <v>2352299</v>
      </c>
      <c r="AX19" s="528">
        <f>AW19/AV19</f>
        <v>0.66841981430975383</v>
      </c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</row>
    <row r="20" spans="1:91" ht="15.75" thickTop="1">
      <c r="AU20" s="101"/>
      <c r="AV20" s="101"/>
    </row>
    <row r="21" spans="1:91">
      <c r="AU21" s="101"/>
      <c r="AV21" s="101"/>
    </row>
  </sheetData>
  <mergeCells count="29">
    <mergeCell ref="A11:A14"/>
    <mergeCell ref="V11:Y11"/>
    <mergeCell ref="V12:Y13"/>
    <mergeCell ref="AA12:AD13"/>
    <mergeCell ref="AA11:AD11"/>
    <mergeCell ref="AZ8:BG8"/>
    <mergeCell ref="AQ10:AU10"/>
    <mergeCell ref="N11:Q11"/>
    <mergeCell ref="F12:I13"/>
    <mergeCell ref="J12:M13"/>
    <mergeCell ref="N12:Q13"/>
    <mergeCell ref="R11:U11"/>
    <mergeCell ref="R12:U13"/>
    <mergeCell ref="A5:Y5"/>
    <mergeCell ref="AA5:AX5"/>
    <mergeCell ref="Z11:Z14"/>
    <mergeCell ref="AE11:AH11"/>
    <mergeCell ref="AE12:AH13"/>
    <mergeCell ref="AI11:AL11"/>
    <mergeCell ref="AI12:AL13"/>
    <mergeCell ref="AM11:AX11"/>
    <mergeCell ref="AM12:AX12"/>
    <mergeCell ref="AM13:AP13"/>
    <mergeCell ref="AQ13:AT13"/>
    <mergeCell ref="AU13:AX13"/>
    <mergeCell ref="B11:E11"/>
    <mergeCell ref="B12:E13"/>
    <mergeCell ref="F11:I11"/>
    <mergeCell ref="J11:M1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colBreaks count="1" manualBreakCount="1">
    <brk id="25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43"/>
  <sheetViews>
    <sheetView view="pageBreakPreview" zoomScale="86" zoomScaleSheetLayoutView="86" workbookViewId="0"/>
  </sheetViews>
  <sheetFormatPr defaultRowHeight="15.75" thickBottom="1"/>
  <cols>
    <col min="1" max="1" width="80" style="168" customWidth="1"/>
    <col min="2" max="2" width="18.28515625" style="168" customWidth="1"/>
    <col min="3" max="5" width="21.42578125" style="169" customWidth="1"/>
    <col min="6" max="6" width="21.42578125" style="507" customWidth="1"/>
    <col min="7" max="40" width="9.140625" style="160"/>
    <col min="41" max="41" width="9.140625" style="166"/>
    <col min="42" max="16384" width="9.140625" style="167"/>
  </cols>
  <sheetData>
    <row r="1" spans="1:41" s="158" customFormat="1" ht="18.75">
      <c r="A1" s="28" t="s">
        <v>413</v>
      </c>
      <c r="B1" s="156"/>
      <c r="C1" s="157"/>
      <c r="D1" s="157"/>
      <c r="E1" s="157"/>
      <c r="F1" s="492"/>
    </row>
    <row r="2" spans="1:41" s="160" customFormat="1">
      <c r="A2" s="156"/>
      <c r="B2" s="156"/>
      <c r="C2" s="159"/>
      <c r="D2" s="159"/>
      <c r="E2" s="159"/>
      <c r="F2" s="493"/>
    </row>
    <row r="3" spans="1:41" s="160" customFormat="1" ht="34.5" customHeight="1">
      <c r="A3" s="669" t="s">
        <v>402</v>
      </c>
      <c r="B3" s="669"/>
      <c r="C3" s="669"/>
      <c r="D3" s="669"/>
      <c r="E3" s="669"/>
      <c r="F3" s="669"/>
    </row>
    <row r="4" spans="1:41" s="160" customFormat="1" ht="15">
      <c r="C4" s="159"/>
      <c r="D4" s="159"/>
      <c r="E4" s="159"/>
      <c r="F4" s="493"/>
    </row>
    <row r="5" spans="1:41" s="161" customFormat="1" ht="16.5" thickBot="1">
      <c r="C5" s="173"/>
      <c r="D5" s="384"/>
      <c r="E5" s="417"/>
      <c r="F5" s="481" t="s">
        <v>0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</row>
    <row r="6" spans="1:41" s="193" customFormat="1" ht="66.75" customHeight="1" thickBot="1">
      <c r="A6" s="201" t="s">
        <v>315</v>
      </c>
      <c r="B6" s="203"/>
      <c r="C6" s="273" t="s">
        <v>113</v>
      </c>
      <c r="D6" s="273" t="s">
        <v>338</v>
      </c>
      <c r="E6" s="273" t="s">
        <v>363</v>
      </c>
      <c r="F6" s="494" t="s">
        <v>362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2"/>
    </row>
    <row r="7" spans="1:41" s="19" customFormat="1" ht="33" customHeight="1" thickBot="1">
      <c r="A7" s="231" t="s">
        <v>226</v>
      </c>
      <c r="B7" s="232"/>
      <c r="C7" s="387"/>
      <c r="D7" s="233"/>
      <c r="E7" s="387"/>
      <c r="F7" s="49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</row>
    <row r="8" spans="1:41" s="19" customFormat="1" ht="21" customHeight="1" thickBot="1">
      <c r="A8" s="542" t="s">
        <v>115</v>
      </c>
      <c r="B8" s="15"/>
      <c r="C8" s="22">
        <v>63134</v>
      </c>
      <c r="D8" s="22">
        <v>63134</v>
      </c>
      <c r="E8" s="22">
        <v>31696</v>
      </c>
      <c r="F8" s="496">
        <f>E8/D8</f>
        <v>0.50204327303829954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</row>
    <row r="9" spans="1:41" s="25" customFormat="1" ht="28.5" customHeight="1" thickBot="1">
      <c r="A9" s="543" t="s">
        <v>201</v>
      </c>
      <c r="B9" s="21"/>
      <c r="C9" s="22">
        <v>2000</v>
      </c>
      <c r="D9" s="22">
        <v>2000</v>
      </c>
      <c r="E9" s="22">
        <v>896</v>
      </c>
      <c r="F9" s="496">
        <f>E9/D9</f>
        <v>0.44800000000000001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1:41" s="19" customFormat="1" ht="19.5" customHeight="1" thickBot="1">
      <c r="A10" s="543" t="s">
        <v>116</v>
      </c>
      <c r="B10" s="15"/>
      <c r="C10" s="22">
        <v>4000</v>
      </c>
      <c r="D10" s="22">
        <f>C10+254</f>
        <v>4254</v>
      </c>
      <c r="E10" s="22">
        <v>1614</v>
      </c>
      <c r="F10" s="496">
        <f>E10/D10</f>
        <v>0.37940761636107195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8"/>
    </row>
    <row r="11" spans="1:41" s="19" customFormat="1" ht="39.75" customHeight="1" thickBot="1">
      <c r="A11" s="20" t="s">
        <v>214</v>
      </c>
      <c r="B11" s="32">
        <f>4000+254</f>
        <v>4254</v>
      </c>
      <c r="C11" s="22"/>
      <c r="D11" s="22"/>
      <c r="E11" s="22"/>
      <c r="F11" s="49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</row>
    <row r="12" spans="1:41" s="19" customFormat="1" ht="22.5" customHeight="1" thickBot="1">
      <c r="A12" s="542" t="s">
        <v>117</v>
      </c>
      <c r="B12" s="15"/>
      <c r="C12" s="22">
        <v>150</v>
      </c>
      <c r="D12" s="22">
        <v>150</v>
      </c>
      <c r="E12" s="22">
        <v>70</v>
      </c>
      <c r="F12" s="496">
        <f>E12/D12</f>
        <v>0.46666666666666667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41" s="19" customFormat="1" ht="22.5" customHeight="1" thickBot="1">
      <c r="A13" s="543" t="s">
        <v>118</v>
      </c>
      <c r="B13" s="15"/>
      <c r="C13" s="22">
        <v>340</v>
      </c>
      <c r="D13" s="22">
        <v>340</v>
      </c>
      <c r="E13" s="22">
        <v>0</v>
      </c>
      <c r="F13" s="496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8"/>
    </row>
    <row r="14" spans="1:41" s="19" customFormat="1" ht="22.5" customHeight="1" thickBot="1">
      <c r="A14" s="20" t="s">
        <v>89</v>
      </c>
      <c r="B14" s="15"/>
      <c r="C14" s="22"/>
      <c r="D14" s="22"/>
      <c r="E14" s="22"/>
      <c r="F14" s="49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</row>
    <row r="15" spans="1:41" s="19" customFormat="1" ht="38.25" thickBot="1">
      <c r="A15" s="20" t="s">
        <v>119</v>
      </c>
      <c r="B15" s="15">
        <v>300</v>
      </c>
      <c r="C15" s="22"/>
      <c r="D15" s="22"/>
      <c r="E15" s="22"/>
      <c r="F15" s="49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</row>
    <row r="16" spans="1:41" s="19" customFormat="1" ht="22.5" customHeight="1" thickBot="1">
      <c r="A16" s="20" t="s">
        <v>120</v>
      </c>
      <c r="B16" s="15">
        <v>40</v>
      </c>
      <c r="C16" s="22"/>
      <c r="D16" s="22"/>
      <c r="E16" s="22"/>
      <c r="F16" s="49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</row>
    <row r="17" spans="1:41" s="19" customFormat="1" ht="22.5" customHeight="1" thickBot="1">
      <c r="A17" s="543" t="s">
        <v>121</v>
      </c>
      <c r="B17" s="15"/>
      <c r="C17" s="22">
        <v>50</v>
      </c>
      <c r="D17" s="22">
        <v>50</v>
      </c>
      <c r="E17" s="22">
        <v>0</v>
      </c>
      <c r="F17" s="496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1" s="19" customFormat="1" ht="22.5" customHeight="1" thickBot="1">
      <c r="A18" s="20" t="s">
        <v>89</v>
      </c>
      <c r="B18" s="15"/>
      <c r="C18" s="22"/>
      <c r="D18" s="22"/>
      <c r="E18" s="22"/>
      <c r="F18" s="49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s="19" customFormat="1" ht="22.5" customHeight="1" thickBot="1">
      <c r="A19" s="20" t="s">
        <v>122</v>
      </c>
      <c r="B19" s="15">
        <v>50</v>
      </c>
      <c r="C19" s="22"/>
      <c r="D19" s="22"/>
      <c r="E19" s="22"/>
      <c r="F19" s="49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1" s="19" customFormat="1" ht="22.5" customHeight="1" thickBot="1">
      <c r="A20" s="543" t="s">
        <v>123</v>
      </c>
      <c r="B20" s="15"/>
      <c r="C20" s="22">
        <v>205</v>
      </c>
      <c r="D20" s="22">
        <v>205</v>
      </c>
      <c r="E20" s="22">
        <v>0</v>
      </c>
      <c r="F20" s="496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</row>
    <row r="21" spans="1:41" s="19" customFormat="1" ht="22.5" customHeight="1" thickBot="1">
      <c r="A21" s="543" t="s">
        <v>124</v>
      </c>
      <c r="B21" s="15"/>
      <c r="C21" s="22">
        <v>250</v>
      </c>
      <c r="D21" s="22">
        <v>250</v>
      </c>
      <c r="E21" s="22">
        <v>0</v>
      </c>
      <c r="F21" s="496"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</row>
    <row r="22" spans="1:41" s="19" customFormat="1" ht="22.5" customHeight="1" thickBot="1">
      <c r="A22" s="542" t="s">
        <v>125</v>
      </c>
      <c r="B22" s="15"/>
      <c r="C22" s="22">
        <v>1209</v>
      </c>
      <c r="D22" s="22">
        <v>1209</v>
      </c>
      <c r="E22" s="22">
        <f>530+250</f>
        <v>780</v>
      </c>
      <c r="F22" s="496">
        <f>E22/D22</f>
        <v>0.64516129032258063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</row>
    <row r="23" spans="1:41" s="19" customFormat="1" ht="22.5" customHeight="1" thickBot="1">
      <c r="A23" s="20" t="s">
        <v>89</v>
      </c>
      <c r="B23" s="15"/>
      <c r="C23" s="22"/>
      <c r="D23" s="22"/>
      <c r="E23" s="22"/>
      <c r="F23" s="49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</row>
    <row r="24" spans="1:41" s="19" customFormat="1" ht="43.5" customHeight="1" thickBot="1">
      <c r="A24" s="20" t="s">
        <v>172</v>
      </c>
      <c r="B24" s="15">
        <v>909</v>
      </c>
      <c r="C24" s="22"/>
      <c r="D24" s="22"/>
      <c r="E24" s="22"/>
      <c r="F24" s="49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</row>
    <row r="25" spans="1:41" s="19" customFormat="1" ht="30.75" customHeight="1" thickBot="1">
      <c r="A25" s="20" t="s">
        <v>173</v>
      </c>
      <c r="B25" s="15">
        <v>300</v>
      </c>
      <c r="C25" s="22"/>
      <c r="D25" s="22"/>
      <c r="E25" s="22"/>
      <c r="F25" s="49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</row>
    <row r="26" spans="1:41" s="19" customFormat="1" ht="110.25" customHeight="1" thickBot="1">
      <c r="A26" s="665" t="s">
        <v>286</v>
      </c>
      <c r="B26" s="666"/>
      <c r="C26" s="22">
        <v>1000</v>
      </c>
      <c r="D26" s="22">
        <v>1000</v>
      </c>
      <c r="E26" s="22">
        <v>769</v>
      </c>
      <c r="F26" s="496">
        <f>E26/D26</f>
        <v>0.76900000000000002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</row>
    <row r="27" spans="1:41" s="19" customFormat="1" ht="38.25" thickBot="1">
      <c r="A27" s="543" t="s">
        <v>126</v>
      </c>
      <c r="B27" s="15"/>
      <c r="C27" s="22">
        <v>487388</v>
      </c>
      <c r="D27" s="22">
        <v>554387</v>
      </c>
      <c r="E27" s="22">
        <v>435688</v>
      </c>
      <c r="F27" s="496">
        <f t="shared" ref="F27:F29" si="0">E27/D27</f>
        <v>0.78589144406344302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</row>
    <row r="28" spans="1:41" s="19" customFormat="1" ht="57" thickBot="1">
      <c r="A28" s="543" t="s">
        <v>283</v>
      </c>
      <c r="B28" s="15"/>
      <c r="C28" s="22">
        <v>70000</v>
      </c>
      <c r="D28" s="22">
        <v>80000</v>
      </c>
      <c r="E28" s="22">
        <v>48000</v>
      </c>
      <c r="F28" s="496">
        <f t="shared" si="0"/>
        <v>0.6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s="19" customFormat="1" ht="57" thickBot="1">
      <c r="A29" s="543" t="s">
        <v>396</v>
      </c>
      <c r="B29" s="15"/>
      <c r="C29" s="22"/>
      <c r="D29" s="22">
        <v>4000</v>
      </c>
      <c r="E29" s="22">
        <v>0</v>
      </c>
      <c r="F29" s="496">
        <f t="shared" si="0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</row>
    <row r="30" spans="1:41" s="19" customFormat="1" ht="27.75" customHeight="1" thickBot="1">
      <c r="A30" s="543" t="s">
        <v>127</v>
      </c>
      <c r="B30" s="15"/>
      <c r="C30" s="22">
        <v>1032</v>
      </c>
      <c r="D30" s="22">
        <v>1032</v>
      </c>
      <c r="E30" s="22">
        <v>0</v>
      </c>
      <c r="F30" s="496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</row>
    <row r="31" spans="1:41" s="19" customFormat="1" ht="46.5" customHeight="1" thickBot="1">
      <c r="A31" s="543" t="s">
        <v>345</v>
      </c>
      <c r="B31" s="15"/>
      <c r="C31" s="22"/>
      <c r="D31" s="22">
        <v>14000</v>
      </c>
      <c r="E31" s="22">
        <v>0</v>
      </c>
      <c r="F31" s="496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</row>
    <row r="32" spans="1:41" s="19" customFormat="1" ht="27.75" customHeight="1" thickBot="1">
      <c r="A32" s="543" t="s">
        <v>175</v>
      </c>
      <c r="B32" s="15"/>
      <c r="C32" s="22">
        <v>77094</v>
      </c>
      <c r="D32" s="22">
        <v>77094</v>
      </c>
      <c r="E32" s="22">
        <f>57168+420</f>
        <v>57588</v>
      </c>
      <c r="F32" s="496">
        <f t="shared" ref="F32" si="1">E32/D32</f>
        <v>0.74698420110514441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1:41" s="19" customFormat="1" ht="37.5" customHeight="1" thickBot="1">
      <c r="A33" s="20" t="s">
        <v>284</v>
      </c>
      <c r="B33" s="15">
        <f>6352*12</f>
        <v>76224</v>
      </c>
      <c r="C33" s="16"/>
      <c r="D33" s="16"/>
      <c r="E33" s="16"/>
      <c r="F33" s="49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</row>
    <row r="34" spans="1:41" s="19" customFormat="1" ht="22.5" customHeight="1" thickBot="1">
      <c r="A34" s="20" t="s">
        <v>128</v>
      </c>
      <c r="B34" s="15">
        <v>450</v>
      </c>
      <c r="C34" s="16"/>
      <c r="D34" s="16"/>
      <c r="E34" s="16"/>
      <c r="F34" s="49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</row>
    <row r="35" spans="1:41" s="19" customFormat="1" ht="30.75" customHeight="1" thickBot="1">
      <c r="A35" s="20" t="s">
        <v>174</v>
      </c>
      <c r="B35" s="15">
        <v>420</v>
      </c>
      <c r="C35" s="16"/>
      <c r="D35" s="16"/>
      <c r="E35" s="16"/>
      <c r="F35" s="49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</row>
    <row r="36" spans="1:41" s="25" customFormat="1" ht="36.75" customHeight="1" thickBot="1">
      <c r="A36" s="665" t="s">
        <v>300</v>
      </c>
      <c r="B36" s="666"/>
      <c r="C36" s="22">
        <v>30443</v>
      </c>
      <c r="D36" s="22">
        <f>C36-30443</f>
        <v>0</v>
      </c>
      <c r="E36" s="22">
        <v>23</v>
      </c>
      <c r="F36" s="496"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/>
    </row>
    <row r="37" spans="1:41" s="19" customFormat="1" ht="42" customHeight="1" thickBot="1">
      <c r="A37" s="665" t="s">
        <v>285</v>
      </c>
      <c r="B37" s="666"/>
      <c r="C37" s="22">
        <v>78967</v>
      </c>
      <c r="D37" s="22">
        <v>78967</v>
      </c>
      <c r="E37" s="22">
        <f>24475+2512+13479+65</f>
        <v>40531</v>
      </c>
      <c r="F37" s="496">
        <f t="shared" ref="F37" si="2">E37/D37</f>
        <v>0.51326503476135599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</row>
    <row r="38" spans="1:41" s="19" customFormat="1" ht="21" customHeight="1" thickBot="1">
      <c r="A38" s="20" t="s">
        <v>184</v>
      </c>
      <c r="B38" s="32">
        <v>20203</v>
      </c>
      <c r="C38" s="22"/>
      <c r="D38" s="22"/>
      <c r="E38" s="22"/>
      <c r="F38" s="49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</row>
    <row r="39" spans="1:41" s="19" customFormat="1" ht="21" customHeight="1" thickBot="1">
      <c r="A39" s="20" t="s">
        <v>185</v>
      </c>
      <c r="B39" s="32">
        <v>1900</v>
      </c>
      <c r="C39" s="22"/>
      <c r="D39" s="22"/>
      <c r="E39" s="22"/>
      <c r="F39" s="49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</row>
    <row r="40" spans="1:41" s="19" customFormat="1" ht="21" customHeight="1" thickBot="1">
      <c r="A40" s="20" t="s">
        <v>187</v>
      </c>
      <c r="B40" s="32">
        <v>8223</v>
      </c>
      <c r="C40" s="22"/>
      <c r="D40" s="22"/>
      <c r="E40" s="22"/>
      <c r="F40" s="49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</row>
    <row r="41" spans="1:41" s="19" customFormat="1" ht="21" customHeight="1" thickBot="1">
      <c r="A41" s="20" t="s">
        <v>186</v>
      </c>
      <c r="B41" s="32">
        <v>1886</v>
      </c>
      <c r="C41" s="22"/>
      <c r="D41" s="22"/>
      <c r="E41" s="22"/>
      <c r="F41" s="49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</row>
    <row r="42" spans="1:41" s="19" customFormat="1" ht="23.25" customHeight="1" thickBot="1">
      <c r="A42" s="543" t="s">
        <v>130</v>
      </c>
      <c r="B42" s="15"/>
      <c r="C42" s="22">
        <v>2600</v>
      </c>
      <c r="D42" s="22">
        <v>2600</v>
      </c>
      <c r="E42" s="22">
        <v>2250</v>
      </c>
      <c r="F42" s="496">
        <f>E42/D42</f>
        <v>0.86538461538461542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</row>
    <row r="43" spans="1:41" s="19" customFormat="1" ht="39" customHeight="1" thickBot="1">
      <c r="A43" s="543" t="s">
        <v>205</v>
      </c>
      <c r="B43" s="15"/>
      <c r="C43" s="22">
        <v>32835</v>
      </c>
      <c r="D43" s="22">
        <f>C43+2494</f>
        <v>35329</v>
      </c>
      <c r="E43" s="22">
        <f>24978+392</f>
        <v>25370</v>
      </c>
      <c r="F43" s="496">
        <f>E43/D43</f>
        <v>0.71810693764329592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</row>
    <row r="44" spans="1:41" s="19" customFormat="1" ht="27.75" customHeight="1" thickBot="1">
      <c r="A44" s="20" t="s">
        <v>131</v>
      </c>
      <c r="B44" s="15"/>
      <c r="C44" s="22"/>
      <c r="D44" s="22"/>
      <c r="E44" s="22"/>
      <c r="F44" s="49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</row>
    <row r="45" spans="1:41" s="19" customFormat="1" ht="37.5" customHeight="1" thickBot="1">
      <c r="A45" s="20" t="s">
        <v>206</v>
      </c>
      <c r="B45" s="15">
        <f>2504+2494</f>
        <v>4998</v>
      </c>
      <c r="C45" s="22"/>
      <c r="D45" s="22"/>
      <c r="E45" s="22"/>
      <c r="F45" s="49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</row>
    <row r="46" spans="1:41" s="19" customFormat="1" ht="24.75" customHeight="1" thickBot="1">
      <c r="A46" s="20" t="s">
        <v>207</v>
      </c>
      <c r="B46" s="15">
        <f>29970+361</f>
        <v>30331</v>
      </c>
      <c r="C46" s="22"/>
      <c r="D46" s="22"/>
      <c r="E46" s="22"/>
      <c r="F46" s="49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</row>
    <row r="47" spans="1:41" s="19" customFormat="1" ht="37.5" customHeight="1" thickBot="1">
      <c r="A47" s="543" t="s">
        <v>171</v>
      </c>
      <c r="B47" s="15"/>
      <c r="C47" s="22">
        <v>15473</v>
      </c>
      <c r="D47" s="22">
        <f>SUM(B48:B50)</f>
        <v>16005</v>
      </c>
      <c r="E47" s="22">
        <v>5270</v>
      </c>
      <c r="F47" s="496">
        <f>E47/D47</f>
        <v>0.32927210246797878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1:41" s="19" customFormat="1" ht="37.5" customHeight="1" thickBot="1">
      <c r="A48" s="20" t="s">
        <v>170</v>
      </c>
      <c r="B48" s="15">
        <v>9950</v>
      </c>
      <c r="C48" s="22"/>
      <c r="D48" s="22"/>
      <c r="E48" s="22"/>
      <c r="F48" s="49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</row>
    <row r="49" spans="1:41" s="19" customFormat="1" ht="24.75" customHeight="1" thickBot="1">
      <c r="A49" s="20" t="s">
        <v>169</v>
      </c>
      <c r="B49" s="15">
        <v>5523</v>
      </c>
      <c r="C49" s="22"/>
      <c r="D49" s="22"/>
      <c r="E49" s="22"/>
      <c r="F49" s="49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</row>
    <row r="50" spans="1:41" s="19" customFormat="1" ht="24.75" customHeight="1" thickBot="1">
      <c r="A50" s="20" t="s">
        <v>394</v>
      </c>
      <c r="B50" s="15">
        <v>532</v>
      </c>
      <c r="C50" s="22"/>
      <c r="D50" s="22"/>
      <c r="E50" s="22"/>
      <c r="F50" s="49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</row>
    <row r="51" spans="1:41" s="25" customFormat="1" ht="32.25" customHeight="1" thickBot="1">
      <c r="A51" s="543" t="s">
        <v>188</v>
      </c>
      <c r="B51" s="21"/>
      <c r="C51" s="22">
        <v>2400</v>
      </c>
      <c r="D51" s="22">
        <f>SUM(B52:B53)</f>
        <v>4800</v>
      </c>
      <c r="E51" s="22">
        <v>2148</v>
      </c>
      <c r="F51" s="496">
        <f>E51/D51</f>
        <v>0.44750000000000001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4"/>
    </row>
    <row r="52" spans="1:41" s="19" customFormat="1" ht="87.75" customHeight="1" thickBot="1">
      <c r="A52" s="20" t="s">
        <v>168</v>
      </c>
      <c r="B52" s="15">
        <v>2400</v>
      </c>
      <c r="C52" s="16"/>
      <c r="D52" s="16"/>
      <c r="E52" s="16"/>
      <c r="F52" s="49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</row>
    <row r="53" spans="1:41" s="19" customFormat="1" ht="87.75" customHeight="1" thickBot="1">
      <c r="A53" s="20" t="s">
        <v>395</v>
      </c>
      <c r="B53" s="15">
        <v>2400</v>
      </c>
      <c r="C53" s="16"/>
      <c r="D53" s="16"/>
      <c r="E53" s="16"/>
      <c r="F53" s="49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</row>
    <row r="54" spans="1:41" s="19" customFormat="1" ht="25.5" customHeight="1" thickBot="1">
      <c r="A54" s="542" t="s">
        <v>132</v>
      </c>
      <c r="B54" s="15"/>
      <c r="C54" s="22">
        <v>17833</v>
      </c>
      <c r="D54" s="22">
        <v>17833</v>
      </c>
      <c r="E54" s="22">
        <v>16111</v>
      </c>
      <c r="F54" s="496">
        <f>E54/D54</f>
        <v>0.90343744742892396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</row>
    <row r="55" spans="1:41" s="19" customFormat="1" ht="25.5" customHeight="1" thickBot="1">
      <c r="A55" s="20" t="s">
        <v>133</v>
      </c>
      <c r="B55" s="15">
        <v>17833</v>
      </c>
      <c r="C55" s="22"/>
      <c r="D55" s="22"/>
      <c r="E55" s="22"/>
      <c r="F55" s="49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</row>
    <row r="56" spans="1:41" s="19" customFormat="1" ht="39.75" customHeight="1" thickBot="1">
      <c r="A56" s="542" t="s">
        <v>134</v>
      </c>
      <c r="B56" s="15"/>
      <c r="C56" s="22">
        <v>21047</v>
      </c>
      <c r="D56" s="22">
        <f>C56+571</f>
        <v>21618</v>
      </c>
      <c r="E56" s="22">
        <f>107+6+38+41+9463+5765-131</f>
        <v>15289</v>
      </c>
      <c r="F56" s="496">
        <f>E56/D56</f>
        <v>0.70723471181422892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</row>
    <row r="57" spans="1:41" s="19" customFormat="1" ht="21.75" customHeight="1" thickBot="1">
      <c r="A57" s="20" t="s">
        <v>89</v>
      </c>
      <c r="B57" s="15"/>
      <c r="C57" s="22"/>
      <c r="D57" s="22"/>
      <c r="E57" s="22"/>
      <c r="F57" s="49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</row>
    <row r="58" spans="1:41" s="19" customFormat="1" ht="21.75" customHeight="1" thickBot="1">
      <c r="A58" s="20" t="s">
        <v>211</v>
      </c>
      <c r="B58" s="32">
        <f>3817+2241</f>
        <v>6058</v>
      </c>
      <c r="C58" s="22"/>
      <c r="D58" s="22"/>
      <c r="E58" s="22"/>
      <c r="F58" s="49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</row>
    <row r="59" spans="1:41" s="19" customFormat="1" ht="21.75" customHeight="1" thickBot="1">
      <c r="A59" s="20" t="s">
        <v>135</v>
      </c>
      <c r="B59" s="32">
        <v>3147</v>
      </c>
      <c r="C59" s="22"/>
      <c r="D59" s="22"/>
      <c r="E59" s="22"/>
      <c r="F59" s="49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</row>
    <row r="60" spans="1:41" s="19" customFormat="1" ht="21.75" customHeight="1" thickBot="1">
      <c r="A60" s="20" t="s">
        <v>212</v>
      </c>
      <c r="B60" s="32">
        <v>984</v>
      </c>
      <c r="C60" s="22"/>
      <c r="D60" s="22"/>
      <c r="E60" s="22"/>
      <c r="F60" s="49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</row>
    <row r="61" spans="1:41" s="19" customFormat="1" ht="21.75" customHeight="1" thickBot="1">
      <c r="A61" s="20" t="s">
        <v>136</v>
      </c>
      <c r="B61" s="32">
        <v>302</v>
      </c>
      <c r="C61" s="22"/>
      <c r="D61" s="22"/>
      <c r="E61" s="22"/>
      <c r="F61" s="49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</row>
    <row r="62" spans="1:41" s="19" customFormat="1" ht="21.75" customHeight="1" thickBot="1">
      <c r="A62" s="20" t="s">
        <v>137</v>
      </c>
      <c r="B62" s="32">
        <f>95+6 +73+977</f>
        <v>1151</v>
      </c>
      <c r="C62" s="545"/>
      <c r="D62" s="545"/>
      <c r="E62" s="545"/>
      <c r="F62" s="54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</row>
    <row r="63" spans="1:41" s="19" customFormat="1" ht="29.25" customHeight="1" thickBot="1">
      <c r="A63" s="665" t="s">
        <v>365</v>
      </c>
      <c r="B63" s="666"/>
      <c r="C63" s="545"/>
      <c r="D63" s="545"/>
      <c r="E63" s="545">
        <v>8368</v>
      </c>
      <c r="F63" s="546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</row>
    <row r="64" spans="1:41" s="19" customFormat="1" ht="21.75" customHeight="1" thickBot="1">
      <c r="A64" s="547" t="s">
        <v>344</v>
      </c>
      <c r="B64" s="548"/>
      <c r="C64" s="545"/>
      <c r="D64" s="545">
        <v>1410</v>
      </c>
      <c r="E64" s="545">
        <v>1689</v>
      </c>
      <c r="F64" s="496">
        <f>E64/D64</f>
        <v>1.1978723404255318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</row>
    <row r="65" spans="1:41" s="19" customFormat="1" ht="27.75" customHeight="1" thickBot="1">
      <c r="A65" s="547" t="s">
        <v>180</v>
      </c>
      <c r="B65" s="548"/>
      <c r="C65" s="545">
        <v>10000</v>
      </c>
      <c r="D65" s="545">
        <v>10000</v>
      </c>
      <c r="E65" s="545">
        <v>0</v>
      </c>
      <c r="F65" s="546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</row>
    <row r="66" spans="1:41" s="236" customFormat="1" ht="41.25" customHeight="1" thickBot="1">
      <c r="A66" s="244" t="s">
        <v>138</v>
      </c>
      <c r="B66" s="237"/>
      <c r="C66" s="274">
        <f>SUM(C8:C65)</f>
        <v>919450</v>
      </c>
      <c r="D66" s="274">
        <f>SUM(D8:D65)</f>
        <v>991667</v>
      </c>
      <c r="E66" s="274">
        <f>SUM(E8:E65)</f>
        <v>694150</v>
      </c>
      <c r="F66" s="498">
        <f>SUM(F8:F65)</f>
        <v>11.025227681483138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5"/>
    </row>
    <row r="67" spans="1:41" s="42" customFormat="1" ht="26.25" customHeight="1" thickBot="1">
      <c r="A67" s="31"/>
      <c r="B67" s="238"/>
      <c r="C67" s="388"/>
      <c r="D67" s="389"/>
      <c r="E67" s="388"/>
      <c r="F67" s="499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1"/>
    </row>
    <row r="68" spans="1:41" s="30" customFormat="1" ht="28.5" customHeight="1" thickBot="1">
      <c r="A68" s="240" t="s">
        <v>321</v>
      </c>
      <c r="B68" s="242"/>
      <c r="C68" s="243"/>
      <c r="D68" s="243"/>
      <c r="E68" s="243"/>
      <c r="F68" s="50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</row>
    <row r="69" spans="1:41" s="30" customFormat="1" ht="28.5" customHeight="1" thickBot="1">
      <c r="A69" s="31" t="s">
        <v>181</v>
      </c>
      <c r="B69" s="26"/>
      <c r="C69" s="27">
        <v>19000</v>
      </c>
      <c r="D69" s="27">
        <v>44600</v>
      </c>
      <c r="E69" s="27">
        <f>10973+762+80</f>
        <v>11815</v>
      </c>
      <c r="F69" s="496">
        <f>E69/D69</f>
        <v>0.26491031390134528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9"/>
    </row>
    <row r="70" spans="1:41" s="25" customFormat="1" ht="52.5" customHeight="1" thickBot="1">
      <c r="A70" s="543" t="s">
        <v>191</v>
      </c>
      <c r="B70" s="21"/>
      <c r="C70" s="22">
        <v>593</v>
      </c>
      <c r="D70" s="22">
        <v>593</v>
      </c>
      <c r="E70" s="22">
        <v>0</v>
      </c>
      <c r="F70" s="496"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4"/>
    </row>
    <row r="71" spans="1:41" s="25" customFormat="1" ht="38.25" customHeight="1" thickBot="1">
      <c r="A71" s="543" t="s">
        <v>350</v>
      </c>
      <c r="B71" s="21"/>
      <c r="C71" s="22"/>
      <c r="D71" s="22">
        <f>98</f>
        <v>98</v>
      </c>
      <c r="E71" s="22">
        <v>98</v>
      </c>
      <c r="F71" s="496">
        <f>E71/D71</f>
        <v>1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4"/>
    </row>
    <row r="72" spans="1:41" s="25" customFormat="1" ht="52.5" customHeight="1" thickBot="1">
      <c r="A72" s="543" t="s">
        <v>193</v>
      </c>
      <c r="B72" s="21"/>
      <c r="C72" s="22">
        <v>100</v>
      </c>
      <c r="D72" s="22">
        <v>100</v>
      </c>
      <c r="E72" s="22">
        <v>100</v>
      </c>
      <c r="F72" s="496">
        <f>E72/D72</f>
        <v>1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4"/>
    </row>
    <row r="73" spans="1:41" s="25" customFormat="1" ht="45" customHeight="1" thickBot="1">
      <c r="A73" s="543" t="s">
        <v>189</v>
      </c>
      <c r="B73" s="21"/>
      <c r="C73" s="22">
        <v>31580</v>
      </c>
      <c r="D73" s="22">
        <f>SUM(B74:B76)</f>
        <v>32656</v>
      </c>
      <c r="E73" s="22">
        <v>32833</v>
      </c>
      <c r="F73" s="496">
        <f>E73/D73</f>
        <v>1.0054201371876532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</row>
    <row r="74" spans="1:41" s="25" customFormat="1" ht="33.75" customHeight="1" thickBot="1">
      <c r="A74" s="20" t="s">
        <v>190</v>
      </c>
      <c r="B74" s="549">
        <v>1580</v>
      </c>
      <c r="C74" s="22"/>
      <c r="D74" s="22"/>
      <c r="E74" s="22"/>
      <c r="F74" s="49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/>
    </row>
    <row r="75" spans="1:41" s="25" customFormat="1" ht="33.75" customHeight="1" thickBot="1">
      <c r="A75" s="20" t="s">
        <v>179</v>
      </c>
      <c r="B75" s="549">
        <v>30000</v>
      </c>
      <c r="C75" s="22"/>
      <c r="D75" s="22"/>
      <c r="E75" s="22"/>
      <c r="F75" s="496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4"/>
    </row>
    <row r="76" spans="1:41" s="25" customFormat="1" ht="43.5" customHeight="1" thickBot="1">
      <c r="A76" s="20" t="s">
        <v>360</v>
      </c>
      <c r="B76" s="549">
        <v>1076</v>
      </c>
      <c r="C76" s="22"/>
      <c r="D76" s="22"/>
      <c r="E76" s="22"/>
      <c r="F76" s="49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</row>
    <row r="77" spans="1:41" s="25" customFormat="1" ht="57" customHeight="1" thickBot="1">
      <c r="A77" s="667" t="s">
        <v>166</v>
      </c>
      <c r="B77" s="668"/>
      <c r="C77" s="22">
        <v>6500</v>
      </c>
      <c r="D77" s="22">
        <f>C77+3000</f>
        <v>9500</v>
      </c>
      <c r="E77" s="22">
        <v>0</v>
      </c>
      <c r="F77" s="496">
        <v>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4"/>
    </row>
    <row r="78" spans="1:41" s="19" customFormat="1" ht="25.5" customHeight="1" thickBot="1">
      <c r="A78" s="550" t="s">
        <v>177</v>
      </c>
      <c r="B78" s="551">
        <v>9500</v>
      </c>
      <c r="C78" s="16"/>
      <c r="D78" s="16"/>
      <c r="E78" s="16"/>
      <c r="F78" s="49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</row>
    <row r="79" spans="1:41" s="25" customFormat="1" ht="62.25" customHeight="1" thickBot="1">
      <c r="A79" s="665" t="s">
        <v>176</v>
      </c>
      <c r="B79" s="666"/>
      <c r="C79" s="22">
        <v>21392</v>
      </c>
      <c r="D79" s="22">
        <v>21392</v>
      </c>
      <c r="E79" s="22">
        <v>337</v>
      </c>
      <c r="F79" s="496">
        <f>E79/D79</f>
        <v>1.5753552729992522E-2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4"/>
    </row>
    <row r="80" spans="1:41" s="25" customFormat="1" ht="33.75" customHeight="1" thickBot="1">
      <c r="A80" s="20" t="s">
        <v>178</v>
      </c>
      <c r="B80" s="549">
        <v>1393</v>
      </c>
      <c r="C80" s="22"/>
      <c r="D80" s="22"/>
      <c r="E80" s="22"/>
      <c r="F80" s="496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4"/>
    </row>
    <row r="81" spans="1:41" s="25" customFormat="1" ht="33.75" customHeight="1" thickBot="1">
      <c r="A81" s="20" t="s">
        <v>179</v>
      </c>
      <c r="B81" s="549">
        <v>19999</v>
      </c>
      <c r="C81" s="22"/>
      <c r="D81" s="22"/>
      <c r="E81" s="22"/>
      <c r="F81" s="496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4"/>
    </row>
    <row r="82" spans="1:41" s="25" customFormat="1" ht="33.75" customHeight="1" thickBot="1">
      <c r="A82" s="543" t="s">
        <v>346</v>
      </c>
      <c r="B82" s="552"/>
      <c r="C82" s="22"/>
      <c r="D82" s="22">
        <f>SUM(B83:B85)</f>
        <v>60000</v>
      </c>
      <c r="E82" s="22">
        <v>12000</v>
      </c>
      <c r="F82" s="496">
        <f>E82/D82</f>
        <v>0.2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4"/>
    </row>
    <row r="83" spans="1:41" s="25" customFormat="1" ht="33.75" customHeight="1" thickBot="1">
      <c r="A83" s="20" t="s">
        <v>347</v>
      </c>
      <c r="B83" s="549">
        <v>12000</v>
      </c>
      <c r="C83" s="22"/>
      <c r="D83" s="22"/>
      <c r="E83" s="22"/>
      <c r="F83" s="496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4"/>
    </row>
    <row r="84" spans="1:41" s="25" customFormat="1" ht="33.75" customHeight="1" thickBot="1">
      <c r="A84" s="20" t="s">
        <v>348</v>
      </c>
      <c r="B84" s="549">
        <v>20600</v>
      </c>
      <c r="C84" s="22"/>
      <c r="D84" s="22"/>
      <c r="E84" s="22"/>
      <c r="F84" s="49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4"/>
    </row>
    <row r="85" spans="1:41" s="25" customFormat="1" ht="33.75" customHeight="1" thickBot="1">
      <c r="A85" s="20" t="s">
        <v>349</v>
      </c>
      <c r="B85" s="549">
        <v>27400</v>
      </c>
      <c r="C85" s="22"/>
      <c r="D85" s="22"/>
      <c r="E85" s="22"/>
      <c r="F85" s="49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4"/>
    </row>
    <row r="86" spans="1:41" s="25" customFormat="1" ht="39" customHeight="1" thickBot="1">
      <c r="A86" s="665" t="s">
        <v>359</v>
      </c>
      <c r="B86" s="666"/>
      <c r="C86" s="22"/>
      <c r="D86" s="22">
        <v>18796</v>
      </c>
      <c r="E86" s="22"/>
      <c r="F86" s="496">
        <v>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4"/>
    </row>
    <row r="87" spans="1:41" s="25" customFormat="1" ht="39" customHeight="1" thickBot="1">
      <c r="A87" s="665" t="s">
        <v>361</v>
      </c>
      <c r="B87" s="666"/>
      <c r="C87" s="22"/>
      <c r="D87" s="22">
        <v>3000</v>
      </c>
      <c r="E87" s="22"/>
      <c r="F87" s="496">
        <v>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4"/>
    </row>
    <row r="88" spans="1:41" s="25" customFormat="1" ht="66.75" customHeight="1" thickBot="1">
      <c r="A88" s="665" t="s">
        <v>397</v>
      </c>
      <c r="B88" s="666"/>
      <c r="C88" s="22"/>
      <c r="D88" s="22">
        <v>10000</v>
      </c>
      <c r="E88" s="22"/>
      <c r="F88" s="496">
        <v>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4"/>
    </row>
    <row r="89" spans="1:41" s="19" customFormat="1" ht="56.25" customHeight="1" thickBot="1">
      <c r="A89" s="542" t="s">
        <v>213</v>
      </c>
      <c r="B89" s="21"/>
      <c r="C89" s="22">
        <v>19050</v>
      </c>
      <c r="D89" s="22">
        <v>19050</v>
      </c>
      <c r="E89" s="22">
        <v>14288</v>
      </c>
      <c r="F89" s="496">
        <f>E89/D89</f>
        <v>0.75002624671916007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</row>
    <row r="90" spans="1:41" s="19" customFormat="1" ht="39.75" customHeight="1" thickBot="1">
      <c r="A90" s="543" t="s">
        <v>282</v>
      </c>
      <c r="B90" s="21"/>
      <c r="C90" s="22">
        <v>115000</v>
      </c>
      <c r="D90" s="22">
        <v>115000</v>
      </c>
      <c r="E90" s="22">
        <v>81037</v>
      </c>
      <c r="F90" s="496">
        <f>E90/D90</f>
        <v>0.70466956521739132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8"/>
    </row>
    <row r="91" spans="1:41" s="19" customFormat="1" ht="39.75" customHeight="1" thickBot="1">
      <c r="A91" s="20" t="s">
        <v>182</v>
      </c>
      <c r="B91" s="15">
        <v>100000</v>
      </c>
      <c r="C91" s="16"/>
      <c r="D91" s="16"/>
      <c r="E91" s="16"/>
      <c r="F91" s="49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</row>
    <row r="92" spans="1:41" s="19" customFormat="1" ht="39.75" customHeight="1" thickBot="1">
      <c r="A92" s="20" t="s">
        <v>183</v>
      </c>
      <c r="B92" s="15">
        <v>15000</v>
      </c>
      <c r="C92" s="16"/>
      <c r="D92" s="16"/>
      <c r="E92" s="16"/>
      <c r="F92" s="49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</row>
    <row r="93" spans="1:41" s="19" customFormat="1" ht="47.25" customHeight="1" thickBot="1">
      <c r="A93" s="543" t="s">
        <v>198</v>
      </c>
      <c r="B93" s="15"/>
      <c r="C93" s="22">
        <v>133</v>
      </c>
      <c r="D93" s="22">
        <v>133</v>
      </c>
      <c r="E93" s="22">
        <v>133</v>
      </c>
      <c r="F93" s="496">
        <f>E93/D93</f>
        <v>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</row>
    <row r="94" spans="1:41" s="19" customFormat="1" ht="44.25" customHeight="1" thickBot="1">
      <c r="A94" s="543" t="s">
        <v>215</v>
      </c>
      <c r="B94" s="15"/>
      <c r="C94" s="22">
        <v>3875</v>
      </c>
      <c r="D94" s="22">
        <v>3875</v>
      </c>
      <c r="E94" s="22">
        <v>0</v>
      </c>
      <c r="F94" s="496">
        <v>0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</row>
    <row r="95" spans="1:41" s="19" customFormat="1" ht="70.5" customHeight="1" thickBot="1">
      <c r="A95" s="543" t="s">
        <v>351</v>
      </c>
      <c r="B95" s="15"/>
      <c r="C95" s="22">
        <v>1000</v>
      </c>
      <c r="D95" s="22">
        <v>1000</v>
      </c>
      <c r="E95" s="22">
        <v>1000</v>
      </c>
      <c r="F95" s="496">
        <f>E95/D95</f>
        <v>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</row>
    <row r="96" spans="1:41" s="19" customFormat="1" ht="27.75" customHeight="1" thickBot="1">
      <c r="A96" s="542" t="s">
        <v>141</v>
      </c>
      <c r="B96" s="21"/>
      <c r="C96" s="22">
        <v>8600</v>
      </c>
      <c r="D96" s="22">
        <v>8600</v>
      </c>
      <c r="E96" s="22">
        <v>3951</v>
      </c>
      <c r="F96" s="496">
        <f>E96/D96</f>
        <v>0.4594186046511628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</row>
    <row r="97" spans="1:41" s="19" customFormat="1" ht="30" customHeight="1" thickBot="1">
      <c r="A97" s="20" t="s">
        <v>142</v>
      </c>
      <c r="B97" s="15">
        <v>2000</v>
      </c>
      <c r="C97" s="22"/>
      <c r="D97" s="22"/>
      <c r="E97" s="22"/>
      <c r="F97" s="49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</row>
    <row r="98" spans="1:41" s="19" customFormat="1" ht="38.25" thickBot="1">
      <c r="A98" s="20" t="s">
        <v>203</v>
      </c>
      <c r="B98" s="15">
        <v>100</v>
      </c>
      <c r="C98" s="22"/>
      <c r="D98" s="22"/>
      <c r="E98" s="22"/>
      <c r="F98" s="49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</row>
    <row r="99" spans="1:41" s="19" customFormat="1" ht="39.75" customHeight="1" thickBot="1">
      <c r="A99" s="20" t="s">
        <v>204</v>
      </c>
      <c r="B99" s="15">
        <v>4000</v>
      </c>
      <c r="C99" s="22"/>
      <c r="D99" s="22"/>
      <c r="E99" s="22"/>
      <c r="F99" s="49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</row>
    <row r="100" spans="1:41" s="19" customFormat="1" ht="36.75" customHeight="1" thickBot="1">
      <c r="A100" s="20" t="s">
        <v>221</v>
      </c>
      <c r="B100" s="15">
        <v>500</v>
      </c>
      <c r="C100" s="16"/>
      <c r="D100" s="16"/>
      <c r="E100" s="16"/>
      <c r="F100" s="49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</row>
    <row r="101" spans="1:41" s="19" customFormat="1" ht="36.75" customHeight="1" thickBot="1">
      <c r="A101" s="20" t="s">
        <v>222</v>
      </c>
      <c r="B101" s="15">
        <v>2000</v>
      </c>
      <c r="C101" s="16"/>
      <c r="D101" s="16"/>
      <c r="E101" s="16"/>
      <c r="F101" s="49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</row>
    <row r="102" spans="1:41" s="19" customFormat="1" ht="51" customHeight="1" thickBot="1">
      <c r="A102" s="543" t="s">
        <v>216</v>
      </c>
      <c r="B102" s="21"/>
      <c r="C102" s="22">
        <v>1000</v>
      </c>
      <c r="D102" s="22">
        <v>1000</v>
      </c>
      <c r="E102" s="22">
        <v>1265</v>
      </c>
      <c r="F102" s="502">
        <f t="shared" ref="F102:F105" si="3">E102/D102</f>
        <v>1.2649999999999999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</row>
    <row r="103" spans="1:41" s="19" customFormat="1" ht="34.5" customHeight="1" thickBot="1">
      <c r="A103" s="543" t="s">
        <v>220</v>
      </c>
      <c r="B103" s="21"/>
      <c r="C103" s="22">
        <v>2000</v>
      </c>
      <c r="D103" s="22">
        <v>8100</v>
      </c>
      <c r="E103" s="22">
        <f>745+6303-50-100</f>
        <v>6898</v>
      </c>
      <c r="F103" s="502">
        <f t="shared" si="3"/>
        <v>0.85160493827160488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</row>
    <row r="104" spans="1:41" s="19" customFormat="1" ht="34.5" customHeight="1" thickBot="1">
      <c r="A104" s="543" t="s">
        <v>398</v>
      </c>
      <c r="B104" s="21"/>
      <c r="C104" s="22"/>
      <c r="D104" s="22">
        <v>2000</v>
      </c>
      <c r="E104" s="22">
        <v>1862</v>
      </c>
      <c r="F104" s="502">
        <f t="shared" si="3"/>
        <v>0.93100000000000005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</row>
    <row r="105" spans="1:41" s="19" customFormat="1" ht="34.5" customHeight="1" thickBot="1">
      <c r="A105" s="543" t="s">
        <v>399</v>
      </c>
      <c r="B105" s="21"/>
      <c r="C105" s="22"/>
      <c r="D105" s="22">
        <v>50</v>
      </c>
      <c r="E105" s="22">
        <v>50</v>
      </c>
      <c r="F105" s="502">
        <f t="shared" si="3"/>
        <v>1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</row>
    <row r="106" spans="1:41" s="19" customFormat="1" ht="38.25" thickBot="1">
      <c r="A106" s="543" t="s">
        <v>143</v>
      </c>
      <c r="B106" s="21"/>
      <c r="C106" s="22">
        <v>300</v>
      </c>
      <c r="D106" s="22">
        <v>300</v>
      </c>
      <c r="E106" s="22">
        <v>0</v>
      </c>
      <c r="F106" s="496">
        <v>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</row>
    <row r="107" spans="1:41" s="19" customFormat="1" ht="30.75" customHeight="1" thickBot="1">
      <c r="A107" s="665" t="s">
        <v>353</v>
      </c>
      <c r="B107" s="666"/>
      <c r="C107" s="46"/>
      <c r="D107" s="46">
        <v>200</v>
      </c>
      <c r="E107" s="46">
        <v>0</v>
      </c>
      <c r="F107" s="502">
        <v>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</row>
    <row r="108" spans="1:41" s="19" customFormat="1" ht="42.75" customHeight="1" thickBot="1">
      <c r="A108" s="665" t="s">
        <v>354</v>
      </c>
      <c r="B108" s="666"/>
      <c r="C108" s="46"/>
      <c r="D108" s="46">
        <v>100</v>
      </c>
      <c r="E108" s="46">
        <v>100</v>
      </c>
      <c r="F108" s="502">
        <f t="shared" ref="F108:F112" si="4">E108/D108</f>
        <v>1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</row>
    <row r="109" spans="1:41" s="19" customFormat="1" ht="39.75" customHeight="1" thickBot="1">
      <c r="A109" s="665" t="s">
        <v>355</v>
      </c>
      <c r="B109" s="666"/>
      <c r="C109" s="46"/>
      <c r="D109" s="46">
        <v>200</v>
      </c>
      <c r="E109" s="46">
        <v>200</v>
      </c>
      <c r="F109" s="502">
        <f t="shared" si="4"/>
        <v>1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</row>
    <row r="110" spans="1:41" s="19" customFormat="1" ht="30.75" customHeight="1" thickBot="1">
      <c r="A110" s="665" t="s">
        <v>356</v>
      </c>
      <c r="B110" s="666"/>
      <c r="C110" s="46"/>
      <c r="D110" s="46">
        <v>10</v>
      </c>
      <c r="E110" s="46">
        <v>10</v>
      </c>
      <c r="F110" s="502">
        <f t="shared" si="4"/>
        <v>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</row>
    <row r="111" spans="1:41" s="19" customFormat="1" ht="30.75" customHeight="1" thickBot="1">
      <c r="A111" s="665" t="s">
        <v>357</v>
      </c>
      <c r="B111" s="666"/>
      <c r="C111" s="46"/>
      <c r="D111" s="46">
        <v>10</v>
      </c>
      <c r="E111" s="46">
        <v>10</v>
      </c>
      <c r="F111" s="502">
        <f t="shared" si="4"/>
        <v>1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</row>
    <row r="112" spans="1:41" s="19" customFormat="1" ht="30.75" customHeight="1" thickBot="1">
      <c r="A112" s="665" t="s">
        <v>358</v>
      </c>
      <c r="B112" s="666"/>
      <c r="C112" s="46"/>
      <c r="D112" s="46">
        <v>200</v>
      </c>
      <c r="E112" s="46">
        <v>200</v>
      </c>
      <c r="F112" s="502">
        <f t="shared" si="4"/>
        <v>1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</row>
    <row r="113" spans="1:41" s="25" customFormat="1" ht="38.25" thickBot="1">
      <c r="A113" s="44" t="s">
        <v>144</v>
      </c>
      <c r="B113" s="45"/>
      <c r="C113" s="46">
        <v>847</v>
      </c>
      <c r="D113" s="46">
        <v>847</v>
      </c>
      <c r="E113" s="46">
        <v>889</v>
      </c>
      <c r="F113" s="502">
        <f>E113/D113</f>
        <v>1.0495867768595042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4"/>
    </row>
    <row r="114" spans="1:41" s="19" customFormat="1" ht="32.25" customHeight="1" thickBot="1">
      <c r="A114" s="543" t="s">
        <v>352</v>
      </c>
      <c r="B114" s="21"/>
      <c r="C114" s="22">
        <v>5000</v>
      </c>
      <c r="D114" s="22">
        <f>C114+10000</f>
        <v>15000</v>
      </c>
      <c r="E114" s="22">
        <v>12500</v>
      </c>
      <c r="F114" s="502">
        <f>E114/D114</f>
        <v>0.83333333333333337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</row>
    <row r="115" spans="1:41" s="19" customFormat="1" ht="45" customHeight="1" thickBot="1">
      <c r="A115" s="543" t="s">
        <v>400</v>
      </c>
      <c r="B115" s="21"/>
      <c r="C115" s="22"/>
      <c r="D115" s="22">
        <v>1580</v>
      </c>
      <c r="E115" s="22">
        <v>0</v>
      </c>
      <c r="F115" s="502">
        <v>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</row>
    <row r="116" spans="1:41" s="19" customFormat="1" ht="38.25" thickBot="1">
      <c r="A116" s="542" t="s">
        <v>167</v>
      </c>
      <c r="B116" s="21"/>
      <c r="C116" s="22">
        <v>3750</v>
      </c>
      <c r="D116" s="22">
        <v>3750</v>
      </c>
      <c r="E116" s="22">
        <v>2500</v>
      </c>
      <c r="F116" s="502">
        <f>E116/D116</f>
        <v>0.66666666666666663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</row>
    <row r="117" spans="1:41" s="19" customFormat="1" ht="26.25" customHeight="1" thickBot="1">
      <c r="A117" s="543" t="s">
        <v>146</v>
      </c>
      <c r="B117" s="21"/>
      <c r="C117" s="22">
        <v>1296</v>
      </c>
      <c r="D117" s="22">
        <v>1296</v>
      </c>
      <c r="E117" s="22">
        <v>819</v>
      </c>
      <c r="F117" s="502">
        <f>E117/D117</f>
        <v>0.63194444444444442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</row>
    <row r="118" spans="1:41" s="19" customFormat="1" ht="38.25" thickBot="1">
      <c r="A118" s="20" t="s">
        <v>364</v>
      </c>
      <c r="B118" s="15">
        <v>723</v>
      </c>
      <c r="C118" s="22"/>
      <c r="D118" s="22"/>
      <c r="E118" s="22"/>
      <c r="F118" s="49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</row>
    <row r="119" spans="1:41" s="19" customFormat="1" ht="24" customHeight="1" thickBot="1">
      <c r="A119" s="20" t="s">
        <v>148</v>
      </c>
      <c r="B119" s="15"/>
      <c r="C119" s="22"/>
      <c r="D119" s="22"/>
      <c r="E119" s="22"/>
      <c r="F119" s="49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</row>
    <row r="120" spans="1:41" s="19" customFormat="1" ht="24" customHeight="1" thickBot="1">
      <c r="A120" s="20" t="s">
        <v>217</v>
      </c>
      <c r="B120" s="15">
        <v>50</v>
      </c>
      <c r="C120" s="22"/>
      <c r="D120" s="22"/>
      <c r="E120" s="22"/>
      <c r="F120" s="49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</row>
    <row r="121" spans="1:41" s="19" customFormat="1" ht="62.25" customHeight="1" thickBot="1">
      <c r="A121" s="20" t="s">
        <v>218</v>
      </c>
      <c r="B121" s="15"/>
      <c r="C121" s="22"/>
      <c r="D121" s="22"/>
      <c r="E121" s="22"/>
      <c r="F121" s="49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</row>
    <row r="122" spans="1:41" s="19" customFormat="1" ht="30.75" customHeight="1" thickBot="1">
      <c r="A122" s="20" t="s">
        <v>219</v>
      </c>
      <c r="B122" s="15"/>
      <c r="C122" s="22"/>
      <c r="D122" s="22"/>
      <c r="E122" s="22"/>
      <c r="F122" s="49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</row>
    <row r="123" spans="1:41" s="19" customFormat="1" ht="37.5" customHeight="1" thickBot="1">
      <c r="A123" s="20" t="s">
        <v>149</v>
      </c>
      <c r="B123" s="15"/>
      <c r="C123" s="22"/>
      <c r="D123" s="22"/>
      <c r="E123" s="22"/>
      <c r="F123" s="49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</row>
    <row r="124" spans="1:41" s="19" customFormat="1" ht="24" customHeight="1" thickBot="1">
      <c r="A124" s="20" t="s">
        <v>150</v>
      </c>
      <c r="B124" s="15">
        <v>5</v>
      </c>
      <c r="C124" s="22"/>
      <c r="D124" s="22"/>
      <c r="E124" s="22"/>
      <c r="F124" s="49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</row>
    <row r="125" spans="1:41" s="19" customFormat="1" ht="24" customHeight="1" thickBot="1">
      <c r="A125" s="20" t="s">
        <v>151</v>
      </c>
      <c r="B125" s="15"/>
      <c r="C125" s="22"/>
      <c r="D125" s="22"/>
      <c r="E125" s="22"/>
      <c r="F125" s="49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</row>
    <row r="126" spans="1:41" s="25" customFormat="1" ht="36.75" customHeight="1" thickBot="1">
      <c r="A126" s="543" t="s">
        <v>287</v>
      </c>
      <c r="B126" s="21"/>
      <c r="C126" s="22">
        <v>100</v>
      </c>
      <c r="D126" s="22">
        <v>100</v>
      </c>
      <c r="E126" s="22">
        <v>0</v>
      </c>
      <c r="F126" s="496">
        <v>0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4"/>
    </row>
    <row r="127" spans="1:41" s="19" customFormat="1" ht="27.75" customHeight="1" thickBot="1">
      <c r="A127" s="543" t="s">
        <v>288</v>
      </c>
      <c r="B127" s="21"/>
      <c r="C127" s="22">
        <v>8130</v>
      </c>
      <c r="D127" s="22">
        <v>8130</v>
      </c>
      <c r="E127" s="22">
        <v>5709</v>
      </c>
      <c r="F127" s="496">
        <f>E127/D127</f>
        <v>0.70221402214022144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</row>
    <row r="128" spans="1:41" s="19" customFormat="1" ht="24" customHeight="1" thickBot="1">
      <c r="A128" s="20" t="s">
        <v>152</v>
      </c>
      <c r="B128" s="15">
        <v>8130</v>
      </c>
      <c r="C128" s="22"/>
      <c r="D128" s="22"/>
      <c r="E128" s="22"/>
      <c r="F128" s="49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</row>
    <row r="129" spans="1:41" s="25" customFormat="1" ht="44.25" customHeight="1" thickBot="1">
      <c r="A129" s="542" t="s">
        <v>153</v>
      </c>
      <c r="B129" s="21"/>
      <c r="C129" s="22">
        <v>26777</v>
      </c>
      <c r="D129" s="22">
        <v>26777</v>
      </c>
      <c r="E129" s="22">
        <f>16943+3164</f>
        <v>20107</v>
      </c>
      <c r="F129" s="496">
        <f>E129/D129</f>
        <v>0.75090562796429772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4"/>
    </row>
    <row r="130" spans="1:41" s="19" customFormat="1" ht="24" customHeight="1" thickBot="1">
      <c r="A130" s="20" t="s">
        <v>154</v>
      </c>
      <c r="B130" s="15">
        <v>4231</v>
      </c>
      <c r="C130" s="22"/>
      <c r="D130" s="22"/>
      <c r="E130" s="22"/>
      <c r="F130" s="49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</row>
    <row r="131" spans="1:41" s="19" customFormat="1" ht="24" customHeight="1" thickBot="1">
      <c r="A131" s="20" t="s">
        <v>155</v>
      </c>
      <c r="B131" s="15">
        <v>22546</v>
      </c>
      <c r="C131" s="22"/>
      <c r="D131" s="22"/>
      <c r="E131" s="22"/>
      <c r="F131" s="49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</row>
    <row r="132" spans="1:41" s="19" customFormat="1" ht="42.75" customHeight="1" thickBot="1">
      <c r="A132" s="665" t="s">
        <v>134</v>
      </c>
      <c r="B132" s="666"/>
      <c r="C132" s="22">
        <v>5103</v>
      </c>
      <c r="D132" s="22">
        <f>C132+33</f>
        <v>5136</v>
      </c>
      <c r="E132" s="22">
        <v>5667</v>
      </c>
      <c r="F132" s="496">
        <f>E132/D132</f>
        <v>1.1033878504672898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</row>
    <row r="133" spans="1:41" s="19" customFormat="1" ht="22.5" customHeight="1" thickBot="1">
      <c r="A133" s="20" t="s">
        <v>156</v>
      </c>
      <c r="B133" s="15">
        <v>78</v>
      </c>
      <c r="C133" s="22"/>
      <c r="D133" s="22"/>
      <c r="E133" s="22"/>
      <c r="F133" s="49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8"/>
    </row>
    <row r="134" spans="1:41" s="19" customFormat="1" ht="22.5" customHeight="1" thickBot="1">
      <c r="A134" s="20" t="s">
        <v>157</v>
      </c>
      <c r="B134" s="15">
        <v>66</v>
      </c>
      <c r="C134" s="22"/>
      <c r="D134" s="22"/>
      <c r="E134" s="22"/>
      <c r="F134" s="49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8"/>
    </row>
    <row r="135" spans="1:41" s="19" customFormat="1" ht="22.5" customHeight="1" thickBot="1">
      <c r="A135" s="20" t="s">
        <v>158</v>
      </c>
      <c r="B135" s="15">
        <v>445</v>
      </c>
      <c r="C135" s="22"/>
      <c r="D135" s="22"/>
      <c r="E135" s="22"/>
      <c r="F135" s="49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</row>
    <row r="136" spans="1:41" s="19" customFormat="1" ht="22.5" customHeight="1" thickBot="1">
      <c r="A136" s="20" t="s">
        <v>208</v>
      </c>
      <c r="B136" s="15"/>
      <c r="C136" s="22"/>
      <c r="D136" s="22"/>
      <c r="E136" s="22"/>
      <c r="F136" s="49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</row>
    <row r="137" spans="1:41" s="19" customFormat="1" ht="22.5" customHeight="1" thickBot="1">
      <c r="A137" s="20" t="s">
        <v>209</v>
      </c>
      <c r="B137" s="15">
        <v>1256</v>
      </c>
      <c r="C137" s="22"/>
      <c r="D137" s="22"/>
      <c r="E137" s="22"/>
      <c r="F137" s="49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</row>
    <row r="138" spans="1:41" s="19" customFormat="1" ht="22.5" customHeight="1" thickBot="1">
      <c r="A138" s="20" t="s">
        <v>210</v>
      </c>
      <c r="B138" s="15">
        <v>135</v>
      </c>
      <c r="C138" s="22"/>
      <c r="D138" s="22"/>
      <c r="E138" s="22"/>
      <c r="F138" s="49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</row>
    <row r="139" spans="1:41" s="19" customFormat="1" ht="19.5" hidden="1" thickBot="1">
      <c r="A139" s="20" t="s">
        <v>159</v>
      </c>
      <c r="B139" s="15"/>
      <c r="C139" s="22"/>
      <c r="D139" s="22"/>
      <c r="E139" s="22"/>
      <c r="F139" s="49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</row>
    <row r="140" spans="1:41" s="19" customFormat="1" ht="57" thickBot="1">
      <c r="A140" s="20" t="s">
        <v>281</v>
      </c>
      <c r="B140" s="15">
        <v>1730</v>
      </c>
      <c r="C140" s="22"/>
      <c r="D140" s="22"/>
      <c r="E140" s="22"/>
      <c r="F140" s="49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</row>
    <row r="141" spans="1:41" s="25" customFormat="1" ht="38.25" thickBot="1">
      <c r="A141" s="543" t="s">
        <v>401</v>
      </c>
      <c r="B141" s="21"/>
      <c r="C141" s="22"/>
      <c r="D141" s="22">
        <v>695</v>
      </c>
      <c r="E141" s="22">
        <v>695</v>
      </c>
      <c r="F141" s="496">
        <f>E141/D141</f>
        <v>1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4"/>
    </row>
    <row r="142" spans="1:41" s="25" customFormat="1" ht="35.25" customHeight="1" thickBot="1">
      <c r="A142" s="543" t="s">
        <v>289</v>
      </c>
      <c r="B142" s="21"/>
      <c r="C142" s="22">
        <v>3000</v>
      </c>
      <c r="D142" s="22">
        <v>3000</v>
      </c>
      <c r="E142" s="22">
        <v>0</v>
      </c>
      <c r="F142" s="496">
        <v>0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4"/>
    </row>
    <row r="143" spans="1:41" s="25" customFormat="1" ht="33.75" customHeight="1" thickBot="1">
      <c r="A143" s="543" t="s">
        <v>160</v>
      </c>
      <c r="B143" s="21"/>
      <c r="C143" s="22">
        <v>5000</v>
      </c>
      <c r="D143" s="22">
        <v>6400</v>
      </c>
      <c r="E143" s="22">
        <f>5073+95</f>
        <v>5168</v>
      </c>
      <c r="F143" s="496">
        <f>E143/D143</f>
        <v>0.8075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4"/>
    </row>
    <row r="144" spans="1:41" s="248" customFormat="1" ht="33" customHeight="1" thickBot="1">
      <c r="A144" s="244" t="s">
        <v>161</v>
      </c>
      <c r="B144" s="245"/>
      <c r="C144" s="241">
        <f>SUM(C68:C143)</f>
        <v>289126</v>
      </c>
      <c r="D144" s="241">
        <f>SUM(D68:D143)</f>
        <v>433274</v>
      </c>
      <c r="E144" s="241">
        <f>SUM(E68:E143)</f>
        <v>222241</v>
      </c>
      <c r="F144" s="503">
        <f>E144/D144</f>
        <v>0.51293407866615581</v>
      </c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7"/>
    </row>
    <row r="145" spans="1:41" s="253" customFormat="1" ht="31.5" customHeight="1" thickBot="1">
      <c r="A145" s="249" t="s">
        <v>162</v>
      </c>
      <c r="B145" s="250"/>
      <c r="C145" s="239">
        <f>SUM(C66+C144)</f>
        <v>1208576</v>
      </c>
      <c r="D145" s="239">
        <f>SUM(D66+D144)</f>
        <v>1424941</v>
      </c>
      <c r="E145" s="239">
        <f>SUM(E66+E144)</f>
        <v>916391</v>
      </c>
      <c r="F145" s="517">
        <f>E145/D145</f>
        <v>0.64310803043775144</v>
      </c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2"/>
    </row>
    <row r="146" spans="1:41" s="48" customFormat="1" ht="47.25" customHeight="1" thickBot="1">
      <c r="A146" s="33" t="s">
        <v>163</v>
      </c>
      <c r="B146" s="34"/>
      <c r="C146" s="35">
        <v>1228730</v>
      </c>
      <c r="D146" s="35">
        <v>1263488</v>
      </c>
      <c r="E146" s="35">
        <v>961573</v>
      </c>
      <c r="F146" s="504">
        <f>E146/D146</f>
        <v>0.76104640487285991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47"/>
    </row>
    <row r="147" spans="1:41" s="38" customFormat="1" ht="38.25" customHeight="1" thickBot="1">
      <c r="A147" s="33" t="s">
        <v>196</v>
      </c>
      <c r="B147" s="34"/>
      <c r="C147" s="35">
        <v>50000</v>
      </c>
      <c r="D147" s="35">
        <v>41320</v>
      </c>
      <c r="E147" s="35"/>
      <c r="F147" s="50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7"/>
    </row>
    <row r="148" spans="1:41" s="38" customFormat="1" ht="38.25" customHeight="1" thickBot="1">
      <c r="A148" s="31" t="s">
        <v>197</v>
      </c>
      <c r="B148" s="39"/>
      <c r="C148" s="27">
        <v>175727</v>
      </c>
      <c r="D148" s="27">
        <f>SUM(B150:B151)</f>
        <v>176141</v>
      </c>
      <c r="E148" s="27"/>
      <c r="F148" s="501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7"/>
    </row>
    <row r="149" spans="1:41" s="25" customFormat="1" ht="41.25" customHeight="1" thickBot="1">
      <c r="A149" s="170" t="s">
        <v>199</v>
      </c>
      <c r="B149" s="21"/>
      <c r="C149" s="22"/>
      <c r="D149" s="22"/>
      <c r="E149" s="22"/>
      <c r="F149" s="496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4"/>
    </row>
    <row r="150" spans="1:41" s="19" customFormat="1" ht="59.25" customHeight="1" thickBot="1">
      <c r="A150" s="20" t="s">
        <v>192</v>
      </c>
      <c r="B150" s="15">
        <v>12166</v>
      </c>
      <c r="C150" s="22"/>
      <c r="D150" s="22"/>
      <c r="E150" s="22"/>
      <c r="F150" s="49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</row>
    <row r="151" spans="1:41" s="19" customFormat="1" ht="38.25" thickBot="1">
      <c r="A151" s="170" t="s">
        <v>129</v>
      </c>
      <c r="B151" s="15">
        <f>SUM(B153:B154)</f>
        <v>163975</v>
      </c>
      <c r="C151" s="22"/>
      <c r="D151" s="22"/>
      <c r="E151" s="22"/>
      <c r="F151" s="49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</row>
    <row r="152" spans="1:41" s="19" customFormat="1" ht="22.5" customHeight="1" thickBot="1">
      <c r="A152" s="20" t="s">
        <v>89</v>
      </c>
      <c r="B152" s="15"/>
      <c r="C152" s="22"/>
      <c r="D152" s="22"/>
      <c r="E152" s="22"/>
      <c r="F152" s="49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</row>
    <row r="153" spans="1:41" s="19" customFormat="1" ht="22.5" customHeight="1" thickBot="1">
      <c r="A153" s="20" t="s">
        <v>194</v>
      </c>
      <c r="B153" s="15">
        <v>49950</v>
      </c>
      <c r="C153" s="22"/>
      <c r="D153" s="22"/>
      <c r="E153" s="22"/>
      <c r="F153" s="49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</row>
    <row r="154" spans="1:41" s="19" customFormat="1" ht="37.5" customHeight="1" thickBot="1">
      <c r="A154" s="20" t="s">
        <v>195</v>
      </c>
      <c r="B154" s="15">
        <v>114025</v>
      </c>
      <c r="C154" s="22"/>
      <c r="D154" s="22"/>
      <c r="E154" s="22"/>
      <c r="F154" s="49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</row>
    <row r="155" spans="1:41" s="38" customFormat="1" ht="38.25" customHeight="1" thickBot="1">
      <c r="A155" s="33" t="s">
        <v>164</v>
      </c>
      <c r="B155" s="34"/>
      <c r="C155" s="35">
        <v>49935</v>
      </c>
      <c r="D155" s="35">
        <v>49935</v>
      </c>
      <c r="E155" s="35">
        <v>49935</v>
      </c>
      <c r="F155" s="504">
        <f>E155/D155</f>
        <v>1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7"/>
    </row>
    <row r="156" spans="1:41" s="38" customFormat="1" ht="38.25" customHeight="1" thickBot="1">
      <c r="A156" s="33" t="s">
        <v>247</v>
      </c>
      <c r="B156" s="174">
        <v>49935</v>
      </c>
      <c r="C156" s="35"/>
      <c r="D156" s="35"/>
      <c r="E156" s="35"/>
      <c r="F156" s="504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7"/>
    </row>
    <row r="157" spans="1:41" s="257" customFormat="1" ht="33" customHeight="1" thickBot="1">
      <c r="A157" s="254" t="s">
        <v>165</v>
      </c>
      <c r="B157" s="255"/>
      <c r="C157" s="239">
        <f>SUM(C145:C155)</f>
        <v>2712968</v>
      </c>
      <c r="D157" s="239">
        <f>SUM(D145:D155)</f>
        <v>2955825</v>
      </c>
      <c r="E157" s="516">
        <f>SUM(E145:E155)</f>
        <v>1927899</v>
      </c>
      <c r="F157" s="517">
        <f>E157/D157</f>
        <v>0.65223719266194713</v>
      </c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6"/>
    </row>
    <row r="158" spans="1:41" s="17" customFormat="1" ht="93" customHeight="1" thickBot="1">
      <c r="A158" s="162"/>
      <c r="B158" s="162"/>
      <c r="C158" s="163"/>
      <c r="D158" s="163"/>
      <c r="E158" s="163"/>
      <c r="F158" s="505"/>
    </row>
    <row r="159" spans="1:41" ht="33" customHeight="1" thickBot="1">
      <c r="A159" s="172"/>
      <c r="B159" s="175"/>
      <c r="C159" s="176"/>
      <c r="D159" s="176"/>
      <c r="E159" s="176"/>
      <c r="F159" s="506"/>
    </row>
    <row r="160" spans="1:41" ht="30.75" customHeight="1" thickBot="1">
      <c r="A160" s="164"/>
      <c r="B160" s="171"/>
      <c r="C160" s="176"/>
      <c r="D160" s="176"/>
      <c r="E160" s="176"/>
      <c r="F160" s="506"/>
    </row>
    <row r="161" spans="1:6" ht="34.5" customHeight="1" thickBot="1">
      <c r="A161" s="172"/>
      <c r="B161" s="177"/>
      <c r="C161" s="165"/>
      <c r="D161" s="165"/>
      <c r="E161" s="165"/>
      <c r="F161" s="493"/>
    </row>
    <row r="162" spans="1:6" ht="19.5" thickBot="1">
      <c r="A162" s="164"/>
      <c r="B162" s="171"/>
      <c r="C162" s="165"/>
      <c r="D162" s="165"/>
      <c r="E162" s="165"/>
      <c r="F162" s="493"/>
    </row>
    <row r="163" spans="1:6" ht="19.5" thickBot="1">
      <c r="A163" s="164"/>
      <c r="B163" s="171"/>
      <c r="C163" s="165"/>
      <c r="D163" s="165"/>
      <c r="E163" s="165"/>
      <c r="F163" s="493"/>
    </row>
    <row r="164" spans="1:6" ht="19.5" thickBot="1">
      <c r="A164" s="164"/>
      <c r="B164" s="171"/>
      <c r="C164" s="165"/>
      <c r="D164" s="165"/>
      <c r="E164" s="165"/>
      <c r="F164" s="493"/>
    </row>
    <row r="165" spans="1:6" thickBot="1">
      <c r="A165" s="164"/>
      <c r="B165" s="164"/>
      <c r="C165" s="165"/>
      <c r="D165" s="165"/>
      <c r="E165" s="165"/>
      <c r="F165" s="493"/>
    </row>
    <row r="166" spans="1:6" thickBot="1">
      <c r="A166" s="164"/>
      <c r="B166" s="164"/>
      <c r="C166" s="165"/>
      <c r="D166" s="165"/>
      <c r="E166" s="165"/>
      <c r="F166" s="493"/>
    </row>
    <row r="167" spans="1:6" thickBot="1">
      <c r="A167" s="164"/>
      <c r="B167" s="164"/>
      <c r="C167" s="165"/>
      <c r="D167" s="165"/>
      <c r="E167" s="165"/>
      <c r="F167" s="493"/>
    </row>
    <row r="168" spans="1:6" thickBot="1">
      <c r="A168" s="164"/>
      <c r="B168" s="164"/>
      <c r="C168" s="165"/>
      <c r="D168" s="165"/>
      <c r="E168" s="165"/>
      <c r="F168" s="493"/>
    </row>
    <row r="169" spans="1:6" thickBot="1">
      <c r="A169" s="164"/>
      <c r="B169" s="164"/>
      <c r="C169" s="165"/>
      <c r="D169" s="165"/>
      <c r="E169" s="165"/>
      <c r="F169" s="493"/>
    </row>
    <row r="170" spans="1:6" thickBot="1">
      <c r="A170" s="164"/>
      <c r="B170" s="164"/>
      <c r="C170" s="165"/>
      <c r="D170" s="165"/>
      <c r="E170" s="165"/>
      <c r="F170" s="493"/>
    </row>
    <row r="171" spans="1:6" thickBot="1">
      <c r="A171" s="164"/>
      <c r="B171" s="164"/>
      <c r="C171" s="165"/>
      <c r="D171" s="165"/>
      <c r="E171" s="165"/>
      <c r="F171" s="493"/>
    </row>
    <row r="172" spans="1:6" thickBot="1">
      <c r="A172" s="164"/>
      <c r="B172" s="164"/>
      <c r="C172" s="165"/>
      <c r="D172" s="165"/>
      <c r="E172" s="165"/>
      <c r="F172" s="493"/>
    </row>
    <row r="173" spans="1:6" thickBot="1">
      <c r="A173" s="164"/>
      <c r="B173" s="164"/>
      <c r="C173" s="165"/>
      <c r="D173" s="165"/>
      <c r="E173" s="165"/>
      <c r="F173" s="493"/>
    </row>
    <row r="174" spans="1:6" thickBot="1">
      <c r="A174" s="164"/>
      <c r="B174" s="164"/>
      <c r="C174" s="165"/>
      <c r="D174" s="165"/>
      <c r="E174" s="165"/>
      <c r="F174" s="493"/>
    </row>
    <row r="175" spans="1:6" thickBot="1">
      <c r="A175" s="164"/>
      <c r="B175" s="164"/>
      <c r="C175" s="165"/>
      <c r="D175" s="165"/>
      <c r="E175" s="165"/>
      <c r="F175" s="493"/>
    </row>
    <row r="176" spans="1:6" thickBot="1">
      <c r="A176" s="164"/>
      <c r="B176" s="164"/>
      <c r="C176" s="165"/>
      <c r="D176" s="165"/>
      <c r="E176" s="165"/>
      <c r="F176" s="493"/>
    </row>
    <row r="177" spans="1:6" thickBot="1">
      <c r="A177" s="164"/>
      <c r="B177" s="164"/>
      <c r="C177" s="165"/>
      <c r="D177" s="165"/>
      <c r="E177" s="165"/>
      <c r="F177" s="493"/>
    </row>
    <row r="178" spans="1:6" thickBot="1">
      <c r="A178" s="164"/>
      <c r="B178" s="164"/>
      <c r="C178" s="165"/>
      <c r="D178" s="165"/>
      <c r="E178" s="165"/>
      <c r="F178" s="493"/>
    </row>
    <row r="179" spans="1:6" thickBot="1">
      <c r="A179" s="164"/>
      <c r="B179" s="164"/>
      <c r="C179" s="165"/>
      <c r="D179" s="165"/>
      <c r="E179" s="165"/>
      <c r="F179" s="493"/>
    </row>
    <row r="180" spans="1:6" thickBot="1">
      <c r="A180" s="164"/>
      <c r="B180" s="164"/>
      <c r="C180" s="165"/>
      <c r="D180" s="165"/>
      <c r="E180" s="165"/>
      <c r="F180" s="493"/>
    </row>
    <row r="181" spans="1:6" thickBot="1">
      <c r="A181" s="164"/>
      <c r="B181" s="164"/>
      <c r="C181" s="165"/>
      <c r="D181" s="165"/>
      <c r="E181" s="165"/>
      <c r="F181" s="493"/>
    </row>
    <row r="182" spans="1:6" thickBot="1">
      <c r="A182" s="164"/>
      <c r="B182" s="164"/>
      <c r="C182" s="165"/>
      <c r="D182" s="165"/>
      <c r="E182" s="165"/>
      <c r="F182" s="493"/>
    </row>
    <row r="183" spans="1:6" thickBot="1">
      <c r="A183" s="164"/>
      <c r="B183" s="164"/>
      <c r="C183" s="165"/>
      <c r="D183" s="165"/>
      <c r="E183" s="165"/>
      <c r="F183" s="493"/>
    </row>
    <row r="184" spans="1:6" thickBot="1">
      <c r="A184" s="164"/>
      <c r="B184" s="164"/>
      <c r="C184" s="165"/>
      <c r="D184" s="165"/>
      <c r="E184" s="165"/>
      <c r="F184" s="493"/>
    </row>
    <row r="185" spans="1:6" thickBot="1">
      <c r="A185" s="164"/>
      <c r="B185" s="164"/>
      <c r="C185" s="165"/>
      <c r="D185" s="165"/>
      <c r="E185" s="165"/>
      <c r="F185" s="493"/>
    </row>
    <row r="186" spans="1:6" thickBot="1">
      <c r="A186" s="164"/>
      <c r="B186" s="164"/>
      <c r="C186" s="165"/>
      <c r="D186" s="165"/>
      <c r="E186" s="165"/>
      <c r="F186" s="493"/>
    </row>
    <row r="187" spans="1:6" thickBot="1">
      <c r="A187" s="164"/>
      <c r="B187" s="164"/>
      <c r="C187" s="165"/>
      <c r="D187" s="165"/>
      <c r="E187" s="165"/>
      <c r="F187" s="493"/>
    </row>
    <row r="188" spans="1:6" thickBot="1">
      <c r="A188" s="164"/>
      <c r="B188" s="164"/>
      <c r="C188" s="165"/>
      <c r="D188" s="165"/>
      <c r="E188" s="165"/>
      <c r="F188" s="493"/>
    </row>
    <row r="189" spans="1:6" thickBot="1">
      <c r="A189" s="164"/>
      <c r="B189" s="164"/>
      <c r="C189" s="165"/>
      <c r="D189" s="165"/>
      <c r="E189" s="165"/>
      <c r="F189" s="493"/>
    </row>
    <row r="190" spans="1:6" thickBot="1">
      <c r="A190" s="164"/>
      <c r="B190" s="164"/>
      <c r="C190" s="165"/>
      <c r="D190" s="165"/>
      <c r="E190" s="165"/>
      <c r="F190" s="493"/>
    </row>
    <row r="191" spans="1:6" thickBot="1">
      <c r="A191" s="164"/>
      <c r="B191" s="164"/>
      <c r="C191" s="165"/>
      <c r="D191" s="165"/>
      <c r="E191" s="165"/>
      <c r="F191" s="493"/>
    </row>
    <row r="192" spans="1:6" thickBot="1">
      <c r="A192" s="164"/>
      <c r="B192" s="164"/>
      <c r="C192" s="165"/>
      <c r="D192" s="165"/>
      <c r="E192" s="165"/>
      <c r="F192" s="493"/>
    </row>
    <row r="193" spans="1:6" thickBot="1">
      <c r="A193" s="164"/>
      <c r="B193" s="164"/>
      <c r="C193" s="165"/>
      <c r="D193" s="165"/>
      <c r="E193" s="165"/>
      <c r="F193" s="493"/>
    </row>
    <row r="194" spans="1:6" thickBot="1">
      <c r="A194" s="164"/>
      <c r="B194" s="164"/>
      <c r="C194" s="165"/>
      <c r="D194" s="165"/>
      <c r="E194" s="165"/>
      <c r="F194" s="493"/>
    </row>
    <row r="195" spans="1:6" thickBot="1">
      <c r="A195" s="164"/>
      <c r="B195" s="164"/>
      <c r="C195" s="165"/>
      <c r="D195" s="165"/>
      <c r="E195" s="165"/>
      <c r="F195" s="493"/>
    </row>
    <row r="196" spans="1:6" thickBot="1">
      <c r="A196" s="164"/>
      <c r="B196" s="164"/>
      <c r="C196" s="165"/>
      <c r="D196" s="165"/>
      <c r="E196" s="165"/>
      <c r="F196" s="493"/>
    </row>
    <row r="197" spans="1:6" thickBot="1">
      <c r="A197" s="164"/>
      <c r="B197" s="164"/>
      <c r="C197" s="165"/>
      <c r="D197" s="165"/>
      <c r="E197" s="165"/>
      <c r="F197" s="493"/>
    </row>
    <row r="198" spans="1:6" thickBot="1">
      <c r="A198" s="164"/>
      <c r="B198" s="164"/>
      <c r="C198" s="165"/>
      <c r="D198" s="165"/>
      <c r="E198" s="165"/>
      <c r="F198" s="493"/>
    </row>
    <row r="199" spans="1:6" thickBot="1">
      <c r="A199" s="164"/>
      <c r="B199" s="164"/>
      <c r="C199" s="165"/>
      <c r="D199" s="165"/>
      <c r="E199" s="165"/>
      <c r="F199" s="493"/>
    </row>
    <row r="200" spans="1:6" thickBot="1">
      <c r="A200" s="164"/>
      <c r="B200" s="164"/>
      <c r="C200" s="165"/>
      <c r="D200" s="165"/>
      <c r="E200" s="165"/>
      <c r="F200" s="493"/>
    </row>
    <row r="201" spans="1:6" thickBot="1">
      <c r="A201" s="164"/>
      <c r="B201" s="164"/>
      <c r="C201" s="165"/>
      <c r="D201" s="165"/>
      <c r="E201" s="165"/>
      <c r="F201" s="493"/>
    </row>
    <row r="202" spans="1:6" thickBot="1">
      <c r="A202" s="164"/>
      <c r="B202" s="164"/>
      <c r="C202" s="165"/>
      <c r="D202" s="165"/>
      <c r="E202" s="165"/>
      <c r="F202" s="493"/>
    </row>
    <row r="203" spans="1:6" thickBot="1">
      <c r="A203" s="164"/>
      <c r="B203" s="164"/>
      <c r="C203" s="165"/>
      <c r="D203" s="165"/>
      <c r="E203" s="165"/>
      <c r="F203" s="493"/>
    </row>
    <row r="204" spans="1:6" thickBot="1">
      <c r="A204" s="164"/>
      <c r="B204" s="164"/>
      <c r="C204" s="165"/>
      <c r="D204" s="165"/>
      <c r="E204" s="165"/>
      <c r="F204" s="493"/>
    </row>
    <row r="205" spans="1:6" thickBot="1">
      <c r="A205" s="164"/>
      <c r="B205" s="164"/>
      <c r="C205" s="165"/>
      <c r="D205" s="165"/>
      <c r="E205" s="165"/>
      <c r="F205" s="493"/>
    </row>
    <row r="206" spans="1:6" thickBot="1">
      <c r="A206" s="164"/>
      <c r="B206" s="164"/>
      <c r="C206" s="165"/>
      <c r="D206" s="165"/>
      <c r="E206" s="165"/>
      <c r="F206" s="493"/>
    </row>
    <row r="207" spans="1:6" thickBot="1">
      <c r="A207" s="164"/>
      <c r="B207" s="164"/>
      <c r="C207" s="165"/>
      <c r="D207" s="165"/>
      <c r="E207" s="165"/>
      <c r="F207" s="493"/>
    </row>
    <row r="208" spans="1:6" thickBot="1">
      <c r="A208" s="164"/>
      <c r="B208" s="164"/>
      <c r="C208" s="165"/>
      <c r="D208" s="165"/>
      <c r="E208" s="165"/>
      <c r="F208" s="493"/>
    </row>
    <row r="209" spans="1:6" thickBot="1">
      <c r="A209" s="164"/>
      <c r="B209" s="164"/>
      <c r="C209" s="165"/>
      <c r="D209" s="165"/>
      <c r="E209" s="165"/>
      <c r="F209" s="493"/>
    </row>
    <row r="210" spans="1:6" thickBot="1">
      <c r="A210" s="164"/>
      <c r="B210" s="164"/>
      <c r="C210" s="165"/>
      <c r="D210" s="165"/>
      <c r="E210" s="165"/>
      <c r="F210" s="493"/>
    </row>
    <row r="211" spans="1:6" thickBot="1">
      <c r="A211" s="164"/>
      <c r="B211" s="164"/>
      <c r="C211" s="165"/>
      <c r="D211" s="165"/>
      <c r="E211" s="165"/>
      <c r="F211" s="493"/>
    </row>
    <row r="212" spans="1:6" thickBot="1">
      <c r="A212" s="164"/>
      <c r="B212" s="164"/>
      <c r="C212" s="165"/>
      <c r="D212" s="165"/>
      <c r="E212" s="165"/>
      <c r="F212" s="493"/>
    </row>
    <row r="213" spans="1:6" thickBot="1">
      <c r="A213" s="164"/>
      <c r="B213" s="164"/>
      <c r="C213" s="165"/>
      <c r="D213" s="165"/>
      <c r="E213" s="165"/>
      <c r="F213" s="493"/>
    </row>
    <row r="214" spans="1:6" thickBot="1">
      <c r="A214" s="164"/>
      <c r="B214" s="164"/>
      <c r="C214" s="165"/>
      <c r="D214" s="165"/>
      <c r="E214" s="165"/>
      <c r="F214" s="493"/>
    </row>
    <row r="215" spans="1:6" thickBot="1">
      <c r="A215" s="164"/>
      <c r="B215" s="164"/>
      <c r="C215" s="165"/>
      <c r="D215" s="165"/>
      <c r="E215" s="165"/>
      <c r="F215" s="493"/>
    </row>
    <row r="216" spans="1:6" thickBot="1">
      <c r="A216" s="164"/>
      <c r="B216" s="164"/>
      <c r="C216" s="165"/>
      <c r="D216" s="165"/>
      <c r="E216" s="165"/>
      <c r="F216" s="493"/>
    </row>
    <row r="217" spans="1:6" thickBot="1">
      <c r="A217" s="164"/>
      <c r="B217" s="164"/>
      <c r="C217" s="165"/>
      <c r="D217" s="165"/>
      <c r="E217" s="165"/>
      <c r="F217" s="493"/>
    </row>
    <row r="218" spans="1:6" thickBot="1">
      <c r="A218" s="164"/>
      <c r="B218" s="164"/>
      <c r="C218" s="165"/>
      <c r="D218" s="165"/>
      <c r="E218" s="165"/>
      <c r="F218" s="493"/>
    </row>
    <row r="219" spans="1:6" thickBot="1">
      <c r="A219" s="164"/>
      <c r="B219" s="164"/>
      <c r="C219" s="165"/>
      <c r="D219" s="165"/>
      <c r="E219" s="165"/>
      <c r="F219" s="493"/>
    </row>
    <row r="220" spans="1:6" thickBot="1">
      <c r="A220" s="164"/>
      <c r="B220" s="164"/>
      <c r="C220" s="165"/>
      <c r="D220" s="165"/>
      <c r="E220" s="165"/>
      <c r="F220" s="493"/>
    </row>
    <row r="221" spans="1:6" thickBot="1">
      <c r="A221" s="164"/>
      <c r="B221" s="164"/>
      <c r="C221" s="165"/>
      <c r="D221" s="165"/>
      <c r="E221" s="165"/>
      <c r="F221" s="493"/>
    </row>
    <row r="222" spans="1:6" thickBot="1">
      <c r="A222" s="164"/>
      <c r="B222" s="164"/>
      <c r="C222" s="165"/>
      <c r="D222" s="165"/>
      <c r="E222" s="165"/>
      <c r="F222" s="493"/>
    </row>
    <row r="223" spans="1:6" thickBot="1">
      <c r="A223" s="164"/>
      <c r="B223" s="164"/>
      <c r="C223" s="165"/>
      <c r="D223" s="165"/>
      <c r="E223" s="165"/>
      <c r="F223" s="493"/>
    </row>
    <row r="224" spans="1:6" thickBot="1">
      <c r="A224" s="164"/>
      <c r="B224" s="164"/>
      <c r="C224" s="165"/>
      <c r="D224" s="165"/>
      <c r="E224" s="165"/>
      <c r="F224" s="493"/>
    </row>
    <row r="225" spans="1:6" thickBot="1">
      <c r="A225" s="164"/>
      <c r="B225" s="164"/>
      <c r="C225" s="165"/>
      <c r="D225" s="165"/>
      <c r="E225" s="165"/>
      <c r="F225" s="493"/>
    </row>
    <row r="226" spans="1:6" thickBot="1">
      <c r="A226" s="164"/>
      <c r="B226" s="164"/>
      <c r="C226" s="165"/>
      <c r="D226" s="165"/>
      <c r="E226" s="165"/>
      <c r="F226" s="493"/>
    </row>
    <row r="227" spans="1:6" thickBot="1">
      <c r="A227" s="164"/>
      <c r="B227" s="164"/>
      <c r="C227" s="165"/>
      <c r="D227" s="165"/>
      <c r="E227" s="165"/>
      <c r="F227" s="493"/>
    </row>
    <row r="228" spans="1:6" thickBot="1">
      <c r="A228" s="164"/>
      <c r="B228" s="164"/>
      <c r="C228" s="165"/>
      <c r="D228" s="165"/>
      <c r="E228" s="165"/>
      <c r="F228" s="493"/>
    </row>
    <row r="229" spans="1:6" thickBot="1">
      <c r="A229" s="164"/>
      <c r="B229" s="164"/>
      <c r="C229" s="165"/>
      <c r="D229" s="165"/>
      <c r="E229" s="165"/>
      <c r="F229" s="493"/>
    </row>
    <row r="230" spans="1:6" thickBot="1">
      <c r="A230" s="164"/>
      <c r="B230" s="164"/>
      <c r="C230" s="165"/>
      <c r="D230" s="165"/>
      <c r="E230" s="165"/>
      <c r="F230" s="493"/>
    </row>
    <row r="231" spans="1:6" thickBot="1">
      <c r="A231" s="164"/>
      <c r="B231" s="164"/>
      <c r="C231" s="165"/>
      <c r="D231" s="165"/>
      <c r="E231" s="165"/>
      <c r="F231" s="493"/>
    </row>
    <row r="232" spans="1:6" thickBot="1">
      <c r="A232" s="164"/>
      <c r="B232" s="164"/>
      <c r="C232" s="165"/>
      <c r="D232" s="165"/>
      <c r="E232" s="165"/>
      <c r="F232" s="493"/>
    </row>
    <row r="233" spans="1:6" thickBot="1">
      <c r="A233" s="164"/>
      <c r="B233" s="164"/>
      <c r="C233" s="159"/>
      <c r="D233" s="159"/>
      <c r="E233" s="159"/>
      <c r="F233" s="493"/>
    </row>
    <row r="234" spans="1:6" thickBot="1">
      <c r="A234" s="164"/>
      <c r="B234" s="164"/>
      <c r="C234" s="159"/>
      <c r="D234" s="159"/>
      <c r="E234" s="159"/>
      <c r="F234" s="493"/>
    </row>
    <row r="235" spans="1:6" thickBot="1">
      <c r="A235" s="164"/>
      <c r="B235" s="164"/>
      <c r="C235" s="159"/>
      <c r="D235" s="159"/>
      <c r="E235" s="159"/>
      <c r="F235" s="493"/>
    </row>
    <row r="236" spans="1:6" thickBot="1">
      <c r="A236" s="164"/>
      <c r="B236" s="164"/>
      <c r="C236" s="159"/>
      <c r="D236" s="159"/>
      <c r="E236" s="159"/>
      <c r="F236" s="493"/>
    </row>
    <row r="237" spans="1:6" thickBot="1">
      <c r="A237" s="164"/>
      <c r="B237" s="164"/>
      <c r="C237" s="159"/>
      <c r="D237" s="159"/>
      <c r="E237" s="159"/>
      <c r="F237" s="493"/>
    </row>
    <row r="238" spans="1:6" thickBot="1">
      <c r="A238" s="164"/>
      <c r="B238" s="164"/>
      <c r="C238" s="159"/>
      <c r="D238" s="159"/>
      <c r="E238" s="159"/>
      <c r="F238" s="493"/>
    </row>
    <row r="239" spans="1:6" thickBot="1">
      <c r="A239" s="164"/>
      <c r="B239" s="164"/>
      <c r="C239" s="159"/>
      <c r="D239" s="159"/>
      <c r="E239" s="159"/>
      <c r="F239" s="493"/>
    </row>
    <row r="240" spans="1:6" thickBot="1">
      <c r="A240" s="164"/>
      <c r="B240" s="164"/>
      <c r="C240" s="159"/>
      <c r="D240" s="159"/>
      <c r="E240" s="159"/>
      <c r="F240" s="493"/>
    </row>
    <row r="241" spans="1:6" thickBot="1">
      <c r="A241" s="164"/>
      <c r="B241" s="164"/>
      <c r="C241" s="159"/>
      <c r="D241" s="159"/>
      <c r="E241" s="159"/>
      <c r="F241" s="493"/>
    </row>
    <row r="242" spans="1:6" thickBot="1">
      <c r="A242" s="164"/>
      <c r="B242" s="164"/>
      <c r="C242" s="159"/>
      <c r="D242" s="159"/>
      <c r="E242" s="159"/>
      <c r="F242" s="493"/>
    </row>
    <row r="243" spans="1:6" thickBot="1">
      <c r="A243" s="164"/>
      <c r="B243" s="164"/>
      <c r="C243" s="159"/>
      <c r="D243" s="159"/>
      <c r="E243" s="159"/>
      <c r="F243" s="493"/>
    </row>
    <row r="244" spans="1:6" thickBot="1">
      <c r="A244" s="164"/>
      <c r="B244" s="164"/>
      <c r="C244" s="159"/>
      <c r="D244" s="159"/>
      <c r="E244" s="159"/>
      <c r="F244" s="493"/>
    </row>
    <row r="245" spans="1:6" thickBot="1">
      <c r="A245" s="164"/>
      <c r="B245" s="164"/>
      <c r="C245" s="159"/>
      <c r="D245" s="159"/>
      <c r="E245" s="159"/>
      <c r="F245" s="493"/>
    </row>
    <row r="246" spans="1:6" thickBot="1">
      <c r="A246" s="164"/>
      <c r="B246" s="164"/>
      <c r="C246" s="159"/>
      <c r="D246" s="159"/>
      <c r="E246" s="159"/>
      <c r="F246" s="493"/>
    </row>
    <row r="247" spans="1:6" thickBot="1">
      <c r="A247" s="164"/>
      <c r="B247" s="164"/>
      <c r="C247" s="159"/>
      <c r="D247" s="159"/>
      <c r="E247" s="159"/>
      <c r="F247" s="493"/>
    </row>
    <row r="248" spans="1:6" thickBot="1">
      <c r="A248" s="164"/>
      <c r="B248" s="164"/>
      <c r="C248" s="159"/>
      <c r="D248" s="159"/>
      <c r="E248" s="159"/>
      <c r="F248" s="493"/>
    </row>
    <row r="249" spans="1:6" thickBot="1">
      <c r="A249" s="164"/>
      <c r="B249" s="164"/>
      <c r="C249" s="159"/>
      <c r="D249" s="159"/>
      <c r="E249" s="159"/>
      <c r="F249" s="493"/>
    </row>
    <row r="250" spans="1:6" thickBot="1">
      <c r="A250" s="164"/>
      <c r="B250" s="164"/>
      <c r="C250" s="159"/>
      <c r="D250" s="159"/>
      <c r="E250" s="159"/>
      <c r="F250" s="493"/>
    </row>
    <row r="251" spans="1:6" thickBot="1">
      <c r="A251" s="164"/>
      <c r="B251" s="164"/>
      <c r="C251" s="159"/>
      <c r="D251" s="159"/>
      <c r="E251" s="159"/>
      <c r="F251" s="493"/>
    </row>
    <row r="252" spans="1:6" thickBot="1">
      <c r="A252" s="164"/>
      <c r="B252" s="164"/>
      <c r="C252" s="159"/>
      <c r="D252" s="159"/>
      <c r="E252" s="159"/>
      <c r="F252" s="493"/>
    </row>
    <row r="253" spans="1:6" thickBot="1">
      <c r="A253" s="164"/>
      <c r="B253" s="164"/>
      <c r="C253" s="159"/>
      <c r="D253" s="159"/>
      <c r="E253" s="159"/>
      <c r="F253" s="493"/>
    </row>
    <row r="254" spans="1:6" thickBot="1">
      <c r="A254" s="164"/>
      <c r="B254" s="164"/>
      <c r="C254" s="159"/>
      <c r="D254" s="159"/>
      <c r="E254" s="159"/>
      <c r="F254" s="493"/>
    </row>
    <row r="255" spans="1:6" thickBot="1">
      <c r="A255" s="164"/>
      <c r="B255" s="164"/>
      <c r="C255" s="159"/>
      <c r="D255" s="159"/>
      <c r="E255" s="159"/>
      <c r="F255" s="493"/>
    </row>
    <row r="256" spans="1:6" thickBot="1">
      <c r="A256" s="164"/>
      <c r="B256" s="164"/>
      <c r="C256" s="159"/>
      <c r="D256" s="159"/>
      <c r="E256" s="159"/>
      <c r="F256" s="493"/>
    </row>
    <row r="257" spans="1:6" thickBot="1">
      <c r="A257" s="164"/>
      <c r="B257" s="164"/>
      <c r="C257" s="159"/>
      <c r="D257" s="159"/>
      <c r="E257" s="159"/>
      <c r="F257" s="493"/>
    </row>
    <row r="258" spans="1:6" thickBot="1">
      <c r="A258" s="164"/>
      <c r="B258" s="164"/>
      <c r="C258" s="159"/>
      <c r="D258" s="159"/>
      <c r="E258" s="159"/>
      <c r="F258" s="493"/>
    </row>
    <row r="259" spans="1:6" thickBot="1">
      <c r="A259" s="164"/>
      <c r="B259" s="164"/>
      <c r="C259" s="159"/>
      <c r="D259" s="159"/>
      <c r="E259" s="159"/>
      <c r="F259" s="493"/>
    </row>
    <row r="260" spans="1:6" thickBot="1">
      <c r="A260" s="164"/>
      <c r="B260" s="164"/>
      <c r="C260" s="159"/>
      <c r="D260" s="159"/>
      <c r="E260" s="159"/>
      <c r="F260" s="493"/>
    </row>
    <row r="261" spans="1:6" thickBot="1">
      <c r="A261" s="164"/>
      <c r="B261" s="164"/>
      <c r="C261" s="159"/>
      <c r="D261" s="159"/>
      <c r="E261" s="159"/>
      <c r="F261" s="493"/>
    </row>
    <row r="262" spans="1:6" thickBot="1">
      <c r="A262" s="164"/>
      <c r="B262" s="164"/>
      <c r="C262" s="159"/>
      <c r="D262" s="159"/>
      <c r="E262" s="159"/>
      <c r="F262" s="493"/>
    </row>
    <row r="263" spans="1:6" thickBot="1">
      <c r="A263" s="164"/>
      <c r="B263" s="164"/>
      <c r="C263" s="159"/>
      <c r="D263" s="159"/>
      <c r="E263" s="159"/>
      <c r="F263" s="493"/>
    </row>
    <row r="264" spans="1:6" thickBot="1">
      <c r="A264" s="164"/>
      <c r="B264" s="164"/>
      <c r="C264" s="159"/>
      <c r="D264" s="159"/>
      <c r="E264" s="159"/>
      <c r="F264" s="493"/>
    </row>
    <row r="265" spans="1:6" thickBot="1">
      <c r="A265" s="164"/>
      <c r="B265" s="164"/>
      <c r="C265" s="159"/>
      <c r="D265" s="159"/>
      <c r="E265" s="159"/>
      <c r="F265" s="493"/>
    </row>
    <row r="266" spans="1:6" thickBot="1">
      <c r="A266" s="164"/>
      <c r="B266" s="164"/>
      <c r="C266" s="159"/>
      <c r="D266" s="159"/>
      <c r="E266" s="159"/>
      <c r="F266" s="493"/>
    </row>
    <row r="267" spans="1:6" thickBot="1">
      <c r="A267" s="164"/>
      <c r="B267" s="164"/>
      <c r="C267" s="159"/>
      <c r="D267" s="159"/>
      <c r="E267" s="159"/>
      <c r="F267" s="493"/>
    </row>
    <row r="268" spans="1:6" thickBot="1">
      <c r="A268" s="164"/>
      <c r="B268" s="164"/>
      <c r="C268" s="159"/>
      <c r="D268" s="159"/>
      <c r="E268" s="159"/>
      <c r="F268" s="493"/>
    </row>
    <row r="269" spans="1:6" thickBot="1">
      <c r="A269" s="164"/>
      <c r="B269" s="164"/>
      <c r="C269" s="159"/>
      <c r="D269" s="159"/>
      <c r="E269" s="159"/>
      <c r="F269" s="493"/>
    </row>
    <row r="270" spans="1:6" thickBot="1">
      <c r="A270" s="164"/>
      <c r="B270" s="164"/>
      <c r="C270" s="159"/>
      <c r="D270" s="159"/>
      <c r="E270" s="159"/>
      <c r="F270" s="493"/>
    </row>
    <row r="271" spans="1:6" thickBot="1">
      <c r="A271" s="164"/>
      <c r="B271" s="164"/>
      <c r="C271" s="159"/>
      <c r="D271" s="159"/>
      <c r="E271" s="159"/>
      <c r="F271" s="493"/>
    </row>
    <row r="272" spans="1:6" thickBot="1">
      <c r="A272" s="164"/>
      <c r="B272" s="164"/>
      <c r="C272" s="159"/>
      <c r="D272" s="159"/>
      <c r="E272" s="159"/>
      <c r="F272" s="493"/>
    </row>
    <row r="273" spans="1:6" thickBot="1">
      <c r="A273" s="164"/>
      <c r="B273" s="164"/>
      <c r="C273" s="159"/>
      <c r="D273" s="159"/>
      <c r="E273" s="159"/>
      <c r="F273" s="493"/>
    </row>
    <row r="274" spans="1:6" thickBot="1">
      <c r="A274" s="164"/>
      <c r="B274" s="164"/>
      <c r="C274" s="159"/>
      <c r="D274" s="159"/>
      <c r="E274" s="159"/>
      <c r="F274" s="493"/>
    </row>
    <row r="275" spans="1:6" thickBot="1">
      <c r="A275" s="164"/>
      <c r="B275" s="164"/>
      <c r="C275" s="159"/>
      <c r="D275" s="159"/>
      <c r="E275" s="159"/>
      <c r="F275" s="493"/>
    </row>
    <row r="276" spans="1:6" thickBot="1">
      <c r="A276" s="164"/>
      <c r="B276" s="164"/>
      <c r="C276" s="159"/>
      <c r="D276" s="159"/>
      <c r="E276" s="159"/>
      <c r="F276" s="493"/>
    </row>
    <row r="277" spans="1:6" thickBot="1">
      <c r="A277" s="164"/>
      <c r="B277" s="164"/>
      <c r="C277" s="159"/>
      <c r="D277" s="159"/>
      <c r="E277" s="159"/>
      <c r="F277" s="493"/>
    </row>
    <row r="278" spans="1:6" thickBot="1">
      <c r="A278" s="164"/>
      <c r="B278" s="164"/>
      <c r="C278" s="159"/>
      <c r="D278" s="159"/>
      <c r="E278" s="159"/>
      <c r="F278" s="493"/>
    </row>
    <row r="279" spans="1:6" thickBot="1">
      <c r="A279" s="164"/>
      <c r="B279" s="164"/>
      <c r="C279" s="159"/>
      <c r="D279" s="159"/>
      <c r="E279" s="159"/>
      <c r="F279" s="493"/>
    </row>
    <row r="280" spans="1:6" thickBot="1">
      <c r="A280" s="164"/>
      <c r="B280" s="164"/>
      <c r="C280" s="159"/>
      <c r="D280" s="159"/>
      <c r="E280" s="159"/>
      <c r="F280" s="493"/>
    </row>
    <row r="281" spans="1:6" thickBot="1">
      <c r="A281" s="164"/>
      <c r="B281" s="164"/>
      <c r="C281" s="159"/>
      <c r="D281" s="159"/>
      <c r="E281" s="159"/>
      <c r="F281" s="493"/>
    </row>
    <row r="282" spans="1:6" thickBot="1">
      <c r="A282" s="164"/>
      <c r="B282" s="164"/>
      <c r="C282" s="159"/>
      <c r="D282" s="159"/>
      <c r="E282" s="159"/>
      <c r="F282" s="493"/>
    </row>
    <row r="283" spans="1:6" thickBot="1">
      <c r="A283" s="164"/>
      <c r="B283" s="164"/>
      <c r="C283" s="159"/>
      <c r="D283" s="159"/>
      <c r="E283" s="159"/>
      <c r="F283" s="493"/>
    </row>
    <row r="284" spans="1:6" thickBot="1">
      <c r="A284" s="164"/>
      <c r="B284" s="164"/>
      <c r="C284" s="159"/>
      <c r="D284" s="159"/>
      <c r="E284" s="159"/>
      <c r="F284" s="493"/>
    </row>
    <row r="285" spans="1:6" thickBot="1">
      <c r="A285" s="164"/>
      <c r="B285" s="164"/>
      <c r="C285" s="159"/>
      <c r="D285" s="159"/>
      <c r="E285" s="159"/>
      <c r="F285" s="493"/>
    </row>
    <row r="286" spans="1:6" thickBot="1">
      <c r="A286" s="164"/>
      <c r="B286" s="164"/>
      <c r="C286" s="159"/>
      <c r="D286" s="159"/>
      <c r="E286" s="159"/>
      <c r="F286" s="493"/>
    </row>
    <row r="287" spans="1:6" thickBot="1">
      <c r="A287" s="164"/>
      <c r="B287" s="164"/>
      <c r="C287" s="159"/>
      <c r="D287" s="159"/>
      <c r="E287" s="159"/>
      <c r="F287" s="493"/>
    </row>
    <row r="288" spans="1:6" thickBot="1">
      <c r="A288" s="164"/>
      <c r="B288" s="164"/>
      <c r="C288" s="159"/>
      <c r="D288" s="159"/>
      <c r="E288" s="159"/>
      <c r="F288" s="493"/>
    </row>
    <row r="289" spans="1:6" thickBot="1">
      <c r="A289" s="164"/>
      <c r="B289" s="164"/>
      <c r="C289" s="159"/>
      <c r="D289" s="159"/>
      <c r="E289" s="159"/>
      <c r="F289" s="493"/>
    </row>
    <row r="290" spans="1:6" thickBot="1">
      <c r="A290" s="164"/>
      <c r="B290" s="164"/>
      <c r="C290" s="159"/>
      <c r="D290" s="159"/>
      <c r="E290" s="159"/>
      <c r="F290" s="493"/>
    </row>
    <row r="291" spans="1:6" thickBot="1">
      <c r="A291" s="164"/>
      <c r="B291" s="164"/>
      <c r="C291" s="159"/>
      <c r="D291" s="159"/>
      <c r="E291" s="159"/>
      <c r="F291" s="493"/>
    </row>
    <row r="292" spans="1:6" thickBot="1">
      <c r="A292" s="164"/>
      <c r="B292" s="164"/>
      <c r="C292" s="159"/>
      <c r="D292" s="159"/>
      <c r="E292" s="159"/>
      <c r="F292" s="493"/>
    </row>
    <row r="293" spans="1:6" thickBot="1">
      <c r="A293" s="164"/>
      <c r="B293" s="164"/>
      <c r="C293" s="159"/>
      <c r="D293" s="159"/>
      <c r="E293" s="159"/>
      <c r="F293" s="493"/>
    </row>
    <row r="294" spans="1:6" thickBot="1">
      <c r="A294" s="164"/>
      <c r="B294" s="164"/>
      <c r="C294" s="159"/>
      <c r="D294" s="159"/>
      <c r="E294" s="159"/>
      <c r="F294" s="493"/>
    </row>
    <row r="295" spans="1:6" thickBot="1">
      <c r="A295" s="164"/>
      <c r="B295" s="164"/>
      <c r="C295" s="159"/>
      <c r="D295" s="159"/>
      <c r="E295" s="159"/>
      <c r="F295" s="493"/>
    </row>
    <row r="296" spans="1:6" thickBot="1">
      <c r="A296" s="164"/>
      <c r="B296" s="164"/>
      <c r="C296" s="159"/>
      <c r="D296" s="159"/>
      <c r="E296" s="159"/>
      <c r="F296" s="493"/>
    </row>
    <row r="297" spans="1:6" thickBot="1">
      <c r="A297" s="164"/>
      <c r="B297" s="164"/>
      <c r="C297" s="159"/>
      <c r="D297" s="159"/>
      <c r="E297" s="159"/>
      <c r="F297" s="493"/>
    </row>
    <row r="298" spans="1:6" thickBot="1">
      <c r="A298" s="164"/>
      <c r="B298" s="164"/>
      <c r="C298" s="159"/>
      <c r="D298" s="159"/>
      <c r="E298" s="159"/>
      <c r="F298" s="493"/>
    </row>
    <row r="299" spans="1:6" thickBot="1">
      <c r="A299" s="164"/>
      <c r="B299" s="164"/>
      <c r="C299" s="159"/>
      <c r="D299" s="159"/>
      <c r="E299" s="159"/>
      <c r="F299" s="493"/>
    </row>
    <row r="300" spans="1:6" thickBot="1">
      <c r="A300" s="164"/>
      <c r="B300" s="164"/>
      <c r="C300" s="159"/>
      <c r="D300" s="159"/>
      <c r="E300" s="159"/>
      <c r="F300" s="493"/>
    </row>
    <row r="301" spans="1:6" thickBot="1">
      <c r="A301" s="164"/>
      <c r="B301" s="164"/>
      <c r="C301" s="159"/>
      <c r="D301" s="159"/>
      <c r="E301" s="159"/>
      <c r="F301" s="493"/>
    </row>
    <row r="302" spans="1:6" thickBot="1">
      <c r="A302" s="164"/>
      <c r="B302" s="164"/>
      <c r="C302" s="159"/>
      <c r="D302" s="159"/>
      <c r="E302" s="159"/>
      <c r="F302" s="493"/>
    </row>
    <row r="303" spans="1:6" thickBot="1">
      <c r="A303" s="164"/>
      <c r="B303" s="164"/>
      <c r="C303" s="159"/>
      <c r="D303" s="159"/>
      <c r="E303" s="159"/>
      <c r="F303" s="493"/>
    </row>
    <row r="304" spans="1:6" thickBot="1">
      <c r="A304" s="164"/>
      <c r="B304" s="164"/>
      <c r="C304" s="159"/>
      <c r="D304" s="159"/>
      <c r="E304" s="159"/>
      <c r="F304" s="493"/>
    </row>
    <row r="305" spans="1:6" thickBot="1">
      <c r="A305" s="164"/>
      <c r="B305" s="164"/>
      <c r="C305" s="159"/>
      <c r="D305" s="159"/>
      <c r="E305" s="159"/>
      <c r="F305" s="493"/>
    </row>
    <row r="306" spans="1:6" thickBot="1">
      <c r="A306" s="164"/>
      <c r="B306" s="164"/>
      <c r="C306" s="159"/>
      <c r="D306" s="159"/>
      <c r="E306" s="159"/>
      <c r="F306" s="493"/>
    </row>
    <row r="307" spans="1:6" thickBot="1">
      <c r="A307" s="164"/>
      <c r="B307" s="164"/>
      <c r="C307" s="159"/>
      <c r="D307" s="159"/>
      <c r="E307" s="159"/>
      <c r="F307" s="493"/>
    </row>
    <row r="308" spans="1:6" thickBot="1">
      <c r="A308" s="164"/>
      <c r="B308" s="164"/>
      <c r="C308" s="159"/>
      <c r="D308" s="159"/>
      <c r="E308" s="159"/>
      <c r="F308" s="493"/>
    </row>
    <row r="309" spans="1:6" thickBot="1">
      <c r="A309" s="164"/>
      <c r="B309" s="164"/>
      <c r="C309" s="159"/>
      <c r="D309" s="159"/>
      <c r="E309" s="159"/>
      <c r="F309" s="493"/>
    </row>
    <row r="310" spans="1:6" thickBot="1">
      <c r="A310" s="164"/>
      <c r="B310" s="164"/>
      <c r="C310" s="159"/>
      <c r="D310" s="159"/>
      <c r="E310" s="159"/>
      <c r="F310" s="493"/>
    </row>
    <row r="311" spans="1:6" thickBot="1">
      <c r="A311" s="164"/>
      <c r="B311" s="164"/>
      <c r="C311" s="159"/>
      <c r="D311" s="159"/>
      <c r="E311" s="159"/>
      <c r="F311" s="493"/>
    </row>
    <row r="312" spans="1:6" thickBot="1">
      <c r="A312" s="164"/>
      <c r="B312" s="164"/>
      <c r="C312" s="159"/>
      <c r="D312" s="159"/>
      <c r="E312" s="159"/>
      <c r="F312" s="493"/>
    </row>
    <row r="313" spans="1:6" thickBot="1">
      <c r="A313" s="164"/>
      <c r="B313" s="164"/>
      <c r="C313" s="159"/>
      <c r="D313" s="159"/>
      <c r="E313" s="159"/>
      <c r="F313" s="493"/>
    </row>
    <row r="314" spans="1:6" thickBot="1">
      <c r="A314" s="164"/>
      <c r="B314" s="164"/>
      <c r="C314" s="159"/>
      <c r="D314" s="159"/>
      <c r="E314" s="159"/>
      <c r="F314" s="493"/>
    </row>
    <row r="315" spans="1:6" thickBot="1">
      <c r="A315" s="164"/>
      <c r="B315" s="164"/>
      <c r="C315" s="159"/>
      <c r="D315" s="159"/>
      <c r="E315" s="159"/>
      <c r="F315" s="493"/>
    </row>
    <row r="316" spans="1:6" thickBot="1">
      <c r="A316" s="164"/>
      <c r="B316" s="164"/>
      <c r="C316" s="159"/>
      <c r="D316" s="159"/>
      <c r="E316" s="159"/>
      <c r="F316" s="493"/>
    </row>
    <row r="317" spans="1:6" thickBot="1">
      <c r="A317" s="164"/>
      <c r="B317" s="164"/>
      <c r="C317" s="159"/>
      <c r="D317" s="159"/>
      <c r="E317" s="159"/>
      <c r="F317" s="493"/>
    </row>
    <row r="318" spans="1:6" thickBot="1">
      <c r="A318" s="164"/>
      <c r="B318" s="164"/>
      <c r="C318" s="159"/>
      <c r="D318" s="159"/>
      <c r="E318" s="159"/>
      <c r="F318" s="493"/>
    </row>
    <row r="319" spans="1:6" thickBot="1">
      <c r="A319" s="164"/>
      <c r="B319" s="164"/>
      <c r="C319" s="159"/>
      <c r="D319" s="159"/>
      <c r="E319" s="159"/>
      <c r="F319" s="493"/>
    </row>
    <row r="320" spans="1:6" thickBot="1">
      <c r="A320" s="164"/>
      <c r="B320" s="164"/>
      <c r="C320" s="159"/>
      <c r="D320" s="159"/>
      <c r="E320" s="159"/>
      <c r="F320" s="493"/>
    </row>
    <row r="321" spans="1:6" thickBot="1">
      <c r="A321" s="164"/>
      <c r="B321" s="164"/>
      <c r="C321" s="159"/>
      <c r="D321" s="159"/>
      <c r="E321" s="159"/>
      <c r="F321" s="493"/>
    </row>
    <row r="322" spans="1:6" thickBot="1">
      <c r="A322" s="164"/>
      <c r="B322" s="164"/>
      <c r="C322" s="159"/>
      <c r="D322" s="159"/>
      <c r="E322" s="159"/>
      <c r="F322" s="493"/>
    </row>
    <row r="323" spans="1:6" thickBot="1">
      <c r="A323" s="164"/>
      <c r="B323" s="164"/>
      <c r="C323" s="159"/>
      <c r="D323" s="159"/>
      <c r="E323" s="159"/>
      <c r="F323" s="493"/>
    </row>
    <row r="324" spans="1:6" thickBot="1">
      <c r="A324" s="164"/>
      <c r="B324" s="164"/>
      <c r="C324" s="159"/>
      <c r="D324" s="159"/>
      <c r="E324" s="159"/>
      <c r="F324" s="493"/>
    </row>
    <row r="325" spans="1:6" thickBot="1">
      <c r="A325" s="164"/>
      <c r="B325" s="164"/>
      <c r="C325" s="159"/>
      <c r="D325" s="159"/>
      <c r="E325" s="159"/>
      <c r="F325" s="493"/>
    </row>
    <row r="326" spans="1:6" thickBot="1">
      <c r="A326" s="164"/>
      <c r="B326" s="164"/>
      <c r="C326" s="159"/>
      <c r="D326" s="159"/>
      <c r="E326" s="159"/>
      <c r="F326" s="493"/>
    </row>
    <row r="327" spans="1:6" thickBot="1">
      <c r="A327" s="164"/>
      <c r="B327" s="164"/>
      <c r="C327" s="159"/>
      <c r="D327" s="159"/>
      <c r="E327" s="159"/>
      <c r="F327" s="493"/>
    </row>
    <row r="328" spans="1:6" thickBot="1">
      <c r="A328" s="164"/>
      <c r="B328" s="164"/>
      <c r="C328" s="159"/>
      <c r="D328" s="159"/>
      <c r="E328" s="159"/>
      <c r="F328" s="493"/>
    </row>
    <row r="329" spans="1:6" thickBot="1">
      <c r="A329" s="164"/>
      <c r="B329" s="164"/>
      <c r="C329" s="159"/>
      <c r="D329" s="159"/>
      <c r="E329" s="159"/>
      <c r="F329" s="493"/>
    </row>
    <row r="330" spans="1:6" thickBot="1">
      <c r="A330" s="164"/>
      <c r="B330" s="164"/>
      <c r="C330" s="159"/>
      <c r="D330" s="159"/>
      <c r="E330" s="159"/>
      <c r="F330" s="493"/>
    </row>
    <row r="331" spans="1:6" thickBot="1">
      <c r="A331" s="164"/>
      <c r="B331" s="164"/>
      <c r="C331" s="159"/>
      <c r="D331" s="159"/>
      <c r="E331" s="159"/>
      <c r="F331" s="493"/>
    </row>
    <row r="332" spans="1:6" thickBot="1">
      <c r="A332" s="164"/>
      <c r="B332" s="164"/>
      <c r="C332" s="159"/>
      <c r="D332" s="159"/>
      <c r="E332" s="159"/>
      <c r="F332" s="493"/>
    </row>
    <row r="333" spans="1:6" thickBot="1">
      <c r="A333" s="164"/>
      <c r="B333" s="164"/>
      <c r="C333" s="159"/>
      <c r="D333" s="159"/>
      <c r="E333" s="159"/>
      <c r="F333" s="493"/>
    </row>
    <row r="334" spans="1:6" thickBot="1">
      <c r="A334" s="164"/>
      <c r="B334" s="164"/>
      <c r="C334" s="159"/>
      <c r="D334" s="159"/>
      <c r="E334" s="159"/>
      <c r="F334" s="493"/>
    </row>
    <row r="335" spans="1:6" thickBot="1">
      <c r="A335" s="164"/>
      <c r="B335" s="164"/>
      <c r="C335" s="159"/>
      <c r="D335" s="159"/>
      <c r="E335" s="159"/>
      <c r="F335" s="493"/>
    </row>
    <row r="336" spans="1:6" thickBot="1">
      <c r="A336" s="164"/>
      <c r="B336" s="164"/>
      <c r="C336" s="159"/>
      <c r="D336" s="159"/>
      <c r="E336" s="159"/>
      <c r="F336" s="493"/>
    </row>
    <row r="337" spans="1:6" thickBot="1">
      <c r="A337" s="164"/>
      <c r="B337" s="164"/>
      <c r="C337" s="159"/>
      <c r="D337" s="159"/>
      <c r="E337" s="159"/>
      <c r="F337" s="493"/>
    </row>
    <row r="338" spans="1:6" thickBot="1">
      <c r="A338" s="164"/>
      <c r="B338" s="164"/>
      <c r="C338" s="159"/>
      <c r="D338" s="159"/>
      <c r="E338" s="159"/>
      <c r="F338" s="493"/>
    </row>
    <row r="339" spans="1:6" thickBot="1">
      <c r="A339" s="164"/>
      <c r="B339" s="164"/>
      <c r="C339" s="159"/>
      <c r="D339" s="159"/>
      <c r="E339" s="159"/>
      <c r="F339" s="493"/>
    </row>
    <row r="340" spans="1:6" thickBot="1">
      <c r="A340" s="164"/>
      <c r="B340" s="164"/>
      <c r="C340" s="159"/>
      <c r="D340" s="159"/>
      <c r="E340" s="159"/>
      <c r="F340" s="493"/>
    </row>
    <row r="341" spans="1:6" thickBot="1">
      <c r="A341" s="164"/>
      <c r="B341" s="164"/>
      <c r="C341" s="159"/>
      <c r="D341" s="159"/>
      <c r="E341" s="159"/>
      <c r="F341" s="493"/>
    </row>
    <row r="342" spans="1:6" thickBot="1">
      <c r="A342" s="164"/>
      <c r="B342" s="164"/>
      <c r="C342" s="159"/>
      <c r="D342" s="159"/>
      <c r="E342" s="159"/>
      <c r="F342" s="493"/>
    </row>
    <row r="343" spans="1:6" thickBot="1">
      <c r="A343" s="164"/>
      <c r="B343" s="164"/>
      <c r="C343" s="159"/>
      <c r="D343" s="159"/>
      <c r="E343" s="159"/>
      <c r="F343" s="493"/>
    </row>
    <row r="344" spans="1:6" thickBot="1">
      <c r="A344" s="164"/>
      <c r="B344" s="164"/>
      <c r="C344" s="159"/>
      <c r="D344" s="159"/>
      <c r="E344" s="159"/>
      <c r="F344" s="493"/>
    </row>
    <row r="345" spans="1:6" thickBot="1">
      <c r="A345" s="164"/>
      <c r="B345" s="164"/>
      <c r="C345" s="159"/>
      <c r="D345" s="159"/>
      <c r="E345" s="159"/>
      <c r="F345" s="493"/>
    </row>
    <row r="346" spans="1:6" thickBot="1">
      <c r="A346" s="164"/>
      <c r="B346" s="164"/>
      <c r="C346" s="159"/>
      <c r="D346" s="159"/>
      <c r="E346" s="159"/>
      <c r="F346" s="493"/>
    </row>
    <row r="347" spans="1:6" thickBot="1">
      <c r="A347" s="164"/>
      <c r="B347" s="164"/>
      <c r="C347" s="159"/>
      <c r="D347" s="159"/>
      <c r="E347" s="159"/>
      <c r="F347" s="493"/>
    </row>
    <row r="348" spans="1:6" thickBot="1">
      <c r="A348" s="164"/>
      <c r="B348" s="164"/>
      <c r="C348" s="159"/>
      <c r="D348" s="159"/>
      <c r="E348" s="159"/>
      <c r="F348" s="493"/>
    </row>
    <row r="349" spans="1:6" thickBot="1">
      <c r="A349" s="164"/>
      <c r="B349" s="164"/>
      <c r="C349" s="159"/>
      <c r="D349" s="159"/>
      <c r="E349" s="159"/>
      <c r="F349" s="493"/>
    </row>
    <row r="350" spans="1:6" thickBot="1">
      <c r="A350" s="164"/>
      <c r="B350" s="164"/>
      <c r="C350" s="159"/>
      <c r="D350" s="159"/>
      <c r="E350" s="159"/>
      <c r="F350" s="493"/>
    </row>
    <row r="351" spans="1:6" thickBot="1">
      <c r="A351" s="164"/>
      <c r="B351" s="164"/>
      <c r="C351" s="159"/>
      <c r="D351" s="159"/>
      <c r="E351" s="159"/>
      <c r="F351" s="493"/>
    </row>
    <row r="352" spans="1:6" thickBot="1">
      <c r="A352" s="164"/>
      <c r="B352" s="164"/>
      <c r="C352" s="159"/>
      <c r="D352" s="159"/>
      <c r="E352" s="159"/>
      <c r="F352" s="493"/>
    </row>
    <row r="353" spans="1:6" thickBot="1">
      <c r="A353" s="164"/>
      <c r="B353" s="164"/>
      <c r="C353" s="159"/>
      <c r="D353" s="159"/>
      <c r="E353" s="159"/>
      <c r="F353" s="493"/>
    </row>
    <row r="354" spans="1:6" thickBot="1">
      <c r="A354" s="164"/>
      <c r="B354" s="164"/>
      <c r="C354" s="159"/>
      <c r="D354" s="159"/>
      <c r="E354" s="159"/>
      <c r="F354" s="493"/>
    </row>
    <row r="355" spans="1:6" thickBot="1">
      <c r="A355" s="164"/>
      <c r="B355" s="164"/>
      <c r="C355" s="159"/>
      <c r="D355" s="159"/>
      <c r="E355" s="159"/>
      <c r="F355" s="493"/>
    </row>
    <row r="356" spans="1:6" thickBot="1">
      <c r="A356" s="164"/>
      <c r="B356" s="164"/>
      <c r="C356" s="159"/>
      <c r="D356" s="159"/>
      <c r="E356" s="159"/>
      <c r="F356" s="493"/>
    </row>
    <row r="357" spans="1:6" thickBot="1">
      <c r="A357" s="164"/>
      <c r="B357" s="164"/>
      <c r="C357" s="159"/>
      <c r="D357" s="159"/>
      <c r="E357" s="159"/>
      <c r="F357" s="493"/>
    </row>
    <row r="358" spans="1:6" thickBot="1">
      <c r="A358" s="164"/>
      <c r="B358" s="164"/>
      <c r="C358" s="159"/>
      <c r="D358" s="159"/>
      <c r="E358" s="159"/>
      <c r="F358" s="493"/>
    </row>
    <row r="359" spans="1:6" thickBot="1">
      <c r="A359" s="164"/>
      <c r="B359" s="164"/>
      <c r="C359" s="159"/>
      <c r="D359" s="159"/>
      <c r="E359" s="159"/>
      <c r="F359" s="493"/>
    </row>
    <row r="360" spans="1:6" thickBot="1">
      <c r="A360" s="164"/>
      <c r="B360" s="164"/>
      <c r="C360" s="159"/>
      <c r="D360" s="159"/>
      <c r="E360" s="159"/>
      <c r="F360" s="493"/>
    </row>
    <row r="361" spans="1:6" thickBot="1">
      <c r="A361" s="164"/>
      <c r="B361" s="164"/>
      <c r="C361" s="159"/>
      <c r="D361" s="159"/>
      <c r="E361" s="159"/>
      <c r="F361" s="493"/>
    </row>
    <row r="362" spans="1:6" thickBot="1">
      <c r="A362" s="164"/>
      <c r="B362" s="164"/>
      <c r="C362" s="159"/>
      <c r="D362" s="159"/>
      <c r="E362" s="159"/>
      <c r="F362" s="493"/>
    </row>
    <row r="363" spans="1:6" thickBot="1">
      <c r="A363" s="164"/>
      <c r="B363" s="164"/>
      <c r="C363" s="159"/>
      <c r="D363" s="159"/>
      <c r="E363" s="159"/>
      <c r="F363" s="493"/>
    </row>
    <row r="364" spans="1:6" thickBot="1">
      <c r="A364" s="164"/>
      <c r="B364" s="164"/>
      <c r="C364" s="159"/>
      <c r="D364" s="159"/>
      <c r="E364" s="159"/>
      <c r="F364" s="493"/>
    </row>
    <row r="365" spans="1:6" thickBot="1">
      <c r="A365" s="164"/>
      <c r="B365" s="164"/>
      <c r="C365" s="159"/>
      <c r="D365" s="159"/>
      <c r="E365" s="159"/>
      <c r="F365" s="493"/>
    </row>
    <row r="366" spans="1:6" thickBot="1">
      <c r="A366" s="164"/>
      <c r="B366" s="164"/>
      <c r="C366" s="159"/>
      <c r="D366" s="159"/>
      <c r="E366" s="159"/>
      <c r="F366" s="493"/>
    </row>
    <row r="367" spans="1:6" thickBot="1">
      <c r="A367" s="164"/>
      <c r="B367" s="164"/>
      <c r="C367" s="159"/>
      <c r="D367" s="159"/>
      <c r="E367" s="159"/>
      <c r="F367" s="493"/>
    </row>
    <row r="368" spans="1:6" thickBot="1">
      <c r="A368" s="164"/>
      <c r="B368" s="164"/>
      <c r="C368" s="159"/>
      <c r="D368" s="159"/>
      <c r="E368" s="159"/>
      <c r="F368" s="493"/>
    </row>
    <row r="369" spans="1:6" thickBot="1">
      <c r="A369" s="164"/>
      <c r="B369" s="164"/>
      <c r="C369" s="159"/>
      <c r="D369" s="159"/>
      <c r="E369" s="159"/>
      <c r="F369" s="493"/>
    </row>
    <row r="370" spans="1:6" thickBot="1">
      <c r="A370" s="164"/>
      <c r="B370" s="164"/>
      <c r="C370" s="159"/>
      <c r="D370" s="159"/>
      <c r="E370" s="159"/>
      <c r="F370" s="493"/>
    </row>
    <row r="371" spans="1:6" thickBot="1">
      <c r="A371" s="164"/>
      <c r="B371" s="164"/>
      <c r="C371" s="159"/>
      <c r="D371" s="159"/>
      <c r="E371" s="159"/>
      <c r="F371" s="493"/>
    </row>
    <row r="372" spans="1:6" thickBot="1">
      <c r="A372" s="164"/>
      <c r="B372" s="164"/>
      <c r="C372" s="159"/>
      <c r="D372" s="159"/>
      <c r="E372" s="159"/>
      <c r="F372" s="493"/>
    </row>
    <row r="373" spans="1:6" thickBot="1">
      <c r="A373" s="164"/>
      <c r="B373" s="164"/>
      <c r="C373" s="159"/>
      <c r="D373" s="159"/>
      <c r="E373" s="159"/>
      <c r="F373" s="493"/>
    </row>
    <row r="374" spans="1:6" thickBot="1">
      <c r="A374" s="164"/>
      <c r="B374" s="164"/>
      <c r="C374" s="159"/>
      <c r="D374" s="159"/>
      <c r="E374" s="159"/>
      <c r="F374" s="493"/>
    </row>
    <row r="375" spans="1:6" thickBot="1">
      <c r="A375" s="164"/>
      <c r="B375" s="164"/>
      <c r="C375" s="159"/>
      <c r="D375" s="159"/>
      <c r="E375" s="159"/>
      <c r="F375" s="493"/>
    </row>
    <row r="376" spans="1:6" thickBot="1">
      <c r="A376" s="164"/>
      <c r="B376" s="164"/>
      <c r="C376" s="159"/>
      <c r="D376" s="159"/>
      <c r="E376" s="159"/>
      <c r="F376" s="493"/>
    </row>
    <row r="377" spans="1:6" thickBot="1">
      <c r="A377" s="164"/>
      <c r="B377" s="164"/>
      <c r="C377" s="159"/>
      <c r="D377" s="159"/>
      <c r="E377" s="159"/>
      <c r="F377" s="493"/>
    </row>
    <row r="378" spans="1:6" thickBot="1">
      <c r="A378" s="164"/>
      <c r="B378" s="164"/>
      <c r="C378" s="159"/>
      <c r="D378" s="159"/>
      <c r="E378" s="159"/>
      <c r="F378" s="493"/>
    </row>
    <row r="379" spans="1:6" thickBot="1">
      <c r="A379" s="164"/>
      <c r="B379" s="164"/>
      <c r="C379" s="159"/>
      <c r="D379" s="159"/>
      <c r="E379" s="159"/>
      <c r="F379" s="493"/>
    </row>
    <row r="380" spans="1:6" thickBot="1">
      <c r="A380" s="164"/>
      <c r="B380" s="164"/>
      <c r="C380" s="159"/>
      <c r="D380" s="159"/>
      <c r="E380" s="159"/>
      <c r="F380" s="493"/>
    </row>
    <row r="381" spans="1:6" thickBot="1">
      <c r="A381" s="164"/>
      <c r="B381" s="164"/>
      <c r="C381" s="159"/>
      <c r="D381" s="159"/>
      <c r="E381" s="159"/>
      <c r="F381" s="493"/>
    </row>
    <row r="382" spans="1:6" thickBot="1">
      <c r="A382" s="164"/>
      <c r="B382" s="164"/>
      <c r="C382" s="159"/>
      <c r="D382" s="159"/>
      <c r="E382" s="159"/>
      <c r="F382" s="493"/>
    </row>
    <row r="383" spans="1:6" thickBot="1">
      <c r="A383" s="164"/>
      <c r="B383" s="164"/>
      <c r="C383" s="159"/>
      <c r="D383" s="159"/>
      <c r="E383" s="159"/>
      <c r="F383" s="493"/>
    </row>
    <row r="384" spans="1:6" thickBot="1">
      <c r="A384" s="164"/>
      <c r="B384" s="164"/>
      <c r="C384" s="159"/>
      <c r="D384" s="159"/>
      <c r="E384" s="159"/>
      <c r="F384" s="493"/>
    </row>
    <row r="385" spans="1:6" thickBot="1">
      <c r="A385" s="164"/>
      <c r="B385" s="164"/>
      <c r="C385" s="159"/>
      <c r="D385" s="159"/>
      <c r="E385" s="159"/>
      <c r="F385" s="493"/>
    </row>
    <row r="386" spans="1:6" thickBot="1">
      <c r="A386" s="164"/>
      <c r="B386" s="164"/>
      <c r="C386" s="159"/>
      <c r="D386" s="159"/>
      <c r="E386" s="159"/>
      <c r="F386" s="493"/>
    </row>
    <row r="387" spans="1:6" thickBot="1">
      <c r="A387" s="164"/>
      <c r="B387" s="164"/>
      <c r="C387" s="159"/>
      <c r="D387" s="159"/>
      <c r="E387" s="159"/>
      <c r="F387" s="493"/>
    </row>
    <row r="388" spans="1:6" thickBot="1">
      <c r="A388" s="164"/>
      <c r="B388" s="164"/>
      <c r="C388" s="159"/>
      <c r="D388" s="159"/>
      <c r="E388" s="159"/>
      <c r="F388" s="493"/>
    </row>
    <row r="389" spans="1:6" thickBot="1">
      <c r="A389" s="164"/>
      <c r="B389" s="164"/>
      <c r="C389" s="159"/>
      <c r="D389" s="159"/>
      <c r="E389" s="159"/>
      <c r="F389" s="493"/>
    </row>
    <row r="390" spans="1:6" thickBot="1">
      <c r="A390" s="164"/>
      <c r="B390" s="164"/>
      <c r="C390" s="159"/>
      <c r="D390" s="159"/>
      <c r="E390" s="159"/>
      <c r="F390" s="493"/>
    </row>
    <row r="391" spans="1:6" thickBot="1">
      <c r="A391" s="164"/>
      <c r="B391" s="164"/>
      <c r="C391" s="159"/>
      <c r="D391" s="159"/>
      <c r="E391" s="159"/>
      <c r="F391" s="493"/>
    </row>
    <row r="392" spans="1:6" thickBot="1">
      <c r="A392" s="164"/>
      <c r="B392" s="164"/>
      <c r="C392" s="159"/>
      <c r="D392" s="159"/>
      <c r="E392" s="159"/>
      <c r="F392" s="493"/>
    </row>
    <row r="393" spans="1:6" thickBot="1">
      <c r="A393" s="164"/>
      <c r="B393" s="164"/>
      <c r="C393" s="159"/>
      <c r="D393" s="159"/>
      <c r="E393" s="159"/>
      <c r="F393" s="493"/>
    </row>
    <row r="394" spans="1:6" thickBot="1">
      <c r="A394" s="164"/>
      <c r="B394" s="164"/>
      <c r="C394" s="159"/>
      <c r="D394" s="159"/>
      <c r="E394" s="159"/>
      <c r="F394" s="493"/>
    </row>
    <row r="395" spans="1:6" thickBot="1">
      <c r="A395" s="164"/>
      <c r="B395" s="164"/>
      <c r="C395" s="159"/>
      <c r="D395" s="159"/>
      <c r="E395" s="159"/>
      <c r="F395" s="493"/>
    </row>
    <row r="396" spans="1:6" thickBot="1">
      <c r="A396" s="164"/>
      <c r="B396" s="164"/>
      <c r="C396" s="159"/>
      <c r="D396" s="159"/>
      <c r="E396" s="159"/>
      <c r="F396" s="493"/>
    </row>
    <row r="397" spans="1:6" thickBot="1">
      <c r="A397" s="164"/>
      <c r="B397" s="164"/>
      <c r="C397" s="159"/>
      <c r="D397" s="159"/>
      <c r="E397" s="159"/>
      <c r="F397" s="493"/>
    </row>
    <row r="398" spans="1:6" thickBot="1">
      <c r="A398" s="164"/>
      <c r="B398" s="164"/>
      <c r="C398" s="159"/>
      <c r="D398" s="159"/>
      <c r="E398" s="159"/>
      <c r="F398" s="493"/>
    </row>
    <row r="399" spans="1:6" thickBot="1">
      <c r="A399" s="164"/>
      <c r="B399" s="164"/>
      <c r="C399" s="159"/>
      <c r="D399" s="159"/>
      <c r="E399" s="159"/>
      <c r="F399" s="493"/>
    </row>
    <row r="400" spans="1:6" thickBot="1">
      <c r="A400" s="164"/>
      <c r="B400" s="164"/>
      <c r="C400" s="159"/>
      <c r="D400" s="159"/>
      <c r="E400" s="159"/>
      <c r="F400" s="493"/>
    </row>
    <row r="401" spans="1:6" thickBot="1">
      <c r="A401" s="164"/>
      <c r="B401" s="164"/>
      <c r="C401" s="159"/>
      <c r="D401" s="159"/>
      <c r="E401" s="159"/>
      <c r="F401" s="493"/>
    </row>
    <row r="402" spans="1:6" thickBot="1">
      <c r="A402" s="164"/>
      <c r="B402" s="164"/>
      <c r="C402" s="159"/>
      <c r="D402" s="159"/>
      <c r="E402" s="159"/>
      <c r="F402" s="493"/>
    </row>
    <row r="403" spans="1:6" thickBot="1">
      <c r="A403" s="164"/>
      <c r="B403" s="164"/>
      <c r="C403" s="159"/>
      <c r="D403" s="159"/>
      <c r="E403" s="159"/>
      <c r="F403" s="493"/>
    </row>
    <row r="404" spans="1:6" thickBot="1">
      <c r="A404" s="164"/>
      <c r="B404" s="164"/>
      <c r="C404" s="159"/>
      <c r="D404" s="159"/>
      <c r="E404" s="159"/>
      <c r="F404" s="493"/>
    </row>
    <row r="405" spans="1:6" thickBot="1">
      <c r="A405" s="164"/>
      <c r="B405" s="164"/>
      <c r="C405" s="159"/>
      <c r="D405" s="159"/>
      <c r="E405" s="159"/>
      <c r="F405" s="493"/>
    </row>
    <row r="406" spans="1:6" thickBot="1">
      <c r="A406" s="164"/>
      <c r="B406" s="164"/>
      <c r="C406" s="159"/>
      <c r="D406" s="159"/>
      <c r="E406" s="159"/>
      <c r="F406" s="493"/>
    </row>
    <row r="407" spans="1:6" thickBot="1">
      <c r="A407" s="164"/>
      <c r="B407" s="164"/>
      <c r="C407" s="159"/>
      <c r="D407" s="159"/>
      <c r="E407" s="159"/>
      <c r="F407" s="493"/>
    </row>
    <row r="408" spans="1:6" thickBot="1">
      <c r="A408" s="164"/>
      <c r="B408" s="164"/>
      <c r="C408" s="159"/>
      <c r="D408" s="159"/>
      <c r="E408" s="159"/>
      <c r="F408" s="493"/>
    </row>
    <row r="409" spans="1:6" thickBot="1">
      <c r="A409" s="164"/>
      <c r="B409" s="164"/>
      <c r="C409" s="159"/>
      <c r="D409" s="159"/>
      <c r="E409" s="159"/>
      <c r="F409" s="493"/>
    </row>
    <row r="410" spans="1:6" thickBot="1">
      <c r="A410" s="164"/>
      <c r="B410" s="164"/>
      <c r="C410" s="159"/>
      <c r="D410" s="159"/>
      <c r="E410" s="159"/>
      <c r="F410" s="493"/>
    </row>
    <row r="411" spans="1:6" thickBot="1">
      <c r="A411" s="164"/>
      <c r="B411" s="164"/>
      <c r="C411" s="159"/>
      <c r="D411" s="159"/>
      <c r="E411" s="159"/>
      <c r="F411" s="493"/>
    </row>
    <row r="412" spans="1:6" thickBot="1">
      <c r="A412" s="164"/>
      <c r="B412" s="164"/>
      <c r="C412" s="159"/>
      <c r="D412" s="159"/>
      <c r="E412" s="159"/>
      <c r="F412" s="493"/>
    </row>
    <row r="413" spans="1:6" thickBot="1">
      <c r="A413" s="164"/>
      <c r="B413" s="164"/>
      <c r="C413" s="159"/>
      <c r="D413" s="159"/>
      <c r="E413" s="159"/>
      <c r="F413" s="493"/>
    </row>
    <row r="414" spans="1:6" thickBot="1">
      <c r="A414" s="164"/>
      <c r="B414" s="164"/>
      <c r="C414" s="159"/>
      <c r="D414" s="159"/>
      <c r="E414" s="159"/>
      <c r="F414" s="493"/>
    </row>
    <row r="415" spans="1:6" thickBot="1">
      <c r="A415" s="164"/>
      <c r="B415" s="164"/>
      <c r="C415" s="159"/>
      <c r="D415" s="159"/>
      <c r="E415" s="159"/>
      <c r="F415" s="493"/>
    </row>
    <row r="416" spans="1:6" thickBot="1">
      <c r="A416" s="164"/>
      <c r="B416" s="164"/>
      <c r="C416" s="159"/>
      <c r="D416" s="159"/>
      <c r="E416" s="159"/>
      <c r="F416" s="493"/>
    </row>
    <row r="417" spans="1:6" thickBot="1">
      <c r="A417" s="164"/>
      <c r="B417" s="164"/>
      <c r="C417" s="159"/>
      <c r="D417" s="159"/>
      <c r="E417" s="159"/>
      <c r="F417" s="493"/>
    </row>
    <row r="418" spans="1:6" thickBot="1">
      <c r="A418" s="164"/>
      <c r="B418" s="164"/>
      <c r="C418" s="159"/>
      <c r="D418" s="159"/>
      <c r="E418" s="159"/>
      <c r="F418" s="493"/>
    </row>
    <row r="419" spans="1:6" thickBot="1">
      <c r="A419" s="164"/>
      <c r="B419" s="164"/>
      <c r="C419" s="159"/>
      <c r="D419" s="159"/>
      <c r="E419" s="159"/>
      <c r="F419" s="493"/>
    </row>
    <row r="420" spans="1:6" thickBot="1">
      <c r="A420" s="164"/>
      <c r="B420" s="164"/>
      <c r="C420" s="159"/>
      <c r="D420" s="159"/>
      <c r="E420" s="159"/>
      <c r="F420" s="493"/>
    </row>
    <row r="421" spans="1:6" thickBot="1">
      <c r="A421" s="164"/>
      <c r="B421" s="164"/>
      <c r="C421" s="159"/>
      <c r="D421" s="159"/>
      <c r="E421" s="159"/>
      <c r="F421" s="493"/>
    </row>
    <row r="422" spans="1:6" thickBot="1">
      <c r="A422" s="164"/>
      <c r="B422" s="164"/>
      <c r="C422" s="159"/>
      <c r="D422" s="159"/>
      <c r="E422" s="159"/>
      <c r="F422" s="493"/>
    </row>
    <row r="423" spans="1:6" thickBot="1">
      <c r="A423" s="164"/>
      <c r="B423" s="164"/>
      <c r="C423" s="159"/>
      <c r="D423" s="159"/>
      <c r="E423" s="159"/>
      <c r="F423" s="493"/>
    </row>
    <row r="424" spans="1:6" thickBot="1">
      <c r="A424" s="164"/>
      <c r="B424" s="164"/>
      <c r="C424" s="159"/>
      <c r="D424" s="159"/>
      <c r="E424" s="159"/>
      <c r="F424" s="493"/>
    </row>
    <row r="425" spans="1:6" thickBot="1">
      <c r="A425" s="164"/>
      <c r="B425" s="164"/>
      <c r="C425" s="159"/>
      <c r="D425" s="159"/>
      <c r="E425" s="159"/>
      <c r="F425" s="493"/>
    </row>
    <row r="426" spans="1:6" thickBot="1">
      <c r="A426" s="164"/>
      <c r="B426" s="164"/>
      <c r="C426" s="159"/>
      <c r="D426" s="159"/>
      <c r="E426" s="159"/>
      <c r="F426" s="493"/>
    </row>
    <row r="427" spans="1:6" thickBot="1">
      <c r="A427" s="164"/>
      <c r="B427" s="164"/>
      <c r="C427" s="159"/>
      <c r="D427" s="159"/>
      <c r="E427" s="159"/>
      <c r="F427" s="493"/>
    </row>
    <row r="428" spans="1:6" thickBot="1">
      <c r="A428" s="164"/>
      <c r="B428" s="164"/>
      <c r="C428" s="159"/>
      <c r="D428" s="159"/>
      <c r="E428" s="159"/>
      <c r="F428" s="493"/>
    </row>
    <row r="429" spans="1:6" thickBot="1">
      <c r="A429" s="164"/>
      <c r="B429" s="164"/>
      <c r="C429" s="159"/>
      <c r="D429" s="159"/>
      <c r="E429" s="159"/>
      <c r="F429" s="493"/>
    </row>
    <row r="430" spans="1:6" thickBot="1">
      <c r="A430" s="164"/>
      <c r="B430" s="164"/>
      <c r="C430" s="159"/>
      <c r="D430" s="159"/>
      <c r="E430" s="159"/>
      <c r="F430" s="493"/>
    </row>
    <row r="431" spans="1:6" thickBot="1">
      <c r="A431" s="164"/>
      <c r="B431" s="164"/>
      <c r="C431" s="159"/>
      <c r="D431" s="159"/>
      <c r="E431" s="159"/>
      <c r="F431" s="493"/>
    </row>
    <row r="432" spans="1:6" thickBot="1">
      <c r="A432" s="164"/>
      <c r="B432" s="164"/>
      <c r="C432" s="159"/>
      <c r="D432" s="159"/>
      <c r="E432" s="159"/>
      <c r="F432" s="493"/>
    </row>
    <row r="433" spans="1:6" thickBot="1">
      <c r="A433" s="164"/>
      <c r="B433" s="164"/>
      <c r="C433" s="159"/>
      <c r="D433" s="159"/>
      <c r="E433" s="159"/>
      <c r="F433" s="493"/>
    </row>
    <row r="434" spans="1:6" thickBot="1">
      <c r="A434" s="164"/>
      <c r="B434" s="164"/>
      <c r="C434" s="159"/>
      <c r="D434" s="159"/>
      <c r="E434" s="159"/>
      <c r="F434" s="493"/>
    </row>
    <row r="435" spans="1:6" thickBot="1">
      <c r="A435" s="164"/>
      <c r="B435" s="164"/>
      <c r="C435" s="159"/>
      <c r="D435" s="159"/>
      <c r="E435" s="159"/>
      <c r="F435" s="493"/>
    </row>
    <row r="436" spans="1:6" thickBot="1">
      <c r="A436" s="164"/>
      <c r="B436" s="164"/>
      <c r="C436" s="159"/>
      <c r="D436" s="159"/>
      <c r="E436" s="159"/>
      <c r="F436" s="493"/>
    </row>
    <row r="437" spans="1:6" thickBot="1">
      <c r="A437" s="164"/>
      <c r="B437" s="164"/>
      <c r="C437" s="159"/>
      <c r="D437" s="159"/>
      <c r="E437" s="159"/>
      <c r="F437" s="493"/>
    </row>
    <row r="438" spans="1:6" thickBot="1">
      <c r="A438" s="164"/>
      <c r="B438" s="164"/>
      <c r="C438" s="159"/>
      <c r="D438" s="159"/>
      <c r="E438" s="159"/>
      <c r="F438" s="493"/>
    </row>
    <row r="439" spans="1:6" thickBot="1">
      <c r="A439" s="164"/>
      <c r="B439" s="164"/>
      <c r="C439" s="159"/>
      <c r="D439" s="159"/>
      <c r="E439" s="159"/>
      <c r="F439" s="493"/>
    </row>
    <row r="440" spans="1:6" thickBot="1">
      <c r="A440" s="164"/>
      <c r="B440" s="164"/>
      <c r="C440" s="159"/>
      <c r="D440" s="159"/>
      <c r="E440" s="159"/>
      <c r="F440" s="493"/>
    </row>
    <row r="441" spans="1:6" thickBot="1">
      <c r="A441" s="164"/>
      <c r="B441" s="164"/>
      <c r="C441" s="159"/>
      <c r="D441" s="159"/>
      <c r="E441" s="159"/>
      <c r="F441" s="493"/>
    </row>
    <row r="442" spans="1:6" thickBot="1">
      <c r="A442" s="164"/>
      <c r="B442" s="164"/>
      <c r="C442" s="159"/>
      <c r="D442" s="159"/>
      <c r="E442" s="159"/>
      <c r="F442" s="493"/>
    </row>
    <row r="443" spans="1:6" thickBot="1">
      <c r="A443" s="164"/>
      <c r="B443" s="164"/>
      <c r="C443" s="159"/>
      <c r="D443" s="159"/>
      <c r="E443" s="159"/>
      <c r="F443" s="493"/>
    </row>
    <row r="444" spans="1:6" thickBot="1">
      <c r="A444" s="164"/>
      <c r="B444" s="164"/>
      <c r="C444" s="159"/>
      <c r="D444" s="159"/>
      <c r="E444" s="159"/>
      <c r="F444" s="493"/>
    </row>
    <row r="445" spans="1:6" thickBot="1">
      <c r="A445" s="164"/>
      <c r="B445" s="164"/>
      <c r="C445" s="159"/>
      <c r="D445" s="159"/>
      <c r="E445" s="159"/>
      <c r="F445" s="493"/>
    </row>
    <row r="446" spans="1:6" thickBot="1">
      <c r="A446" s="164"/>
      <c r="B446" s="164"/>
      <c r="C446" s="159"/>
      <c r="D446" s="159"/>
      <c r="E446" s="159"/>
      <c r="F446" s="493"/>
    </row>
    <row r="447" spans="1:6" thickBot="1">
      <c r="A447" s="164"/>
      <c r="B447" s="164"/>
      <c r="C447" s="159"/>
      <c r="D447" s="159"/>
      <c r="E447" s="159"/>
      <c r="F447" s="493"/>
    </row>
    <row r="448" spans="1:6" thickBot="1">
      <c r="A448" s="164"/>
      <c r="B448" s="164"/>
      <c r="C448" s="159"/>
      <c r="D448" s="159"/>
      <c r="E448" s="159"/>
      <c r="F448" s="493"/>
    </row>
    <row r="449" spans="1:6" thickBot="1">
      <c r="A449" s="164"/>
      <c r="B449" s="164"/>
      <c r="C449" s="159"/>
      <c r="D449" s="159"/>
      <c r="E449" s="159"/>
      <c r="F449" s="493"/>
    </row>
    <row r="450" spans="1:6" thickBot="1">
      <c r="A450" s="164"/>
      <c r="B450" s="164"/>
      <c r="C450" s="159"/>
      <c r="D450" s="159"/>
      <c r="E450" s="159"/>
      <c r="F450" s="493"/>
    </row>
    <row r="451" spans="1:6" thickBot="1">
      <c r="A451" s="164"/>
      <c r="B451" s="164"/>
      <c r="C451" s="159"/>
      <c r="D451" s="159"/>
      <c r="E451" s="159"/>
      <c r="F451" s="493"/>
    </row>
    <row r="452" spans="1:6" thickBot="1">
      <c r="A452" s="164"/>
      <c r="B452" s="164"/>
      <c r="C452" s="159"/>
      <c r="D452" s="159"/>
      <c r="E452" s="159"/>
      <c r="F452" s="493"/>
    </row>
    <row r="453" spans="1:6" thickBot="1">
      <c r="A453" s="164"/>
      <c r="B453" s="164"/>
      <c r="C453" s="159"/>
      <c r="D453" s="159"/>
      <c r="E453" s="159"/>
      <c r="F453" s="493"/>
    </row>
    <row r="454" spans="1:6" thickBot="1">
      <c r="A454" s="164"/>
      <c r="B454" s="164"/>
      <c r="C454" s="159"/>
      <c r="D454" s="159"/>
      <c r="E454" s="159"/>
      <c r="F454" s="493"/>
    </row>
    <row r="455" spans="1:6" thickBot="1">
      <c r="A455" s="164"/>
      <c r="B455" s="164"/>
      <c r="C455" s="159"/>
      <c r="D455" s="159"/>
      <c r="E455" s="159"/>
      <c r="F455" s="493"/>
    </row>
    <row r="456" spans="1:6" thickBot="1">
      <c r="A456" s="164"/>
      <c r="B456" s="164"/>
      <c r="C456" s="159"/>
      <c r="D456" s="159"/>
      <c r="E456" s="159"/>
      <c r="F456" s="493"/>
    </row>
    <row r="457" spans="1:6" thickBot="1">
      <c r="A457" s="164"/>
      <c r="B457" s="164"/>
      <c r="C457" s="159"/>
      <c r="D457" s="159"/>
      <c r="E457" s="159"/>
      <c r="F457" s="493"/>
    </row>
    <row r="458" spans="1:6" thickBot="1">
      <c r="A458" s="164"/>
      <c r="B458" s="164"/>
      <c r="C458" s="159"/>
      <c r="D458" s="159"/>
      <c r="E458" s="159"/>
      <c r="F458" s="493"/>
    </row>
    <row r="459" spans="1:6" thickBot="1">
      <c r="A459" s="164"/>
      <c r="B459" s="164"/>
      <c r="C459" s="159"/>
      <c r="D459" s="159"/>
      <c r="E459" s="159"/>
      <c r="F459" s="493"/>
    </row>
    <row r="460" spans="1:6" thickBot="1">
      <c r="A460" s="164"/>
      <c r="B460" s="164"/>
      <c r="C460" s="159"/>
      <c r="D460" s="159"/>
      <c r="E460" s="159"/>
      <c r="F460" s="493"/>
    </row>
    <row r="461" spans="1:6" thickBot="1">
      <c r="A461" s="164"/>
      <c r="B461" s="164"/>
      <c r="C461" s="159"/>
      <c r="D461" s="159"/>
      <c r="E461" s="159"/>
      <c r="F461" s="493"/>
    </row>
    <row r="462" spans="1:6" thickBot="1">
      <c r="A462" s="164"/>
      <c r="B462" s="164"/>
      <c r="C462" s="159"/>
      <c r="D462" s="159"/>
      <c r="E462" s="159"/>
      <c r="F462" s="493"/>
    </row>
    <row r="463" spans="1:6" thickBot="1">
      <c r="A463" s="164"/>
      <c r="B463" s="164"/>
      <c r="C463" s="159"/>
      <c r="D463" s="159"/>
      <c r="E463" s="159"/>
      <c r="F463" s="493"/>
    </row>
    <row r="464" spans="1:6" thickBot="1">
      <c r="A464" s="164"/>
      <c r="B464" s="164"/>
      <c r="C464" s="159"/>
      <c r="D464" s="159"/>
      <c r="E464" s="159"/>
      <c r="F464" s="493"/>
    </row>
    <row r="465" spans="1:6" thickBot="1">
      <c r="A465" s="164"/>
      <c r="B465" s="164"/>
      <c r="C465" s="159"/>
      <c r="D465" s="159"/>
      <c r="E465" s="159"/>
      <c r="F465" s="493"/>
    </row>
    <row r="466" spans="1:6" thickBot="1">
      <c r="A466" s="164"/>
      <c r="B466" s="164"/>
      <c r="C466" s="159"/>
      <c r="D466" s="159"/>
      <c r="E466" s="159"/>
      <c r="F466" s="493"/>
    </row>
    <row r="467" spans="1:6" thickBot="1">
      <c r="A467" s="164"/>
      <c r="B467" s="164"/>
      <c r="C467" s="159"/>
      <c r="D467" s="159"/>
      <c r="E467" s="159"/>
      <c r="F467" s="493"/>
    </row>
    <row r="468" spans="1:6" thickBot="1">
      <c r="A468" s="164"/>
      <c r="B468" s="164"/>
      <c r="C468" s="159"/>
      <c r="D468" s="159"/>
      <c r="E468" s="159"/>
      <c r="F468" s="493"/>
    </row>
    <row r="469" spans="1:6" thickBot="1">
      <c r="A469" s="164"/>
      <c r="B469" s="164"/>
      <c r="C469" s="159"/>
      <c r="D469" s="159"/>
      <c r="E469" s="159"/>
      <c r="F469" s="493"/>
    </row>
    <row r="470" spans="1:6" thickBot="1">
      <c r="A470" s="164"/>
      <c r="B470" s="164"/>
      <c r="C470" s="159"/>
      <c r="D470" s="159"/>
      <c r="E470" s="159"/>
      <c r="F470" s="493"/>
    </row>
    <row r="471" spans="1:6" thickBot="1">
      <c r="A471" s="164"/>
      <c r="B471" s="164"/>
      <c r="C471" s="159"/>
      <c r="D471" s="159"/>
      <c r="E471" s="159"/>
      <c r="F471" s="493"/>
    </row>
    <row r="472" spans="1:6" thickBot="1">
      <c r="A472" s="164"/>
      <c r="B472" s="164"/>
      <c r="C472" s="159"/>
      <c r="D472" s="159"/>
      <c r="E472" s="159"/>
      <c r="F472" s="493"/>
    </row>
    <row r="473" spans="1:6" thickBot="1">
      <c r="A473" s="164"/>
      <c r="B473" s="164"/>
      <c r="C473" s="159"/>
      <c r="D473" s="159"/>
      <c r="E473" s="159"/>
      <c r="F473" s="493"/>
    </row>
    <row r="474" spans="1:6" thickBot="1">
      <c r="A474" s="164"/>
      <c r="B474" s="164"/>
      <c r="C474" s="159"/>
      <c r="D474" s="159"/>
      <c r="E474" s="159"/>
      <c r="F474" s="493"/>
    </row>
    <row r="475" spans="1:6" thickBot="1">
      <c r="A475" s="164"/>
      <c r="B475" s="164"/>
      <c r="C475" s="159"/>
      <c r="D475" s="159"/>
      <c r="E475" s="159"/>
      <c r="F475" s="493"/>
    </row>
    <row r="476" spans="1:6" thickBot="1">
      <c r="A476" s="164"/>
      <c r="B476" s="164"/>
      <c r="C476" s="159"/>
      <c r="D476" s="159"/>
      <c r="E476" s="159"/>
      <c r="F476" s="493"/>
    </row>
    <row r="477" spans="1:6" thickBot="1">
      <c r="A477" s="164"/>
      <c r="B477" s="164"/>
      <c r="C477" s="159"/>
      <c r="D477" s="159"/>
      <c r="E477" s="159"/>
      <c r="F477" s="493"/>
    </row>
    <row r="478" spans="1:6" thickBot="1">
      <c r="A478" s="164"/>
      <c r="B478" s="164"/>
      <c r="C478" s="159"/>
      <c r="D478" s="159"/>
      <c r="E478" s="159"/>
      <c r="F478" s="493"/>
    </row>
    <row r="479" spans="1:6" thickBot="1">
      <c r="A479" s="164"/>
      <c r="B479" s="164"/>
      <c r="C479" s="159"/>
      <c r="D479" s="159"/>
      <c r="E479" s="159"/>
      <c r="F479" s="493"/>
    </row>
    <row r="480" spans="1:6" thickBot="1">
      <c r="A480" s="164"/>
      <c r="B480" s="164"/>
      <c r="C480" s="159"/>
      <c r="D480" s="159"/>
      <c r="E480" s="159"/>
      <c r="F480" s="493"/>
    </row>
    <row r="481" spans="1:6" thickBot="1">
      <c r="A481" s="164"/>
      <c r="B481" s="164"/>
      <c r="C481" s="159"/>
      <c r="D481" s="159"/>
      <c r="E481" s="159"/>
      <c r="F481" s="493"/>
    </row>
    <row r="482" spans="1:6" thickBot="1">
      <c r="A482" s="164"/>
      <c r="B482" s="164"/>
      <c r="C482" s="159"/>
      <c r="D482" s="159"/>
      <c r="E482" s="159"/>
      <c r="F482" s="493"/>
    </row>
    <row r="483" spans="1:6" thickBot="1">
      <c r="A483" s="164"/>
      <c r="B483" s="164"/>
      <c r="C483" s="159"/>
      <c r="D483" s="159"/>
      <c r="E483" s="159"/>
      <c r="F483" s="493"/>
    </row>
    <row r="484" spans="1:6" thickBot="1">
      <c r="A484" s="164"/>
      <c r="B484" s="164"/>
      <c r="C484" s="159"/>
      <c r="D484" s="159"/>
      <c r="E484" s="159"/>
      <c r="F484" s="493"/>
    </row>
    <row r="485" spans="1:6" thickBot="1">
      <c r="A485" s="164"/>
      <c r="B485" s="164"/>
      <c r="C485" s="159"/>
      <c r="D485" s="159"/>
      <c r="E485" s="159"/>
      <c r="F485" s="493"/>
    </row>
    <row r="486" spans="1:6" thickBot="1">
      <c r="A486" s="164"/>
      <c r="B486" s="164"/>
      <c r="C486" s="159"/>
      <c r="D486" s="159"/>
      <c r="E486" s="159"/>
      <c r="F486" s="493"/>
    </row>
    <row r="487" spans="1:6" thickBot="1">
      <c r="A487" s="164"/>
      <c r="B487" s="164"/>
      <c r="C487" s="159"/>
      <c r="D487" s="159"/>
      <c r="E487" s="159"/>
      <c r="F487" s="493"/>
    </row>
    <row r="488" spans="1:6" thickBot="1">
      <c r="A488" s="164"/>
      <c r="B488" s="164"/>
      <c r="C488" s="159"/>
      <c r="D488" s="159"/>
      <c r="E488" s="159"/>
      <c r="F488" s="493"/>
    </row>
    <row r="489" spans="1:6" thickBot="1">
      <c r="A489" s="164"/>
      <c r="B489" s="164"/>
      <c r="C489" s="159"/>
      <c r="D489" s="159"/>
      <c r="E489" s="159"/>
      <c r="F489" s="493"/>
    </row>
    <row r="490" spans="1:6" thickBot="1">
      <c r="A490" s="164"/>
      <c r="B490" s="164"/>
      <c r="C490" s="159"/>
      <c r="D490" s="159"/>
      <c r="E490" s="159"/>
      <c r="F490" s="493"/>
    </row>
    <row r="491" spans="1:6" thickBot="1">
      <c r="A491" s="164"/>
      <c r="B491" s="164"/>
      <c r="C491" s="159"/>
      <c r="D491" s="159"/>
      <c r="E491" s="159"/>
      <c r="F491" s="493"/>
    </row>
    <row r="492" spans="1:6" thickBot="1">
      <c r="A492" s="164"/>
      <c r="B492" s="164"/>
      <c r="C492" s="159"/>
      <c r="D492" s="159"/>
      <c r="E492" s="159"/>
      <c r="F492" s="493"/>
    </row>
    <row r="493" spans="1:6" thickBot="1">
      <c r="A493" s="164"/>
      <c r="B493" s="164"/>
      <c r="C493" s="159"/>
      <c r="D493" s="159"/>
      <c r="E493" s="159"/>
      <c r="F493" s="493"/>
    </row>
    <row r="494" spans="1:6" thickBot="1">
      <c r="A494" s="164"/>
      <c r="B494" s="164"/>
      <c r="C494" s="159"/>
      <c r="D494" s="159"/>
      <c r="E494" s="159"/>
      <c r="F494" s="493"/>
    </row>
    <row r="495" spans="1:6" thickBot="1">
      <c r="A495" s="164"/>
      <c r="B495" s="164"/>
      <c r="C495" s="159"/>
      <c r="D495" s="159"/>
      <c r="E495" s="159"/>
      <c r="F495" s="493"/>
    </row>
    <row r="496" spans="1:6" thickBot="1">
      <c r="A496" s="164"/>
      <c r="B496" s="164"/>
      <c r="C496" s="159"/>
      <c r="D496" s="159"/>
      <c r="E496" s="159"/>
      <c r="F496" s="493"/>
    </row>
    <row r="497" spans="1:6" thickBot="1">
      <c r="A497" s="164"/>
      <c r="B497" s="164"/>
      <c r="C497" s="159"/>
      <c r="D497" s="159"/>
      <c r="E497" s="159"/>
      <c r="F497" s="493"/>
    </row>
    <row r="498" spans="1:6" thickBot="1">
      <c r="A498" s="164"/>
      <c r="B498" s="164"/>
      <c r="C498" s="159"/>
      <c r="D498" s="159"/>
      <c r="E498" s="159"/>
      <c r="F498" s="493"/>
    </row>
    <row r="499" spans="1:6" thickBot="1">
      <c r="A499" s="164"/>
      <c r="B499" s="164"/>
      <c r="C499" s="159"/>
      <c r="D499" s="159"/>
      <c r="E499" s="159"/>
      <c r="F499" s="493"/>
    </row>
    <row r="500" spans="1:6" thickBot="1">
      <c r="A500" s="164"/>
      <c r="B500" s="164"/>
      <c r="C500" s="159"/>
      <c r="D500" s="159"/>
      <c r="E500" s="159"/>
      <c r="F500" s="493"/>
    </row>
    <row r="501" spans="1:6" thickBot="1">
      <c r="A501" s="164"/>
      <c r="B501" s="164"/>
      <c r="C501" s="159"/>
      <c r="D501" s="159"/>
      <c r="E501" s="159"/>
      <c r="F501" s="493"/>
    </row>
    <row r="502" spans="1:6" thickBot="1">
      <c r="A502" s="164"/>
      <c r="B502" s="164"/>
      <c r="C502" s="159"/>
      <c r="D502" s="159"/>
      <c r="E502" s="159"/>
      <c r="F502" s="493"/>
    </row>
    <row r="503" spans="1:6" thickBot="1">
      <c r="A503" s="164"/>
      <c r="B503" s="164"/>
      <c r="C503" s="159"/>
      <c r="D503" s="159"/>
      <c r="E503" s="159"/>
      <c r="F503" s="493"/>
    </row>
    <row r="504" spans="1:6" thickBot="1">
      <c r="A504" s="164"/>
      <c r="B504" s="164"/>
      <c r="C504" s="159"/>
      <c r="D504" s="159"/>
      <c r="E504" s="159"/>
      <c r="F504" s="493"/>
    </row>
    <row r="505" spans="1:6" thickBot="1">
      <c r="A505" s="164"/>
      <c r="B505" s="164"/>
      <c r="C505" s="159"/>
      <c r="D505" s="159"/>
      <c r="E505" s="159"/>
      <c r="F505" s="493"/>
    </row>
    <row r="506" spans="1:6" thickBot="1">
      <c r="A506" s="164"/>
      <c r="B506" s="164"/>
      <c r="C506" s="159"/>
      <c r="D506" s="159"/>
      <c r="E506" s="159"/>
      <c r="F506" s="493"/>
    </row>
    <row r="507" spans="1:6" thickBot="1">
      <c r="A507" s="164"/>
      <c r="B507" s="164"/>
      <c r="C507" s="159"/>
      <c r="D507" s="159"/>
      <c r="E507" s="159"/>
      <c r="F507" s="493"/>
    </row>
    <row r="508" spans="1:6" thickBot="1">
      <c r="A508" s="164"/>
      <c r="B508" s="164"/>
      <c r="C508" s="159"/>
      <c r="D508" s="159"/>
      <c r="E508" s="159"/>
      <c r="F508" s="493"/>
    </row>
    <row r="509" spans="1:6" thickBot="1">
      <c r="A509" s="164"/>
      <c r="B509" s="164"/>
      <c r="C509" s="159"/>
      <c r="D509" s="159"/>
      <c r="E509" s="159"/>
      <c r="F509" s="493"/>
    </row>
    <row r="510" spans="1:6" thickBot="1">
      <c r="A510" s="164"/>
      <c r="B510" s="164"/>
      <c r="C510" s="159"/>
      <c r="D510" s="159"/>
      <c r="E510" s="159"/>
      <c r="F510" s="493"/>
    </row>
    <row r="511" spans="1:6" thickBot="1">
      <c r="A511" s="164"/>
      <c r="B511" s="164"/>
      <c r="C511" s="159"/>
      <c r="D511" s="159"/>
      <c r="E511" s="159"/>
      <c r="F511" s="493"/>
    </row>
    <row r="512" spans="1:6" thickBot="1">
      <c r="A512" s="164"/>
      <c r="B512" s="164"/>
      <c r="C512" s="159"/>
      <c r="D512" s="159"/>
      <c r="E512" s="159"/>
      <c r="F512" s="493"/>
    </row>
    <row r="513" spans="1:6" thickBot="1">
      <c r="A513" s="164"/>
      <c r="B513" s="164"/>
      <c r="C513" s="159"/>
      <c r="D513" s="159"/>
      <c r="E513" s="159"/>
      <c r="F513" s="493"/>
    </row>
    <row r="514" spans="1:6" thickBot="1">
      <c r="A514" s="164"/>
      <c r="B514" s="164"/>
      <c r="C514" s="159"/>
      <c r="D514" s="159"/>
      <c r="E514" s="159"/>
      <c r="F514" s="493"/>
    </row>
    <row r="515" spans="1:6" thickBot="1">
      <c r="A515" s="164"/>
      <c r="B515" s="164"/>
      <c r="C515" s="159"/>
      <c r="D515" s="159"/>
      <c r="E515" s="159"/>
      <c r="F515" s="493"/>
    </row>
    <row r="516" spans="1:6" thickBot="1">
      <c r="A516" s="164"/>
      <c r="B516" s="164"/>
      <c r="C516" s="159"/>
      <c r="D516" s="159"/>
      <c r="E516" s="159"/>
      <c r="F516" s="493"/>
    </row>
    <row r="517" spans="1:6" thickBot="1">
      <c r="A517" s="164"/>
      <c r="B517" s="164"/>
      <c r="C517" s="159"/>
      <c r="D517" s="159"/>
      <c r="E517" s="159"/>
      <c r="F517" s="493"/>
    </row>
    <row r="518" spans="1:6" thickBot="1">
      <c r="A518" s="164"/>
      <c r="B518" s="164"/>
      <c r="C518" s="159"/>
      <c r="D518" s="159"/>
      <c r="E518" s="159"/>
      <c r="F518" s="493"/>
    </row>
    <row r="519" spans="1:6" thickBot="1">
      <c r="A519" s="164"/>
      <c r="B519" s="164"/>
      <c r="C519" s="159"/>
      <c r="D519" s="159"/>
      <c r="E519" s="159"/>
      <c r="F519" s="493"/>
    </row>
    <row r="520" spans="1:6" thickBot="1">
      <c r="A520" s="164"/>
      <c r="B520" s="164"/>
      <c r="C520" s="159"/>
      <c r="D520" s="159"/>
      <c r="E520" s="159"/>
      <c r="F520" s="493"/>
    </row>
    <row r="521" spans="1:6" thickBot="1">
      <c r="A521" s="164"/>
      <c r="B521" s="164"/>
      <c r="C521" s="159"/>
      <c r="D521" s="159"/>
      <c r="E521" s="159"/>
      <c r="F521" s="493"/>
    </row>
    <row r="522" spans="1:6" thickBot="1">
      <c r="A522" s="164"/>
      <c r="B522" s="164"/>
      <c r="C522" s="159"/>
      <c r="D522" s="159"/>
      <c r="E522" s="159"/>
      <c r="F522" s="493"/>
    </row>
    <row r="523" spans="1:6" thickBot="1">
      <c r="A523" s="164"/>
      <c r="B523" s="164"/>
      <c r="C523" s="159"/>
      <c r="D523" s="159"/>
      <c r="E523" s="159"/>
      <c r="F523" s="493"/>
    </row>
    <row r="524" spans="1:6" thickBot="1">
      <c r="A524" s="164"/>
      <c r="B524" s="164"/>
      <c r="C524" s="159"/>
      <c r="D524" s="159"/>
      <c r="E524" s="159"/>
      <c r="F524" s="493"/>
    </row>
    <row r="525" spans="1:6" thickBot="1">
      <c r="A525" s="164"/>
      <c r="B525" s="164"/>
      <c r="C525" s="159"/>
      <c r="D525" s="159"/>
      <c r="E525" s="159"/>
      <c r="F525" s="493"/>
    </row>
    <row r="526" spans="1:6" thickBot="1">
      <c r="A526" s="164"/>
      <c r="B526" s="164"/>
      <c r="C526" s="159"/>
      <c r="D526" s="159"/>
      <c r="E526" s="159"/>
      <c r="F526" s="493"/>
    </row>
    <row r="527" spans="1:6" thickBot="1">
      <c r="A527" s="164"/>
      <c r="B527" s="164"/>
      <c r="C527" s="159"/>
      <c r="D527" s="159"/>
      <c r="E527" s="159"/>
      <c r="F527" s="493"/>
    </row>
    <row r="528" spans="1:6" thickBot="1">
      <c r="A528" s="164"/>
      <c r="B528" s="164"/>
      <c r="C528" s="159"/>
      <c r="D528" s="159"/>
      <c r="E528" s="159"/>
      <c r="F528" s="493"/>
    </row>
    <row r="529" spans="1:6" thickBot="1">
      <c r="A529" s="164"/>
      <c r="B529" s="164"/>
      <c r="C529" s="159"/>
      <c r="D529" s="159"/>
      <c r="E529" s="159"/>
      <c r="F529" s="493"/>
    </row>
    <row r="530" spans="1:6" thickBot="1">
      <c r="A530" s="164"/>
      <c r="B530" s="164"/>
      <c r="C530" s="159"/>
      <c r="D530" s="159"/>
      <c r="E530" s="159"/>
      <c r="F530" s="493"/>
    </row>
    <row r="531" spans="1:6" thickBot="1">
      <c r="A531" s="164"/>
      <c r="B531" s="164"/>
      <c r="C531" s="159"/>
      <c r="D531" s="159"/>
      <c r="E531" s="159"/>
      <c r="F531" s="493"/>
    </row>
    <row r="532" spans="1:6" thickBot="1">
      <c r="A532" s="164"/>
      <c r="B532" s="164"/>
      <c r="C532" s="159"/>
      <c r="D532" s="159"/>
      <c r="E532" s="159"/>
      <c r="F532" s="493"/>
    </row>
    <row r="533" spans="1:6" thickBot="1">
      <c r="A533" s="164"/>
      <c r="B533" s="164"/>
      <c r="C533" s="159"/>
      <c r="D533" s="159"/>
      <c r="E533" s="159"/>
      <c r="F533" s="493"/>
    </row>
    <row r="534" spans="1:6" thickBot="1">
      <c r="A534" s="164"/>
      <c r="B534" s="164"/>
      <c r="C534" s="159"/>
      <c r="D534" s="159"/>
      <c r="E534" s="159"/>
      <c r="F534" s="493"/>
    </row>
    <row r="535" spans="1:6" thickBot="1">
      <c r="A535" s="164"/>
      <c r="B535" s="164"/>
      <c r="C535" s="159"/>
      <c r="D535" s="159"/>
      <c r="E535" s="159"/>
      <c r="F535" s="493"/>
    </row>
    <row r="536" spans="1:6" thickBot="1">
      <c r="A536" s="164"/>
      <c r="B536" s="164"/>
      <c r="C536" s="159"/>
      <c r="D536" s="159"/>
      <c r="E536" s="159"/>
      <c r="F536" s="493"/>
    </row>
    <row r="537" spans="1:6" thickBot="1">
      <c r="A537" s="164"/>
      <c r="B537" s="164"/>
      <c r="C537" s="159"/>
      <c r="D537" s="159"/>
      <c r="E537" s="159"/>
      <c r="F537" s="493"/>
    </row>
    <row r="538" spans="1:6" thickBot="1">
      <c r="A538" s="164"/>
      <c r="B538" s="164"/>
      <c r="C538" s="159"/>
      <c r="D538" s="159"/>
      <c r="E538" s="159"/>
      <c r="F538" s="493"/>
    </row>
    <row r="539" spans="1:6" thickBot="1">
      <c r="A539" s="164"/>
      <c r="B539" s="164"/>
      <c r="C539" s="159"/>
      <c r="D539" s="159"/>
      <c r="E539" s="159"/>
      <c r="F539" s="493"/>
    </row>
    <row r="540" spans="1:6" thickBot="1">
      <c r="A540" s="164"/>
      <c r="B540" s="164"/>
      <c r="C540" s="159"/>
      <c r="D540" s="159"/>
      <c r="E540" s="159"/>
      <c r="F540" s="493"/>
    </row>
    <row r="541" spans="1:6" thickBot="1">
      <c r="A541" s="164"/>
      <c r="B541" s="164"/>
      <c r="C541" s="159"/>
      <c r="D541" s="159"/>
      <c r="E541" s="159"/>
      <c r="F541" s="493"/>
    </row>
    <row r="542" spans="1:6" thickBot="1">
      <c r="A542" s="164"/>
      <c r="B542" s="164"/>
      <c r="C542" s="159"/>
      <c r="D542" s="159"/>
      <c r="E542" s="159"/>
      <c r="F542" s="493"/>
    </row>
    <row r="543" spans="1:6" thickBot="1">
      <c r="A543" s="164"/>
      <c r="B543" s="164"/>
      <c r="C543" s="159"/>
      <c r="D543" s="159"/>
      <c r="E543" s="159"/>
      <c r="F543" s="493"/>
    </row>
    <row r="544" spans="1:6" thickBot="1">
      <c r="A544" s="164"/>
      <c r="B544" s="164"/>
      <c r="C544" s="159"/>
      <c r="D544" s="159"/>
      <c r="E544" s="159"/>
      <c r="F544" s="493"/>
    </row>
    <row r="545" spans="1:6" thickBot="1">
      <c r="A545" s="164"/>
      <c r="B545" s="164"/>
      <c r="C545" s="159"/>
      <c r="D545" s="159"/>
      <c r="E545" s="159"/>
      <c r="F545" s="493"/>
    </row>
    <row r="546" spans="1:6" thickBot="1">
      <c r="A546" s="164"/>
      <c r="B546" s="164"/>
      <c r="C546" s="159"/>
      <c r="D546" s="159"/>
      <c r="E546" s="159"/>
      <c r="F546" s="493"/>
    </row>
    <row r="547" spans="1:6" thickBot="1">
      <c r="A547" s="164"/>
      <c r="B547" s="164"/>
      <c r="C547" s="159"/>
      <c r="D547" s="159"/>
      <c r="E547" s="159"/>
      <c r="F547" s="493"/>
    </row>
    <row r="548" spans="1:6" thickBot="1">
      <c r="A548" s="164"/>
      <c r="B548" s="164"/>
      <c r="C548" s="159"/>
      <c r="D548" s="159"/>
      <c r="E548" s="159"/>
      <c r="F548" s="493"/>
    </row>
    <row r="549" spans="1:6" thickBot="1">
      <c r="A549" s="164"/>
      <c r="B549" s="164"/>
      <c r="C549" s="159"/>
      <c r="D549" s="159"/>
      <c r="E549" s="159"/>
      <c r="F549" s="493"/>
    </row>
    <row r="550" spans="1:6" thickBot="1">
      <c r="A550" s="164"/>
      <c r="B550" s="164"/>
      <c r="C550" s="159"/>
      <c r="D550" s="159"/>
      <c r="E550" s="159"/>
      <c r="F550" s="493"/>
    </row>
    <row r="551" spans="1:6" thickBot="1">
      <c r="A551" s="164"/>
      <c r="B551" s="164"/>
      <c r="C551" s="159"/>
      <c r="D551" s="159"/>
      <c r="E551" s="159"/>
      <c r="F551" s="493"/>
    </row>
    <row r="552" spans="1:6" thickBot="1">
      <c r="A552" s="164"/>
      <c r="B552" s="164"/>
      <c r="C552" s="159"/>
      <c r="D552" s="159"/>
      <c r="E552" s="159"/>
      <c r="F552" s="493"/>
    </row>
    <row r="553" spans="1:6" thickBot="1">
      <c r="A553" s="164"/>
      <c r="B553" s="164"/>
      <c r="C553" s="159"/>
      <c r="D553" s="159"/>
      <c r="E553" s="159"/>
      <c r="F553" s="493"/>
    </row>
    <row r="554" spans="1:6" thickBot="1">
      <c r="A554" s="164"/>
      <c r="B554" s="164"/>
      <c r="C554" s="159"/>
      <c r="D554" s="159"/>
      <c r="E554" s="159"/>
      <c r="F554" s="493"/>
    </row>
    <row r="555" spans="1:6" thickBot="1">
      <c r="A555" s="164"/>
      <c r="B555" s="164"/>
      <c r="C555" s="159"/>
      <c r="D555" s="159"/>
      <c r="E555" s="159"/>
      <c r="F555" s="493"/>
    </row>
    <row r="556" spans="1:6" thickBot="1">
      <c r="A556" s="164"/>
      <c r="B556" s="164"/>
      <c r="C556" s="159"/>
      <c r="D556" s="159"/>
      <c r="E556" s="159"/>
      <c r="F556" s="493"/>
    </row>
    <row r="557" spans="1:6" thickBot="1">
      <c r="A557" s="164"/>
      <c r="B557" s="164"/>
      <c r="C557" s="159"/>
      <c r="D557" s="159"/>
      <c r="E557" s="159"/>
      <c r="F557" s="493"/>
    </row>
    <row r="558" spans="1:6" thickBot="1">
      <c r="A558" s="164"/>
      <c r="B558" s="164"/>
      <c r="C558" s="159"/>
      <c r="D558" s="159"/>
      <c r="E558" s="159"/>
      <c r="F558" s="493"/>
    </row>
    <row r="559" spans="1:6" thickBot="1">
      <c r="A559" s="164"/>
      <c r="B559" s="164"/>
      <c r="C559" s="159"/>
      <c r="D559" s="159"/>
      <c r="E559" s="159"/>
      <c r="F559" s="493"/>
    </row>
    <row r="560" spans="1:6" thickBot="1">
      <c r="A560" s="164"/>
      <c r="B560" s="164"/>
      <c r="C560" s="159"/>
      <c r="D560" s="159"/>
      <c r="E560" s="159"/>
      <c r="F560" s="493"/>
    </row>
    <row r="561" spans="1:6" thickBot="1">
      <c r="A561" s="164"/>
      <c r="B561" s="164"/>
      <c r="C561" s="159"/>
      <c r="D561" s="159"/>
      <c r="E561" s="159"/>
      <c r="F561" s="493"/>
    </row>
    <row r="562" spans="1:6" thickBot="1">
      <c r="A562" s="164"/>
      <c r="B562" s="164"/>
      <c r="C562" s="159"/>
      <c r="D562" s="159"/>
      <c r="E562" s="159"/>
      <c r="F562" s="493"/>
    </row>
    <row r="563" spans="1:6" thickBot="1">
      <c r="A563" s="164"/>
      <c r="B563" s="164"/>
      <c r="C563" s="159"/>
      <c r="D563" s="159"/>
      <c r="E563" s="159"/>
      <c r="F563" s="493"/>
    </row>
    <row r="564" spans="1:6" thickBot="1">
      <c r="A564" s="164"/>
      <c r="B564" s="164"/>
      <c r="C564" s="159"/>
      <c r="D564" s="159"/>
      <c r="E564" s="159"/>
      <c r="F564" s="493"/>
    </row>
    <row r="565" spans="1:6" thickBot="1">
      <c r="A565" s="164"/>
      <c r="B565" s="164"/>
      <c r="C565" s="159"/>
      <c r="D565" s="159"/>
      <c r="E565" s="159"/>
      <c r="F565" s="493"/>
    </row>
    <row r="566" spans="1:6" thickBot="1">
      <c r="A566" s="164"/>
      <c r="B566" s="164"/>
      <c r="C566" s="159"/>
      <c r="D566" s="159"/>
      <c r="E566" s="159"/>
      <c r="F566" s="493"/>
    </row>
    <row r="567" spans="1:6" thickBot="1">
      <c r="A567" s="164"/>
      <c r="B567" s="164"/>
      <c r="C567" s="159"/>
      <c r="D567" s="159"/>
      <c r="E567" s="159"/>
      <c r="F567" s="493"/>
    </row>
    <row r="568" spans="1:6" thickBot="1">
      <c r="A568" s="164"/>
      <c r="B568" s="164"/>
      <c r="C568" s="159"/>
      <c r="D568" s="159"/>
      <c r="E568" s="159"/>
      <c r="F568" s="493"/>
    </row>
    <row r="569" spans="1:6" thickBot="1">
      <c r="A569" s="164"/>
      <c r="B569" s="164"/>
      <c r="C569" s="159"/>
      <c r="D569" s="159"/>
      <c r="E569" s="159"/>
      <c r="F569" s="493"/>
    </row>
    <row r="570" spans="1:6" thickBot="1">
      <c r="A570" s="164"/>
      <c r="B570" s="164"/>
      <c r="C570" s="159"/>
      <c r="D570" s="159"/>
      <c r="E570" s="159"/>
      <c r="F570" s="493"/>
    </row>
    <row r="571" spans="1:6" thickBot="1">
      <c r="A571" s="164"/>
      <c r="B571" s="164"/>
      <c r="C571" s="159"/>
      <c r="D571" s="159"/>
      <c r="E571" s="159"/>
      <c r="F571" s="493"/>
    </row>
    <row r="572" spans="1:6" thickBot="1">
      <c r="A572" s="164"/>
      <c r="B572" s="164"/>
      <c r="C572" s="159"/>
      <c r="D572" s="159"/>
      <c r="E572" s="159"/>
      <c r="F572" s="493"/>
    </row>
    <row r="573" spans="1:6" thickBot="1">
      <c r="A573" s="164"/>
      <c r="B573" s="164"/>
      <c r="C573" s="159"/>
      <c r="D573" s="159"/>
      <c r="E573" s="159"/>
      <c r="F573" s="493"/>
    </row>
    <row r="574" spans="1:6" thickBot="1">
      <c r="A574" s="164"/>
      <c r="B574" s="164"/>
      <c r="C574" s="159"/>
      <c r="D574" s="159"/>
      <c r="E574" s="159"/>
      <c r="F574" s="493"/>
    </row>
    <row r="575" spans="1:6" thickBot="1">
      <c r="A575" s="164"/>
      <c r="B575" s="164"/>
      <c r="C575" s="159"/>
      <c r="D575" s="159"/>
      <c r="E575" s="159"/>
      <c r="F575" s="493"/>
    </row>
    <row r="576" spans="1:6" thickBot="1">
      <c r="A576" s="164"/>
      <c r="B576" s="164"/>
      <c r="C576" s="159"/>
      <c r="D576" s="159"/>
      <c r="E576" s="159"/>
      <c r="F576" s="493"/>
    </row>
    <row r="577" spans="1:6" thickBot="1">
      <c r="A577" s="164"/>
      <c r="B577" s="164"/>
      <c r="C577" s="159"/>
      <c r="D577" s="159"/>
      <c r="E577" s="159"/>
      <c r="F577" s="493"/>
    </row>
    <row r="578" spans="1:6" thickBot="1">
      <c r="A578" s="164"/>
      <c r="B578" s="164"/>
      <c r="C578" s="159"/>
      <c r="D578" s="159"/>
      <c r="E578" s="159"/>
      <c r="F578" s="493"/>
    </row>
    <row r="579" spans="1:6" thickBot="1">
      <c r="A579" s="164"/>
      <c r="B579" s="164"/>
      <c r="C579" s="159"/>
      <c r="D579" s="159"/>
      <c r="E579" s="159"/>
      <c r="F579" s="493"/>
    </row>
    <row r="580" spans="1:6" thickBot="1">
      <c r="A580" s="164"/>
      <c r="B580" s="164"/>
      <c r="C580" s="159"/>
      <c r="D580" s="159"/>
      <c r="E580" s="159"/>
      <c r="F580" s="493"/>
    </row>
    <row r="581" spans="1:6" thickBot="1">
      <c r="A581" s="164"/>
      <c r="B581" s="164"/>
      <c r="C581" s="159"/>
      <c r="D581" s="159"/>
      <c r="E581" s="159"/>
      <c r="F581" s="493"/>
    </row>
    <row r="582" spans="1:6" thickBot="1">
      <c r="A582" s="164"/>
      <c r="B582" s="164"/>
      <c r="C582" s="159"/>
      <c r="D582" s="159"/>
      <c r="E582" s="159"/>
      <c r="F582" s="493"/>
    </row>
    <row r="583" spans="1:6" thickBot="1">
      <c r="A583" s="164"/>
      <c r="B583" s="164"/>
      <c r="C583" s="159"/>
      <c r="D583" s="159"/>
      <c r="E583" s="159"/>
      <c r="F583" s="493"/>
    </row>
    <row r="584" spans="1:6" thickBot="1">
      <c r="A584" s="164"/>
      <c r="B584" s="164"/>
      <c r="C584" s="159"/>
      <c r="D584" s="159"/>
      <c r="E584" s="159"/>
      <c r="F584" s="493"/>
    </row>
    <row r="585" spans="1:6" thickBot="1">
      <c r="A585" s="164"/>
      <c r="B585" s="164"/>
      <c r="C585" s="159"/>
      <c r="D585" s="159"/>
      <c r="E585" s="159"/>
      <c r="F585" s="493"/>
    </row>
    <row r="586" spans="1:6" thickBot="1">
      <c r="A586" s="164"/>
      <c r="B586" s="164"/>
      <c r="C586" s="159"/>
      <c r="D586" s="159"/>
      <c r="E586" s="159"/>
      <c r="F586" s="493"/>
    </row>
    <row r="587" spans="1:6" thickBot="1">
      <c r="A587" s="164"/>
      <c r="B587" s="164"/>
      <c r="C587" s="159"/>
      <c r="D587" s="159"/>
      <c r="E587" s="159"/>
      <c r="F587" s="493"/>
    </row>
    <row r="588" spans="1:6" thickBot="1">
      <c r="A588" s="164"/>
      <c r="B588" s="164"/>
      <c r="C588" s="159"/>
      <c r="D588" s="159"/>
      <c r="E588" s="159"/>
      <c r="F588" s="493"/>
    </row>
    <row r="589" spans="1:6" thickBot="1">
      <c r="A589" s="164"/>
      <c r="B589" s="164"/>
      <c r="C589" s="159"/>
      <c r="D589" s="159"/>
      <c r="E589" s="159"/>
      <c r="F589" s="493"/>
    </row>
    <row r="590" spans="1:6" thickBot="1">
      <c r="A590" s="164"/>
      <c r="B590" s="164"/>
      <c r="C590" s="159"/>
      <c r="D590" s="159"/>
      <c r="E590" s="159"/>
      <c r="F590" s="493"/>
    </row>
    <row r="591" spans="1:6" thickBot="1">
      <c r="A591" s="164"/>
      <c r="B591" s="164"/>
      <c r="C591" s="159"/>
      <c r="D591" s="159"/>
      <c r="E591" s="159"/>
      <c r="F591" s="493"/>
    </row>
    <row r="592" spans="1:6" thickBot="1">
      <c r="A592" s="164"/>
      <c r="B592" s="164"/>
      <c r="C592" s="159"/>
      <c r="D592" s="159"/>
      <c r="E592" s="159"/>
      <c r="F592" s="493"/>
    </row>
    <row r="593" spans="1:6" thickBot="1">
      <c r="A593" s="164"/>
      <c r="B593" s="164"/>
      <c r="C593" s="159"/>
      <c r="D593" s="159"/>
      <c r="E593" s="159"/>
      <c r="F593" s="493"/>
    </row>
    <row r="594" spans="1:6" thickBot="1">
      <c r="A594" s="164"/>
      <c r="B594" s="164"/>
      <c r="C594" s="159"/>
      <c r="D594" s="159"/>
      <c r="E594" s="159"/>
      <c r="F594" s="493"/>
    </row>
    <row r="595" spans="1:6" thickBot="1">
      <c r="A595" s="164"/>
      <c r="B595" s="164"/>
      <c r="C595" s="159"/>
      <c r="D595" s="159"/>
      <c r="E595" s="159"/>
      <c r="F595" s="493"/>
    </row>
    <row r="596" spans="1:6" thickBot="1">
      <c r="A596" s="164"/>
      <c r="B596" s="164"/>
      <c r="C596" s="159"/>
      <c r="D596" s="159"/>
      <c r="E596" s="159"/>
      <c r="F596" s="493"/>
    </row>
    <row r="597" spans="1:6" thickBot="1">
      <c r="A597" s="164"/>
      <c r="B597" s="164"/>
      <c r="C597" s="159"/>
      <c r="D597" s="159"/>
      <c r="E597" s="159"/>
      <c r="F597" s="493"/>
    </row>
    <row r="598" spans="1:6" thickBot="1">
      <c r="A598" s="164"/>
      <c r="B598" s="164"/>
      <c r="C598" s="159"/>
      <c r="D598" s="159"/>
      <c r="E598" s="159"/>
      <c r="F598" s="493"/>
    </row>
    <row r="599" spans="1:6" thickBot="1">
      <c r="A599" s="164"/>
      <c r="B599" s="164"/>
      <c r="C599" s="159"/>
      <c r="D599" s="159"/>
      <c r="E599" s="159"/>
      <c r="F599" s="493"/>
    </row>
    <row r="600" spans="1:6" thickBot="1">
      <c r="A600" s="164"/>
      <c r="B600" s="164"/>
      <c r="C600" s="159"/>
      <c r="D600" s="159"/>
      <c r="E600" s="159"/>
      <c r="F600" s="493"/>
    </row>
    <row r="601" spans="1:6" thickBot="1">
      <c r="A601" s="164"/>
      <c r="B601" s="164"/>
      <c r="C601" s="159"/>
      <c r="D601" s="159"/>
      <c r="E601" s="159"/>
      <c r="F601" s="493"/>
    </row>
    <row r="602" spans="1:6" thickBot="1">
      <c r="A602" s="164"/>
      <c r="B602" s="164"/>
      <c r="C602" s="159"/>
      <c r="D602" s="159"/>
      <c r="E602" s="159"/>
      <c r="F602" s="493"/>
    </row>
    <row r="603" spans="1:6" thickBot="1">
      <c r="A603" s="164"/>
      <c r="B603" s="164"/>
      <c r="C603" s="159"/>
      <c r="D603" s="159"/>
      <c r="E603" s="159"/>
      <c r="F603" s="493"/>
    </row>
    <row r="604" spans="1:6" thickBot="1">
      <c r="A604" s="164"/>
      <c r="B604" s="164"/>
      <c r="C604" s="159"/>
      <c r="D604" s="159"/>
      <c r="E604" s="159"/>
      <c r="F604" s="493"/>
    </row>
    <row r="605" spans="1:6" thickBot="1">
      <c r="A605" s="164"/>
      <c r="B605" s="164"/>
      <c r="C605" s="159"/>
      <c r="D605" s="159"/>
      <c r="E605" s="159"/>
      <c r="F605" s="493"/>
    </row>
    <row r="606" spans="1:6" thickBot="1">
      <c r="A606" s="164"/>
      <c r="B606" s="164"/>
      <c r="C606" s="159"/>
      <c r="D606" s="159"/>
      <c r="E606" s="159"/>
      <c r="F606" s="493"/>
    </row>
    <row r="607" spans="1:6" thickBot="1">
      <c r="A607" s="164"/>
      <c r="B607" s="164"/>
      <c r="C607" s="159"/>
      <c r="D607" s="159"/>
      <c r="E607" s="159"/>
      <c r="F607" s="493"/>
    </row>
    <row r="608" spans="1:6" thickBot="1">
      <c r="A608" s="164"/>
      <c r="B608" s="164"/>
      <c r="C608" s="159"/>
      <c r="D608" s="159"/>
      <c r="E608" s="159"/>
      <c r="F608" s="493"/>
    </row>
    <row r="609" spans="1:6" thickBot="1">
      <c r="A609" s="164"/>
      <c r="B609" s="164"/>
      <c r="C609" s="159"/>
      <c r="D609" s="159"/>
      <c r="E609" s="159"/>
      <c r="F609" s="493"/>
    </row>
    <row r="610" spans="1:6" thickBot="1">
      <c r="A610" s="164"/>
      <c r="B610" s="164"/>
      <c r="C610" s="159"/>
      <c r="D610" s="159"/>
      <c r="E610" s="159"/>
      <c r="F610" s="493"/>
    </row>
    <row r="611" spans="1:6" thickBot="1">
      <c r="A611" s="164"/>
      <c r="B611" s="164"/>
      <c r="C611" s="159"/>
      <c r="D611" s="159"/>
      <c r="E611" s="159"/>
      <c r="F611" s="493"/>
    </row>
    <row r="612" spans="1:6" thickBot="1">
      <c r="A612" s="164"/>
      <c r="B612" s="164"/>
      <c r="C612" s="159"/>
      <c r="D612" s="159"/>
      <c r="E612" s="159"/>
      <c r="F612" s="493"/>
    </row>
    <row r="613" spans="1:6" thickBot="1">
      <c r="A613" s="164"/>
      <c r="B613" s="164"/>
      <c r="C613" s="159"/>
      <c r="D613" s="159"/>
      <c r="E613" s="159"/>
      <c r="F613" s="493"/>
    </row>
    <row r="614" spans="1:6" thickBot="1">
      <c r="A614" s="164"/>
      <c r="B614" s="164"/>
      <c r="C614" s="159"/>
      <c r="D614" s="159"/>
      <c r="E614" s="159"/>
      <c r="F614" s="493"/>
    </row>
    <row r="615" spans="1:6" thickBot="1">
      <c r="A615" s="164"/>
      <c r="B615" s="164"/>
      <c r="C615" s="159"/>
      <c r="D615" s="159"/>
      <c r="E615" s="159"/>
      <c r="F615" s="493"/>
    </row>
    <row r="616" spans="1:6" thickBot="1">
      <c r="A616" s="164"/>
      <c r="B616" s="164"/>
      <c r="C616" s="159"/>
      <c r="D616" s="159"/>
      <c r="E616" s="159"/>
      <c r="F616" s="493"/>
    </row>
    <row r="617" spans="1:6" thickBot="1">
      <c r="A617" s="164"/>
      <c r="B617" s="164"/>
      <c r="C617" s="159"/>
      <c r="D617" s="159"/>
      <c r="E617" s="159"/>
      <c r="F617" s="493"/>
    </row>
    <row r="618" spans="1:6" thickBot="1">
      <c r="A618" s="164"/>
      <c r="B618" s="164"/>
      <c r="C618" s="159"/>
      <c r="D618" s="159"/>
      <c r="E618" s="159"/>
      <c r="F618" s="493"/>
    </row>
    <row r="619" spans="1:6" thickBot="1">
      <c r="A619" s="164"/>
      <c r="B619" s="164"/>
      <c r="C619" s="159"/>
      <c r="D619" s="159"/>
      <c r="E619" s="159"/>
      <c r="F619" s="493"/>
    </row>
    <row r="620" spans="1:6" thickBot="1">
      <c r="A620" s="164"/>
      <c r="B620" s="164"/>
      <c r="C620" s="159"/>
      <c r="D620" s="159"/>
      <c r="E620" s="159"/>
      <c r="F620" s="493"/>
    </row>
    <row r="621" spans="1:6" thickBot="1">
      <c r="A621" s="164"/>
      <c r="B621" s="164"/>
      <c r="C621" s="159"/>
      <c r="D621" s="159"/>
      <c r="E621" s="159"/>
      <c r="F621" s="493"/>
    </row>
    <row r="622" spans="1:6" thickBot="1">
      <c r="A622" s="164"/>
      <c r="B622" s="164"/>
      <c r="C622" s="159"/>
      <c r="D622" s="159"/>
      <c r="E622" s="159"/>
      <c r="F622" s="493"/>
    </row>
    <row r="623" spans="1:6" thickBot="1">
      <c r="A623" s="164"/>
      <c r="B623" s="164"/>
      <c r="C623" s="159"/>
      <c r="D623" s="159"/>
      <c r="E623" s="159"/>
      <c r="F623" s="493"/>
    </row>
    <row r="624" spans="1:6" thickBot="1">
      <c r="A624" s="164"/>
      <c r="B624" s="164"/>
      <c r="C624" s="159"/>
      <c r="D624" s="159"/>
      <c r="E624" s="159"/>
      <c r="F624" s="493"/>
    </row>
    <row r="625" spans="1:6" thickBot="1">
      <c r="A625" s="164"/>
      <c r="B625" s="164"/>
      <c r="C625" s="159"/>
      <c r="D625" s="159"/>
      <c r="E625" s="159"/>
      <c r="F625" s="493"/>
    </row>
    <row r="626" spans="1:6" thickBot="1">
      <c r="A626" s="164"/>
      <c r="B626" s="164"/>
      <c r="C626" s="159"/>
      <c r="D626" s="159"/>
      <c r="E626" s="159"/>
      <c r="F626" s="493"/>
    </row>
    <row r="627" spans="1:6" thickBot="1">
      <c r="A627" s="164"/>
      <c r="B627" s="164"/>
      <c r="C627" s="159"/>
      <c r="D627" s="159"/>
      <c r="E627" s="159"/>
      <c r="F627" s="493"/>
    </row>
    <row r="628" spans="1:6" thickBot="1">
      <c r="A628" s="164"/>
      <c r="B628" s="164"/>
      <c r="C628" s="159"/>
      <c r="D628" s="159"/>
      <c r="E628" s="159"/>
      <c r="F628" s="493"/>
    </row>
    <row r="629" spans="1:6" thickBot="1">
      <c r="A629" s="164"/>
      <c r="B629" s="164"/>
      <c r="C629" s="159"/>
      <c r="D629" s="159"/>
      <c r="E629" s="159"/>
      <c r="F629" s="493"/>
    </row>
    <row r="630" spans="1:6" thickBot="1">
      <c r="A630" s="164"/>
      <c r="B630" s="164"/>
      <c r="C630" s="159"/>
      <c r="D630" s="159"/>
      <c r="E630" s="159"/>
      <c r="F630" s="493"/>
    </row>
    <row r="631" spans="1:6" thickBot="1">
      <c r="A631" s="164"/>
      <c r="B631" s="164"/>
      <c r="C631" s="159"/>
      <c r="D631" s="159"/>
      <c r="E631" s="159"/>
      <c r="F631" s="493"/>
    </row>
    <row r="632" spans="1:6" thickBot="1">
      <c r="A632" s="164"/>
      <c r="B632" s="164"/>
      <c r="C632" s="159"/>
      <c r="D632" s="159"/>
      <c r="E632" s="159"/>
      <c r="F632" s="493"/>
    </row>
    <row r="633" spans="1:6" thickBot="1">
      <c r="A633" s="164"/>
      <c r="B633" s="164"/>
      <c r="C633" s="159"/>
      <c r="D633" s="159"/>
      <c r="E633" s="159"/>
      <c r="F633" s="493"/>
    </row>
    <row r="634" spans="1:6" thickBot="1">
      <c r="A634" s="164"/>
      <c r="B634" s="164"/>
      <c r="C634" s="159"/>
      <c r="D634" s="159"/>
      <c r="E634" s="159"/>
      <c r="F634" s="493"/>
    </row>
    <row r="635" spans="1:6" thickBot="1">
      <c r="A635" s="164"/>
      <c r="B635" s="164"/>
      <c r="C635" s="159"/>
      <c r="D635" s="159"/>
      <c r="E635" s="159"/>
      <c r="F635" s="493"/>
    </row>
    <row r="636" spans="1:6" thickBot="1">
      <c r="A636" s="164"/>
      <c r="B636" s="164"/>
      <c r="C636" s="159"/>
      <c r="D636" s="159"/>
      <c r="E636" s="159"/>
      <c r="F636" s="493"/>
    </row>
    <row r="637" spans="1:6" thickBot="1">
      <c r="A637" s="164"/>
      <c r="B637" s="164"/>
      <c r="C637" s="159"/>
      <c r="D637" s="159"/>
      <c r="E637" s="159"/>
      <c r="F637" s="493"/>
    </row>
    <row r="638" spans="1:6" thickBot="1">
      <c r="A638" s="164"/>
      <c r="B638" s="164"/>
      <c r="C638" s="159"/>
      <c r="D638" s="159"/>
      <c r="E638" s="159"/>
      <c r="F638" s="493"/>
    </row>
    <row r="639" spans="1:6" thickBot="1">
      <c r="A639" s="164"/>
      <c r="B639" s="164"/>
      <c r="C639" s="159"/>
      <c r="D639" s="159"/>
      <c r="E639" s="159"/>
      <c r="F639" s="493"/>
    </row>
    <row r="640" spans="1:6" thickBot="1">
      <c r="A640" s="164"/>
      <c r="B640" s="164"/>
      <c r="C640" s="159"/>
      <c r="D640" s="159"/>
      <c r="E640" s="159"/>
      <c r="F640" s="493"/>
    </row>
    <row r="641" spans="1:6" thickBot="1">
      <c r="A641" s="164"/>
      <c r="B641" s="164"/>
      <c r="C641" s="159"/>
      <c r="D641" s="159"/>
      <c r="E641" s="159"/>
      <c r="F641" s="493"/>
    </row>
    <row r="642" spans="1:6" thickBot="1">
      <c r="A642" s="164"/>
      <c r="B642" s="164"/>
      <c r="C642" s="159"/>
      <c r="D642" s="159"/>
      <c r="E642" s="159"/>
      <c r="F642" s="493"/>
    </row>
    <row r="643" spans="1:6" thickBot="1">
      <c r="A643" s="164"/>
      <c r="B643" s="164"/>
      <c r="C643" s="159"/>
      <c r="D643" s="159"/>
      <c r="E643" s="159"/>
      <c r="F643" s="493"/>
    </row>
    <row r="644" spans="1:6" thickBot="1">
      <c r="A644" s="164"/>
      <c r="B644" s="164"/>
      <c r="C644" s="159"/>
      <c r="D644" s="159"/>
      <c r="E644" s="159"/>
      <c r="F644" s="493"/>
    </row>
    <row r="645" spans="1:6" thickBot="1">
      <c r="A645" s="164"/>
      <c r="B645" s="164"/>
      <c r="C645" s="159"/>
      <c r="D645" s="159"/>
      <c r="E645" s="159"/>
      <c r="F645" s="493"/>
    </row>
    <row r="646" spans="1:6" thickBot="1">
      <c r="A646" s="164"/>
      <c r="B646" s="164"/>
      <c r="C646" s="159"/>
      <c r="D646" s="159"/>
      <c r="E646" s="159"/>
      <c r="F646" s="493"/>
    </row>
    <row r="647" spans="1:6" thickBot="1">
      <c r="A647" s="164"/>
      <c r="B647" s="164"/>
      <c r="C647" s="159"/>
      <c r="D647" s="159"/>
      <c r="E647" s="159"/>
      <c r="F647" s="493"/>
    </row>
    <row r="648" spans="1:6" thickBot="1">
      <c r="A648" s="164"/>
      <c r="B648" s="164"/>
      <c r="C648" s="159"/>
      <c r="D648" s="159"/>
      <c r="E648" s="159"/>
      <c r="F648" s="493"/>
    </row>
    <row r="649" spans="1:6" thickBot="1">
      <c r="A649" s="164"/>
      <c r="B649" s="164"/>
      <c r="C649" s="159"/>
      <c r="D649" s="159"/>
      <c r="E649" s="159"/>
      <c r="F649" s="493"/>
    </row>
    <row r="650" spans="1:6" thickBot="1">
      <c r="A650" s="164"/>
      <c r="B650" s="164"/>
      <c r="C650" s="159"/>
      <c r="D650" s="159"/>
      <c r="E650" s="159"/>
      <c r="F650" s="493"/>
    </row>
    <row r="651" spans="1:6" thickBot="1">
      <c r="A651" s="164"/>
      <c r="B651" s="164"/>
      <c r="C651" s="159"/>
      <c r="D651" s="159"/>
      <c r="E651" s="159"/>
      <c r="F651" s="493"/>
    </row>
    <row r="652" spans="1:6" thickBot="1">
      <c r="A652" s="164"/>
      <c r="B652" s="164"/>
      <c r="C652" s="159"/>
      <c r="D652" s="159"/>
      <c r="E652" s="159"/>
      <c r="F652" s="493"/>
    </row>
    <row r="653" spans="1:6" thickBot="1">
      <c r="A653" s="164"/>
      <c r="B653" s="164"/>
      <c r="C653" s="159"/>
      <c r="D653" s="159"/>
      <c r="E653" s="159"/>
      <c r="F653" s="493"/>
    </row>
    <row r="654" spans="1:6" thickBot="1">
      <c r="A654" s="164"/>
      <c r="B654" s="164"/>
      <c r="C654" s="159"/>
      <c r="D654" s="159"/>
      <c r="E654" s="159"/>
      <c r="F654" s="493"/>
    </row>
    <row r="655" spans="1:6" thickBot="1">
      <c r="A655" s="164"/>
      <c r="B655" s="164"/>
      <c r="C655" s="159"/>
      <c r="D655" s="159"/>
      <c r="E655" s="159"/>
      <c r="F655" s="493"/>
    </row>
    <row r="656" spans="1:6" thickBot="1">
      <c r="A656" s="164"/>
      <c r="B656" s="164"/>
      <c r="C656" s="159"/>
      <c r="D656" s="159"/>
      <c r="E656" s="159"/>
      <c r="F656" s="493"/>
    </row>
    <row r="657" spans="1:6" thickBot="1">
      <c r="A657" s="164"/>
      <c r="B657" s="164"/>
      <c r="C657" s="159"/>
      <c r="D657" s="159"/>
      <c r="E657" s="159"/>
      <c r="F657" s="493"/>
    </row>
    <row r="658" spans="1:6" thickBot="1">
      <c r="A658" s="164"/>
      <c r="B658" s="164"/>
      <c r="C658" s="159"/>
      <c r="D658" s="159"/>
      <c r="E658" s="159"/>
      <c r="F658" s="493"/>
    </row>
    <row r="659" spans="1:6" thickBot="1">
      <c r="A659" s="164"/>
      <c r="B659" s="164"/>
      <c r="C659" s="159"/>
      <c r="D659" s="159"/>
      <c r="E659" s="159"/>
      <c r="F659" s="493"/>
    </row>
    <row r="660" spans="1:6" thickBot="1">
      <c r="A660" s="164"/>
      <c r="B660" s="164"/>
      <c r="C660" s="159"/>
      <c r="D660" s="159"/>
      <c r="E660" s="159"/>
      <c r="F660" s="493"/>
    </row>
    <row r="661" spans="1:6" thickBot="1">
      <c r="A661" s="164"/>
      <c r="B661" s="164"/>
      <c r="C661" s="159"/>
      <c r="D661" s="159"/>
      <c r="E661" s="159"/>
      <c r="F661" s="493"/>
    </row>
    <row r="662" spans="1:6" thickBot="1">
      <c r="A662" s="164"/>
      <c r="B662" s="164"/>
      <c r="C662" s="159"/>
      <c r="D662" s="159"/>
      <c r="E662" s="159"/>
      <c r="F662" s="493"/>
    </row>
    <row r="663" spans="1:6" thickBot="1">
      <c r="A663" s="164"/>
      <c r="B663" s="164"/>
      <c r="C663" s="159"/>
      <c r="D663" s="159"/>
      <c r="E663" s="159"/>
      <c r="F663" s="493"/>
    </row>
    <row r="664" spans="1:6" thickBot="1">
      <c r="A664" s="164"/>
      <c r="B664" s="164"/>
      <c r="C664" s="159"/>
      <c r="D664" s="159"/>
      <c r="E664" s="159"/>
      <c r="F664" s="493"/>
    </row>
    <row r="665" spans="1:6" thickBot="1">
      <c r="A665" s="164"/>
      <c r="B665" s="164"/>
      <c r="C665" s="159"/>
      <c r="D665" s="159"/>
      <c r="E665" s="159"/>
      <c r="F665" s="493"/>
    </row>
    <row r="666" spans="1:6" thickBot="1">
      <c r="A666" s="164"/>
      <c r="B666" s="164"/>
      <c r="C666" s="159"/>
      <c r="D666" s="159"/>
      <c r="E666" s="159"/>
      <c r="F666" s="493"/>
    </row>
    <row r="667" spans="1:6" thickBot="1">
      <c r="A667" s="164"/>
      <c r="B667" s="164"/>
      <c r="C667" s="159"/>
      <c r="D667" s="159"/>
      <c r="E667" s="159"/>
      <c r="F667" s="493"/>
    </row>
    <row r="668" spans="1:6" thickBot="1">
      <c r="A668" s="164"/>
      <c r="B668" s="164"/>
      <c r="C668" s="159"/>
      <c r="D668" s="159"/>
      <c r="E668" s="159"/>
      <c r="F668" s="493"/>
    </row>
    <row r="669" spans="1:6" thickBot="1">
      <c r="A669" s="164"/>
      <c r="B669" s="164"/>
      <c r="C669" s="159"/>
      <c r="D669" s="159"/>
      <c r="E669" s="159"/>
      <c r="F669" s="493"/>
    </row>
    <row r="670" spans="1:6" thickBot="1">
      <c r="A670" s="164"/>
      <c r="B670" s="164"/>
      <c r="C670" s="159"/>
      <c r="D670" s="159"/>
      <c r="E670" s="159"/>
      <c r="F670" s="493"/>
    </row>
    <row r="671" spans="1:6" thickBot="1">
      <c r="A671" s="164"/>
      <c r="B671" s="164"/>
      <c r="C671" s="159"/>
      <c r="D671" s="159"/>
      <c r="E671" s="159"/>
      <c r="F671" s="493"/>
    </row>
    <row r="672" spans="1:6" thickBot="1">
      <c r="A672" s="164"/>
      <c r="B672" s="164"/>
      <c r="C672" s="159"/>
      <c r="D672" s="159"/>
      <c r="E672" s="159"/>
      <c r="F672" s="493"/>
    </row>
    <row r="673" spans="1:6" thickBot="1">
      <c r="A673" s="164"/>
      <c r="B673" s="164"/>
      <c r="C673" s="159"/>
      <c r="D673" s="159"/>
      <c r="E673" s="159"/>
      <c r="F673" s="493"/>
    </row>
    <row r="674" spans="1:6" thickBot="1">
      <c r="A674" s="164"/>
      <c r="B674" s="164"/>
      <c r="C674" s="159"/>
      <c r="D674" s="159"/>
      <c r="E674" s="159"/>
      <c r="F674" s="493"/>
    </row>
    <row r="675" spans="1:6" thickBot="1">
      <c r="A675" s="164"/>
      <c r="B675" s="164"/>
      <c r="C675" s="159"/>
      <c r="D675" s="159"/>
      <c r="E675" s="159"/>
      <c r="F675" s="493"/>
    </row>
    <row r="676" spans="1:6" thickBot="1">
      <c r="A676" s="164"/>
      <c r="B676" s="164"/>
      <c r="C676" s="159"/>
      <c r="D676" s="159"/>
      <c r="E676" s="159"/>
      <c r="F676" s="493"/>
    </row>
    <row r="677" spans="1:6" thickBot="1">
      <c r="A677" s="164"/>
      <c r="B677" s="164"/>
      <c r="C677" s="159"/>
      <c r="D677" s="159"/>
      <c r="E677" s="159"/>
      <c r="F677" s="493"/>
    </row>
    <row r="678" spans="1:6" thickBot="1">
      <c r="A678" s="164"/>
      <c r="B678" s="164"/>
      <c r="C678" s="159"/>
      <c r="D678" s="159"/>
      <c r="E678" s="159"/>
      <c r="F678" s="493"/>
    </row>
    <row r="679" spans="1:6" thickBot="1">
      <c r="A679" s="164"/>
      <c r="B679" s="164"/>
      <c r="C679" s="159"/>
      <c r="D679" s="159"/>
      <c r="E679" s="159"/>
      <c r="F679" s="493"/>
    </row>
    <row r="680" spans="1:6" thickBot="1">
      <c r="A680" s="164"/>
      <c r="B680" s="164"/>
      <c r="C680" s="159"/>
      <c r="D680" s="159"/>
      <c r="E680" s="159"/>
      <c r="F680" s="493"/>
    </row>
    <row r="681" spans="1:6" thickBot="1">
      <c r="A681" s="164"/>
      <c r="B681" s="164"/>
      <c r="C681" s="159"/>
      <c r="D681" s="159"/>
      <c r="E681" s="159"/>
      <c r="F681" s="493"/>
    </row>
    <row r="682" spans="1:6" thickBot="1">
      <c r="A682" s="164"/>
      <c r="B682" s="164"/>
      <c r="C682" s="159"/>
      <c r="D682" s="159"/>
      <c r="E682" s="159"/>
      <c r="F682" s="493"/>
    </row>
    <row r="683" spans="1:6" thickBot="1">
      <c r="A683" s="164"/>
      <c r="B683" s="164"/>
      <c r="C683" s="159"/>
      <c r="D683" s="159"/>
      <c r="E683" s="159"/>
      <c r="F683" s="493"/>
    </row>
    <row r="684" spans="1:6" thickBot="1">
      <c r="A684" s="164"/>
      <c r="B684" s="164"/>
      <c r="C684" s="159"/>
      <c r="D684" s="159"/>
      <c r="E684" s="159"/>
      <c r="F684" s="493"/>
    </row>
    <row r="685" spans="1:6" thickBot="1">
      <c r="A685" s="164"/>
      <c r="B685" s="164"/>
      <c r="C685" s="159"/>
      <c r="D685" s="159"/>
      <c r="E685" s="159"/>
      <c r="F685" s="493"/>
    </row>
    <row r="686" spans="1:6" thickBot="1">
      <c r="A686" s="164"/>
      <c r="B686" s="164"/>
      <c r="C686" s="159"/>
      <c r="D686" s="159"/>
      <c r="E686" s="159"/>
      <c r="F686" s="493"/>
    </row>
    <row r="687" spans="1:6" thickBot="1">
      <c r="A687" s="164"/>
      <c r="B687" s="164"/>
      <c r="C687" s="159"/>
      <c r="D687" s="159"/>
      <c r="E687" s="159"/>
      <c r="F687" s="493"/>
    </row>
    <row r="688" spans="1:6" thickBot="1">
      <c r="A688" s="164"/>
      <c r="B688" s="164"/>
      <c r="C688" s="159"/>
      <c r="D688" s="159"/>
      <c r="E688" s="159"/>
      <c r="F688" s="493"/>
    </row>
    <row r="689" spans="1:6" thickBot="1">
      <c r="A689" s="164"/>
      <c r="B689" s="164"/>
      <c r="C689" s="159"/>
      <c r="D689" s="159"/>
      <c r="E689" s="159"/>
      <c r="F689" s="493"/>
    </row>
    <row r="690" spans="1:6" thickBot="1">
      <c r="A690" s="164"/>
      <c r="B690" s="164"/>
      <c r="C690" s="159"/>
      <c r="D690" s="159"/>
      <c r="E690" s="159"/>
      <c r="F690" s="493"/>
    </row>
    <row r="691" spans="1:6" thickBot="1">
      <c r="A691" s="164"/>
      <c r="B691" s="164"/>
      <c r="C691" s="159"/>
      <c r="D691" s="159"/>
      <c r="E691" s="159"/>
      <c r="F691" s="493"/>
    </row>
    <row r="692" spans="1:6" thickBot="1">
      <c r="A692" s="164"/>
      <c r="B692" s="164"/>
      <c r="C692" s="159"/>
      <c r="D692" s="159"/>
      <c r="E692" s="159"/>
      <c r="F692" s="493"/>
    </row>
    <row r="693" spans="1:6" thickBot="1">
      <c r="A693" s="164"/>
      <c r="B693" s="164"/>
      <c r="C693" s="159"/>
      <c r="D693" s="159"/>
      <c r="E693" s="159"/>
      <c r="F693" s="493"/>
    </row>
    <row r="694" spans="1:6" thickBot="1">
      <c r="A694" s="164"/>
      <c r="B694" s="164"/>
      <c r="C694" s="159"/>
      <c r="D694" s="159"/>
      <c r="E694" s="159"/>
      <c r="F694" s="493"/>
    </row>
    <row r="695" spans="1:6" thickBot="1">
      <c r="A695" s="164"/>
      <c r="B695" s="164"/>
      <c r="C695" s="159"/>
      <c r="D695" s="159"/>
      <c r="E695" s="159"/>
      <c r="F695" s="493"/>
    </row>
    <row r="696" spans="1:6" thickBot="1">
      <c r="A696" s="164"/>
      <c r="B696" s="164"/>
      <c r="C696" s="159"/>
      <c r="D696" s="159"/>
      <c r="E696" s="159"/>
      <c r="F696" s="493"/>
    </row>
    <row r="697" spans="1:6" thickBot="1">
      <c r="A697" s="164"/>
      <c r="B697" s="164"/>
      <c r="C697" s="159"/>
      <c r="D697" s="159"/>
      <c r="E697" s="159"/>
      <c r="F697" s="493"/>
    </row>
    <row r="698" spans="1:6" thickBot="1">
      <c r="A698" s="164"/>
      <c r="B698" s="164"/>
      <c r="C698" s="159"/>
      <c r="D698" s="159"/>
      <c r="E698" s="159"/>
      <c r="F698" s="493"/>
    </row>
    <row r="699" spans="1:6" thickBot="1">
      <c r="A699" s="164"/>
      <c r="B699" s="164"/>
      <c r="C699" s="159"/>
      <c r="D699" s="159"/>
      <c r="E699" s="159"/>
      <c r="F699" s="493"/>
    </row>
    <row r="700" spans="1:6" thickBot="1">
      <c r="A700" s="164"/>
      <c r="B700" s="164"/>
      <c r="C700" s="159"/>
      <c r="D700" s="159"/>
      <c r="E700" s="159"/>
      <c r="F700" s="493"/>
    </row>
    <row r="701" spans="1:6" thickBot="1">
      <c r="A701" s="164"/>
      <c r="B701" s="164"/>
      <c r="C701" s="159"/>
      <c r="D701" s="159"/>
      <c r="E701" s="159"/>
      <c r="F701" s="493"/>
    </row>
    <row r="702" spans="1:6" thickBot="1">
      <c r="A702" s="164"/>
      <c r="B702" s="164"/>
      <c r="C702" s="159"/>
      <c r="D702" s="159"/>
      <c r="E702" s="159"/>
      <c r="F702" s="493"/>
    </row>
    <row r="703" spans="1:6" thickBot="1">
      <c r="A703" s="164"/>
      <c r="B703" s="164"/>
      <c r="C703" s="159"/>
      <c r="D703" s="159"/>
      <c r="E703" s="159"/>
      <c r="F703" s="493"/>
    </row>
    <row r="704" spans="1:6" thickBot="1">
      <c r="A704" s="164"/>
      <c r="B704" s="164"/>
      <c r="C704" s="159"/>
      <c r="D704" s="159"/>
      <c r="E704" s="159"/>
      <c r="F704" s="493"/>
    </row>
    <row r="705" spans="1:6" thickBot="1">
      <c r="A705" s="164"/>
      <c r="B705" s="164"/>
      <c r="C705" s="159"/>
      <c r="D705" s="159"/>
      <c r="E705" s="159"/>
      <c r="F705" s="493"/>
    </row>
    <row r="706" spans="1:6" thickBot="1">
      <c r="A706" s="164"/>
      <c r="B706" s="164"/>
      <c r="C706" s="159"/>
      <c r="D706" s="159"/>
      <c r="E706" s="159"/>
      <c r="F706" s="493"/>
    </row>
    <row r="707" spans="1:6" thickBot="1">
      <c r="A707" s="164"/>
      <c r="B707" s="164"/>
      <c r="C707" s="159"/>
      <c r="D707" s="159"/>
      <c r="E707" s="159"/>
      <c r="F707" s="493"/>
    </row>
    <row r="708" spans="1:6" thickBot="1">
      <c r="A708" s="164"/>
      <c r="B708" s="164"/>
      <c r="C708" s="159"/>
      <c r="D708" s="159"/>
      <c r="E708" s="159"/>
      <c r="F708" s="493"/>
    </row>
    <row r="709" spans="1:6" thickBot="1">
      <c r="A709" s="164"/>
      <c r="B709" s="164"/>
      <c r="C709" s="159"/>
      <c r="D709" s="159"/>
      <c r="E709" s="159"/>
      <c r="F709" s="493"/>
    </row>
    <row r="710" spans="1:6" thickBot="1">
      <c r="A710" s="164"/>
      <c r="B710" s="164"/>
      <c r="C710" s="159"/>
      <c r="D710" s="159"/>
      <c r="E710" s="159"/>
      <c r="F710" s="493"/>
    </row>
    <row r="711" spans="1:6" thickBot="1">
      <c r="A711" s="164"/>
      <c r="B711" s="164"/>
      <c r="C711" s="159"/>
      <c r="D711" s="159"/>
      <c r="E711" s="159"/>
      <c r="F711" s="493"/>
    </row>
    <row r="712" spans="1:6" thickBot="1">
      <c r="A712" s="164"/>
      <c r="B712" s="164"/>
      <c r="C712" s="159"/>
      <c r="D712" s="159"/>
      <c r="E712" s="159"/>
      <c r="F712" s="493"/>
    </row>
    <row r="713" spans="1:6" thickBot="1">
      <c r="A713" s="164"/>
      <c r="B713" s="164"/>
      <c r="C713" s="159"/>
      <c r="D713" s="159"/>
      <c r="E713" s="159"/>
      <c r="F713" s="493"/>
    </row>
    <row r="714" spans="1:6" thickBot="1">
      <c r="A714" s="164"/>
      <c r="B714" s="164"/>
      <c r="C714" s="159"/>
      <c r="D714" s="159"/>
      <c r="E714" s="159"/>
      <c r="F714" s="493"/>
    </row>
    <row r="715" spans="1:6" thickBot="1">
      <c r="A715" s="164"/>
      <c r="B715" s="164"/>
      <c r="C715" s="159"/>
      <c r="D715" s="159"/>
      <c r="E715" s="159"/>
      <c r="F715" s="493"/>
    </row>
    <row r="716" spans="1:6" thickBot="1">
      <c r="A716" s="164"/>
      <c r="B716" s="164"/>
      <c r="C716" s="159"/>
      <c r="D716" s="159"/>
      <c r="E716" s="159"/>
      <c r="F716" s="493"/>
    </row>
    <row r="717" spans="1:6" thickBot="1">
      <c r="A717" s="164"/>
      <c r="B717" s="164"/>
      <c r="C717" s="159"/>
      <c r="D717" s="159"/>
      <c r="E717" s="159"/>
      <c r="F717" s="493"/>
    </row>
    <row r="718" spans="1:6" thickBot="1">
      <c r="A718" s="164"/>
      <c r="B718" s="164"/>
      <c r="C718" s="159"/>
      <c r="D718" s="159"/>
      <c r="E718" s="159"/>
      <c r="F718" s="493"/>
    </row>
    <row r="719" spans="1:6" thickBot="1">
      <c r="A719" s="164"/>
      <c r="B719" s="164"/>
      <c r="C719" s="159"/>
      <c r="D719" s="159"/>
      <c r="E719" s="159"/>
      <c r="F719" s="493"/>
    </row>
    <row r="720" spans="1:6" thickBot="1">
      <c r="A720" s="164"/>
      <c r="B720" s="164"/>
      <c r="C720" s="159"/>
      <c r="D720" s="159"/>
      <c r="E720" s="159"/>
      <c r="F720" s="493"/>
    </row>
    <row r="721" spans="1:6" thickBot="1">
      <c r="A721" s="164"/>
      <c r="B721" s="164"/>
      <c r="C721" s="159"/>
      <c r="D721" s="159"/>
      <c r="E721" s="159"/>
      <c r="F721" s="493"/>
    </row>
    <row r="722" spans="1:6" thickBot="1">
      <c r="A722" s="164"/>
      <c r="B722" s="164"/>
      <c r="C722" s="159"/>
      <c r="D722" s="159"/>
      <c r="E722" s="159"/>
      <c r="F722" s="493"/>
    </row>
    <row r="723" spans="1:6" thickBot="1">
      <c r="A723" s="164"/>
      <c r="B723" s="164"/>
      <c r="C723" s="159"/>
      <c r="D723" s="159"/>
      <c r="E723" s="159"/>
      <c r="F723" s="493"/>
    </row>
    <row r="724" spans="1:6" thickBot="1">
      <c r="A724" s="164"/>
      <c r="B724" s="164"/>
      <c r="C724" s="159"/>
      <c r="D724" s="159"/>
      <c r="E724" s="159"/>
      <c r="F724" s="493"/>
    </row>
    <row r="725" spans="1:6" thickBot="1">
      <c r="A725" s="164"/>
      <c r="B725" s="164"/>
      <c r="C725" s="159"/>
      <c r="D725" s="159"/>
      <c r="E725" s="159"/>
      <c r="F725" s="493"/>
    </row>
    <row r="726" spans="1:6" thickBot="1">
      <c r="A726" s="164"/>
      <c r="B726" s="164"/>
      <c r="C726" s="159"/>
      <c r="D726" s="159"/>
      <c r="E726" s="159"/>
      <c r="F726" s="493"/>
    </row>
    <row r="727" spans="1:6" thickBot="1">
      <c r="A727" s="164"/>
      <c r="B727" s="164"/>
      <c r="C727" s="159"/>
      <c r="D727" s="159"/>
      <c r="E727" s="159"/>
      <c r="F727" s="493"/>
    </row>
    <row r="728" spans="1:6" thickBot="1">
      <c r="A728" s="164"/>
      <c r="B728" s="164"/>
      <c r="C728" s="159"/>
      <c r="D728" s="159"/>
      <c r="E728" s="159"/>
      <c r="F728" s="493"/>
    </row>
    <row r="729" spans="1:6" thickBot="1">
      <c r="A729" s="164"/>
      <c r="B729" s="164"/>
      <c r="C729" s="159"/>
      <c r="D729" s="159"/>
      <c r="E729" s="159"/>
      <c r="F729" s="493"/>
    </row>
    <row r="730" spans="1:6" thickBot="1">
      <c r="A730" s="164"/>
      <c r="B730" s="164"/>
      <c r="C730" s="159"/>
      <c r="D730" s="159"/>
      <c r="E730" s="159"/>
      <c r="F730" s="493"/>
    </row>
    <row r="731" spans="1:6" thickBot="1">
      <c r="A731" s="164"/>
      <c r="B731" s="164"/>
      <c r="C731" s="159"/>
      <c r="D731" s="159"/>
      <c r="E731" s="159"/>
      <c r="F731" s="493"/>
    </row>
    <row r="732" spans="1:6" thickBot="1">
      <c r="A732" s="164"/>
      <c r="B732" s="164"/>
      <c r="C732" s="159"/>
      <c r="D732" s="159"/>
      <c r="E732" s="159"/>
      <c r="F732" s="493"/>
    </row>
    <row r="733" spans="1:6" thickBot="1">
      <c r="A733" s="164"/>
      <c r="B733" s="164"/>
      <c r="C733" s="159"/>
      <c r="D733" s="159"/>
      <c r="E733" s="159"/>
      <c r="F733" s="493"/>
    </row>
    <row r="734" spans="1:6" thickBot="1">
      <c r="A734" s="164"/>
      <c r="B734" s="164"/>
      <c r="C734" s="159"/>
      <c r="D734" s="159"/>
      <c r="E734" s="159"/>
      <c r="F734" s="493"/>
    </row>
    <row r="735" spans="1:6" thickBot="1">
      <c r="A735" s="164"/>
      <c r="B735" s="164"/>
      <c r="C735" s="159"/>
      <c r="D735" s="159"/>
      <c r="E735" s="159"/>
      <c r="F735" s="493"/>
    </row>
    <row r="736" spans="1:6" thickBot="1">
      <c r="A736" s="164"/>
      <c r="B736" s="164"/>
      <c r="C736" s="159"/>
      <c r="D736" s="159"/>
      <c r="E736" s="159"/>
      <c r="F736" s="493"/>
    </row>
    <row r="737" spans="1:6" thickBot="1">
      <c r="A737" s="164"/>
      <c r="B737" s="164"/>
      <c r="C737" s="159"/>
      <c r="D737" s="159"/>
      <c r="E737" s="159"/>
      <c r="F737" s="493"/>
    </row>
    <row r="738" spans="1:6" thickBot="1">
      <c r="A738" s="164"/>
      <c r="B738" s="164"/>
      <c r="C738" s="159"/>
      <c r="D738" s="159"/>
      <c r="E738" s="159"/>
      <c r="F738" s="493"/>
    </row>
    <row r="739" spans="1:6" thickBot="1">
      <c r="A739" s="164"/>
      <c r="B739" s="164"/>
      <c r="C739" s="159"/>
      <c r="D739" s="159"/>
      <c r="E739" s="159"/>
      <c r="F739" s="493"/>
    </row>
    <row r="740" spans="1:6" thickBot="1">
      <c r="A740" s="164"/>
      <c r="B740" s="164"/>
      <c r="C740" s="159"/>
      <c r="D740" s="159"/>
      <c r="E740" s="159"/>
      <c r="F740" s="493"/>
    </row>
    <row r="741" spans="1:6" thickBot="1">
      <c r="A741" s="164"/>
      <c r="B741" s="164"/>
      <c r="C741" s="159"/>
      <c r="D741" s="159"/>
      <c r="E741" s="159"/>
      <c r="F741" s="493"/>
    </row>
    <row r="742" spans="1:6" thickBot="1">
      <c r="A742" s="164"/>
      <c r="B742" s="164"/>
      <c r="C742" s="159"/>
      <c r="D742" s="159"/>
      <c r="E742" s="159"/>
      <c r="F742" s="493"/>
    </row>
    <row r="743" spans="1:6" thickBot="1">
      <c r="A743" s="164"/>
      <c r="B743" s="164"/>
      <c r="C743" s="159"/>
      <c r="D743" s="159"/>
      <c r="E743" s="159"/>
      <c r="F743" s="493"/>
    </row>
    <row r="744" spans="1:6" thickBot="1">
      <c r="A744" s="164"/>
      <c r="B744" s="164"/>
      <c r="C744" s="159"/>
      <c r="D744" s="159"/>
      <c r="E744" s="159"/>
      <c r="F744" s="493"/>
    </row>
    <row r="745" spans="1:6" thickBot="1">
      <c r="A745" s="164"/>
      <c r="B745" s="164"/>
      <c r="C745" s="159"/>
      <c r="D745" s="159"/>
      <c r="E745" s="159"/>
      <c r="F745" s="493"/>
    </row>
    <row r="746" spans="1:6" thickBot="1">
      <c r="A746" s="164"/>
      <c r="B746" s="164"/>
      <c r="C746" s="159"/>
      <c r="D746" s="159"/>
      <c r="E746" s="159"/>
      <c r="F746" s="493"/>
    </row>
    <row r="747" spans="1:6" thickBot="1">
      <c r="A747" s="164"/>
      <c r="B747" s="164"/>
      <c r="C747" s="159"/>
      <c r="D747" s="159"/>
      <c r="E747" s="159"/>
      <c r="F747" s="493"/>
    </row>
    <row r="748" spans="1:6" thickBot="1">
      <c r="A748" s="164"/>
      <c r="B748" s="164"/>
      <c r="C748" s="159"/>
      <c r="D748" s="159"/>
      <c r="E748" s="159"/>
      <c r="F748" s="493"/>
    </row>
    <row r="749" spans="1:6" thickBot="1">
      <c r="A749" s="164"/>
      <c r="B749" s="164"/>
      <c r="C749" s="159"/>
      <c r="D749" s="159"/>
      <c r="E749" s="159"/>
      <c r="F749" s="493"/>
    </row>
    <row r="750" spans="1:6" thickBot="1">
      <c r="A750" s="164"/>
      <c r="B750" s="164"/>
      <c r="C750" s="159"/>
      <c r="D750" s="159"/>
      <c r="E750" s="159"/>
      <c r="F750" s="493"/>
    </row>
    <row r="751" spans="1:6" thickBot="1">
      <c r="A751" s="164"/>
      <c r="B751" s="164"/>
      <c r="C751" s="159"/>
      <c r="D751" s="159"/>
      <c r="E751" s="159"/>
      <c r="F751" s="493"/>
    </row>
    <row r="752" spans="1:6" thickBot="1">
      <c r="A752" s="164"/>
      <c r="B752" s="164"/>
      <c r="C752" s="159"/>
      <c r="D752" s="159"/>
      <c r="E752" s="159"/>
      <c r="F752" s="493"/>
    </row>
    <row r="753" spans="1:6" thickBot="1">
      <c r="A753" s="164"/>
      <c r="B753" s="164"/>
      <c r="C753" s="159"/>
      <c r="D753" s="159"/>
      <c r="E753" s="159"/>
      <c r="F753" s="493"/>
    </row>
    <row r="754" spans="1:6" thickBot="1">
      <c r="A754" s="164"/>
      <c r="B754" s="164"/>
      <c r="C754" s="159"/>
      <c r="D754" s="159"/>
      <c r="E754" s="159"/>
      <c r="F754" s="493"/>
    </row>
    <row r="755" spans="1:6" thickBot="1">
      <c r="A755" s="164"/>
      <c r="B755" s="164"/>
      <c r="C755" s="159"/>
      <c r="D755" s="159"/>
      <c r="E755" s="159"/>
      <c r="F755" s="493"/>
    </row>
    <row r="756" spans="1:6" thickBot="1">
      <c r="A756" s="164"/>
      <c r="B756" s="164"/>
      <c r="C756" s="159"/>
      <c r="D756" s="159"/>
      <c r="E756" s="159"/>
      <c r="F756" s="493"/>
    </row>
    <row r="757" spans="1:6" thickBot="1">
      <c r="A757" s="164"/>
      <c r="B757" s="164"/>
      <c r="C757" s="159"/>
      <c r="D757" s="159"/>
      <c r="E757" s="159"/>
      <c r="F757" s="493"/>
    </row>
    <row r="758" spans="1:6" thickBot="1">
      <c r="A758" s="164"/>
      <c r="B758" s="164"/>
      <c r="C758" s="159"/>
      <c r="D758" s="159"/>
      <c r="E758" s="159"/>
      <c r="F758" s="493"/>
    </row>
    <row r="759" spans="1:6" thickBot="1">
      <c r="A759" s="164"/>
      <c r="B759" s="164"/>
      <c r="C759" s="159"/>
      <c r="D759" s="159"/>
      <c r="E759" s="159"/>
      <c r="F759" s="493"/>
    </row>
    <row r="760" spans="1:6" thickBot="1">
      <c r="A760" s="164"/>
      <c r="B760" s="164"/>
      <c r="C760" s="159"/>
      <c r="D760" s="159"/>
      <c r="E760" s="159"/>
      <c r="F760" s="493"/>
    </row>
    <row r="761" spans="1:6" thickBot="1">
      <c r="A761" s="164"/>
      <c r="B761" s="164"/>
      <c r="C761" s="159"/>
      <c r="D761" s="159"/>
      <c r="E761" s="159"/>
      <c r="F761" s="493"/>
    </row>
    <row r="762" spans="1:6" thickBot="1">
      <c r="A762" s="164"/>
      <c r="B762" s="164"/>
      <c r="C762" s="159"/>
      <c r="D762" s="159"/>
      <c r="E762" s="159"/>
      <c r="F762" s="493"/>
    </row>
    <row r="763" spans="1:6" thickBot="1">
      <c r="A763" s="164"/>
      <c r="B763" s="164"/>
      <c r="C763" s="159"/>
      <c r="D763" s="159"/>
      <c r="E763" s="159"/>
      <c r="F763" s="493"/>
    </row>
    <row r="764" spans="1:6" thickBot="1">
      <c r="A764" s="164"/>
      <c r="B764" s="164"/>
      <c r="C764" s="159"/>
      <c r="D764" s="159"/>
      <c r="E764" s="159"/>
      <c r="F764" s="493"/>
    </row>
    <row r="765" spans="1:6" thickBot="1">
      <c r="A765" s="164"/>
      <c r="B765" s="164"/>
      <c r="C765" s="159"/>
      <c r="D765" s="159"/>
      <c r="E765" s="159"/>
      <c r="F765" s="493"/>
    </row>
    <row r="766" spans="1:6" thickBot="1">
      <c r="A766" s="164"/>
      <c r="B766" s="164"/>
      <c r="C766" s="159"/>
      <c r="D766" s="159"/>
      <c r="E766" s="159"/>
      <c r="F766" s="493"/>
    </row>
    <row r="767" spans="1:6" thickBot="1">
      <c r="A767" s="164"/>
      <c r="B767" s="164"/>
      <c r="C767" s="159"/>
      <c r="D767" s="159"/>
      <c r="E767" s="159"/>
      <c r="F767" s="493"/>
    </row>
    <row r="768" spans="1:6" thickBot="1">
      <c r="A768" s="164"/>
      <c r="B768" s="164"/>
      <c r="C768" s="159"/>
      <c r="D768" s="159"/>
      <c r="E768" s="159"/>
      <c r="F768" s="493"/>
    </row>
    <row r="769" spans="1:6" thickBot="1">
      <c r="A769" s="164"/>
      <c r="B769" s="164"/>
      <c r="C769" s="159"/>
      <c r="D769" s="159"/>
      <c r="E769" s="159"/>
      <c r="F769" s="493"/>
    </row>
    <row r="770" spans="1:6" thickBot="1">
      <c r="A770" s="164"/>
      <c r="B770" s="164"/>
      <c r="C770" s="159"/>
      <c r="D770" s="159"/>
      <c r="E770" s="159"/>
      <c r="F770" s="493"/>
    </row>
    <row r="771" spans="1:6" thickBot="1">
      <c r="A771" s="164"/>
      <c r="B771" s="164"/>
      <c r="C771" s="159"/>
      <c r="D771" s="159"/>
      <c r="E771" s="159"/>
      <c r="F771" s="493"/>
    </row>
    <row r="772" spans="1:6" thickBot="1">
      <c r="A772" s="164"/>
      <c r="B772" s="164"/>
      <c r="C772" s="159"/>
      <c r="D772" s="159"/>
      <c r="E772" s="159"/>
      <c r="F772" s="493"/>
    </row>
    <row r="773" spans="1:6" thickBot="1">
      <c r="A773" s="164"/>
      <c r="B773" s="164"/>
      <c r="C773" s="159"/>
      <c r="D773" s="159"/>
      <c r="E773" s="159"/>
      <c r="F773" s="493"/>
    </row>
    <row r="774" spans="1:6" thickBot="1">
      <c r="A774" s="164"/>
      <c r="B774" s="164"/>
      <c r="C774" s="159"/>
      <c r="D774" s="159"/>
      <c r="E774" s="159"/>
      <c r="F774" s="493"/>
    </row>
    <row r="775" spans="1:6" thickBot="1">
      <c r="A775" s="164"/>
      <c r="B775" s="164"/>
      <c r="C775" s="159"/>
      <c r="D775" s="159"/>
      <c r="E775" s="159"/>
      <c r="F775" s="493"/>
    </row>
    <row r="776" spans="1:6" thickBot="1">
      <c r="A776" s="164"/>
      <c r="B776" s="164"/>
      <c r="C776" s="159"/>
      <c r="D776" s="159"/>
      <c r="E776" s="159"/>
      <c r="F776" s="493"/>
    </row>
    <row r="777" spans="1:6" thickBot="1">
      <c r="A777" s="164"/>
      <c r="B777" s="164"/>
      <c r="C777" s="159"/>
      <c r="D777" s="159"/>
      <c r="E777" s="159"/>
      <c r="F777" s="493"/>
    </row>
    <row r="778" spans="1:6" thickBot="1">
      <c r="A778" s="164"/>
      <c r="B778" s="164"/>
      <c r="C778" s="159"/>
      <c r="D778" s="159"/>
      <c r="E778" s="159"/>
      <c r="F778" s="493"/>
    </row>
    <row r="779" spans="1:6" thickBot="1">
      <c r="A779" s="164"/>
      <c r="B779" s="164"/>
      <c r="C779" s="159"/>
      <c r="D779" s="159"/>
      <c r="E779" s="159"/>
      <c r="F779" s="493"/>
    </row>
    <row r="780" spans="1:6" thickBot="1">
      <c r="A780" s="164"/>
      <c r="B780" s="164"/>
      <c r="C780" s="159"/>
      <c r="D780" s="159"/>
      <c r="E780" s="159"/>
      <c r="F780" s="493"/>
    </row>
    <row r="781" spans="1:6" thickBot="1">
      <c r="A781" s="164"/>
      <c r="B781" s="164"/>
      <c r="C781" s="159"/>
      <c r="D781" s="159"/>
      <c r="E781" s="159"/>
      <c r="F781" s="493"/>
    </row>
    <row r="782" spans="1:6" thickBot="1">
      <c r="A782" s="164"/>
      <c r="B782" s="164"/>
      <c r="C782" s="159"/>
      <c r="D782" s="159"/>
      <c r="E782" s="159"/>
      <c r="F782" s="493"/>
    </row>
    <row r="783" spans="1:6" thickBot="1">
      <c r="A783" s="164"/>
      <c r="B783" s="164"/>
      <c r="C783" s="159"/>
      <c r="D783" s="159"/>
      <c r="E783" s="159"/>
      <c r="F783" s="493"/>
    </row>
    <row r="784" spans="1:6" thickBot="1">
      <c r="A784" s="164"/>
      <c r="B784" s="164"/>
      <c r="C784" s="159"/>
      <c r="D784" s="159"/>
      <c r="E784" s="159"/>
      <c r="F784" s="493"/>
    </row>
    <row r="785" spans="1:6" thickBot="1">
      <c r="A785" s="164"/>
      <c r="B785" s="164"/>
      <c r="C785" s="159"/>
      <c r="D785" s="159"/>
      <c r="E785" s="159"/>
      <c r="F785" s="493"/>
    </row>
    <row r="786" spans="1:6" thickBot="1">
      <c r="A786" s="164"/>
      <c r="B786" s="164"/>
      <c r="C786" s="159"/>
      <c r="D786" s="159"/>
      <c r="E786" s="159"/>
      <c r="F786" s="493"/>
    </row>
    <row r="787" spans="1:6" thickBot="1">
      <c r="A787" s="164"/>
      <c r="B787" s="164"/>
      <c r="C787" s="159"/>
      <c r="D787" s="159"/>
      <c r="E787" s="159"/>
      <c r="F787" s="493"/>
    </row>
    <row r="788" spans="1:6" thickBot="1">
      <c r="A788" s="164"/>
      <c r="B788" s="164"/>
      <c r="C788" s="159"/>
      <c r="D788" s="159"/>
      <c r="E788" s="159"/>
      <c r="F788" s="493"/>
    </row>
    <row r="789" spans="1:6" thickBot="1">
      <c r="A789" s="164"/>
      <c r="B789" s="164"/>
      <c r="C789" s="159"/>
      <c r="D789" s="159"/>
      <c r="E789" s="159"/>
      <c r="F789" s="493"/>
    </row>
    <row r="790" spans="1:6" thickBot="1">
      <c r="A790" s="164"/>
      <c r="B790" s="164"/>
      <c r="C790" s="159"/>
      <c r="D790" s="159"/>
      <c r="E790" s="159"/>
      <c r="F790" s="493"/>
    </row>
    <row r="791" spans="1:6" thickBot="1">
      <c r="A791" s="164"/>
      <c r="B791" s="164"/>
      <c r="C791" s="159"/>
      <c r="D791" s="159"/>
      <c r="E791" s="159"/>
      <c r="F791" s="493"/>
    </row>
    <row r="792" spans="1:6" thickBot="1">
      <c r="A792" s="164"/>
      <c r="B792" s="164"/>
      <c r="C792" s="159"/>
      <c r="D792" s="159"/>
      <c r="E792" s="159"/>
      <c r="F792" s="493"/>
    </row>
    <row r="793" spans="1:6" thickBot="1">
      <c r="A793" s="164"/>
      <c r="B793" s="164"/>
      <c r="C793" s="159"/>
      <c r="D793" s="159"/>
      <c r="E793" s="159"/>
      <c r="F793" s="493"/>
    </row>
    <row r="794" spans="1:6" thickBot="1">
      <c r="A794" s="164"/>
      <c r="B794" s="164"/>
      <c r="C794" s="159"/>
      <c r="D794" s="159"/>
      <c r="E794" s="159"/>
      <c r="F794" s="493"/>
    </row>
    <row r="795" spans="1:6" thickBot="1">
      <c r="A795" s="164"/>
      <c r="B795" s="164"/>
      <c r="C795" s="159"/>
      <c r="D795" s="159"/>
      <c r="E795" s="159"/>
      <c r="F795" s="493"/>
    </row>
    <row r="796" spans="1:6" thickBot="1">
      <c r="A796" s="164"/>
      <c r="B796" s="164"/>
      <c r="C796" s="159"/>
      <c r="D796" s="159"/>
      <c r="E796" s="159"/>
      <c r="F796" s="493"/>
    </row>
    <row r="797" spans="1:6" thickBot="1">
      <c r="A797" s="164"/>
      <c r="B797" s="164"/>
      <c r="C797" s="159"/>
      <c r="D797" s="159"/>
      <c r="E797" s="159"/>
      <c r="F797" s="493"/>
    </row>
    <row r="798" spans="1:6" thickBot="1">
      <c r="A798" s="164"/>
      <c r="B798" s="164"/>
      <c r="C798" s="159"/>
      <c r="D798" s="159"/>
      <c r="E798" s="159"/>
      <c r="F798" s="493"/>
    </row>
    <row r="799" spans="1:6" thickBot="1">
      <c r="A799" s="164"/>
      <c r="B799" s="164"/>
      <c r="C799" s="159"/>
      <c r="D799" s="159"/>
      <c r="E799" s="159"/>
      <c r="F799" s="493"/>
    </row>
    <row r="800" spans="1:6" thickBot="1">
      <c r="A800" s="164"/>
      <c r="B800" s="164"/>
      <c r="C800" s="159"/>
      <c r="D800" s="159"/>
      <c r="E800" s="159"/>
      <c r="F800" s="493"/>
    </row>
    <row r="801" spans="1:6" thickBot="1">
      <c r="A801" s="164"/>
      <c r="B801" s="164"/>
      <c r="C801" s="159"/>
      <c r="D801" s="159"/>
      <c r="E801" s="159"/>
      <c r="F801" s="493"/>
    </row>
    <row r="802" spans="1:6" thickBot="1">
      <c r="A802" s="164"/>
      <c r="B802" s="164"/>
      <c r="C802" s="159"/>
      <c r="D802" s="159"/>
      <c r="E802" s="159"/>
      <c r="F802" s="493"/>
    </row>
    <row r="803" spans="1:6" thickBot="1">
      <c r="A803" s="164"/>
      <c r="B803" s="164"/>
      <c r="C803" s="159"/>
      <c r="D803" s="159"/>
      <c r="E803" s="159"/>
      <c r="F803" s="493"/>
    </row>
    <row r="804" spans="1:6" thickBot="1">
      <c r="A804" s="164"/>
      <c r="B804" s="164"/>
      <c r="C804" s="159"/>
      <c r="D804" s="159"/>
      <c r="E804" s="159"/>
      <c r="F804" s="493"/>
    </row>
    <row r="805" spans="1:6" thickBot="1">
      <c r="A805" s="164"/>
      <c r="B805" s="164"/>
      <c r="C805" s="159"/>
      <c r="D805" s="159"/>
      <c r="E805" s="159"/>
      <c r="F805" s="493"/>
    </row>
    <row r="806" spans="1:6" thickBot="1">
      <c r="A806" s="164"/>
      <c r="B806" s="164"/>
      <c r="C806" s="159"/>
      <c r="D806" s="159"/>
      <c r="E806" s="159"/>
      <c r="F806" s="493"/>
    </row>
    <row r="807" spans="1:6" thickBot="1">
      <c r="A807" s="164"/>
      <c r="B807" s="164"/>
      <c r="C807" s="159"/>
      <c r="D807" s="159"/>
      <c r="E807" s="159"/>
      <c r="F807" s="493"/>
    </row>
    <row r="808" spans="1:6" thickBot="1">
      <c r="A808" s="164"/>
      <c r="B808" s="164"/>
      <c r="C808" s="159"/>
      <c r="D808" s="159"/>
      <c r="E808" s="159"/>
      <c r="F808" s="493"/>
    </row>
    <row r="809" spans="1:6" thickBot="1">
      <c r="A809" s="164"/>
      <c r="B809" s="164"/>
      <c r="C809" s="159"/>
      <c r="D809" s="159"/>
      <c r="E809" s="159"/>
      <c r="F809" s="493"/>
    </row>
    <row r="810" spans="1:6" thickBot="1">
      <c r="A810" s="164"/>
      <c r="B810" s="164"/>
      <c r="C810" s="159"/>
      <c r="D810" s="159"/>
      <c r="E810" s="159"/>
      <c r="F810" s="493"/>
    </row>
    <row r="811" spans="1:6" thickBot="1">
      <c r="A811" s="164"/>
      <c r="B811" s="164"/>
      <c r="C811" s="159"/>
      <c r="D811" s="159"/>
      <c r="E811" s="159"/>
      <c r="F811" s="493"/>
    </row>
    <row r="812" spans="1:6" thickBot="1">
      <c r="A812" s="164"/>
      <c r="B812" s="164"/>
      <c r="C812" s="159"/>
      <c r="D812" s="159"/>
      <c r="E812" s="159"/>
      <c r="F812" s="493"/>
    </row>
    <row r="813" spans="1:6" thickBot="1">
      <c r="A813" s="164"/>
      <c r="B813" s="164"/>
      <c r="C813" s="159"/>
      <c r="D813" s="159"/>
      <c r="E813" s="159"/>
      <c r="F813" s="493"/>
    </row>
    <row r="814" spans="1:6" thickBot="1">
      <c r="A814" s="164"/>
      <c r="B814" s="164"/>
      <c r="C814" s="159"/>
      <c r="D814" s="159"/>
      <c r="E814" s="159"/>
      <c r="F814" s="493"/>
    </row>
    <row r="815" spans="1:6" thickBot="1">
      <c r="A815" s="164"/>
      <c r="B815" s="164"/>
      <c r="C815" s="159"/>
      <c r="D815" s="159"/>
      <c r="E815" s="159"/>
      <c r="F815" s="493"/>
    </row>
    <row r="816" spans="1:6" thickBot="1">
      <c r="A816" s="164"/>
      <c r="B816" s="164"/>
      <c r="C816" s="159"/>
      <c r="D816" s="159"/>
      <c r="E816" s="159"/>
      <c r="F816" s="493"/>
    </row>
    <row r="817" spans="1:6" thickBot="1">
      <c r="A817" s="164"/>
      <c r="B817" s="164"/>
      <c r="C817" s="159"/>
      <c r="D817" s="159"/>
      <c r="E817" s="159"/>
      <c r="F817" s="493"/>
    </row>
    <row r="818" spans="1:6" thickBot="1">
      <c r="A818" s="164"/>
      <c r="B818" s="164"/>
      <c r="C818" s="159"/>
      <c r="D818" s="159"/>
      <c r="E818" s="159"/>
      <c r="F818" s="493"/>
    </row>
    <row r="819" spans="1:6" thickBot="1">
      <c r="A819" s="164"/>
      <c r="B819" s="164"/>
      <c r="C819" s="159"/>
      <c r="D819" s="159"/>
      <c r="E819" s="159"/>
      <c r="F819" s="493"/>
    </row>
    <row r="820" spans="1:6" thickBot="1">
      <c r="A820" s="164"/>
      <c r="B820" s="164"/>
      <c r="C820" s="159"/>
      <c r="D820" s="159"/>
      <c r="E820" s="159"/>
      <c r="F820" s="493"/>
    </row>
    <row r="821" spans="1:6" thickBot="1">
      <c r="A821" s="164"/>
      <c r="B821" s="164"/>
      <c r="C821" s="159"/>
      <c r="D821" s="159"/>
      <c r="E821" s="159"/>
      <c r="F821" s="493"/>
    </row>
    <row r="822" spans="1:6" thickBot="1">
      <c r="A822" s="164"/>
      <c r="B822" s="164"/>
      <c r="C822" s="159"/>
      <c r="D822" s="159"/>
      <c r="E822" s="159"/>
      <c r="F822" s="493"/>
    </row>
    <row r="823" spans="1:6" thickBot="1">
      <c r="A823" s="164"/>
      <c r="B823" s="164"/>
      <c r="C823" s="159"/>
      <c r="D823" s="159"/>
      <c r="E823" s="159"/>
      <c r="F823" s="493"/>
    </row>
    <row r="824" spans="1:6" thickBot="1">
      <c r="A824" s="164"/>
      <c r="B824" s="164"/>
      <c r="C824" s="159"/>
      <c r="D824" s="159"/>
      <c r="E824" s="159"/>
      <c r="F824" s="493"/>
    </row>
    <row r="825" spans="1:6" thickBot="1">
      <c r="A825" s="164"/>
      <c r="B825" s="164"/>
      <c r="C825" s="159"/>
      <c r="D825" s="159"/>
      <c r="E825" s="159"/>
      <c r="F825" s="493"/>
    </row>
    <row r="826" spans="1:6" thickBot="1">
      <c r="A826" s="164"/>
      <c r="B826" s="164"/>
      <c r="C826" s="159"/>
      <c r="D826" s="159"/>
      <c r="E826" s="159"/>
      <c r="F826" s="493"/>
    </row>
    <row r="827" spans="1:6" thickBot="1">
      <c r="A827" s="164"/>
      <c r="B827" s="164"/>
      <c r="C827" s="159"/>
      <c r="D827" s="159"/>
      <c r="E827" s="159"/>
      <c r="F827" s="493"/>
    </row>
    <row r="828" spans="1:6" thickBot="1">
      <c r="A828" s="164"/>
      <c r="B828" s="164"/>
      <c r="C828" s="159"/>
      <c r="D828" s="159"/>
      <c r="E828" s="159"/>
      <c r="F828" s="493"/>
    </row>
    <row r="829" spans="1:6" thickBot="1">
      <c r="A829" s="164"/>
      <c r="B829" s="164"/>
      <c r="C829" s="159"/>
      <c r="D829" s="159"/>
      <c r="E829" s="159"/>
      <c r="F829" s="493"/>
    </row>
    <row r="830" spans="1:6" thickBot="1">
      <c r="A830" s="164"/>
      <c r="B830" s="164"/>
      <c r="C830" s="159"/>
      <c r="D830" s="159"/>
      <c r="E830" s="159"/>
      <c r="F830" s="493"/>
    </row>
    <row r="831" spans="1:6" thickBot="1">
      <c r="A831" s="164"/>
      <c r="B831" s="164"/>
      <c r="C831" s="159"/>
      <c r="D831" s="159"/>
      <c r="E831" s="159"/>
      <c r="F831" s="493"/>
    </row>
    <row r="832" spans="1:6" thickBot="1">
      <c r="A832" s="164"/>
      <c r="B832" s="164"/>
      <c r="C832" s="159"/>
      <c r="D832" s="159"/>
      <c r="E832" s="159"/>
      <c r="F832" s="493"/>
    </row>
    <row r="833" spans="1:6" thickBot="1">
      <c r="A833" s="164"/>
      <c r="B833" s="164"/>
      <c r="C833" s="159"/>
      <c r="D833" s="159"/>
      <c r="E833" s="159"/>
      <c r="F833" s="493"/>
    </row>
    <row r="834" spans="1:6" thickBot="1">
      <c r="A834" s="164"/>
      <c r="B834" s="164"/>
      <c r="C834" s="159"/>
      <c r="D834" s="159"/>
      <c r="E834" s="159"/>
      <c r="F834" s="493"/>
    </row>
    <row r="835" spans="1:6" thickBot="1">
      <c r="A835" s="164"/>
      <c r="B835" s="164"/>
      <c r="C835" s="159"/>
      <c r="D835" s="159"/>
      <c r="E835" s="159"/>
      <c r="F835" s="493"/>
    </row>
    <row r="836" spans="1:6" thickBot="1">
      <c r="A836" s="164"/>
      <c r="B836" s="164"/>
      <c r="C836" s="159"/>
      <c r="D836" s="159"/>
      <c r="E836" s="159"/>
      <c r="F836" s="493"/>
    </row>
    <row r="837" spans="1:6" thickBot="1">
      <c r="A837" s="164"/>
      <c r="B837" s="164"/>
      <c r="C837" s="159"/>
      <c r="D837" s="159"/>
      <c r="E837" s="159"/>
      <c r="F837" s="493"/>
    </row>
    <row r="838" spans="1:6" thickBot="1">
      <c r="A838" s="164"/>
      <c r="B838" s="164"/>
      <c r="C838" s="159"/>
      <c r="D838" s="159"/>
      <c r="E838" s="159"/>
      <c r="F838" s="493"/>
    </row>
    <row r="839" spans="1:6" thickBot="1">
      <c r="A839" s="164"/>
      <c r="B839" s="164"/>
      <c r="C839" s="159"/>
      <c r="D839" s="159"/>
      <c r="E839" s="159"/>
      <c r="F839" s="493"/>
    </row>
    <row r="840" spans="1:6" thickBot="1">
      <c r="A840" s="164"/>
      <c r="B840" s="164"/>
      <c r="C840" s="159"/>
      <c r="D840" s="159"/>
      <c r="E840" s="159"/>
      <c r="F840" s="493"/>
    </row>
    <row r="841" spans="1:6" thickBot="1">
      <c r="A841" s="164"/>
      <c r="B841" s="164"/>
      <c r="C841" s="159"/>
      <c r="D841" s="159"/>
      <c r="E841" s="159"/>
      <c r="F841" s="493"/>
    </row>
    <row r="842" spans="1:6" thickBot="1">
      <c r="A842" s="164"/>
      <c r="B842" s="164"/>
      <c r="C842" s="159"/>
      <c r="D842" s="159"/>
      <c r="E842" s="159"/>
      <c r="F842" s="493"/>
    </row>
    <row r="843" spans="1:6" thickBot="1">
      <c r="A843" s="164"/>
      <c r="B843" s="164"/>
      <c r="C843" s="159"/>
      <c r="D843" s="159"/>
      <c r="E843" s="159"/>
      <c r="F843" s="493"/>
    </row>
    <row r="844" spans="1:6" thickBot="1">
      <c r="A844" s="164"/>
      <c r="B844" s="164"/>
      <c r="C844" s="159"/>
      <c r="D844" s="159"/>
      <c r="E844" s="159"/>
      <c r="F844" s="493"/>
    </row>
    <row r="845" spans="1:6" thickBot="1">
      <c r="A845" s="164"/>
      <c r="B845" s="164"/>
      <c r="C845" s="159"/>
      <c r="D845" s="159"/>
      <c r="E845" s="159"/>
      <c r="F845" s="493"/>
    </row>
    <row r="846" spans="1:6" thickBot="1">
      <c r="A846" s="164"/>
      <c r="B846" s="164"/>
      <c r="C846" s="159"/>
      <c r="D846" s="159"/>
      <c r="E846" s="159"/>
      <c r="F846" s="493"/>
    </row>
    <row r="847" spans="1:6" thickBot="1">
      <c r="A847" s="164"/>
      <c r="B847" s="164"/>
      <c r="C847" s="159"/>
      <c r="D847" s="159"/>
      <c r="E847" s="159"/>
      <c r="F847" s="493"/>
    </row>
    <row r="848" spans="1:6" thickBot="1">
      <c r="A848" s="164"/>
      <c r="B848" s="164"/>
      <c r="C848" s="159"/>
      <c r="D848" s="159"/>
      <c r="E848" s="159"/>
      <c r="F848" s="493"/>
    </row>
    <row r="849" spans="1:6" thickBot="1">
      <c r="A849" s="164"/>
      <c r="B849" s="164"/>
      <c r="C849" s="159"/>
      <c r="D849" s="159"/>
      <c r="E849" s="159"/>
      <c r="F849" s="493"/>
    </row>
    <row r="850" spans="1:6" thickBot="1">
      <c r="A850" s="164"/>
      <c r="B850" s="164"/>
      <c r="C850" s="159"/>
      <c r="D850" s="159"/>
      <c r="E850" s="159"/>
      <c r="F850" s="493"/>
    </row>
    <row r="851" spans="1:6" thickBot="1">
      <c r="A851" s="164"/>
      <c r="B851" s="164"/>
      <c r="C851" s="159"/>
      <c r="D851" s="159"/>
      <c r="E851" s="159"/>
      <c r="F851" s="493"/>
    </row>
    <row r="852" spans="1:6" thickBot="1">
      <c r="A852" s="164"/>
      <c r="B852" s="164"/>
      <c r="C852" s="159"/>
      <c r="D852" s="159"/>
      <c r="E852" s="159"/>
      <c r="F852" s="493"/>
    </row>
    <row r="853" spans="1:6" thickBot="1">
      <c r="A853" s="164"/>
      <c r="B853" s="164"/>
      <c r="C853" s="159"/>
      <c r="D853" s="159"/>
      <c r="E853" s="159"/>
      <c r="F853" s="493"/>
    </row>
    <row r="854" spans="1:6" thickBot="1">
      <c r="A854" s="164"/>
      <c r="B854" s="164"/>
      <c r="C854" s="159"/>
      <c r="D854" s="159"/>
      <c r="E854" s="159"/>
      <c r="F854" s="493"/>
    </row>
    <row r="855" spans="1:6" thickBot="1">
      <c r="A855" s="164"/>
      <c r="B855" s="164"/>
      <c r="C855" s="159"/>
      <c r="D855" s="159"/>
      <c r="E855" s="159"/>
      <c r="F855" s="493"/>
    </row>
    <row r="856" spans="1:6" thickBot="1">
      <c r="A856" s="164"/>
      <c r="B856" s="164"/>
      <c r="C856" s="159"/>
      <c r="D856" s="159"/>
      <c r="E856" s="159"/>
      <c r="F856" s="493"/>
    </row>
    <row r="857" spans="1:6" thickBot="1">
      <c r="A857" s="164"/>
      <c r="B857" s="164"/>
      <c r="C857" s="159"/>
      <c r="D857" s="159"/>
      <c r="E857" s="159"/>
      <c r="F857" s="493"/>
    </row>
    <row r="858" spans="1:6" thickBot="1">
      <c r="A858" s="164"/>
      <c r="B858" s="164"/>
      <c r="C858" s="159"/>
      <c r="D858" s="159"/>
      <c r="E858" s="159"/>
      <c r="F858" s="493"/>
    </row>
    <row r="859" spans="1:6" thickBot="1">
      <c r="A859" s="164"/>
      <c r="B859" s="164"/>
      <c r="C859" s="159"/>
      <c r="D859" s="159"/>
      <c r="E859" s="159"/>
      <c r="F859" s="493"/>
    </row>
    <row r="860" spans="1:6" thickBot="1">
      <c r="A860" s="164"/>
      <c r="B860" s="164"/>
      <c r="C860" s="159"/>
      <c r="D860" s="159"/>
      <c r="E860" s="159"/>
      <c r="F860" s="493"/>
    </row>
    <row r="861" spans="1:6" thickBot="1">
      <c r="A861" s="164"/>
      <c r="B861" s="164"/>
      <c r="C861" s="159"/>
      <c r="D861" s="159"/>
      <c r="E861" s="159"/>
      <c r="F861" s="493"/>
    </row>
    <row r="862" spans="1:6" thickBot="1">
      <c r="A862" s="164"/>
      <c r="B862" s="164"/>
      <c r="C862" s="159"/>
      <c r="D862" s="159"/>
      <c r="E862" s="159"/>
      <c r="F862" s="493"/>
    </row>
    <row r="863" spans="1:6" thickBot="1">
      <c r="A863" s="164"/>
      <c r="B863" s="164"/>
      <c r="C863" s="159"/>
      <c r="D863" s="159"/>
      <c r="E863" s="159"/>
      <c r="F863" s="493"/>
    </row>
    <row r="864" spans="1:6" thickBot="1">
      <c r="A864" s="164"/>
      <c r="B864" s="164"/>
      <c r="C864" s="159"/>
      <c r="D864" s="159"/>
      <c r="E864" s="159"/>
      <c r="F864" s="493"/>
    </row>
    <row r="865" spans="1:6" thickBot="1">
      <c r="A865" s="164"/>
      <c r="B865" s="164"/>
      <c r="C865" s="159"/>
      <c r="D865" s="159"/>
      <c r="E865" s="159"/>
      <c r="F865" s="493"/>
    </row>
    <row r="866" spans="1:6" thickBot="1">
      <c r="A866" s="164"/>
      <c r="B866" s="164"/>
      <c r="C866" s="159"/>
      <c r="D866" s="159"/>
      <c r="E866" s="159"/>
      <c r="F866" s="493"/>
    </row>
    <row r="867" spans="1:6" thickBot="1">
      <c r="A867" s="164"/>
      <c r="B867" s="164"/>
      <c r="C867" s="159"/>
      <c r="D867" s="159"/>
      <c r="E867" s="159"/>
      <c r="F867" s="493"/>
    </row>
    <row r="868" spans="1:6" thickBot="1">
      <c r="A868" s="164"/>
      <c r="B868" s="164"/>
      <c r="C868" s="159"/>
      <c r="D868" s="159"/>
      <c r="E868" s="159"/>
      <c r="F868" s="493"/>
    </row>
    <row r="869" spans="1:6" thickBot="1">
      <c r="A869" s="164"/>
      <c r="B869" s="164"/>
      <c r="C869" s="159"/>
      <c r="D869" s="159"/>
      <c r="E869" s="159"/>
      <c r="F869" s="493"/>
    </row>
    <row r="870" spans="1:6" thickBot="1">
      <c r="A870" s="164"/>
      <c r="B870" s="164"/>
      <c r="C870" s="159"/>
      <c r="D870" s="159"/>
      <c r="E870" s="159"/>
      <c r="F870" s="493"/>
    </row>
    <row r="871" spans="1:6" thickBot="1">
      <c r="A871" s="164"/>
      <c r="B871" s="164"/>
      <c r="C871" s="159"/>
      <c r="D871" s="159"/>
      <c r="E871" s="159"/>
      <c r="F871" s="493"/>
    </row>
    <row r="872" spans="1:6" thickBot="1">
      <c r="A872" s="164"/>
      <c r="B872" s="164"/>
      <c r="C872" s="159"/>
      <c r="D872" s="159"/>
      <c r="E872" s="159"/>
      <c r="F872" s="493"/>
    </row>
    <row r="873" spans="1:6" thickBot="1">
      <c r="A873" s="164"/>
      <c r="B873" s="164"/>
      <c r="C873" s="159"/>
      <c r="D873" s="159"/>
      <c r="E873" s="159"/>
      <c r="F873" s="493"/>
    </row>
    <row r="874" spans="1:6" thickBot="1">
      <c r="A874" s="164"/>
      <c r="B874" s="164"/>
      <c r="C874" s="159"/>
      <c r="D874" s="159"/>
      <c r="E874" s="159"/>
      <c r="F874" s="493"/>
    </row>
    <row r="875" spans="1:6" thickBot="1">
      <c r="A875" s="164"/>
      <c r="B875" s="164"/>
      <c r="C875" s="159"/>
      <c r="D875" s="159"/>
      <c r="E875" s="159"/>
      <c r="F875" s="493"/>
    </row>
    <row r="876" spans="1:6" thickBot="1">
      <c r="A876" s="164"/>
      <c r="B876" s="164"/>
      <c r="C876" s="159"/>
      <c r="D876" s="159"/>
      <c r="E876" s="159"/>
      <c r="F876" s="493"/>
    </row>
    <row r="877" spans="1:6" thickBot="1">
      <c r="A877" s="164"/>
      <c r="B877" s="164"/>
      <c r="C877" s="159"/>
      <c r="D877" s="159"/>
      <c r="E877" s="159"/>
      <c r="F877" s="493"/>
    </row>
    <row r="878" spans="1:6" thickBot="1">
      <c r="A878" s="164"/>
      <c r="B878" s="164"/>
      <c r="C878" s="159"/>
      <c r="D878" s="159"/>
      <c r="E878" s="159"/>
      <c r="F878" s="493"/>
    </row>
    <row r="879" spans="1:6" thickBot="1">
      <c r="A879" s="164"/>
      <c r="B879" s="164"/>
      <c r="C879" s="159"/>
      <c r="D879" s="159"/>
      <c r="E879" s="159"/>
      <c r="F879" s="493"/>
    </row>
    <row r="880" spans="1:6" thickBot="1">
      <c r="A880" s="164"/>
      <c r="B880" s="164"/>
      <c r="C880" s="159"/>
      <c r="D880" s="159"/>
      <c r="E880" s="159"/>
      <c r="F880" s="493"/>
    </row>
    <row r="881" spans="1:6" thickBot="1">
      <c r="A881" s="164"/>
      <c r="B881" s="164"/>
      <c r="C881" s="159"/>
      <c r="D881" s="159"/>
      <c r="E881" s="159"/>
      <c r="F881" s="493"/>
    </row>
    <row r="882" spans="1:6" thickBot="1">
      <c r="A882" s="164"/>
      <c r="B882" s="164"/>
      <c r="C882" s="159"/>
      <c r="D882" s="159"/>
      <c r="E882" s="159"/>
      <c r="F882" s="493"/>
    </row>
    <row r="883" spans="1:6" thickBot="1">
      <c r="A883" s="164"/>
      <c r="B883" s="164"/>
      <c r="C883" s="159"/>
      <c r="D883" s="159"/>
      <c r="E883" s="159"/>
      <c r="F883" s="493"/>
    </row>
    <row r="884" spans="1:6" thickBot="1">
      <c r="A884" s="164"/>
      <c r="B884" s="164"/>
      <c r="C884" s="159"/>
      <c r="D884" s="159"/>
      <c r="E884" s="159"/>
      <c r="F884" s="493"/>
    </row>
    <row r="885" spans="1:6" thickBot="1">
      <c r="A885" s="164"/>
      <c r="B885" s="164"/>
      <c r="C885" s="159"/>
      <c r="D885" s="159"/>
      <c r="E885" s="159"/>
      <c r="F885" s="493"/>
    </row>
    <row r="886" spans="1:6" thickBot="1">
      <c r="A886" s="164"/>
      <c r="B886" s="164"/>
      <c r="C886" s="159"/>
      <c r="D886" s="159"/>
      <c r="E886" s="159"/>
      <c r="F886" s="493"/>
    </row>
    <row r="887" spans="1:6" thickBot="1">
      <c r="A887" s="164"/>
      <c r="B887" s="164"/>
      <c r="C887" s="159"/>
      <c r="D887" s="159"/>
      <c r="E887" s="159"/>
      <c r="F887" s="493"/>
    </row>
    <row r="888" spans="1:6" thickBot="1">
      <c r="A888" s="164"/>
      <c r="B888" s="164"/>
      <c r="C888" s="159"/>
      <c r="D888" s="159"/>
      <c r="E888" s="159"/>
      <c r="F888" s="493"/>
    </row>
    <row r="889" spans="1:6" thickBot="1">
      <c r="A889" s="164"/>
      <c r="B889" s="164"/>
      <c r="C889" s="159"/>
      <c r="D889" s="159"/>
      <c r="E889" s="159"/>
      <c r="F889" s="493"/>
    </row>
    <row r="890" spans="1:6" thickBot="1">
      <c r="A890" s="164"/>
      <c r="B890" s="164"/>
      <c r="C890" s="159"/>
      <c r="D890" s="159"/>
      <c r="E890" s="159"/>
      <c r="F890" s="493"/>
    </row>
    <row r="891" spans="1:6" thickBot="1">
      <c r="A891" s="164"/>
      <c r="B891" s="164"/>
      <c r="C891" s="159"/>
      <c r="D891" s="159"/>
      <c r="E891" s="159"/>
      <c r="F891" s="493"/>
    </row>
    <row r="892" spans="1:6" thickBot="1">
      <c r="A892" s="164"/>
      <c r="B892" s="164"/>
      <c r="C892" s="159"/>
      <c r="D892" s="159"/>
      <c r="E892" s="159"/>
      <c r="F892" s="493"/>
    </row>
    <row r="893" spans="1:6" thickBot="1">
      <c r="A893" s="164"/>
      <c r="B893" s="164"/>
      <c r="C893" s="159"/>
      <c r="D893" s="159"/>
      <c r="E893" s="159"/>
      <c r="F893" s="493"/>
    </row>
    <row r="894" spans="1:6" thickBot="1">
      <c r="A894" s="164"/>
      <c r="B894" s="164"/>
      <c r="C894" s="159"/>
      <c r="D894" s="159"/>
      <c r="E894" s="159"/>
      <c r="F894" s="493"/>
    </row>
    <row r="895" spans="1:6" thickBot="1">
      <c r="A895" s="164"/>
      <c r="B895" s="164"/>
      <c r="C895" s="159"/>
      <c r="D895" s="159"/>
      <c r="E895" s="159"/>
      <c r="F895" s="493"/>
    </row>
    <row r="896" spans="1:6" thickBot="1">
      <c r="A896" s="164"/>
      <c r="B896" s="164"/>
      <c r="C896" s="159"/>
      <c r="D896" s="159"/>
      <c r="E896" s="159"/>
      <c r="F896" s="493"/>
    </row>
    <row r="897" spans="1:6" thickBot="1">
      <c r="A897" s="164"/>
      <c r="B897" s="164"/>
      <c r="C897" s="159"/>
      <c r="D897" s="159"/>
      <c r="E897" s="159"/>
      <c r="F897" s="493"/>
    </row>
    <row r="898" spans="1:6" thickBot="1">
      <c r="A898" s="164"/>
      <c r="B898" s="164"/>
      <c r="C898" s="159"/>
      <c r="D898" s="159"/>
      <c r="E898" s="159"/>
      <c r="F898" s="493"/>
    </row>
    <row r="899" spans="1:6" thickBot="1">
      <c r="A899" s="164"/>
      <c r="B899" s="164"/>
      <c r="C899" s="159"/>
      <c r="D899" s="159"/>
      <c r="E899" s="159"/>
      <c r="F899" s="493"/>
    </row>
    <row r="900" spans="1:6" thickBot="1">
      <c r="A900" s="164"/>
      <c r="B900" s="164"/>
      <c r="C900" s="159"/>
      <c r="D900" s="159"/>
      <c r="E900" s="159"/>
      <c r="F900" s="493"/>
    </row>
    <row r="901" spans="1:6" thickBot="1">
      <c r="A901" s="164"/>
      <c r="B901" s="164"/>
      <c r="C901" s="159"/>
      <c r="D901" s="159"/>
      <c r="E901" s="159"/>
      <c r="F901" s="493"/>
    </row>
    <row r="902" spans="1:6" thickBot="1">
      <c r="A902" s="164"/>
      <c r="B902" s="164"/>
      <c r="C902" s="159"/>
      <c r="D902" s="159"/>
      <c r="E902" s="159"/>
      <c r="F902" s="493"/>
    </row>
    <row r="903" spans="1:6" thickBot="1">
      <c r="A903" s="164"/>
      <c r="B903" s="164"/>
      <c r="C903" s="159"/>
      <c r="D903" s="159"/>
      <c r="E903" s="159"/>
      <c r="F903" s="493"/>
    </row>
    <row r="904" spans="1:6" thickBot="1">
      <c r="A904" s="164"/>
      <c r="B904" s="164"/>
      <c r="C904" s="159"/>
      <c r="D904" s="159"/>
      <c r="E904" s="159"/>
      <c r="F904" s="493"/>
    </row>
    <row r="905" spans="1:6" thickBot="1">
      <c r="A905" s="164"/>
      <c r="B905" s="164"/>
      <c r="C905" s="159"/>
      <c r="D905" s="159"/>
      <c r="E905" s="159"/>
      <c r="F905" s="493"/>
    </row>
    <row r="906" spans="1:6" thickBot="1">
      <c r="A906" s="164"/>
      <c r="B906" s="164"/>
      <c r="C906" s="159"/>
      <c r="D906" s="159"/>
      <c r="E906" s="159"/>
      <c r="F906" s="493"/>
    </row>
    <row r="907" spans="1:6" thickBot="1">
      <c r="A907" s="164"/>
      <c r="B907" s="164"/>
      <c r="C907" s="159"/>
      <c r="D907" s="159"/>
      <c r="E907" s="159"/>
      <c r="F907" s="493"/>
    </row>
    <row r="908" spans="1:6" thickBot="1">
      <c r="A908" s="164"/>
      <c r="B908" s="164"/>
      <c r="C908" s="159"/>
      <c r="D908" s="159"/>
      <c r="E908" s="159"/>
      <c r="F908" s="493"/>
    </row>
    <row r="909" spans="1:6" thickBot="1">
      <c r="A909" s="164"/>
      <c r="B909" s="164"/>
      <c r="C909" s="159"/>
      <c r="D909" s="159"/>
      <c r="E909" s="159"/>
      <c r="F909" s="493"/>
    </row>
    <row r="910" spans="1:6" thickBot="1">
      <c r="A910" s="164"/>
      <c r="B910" s="164"/>
      <c r="C910" s="159"/>
      <c r="D910" s="159"/>
      <c r="E910" s="159"/>
      <c r="F910" s="493"/>
    </row>
    <row r="911" spans="1:6" thickBot="1">
      <c r="A911" s="164"/>
      <c r="B911" s="164"/>
      <c r="C911" s="159"/>
      <c r="D911" s="159"/>
      <c r="E911" s="159"/>
      <c r="F911" s="493"/>
    </row>
    <row r="912" spans="1:6" thickBot="1">
      <c r="A912" s="164"/>
      <c r="B912" s="164"/>
      <c r="C912" s="159"/>
      <c r="D912" s="159"/>
      <c r="E912" s="159"/>
      <c r="F912" s="493"/>
    </row>
    <row r="913" spans="1:6" thickBot="1">
      <c r="A913" s="164"/>
      <c r="B913" s="164"/>
      <c r="C913" s="159"/>
      <c r="D913" s="159"/>
      <c r="E913" s="159"/>
      <c r="F913" s="493"/>
    </row>
    <row r="914" spans="1:6" thickBot="1">
      <c r="A914" s="164"/>
      <c r="B914" s="164"/>
      <c r="C914" s="159"/>
      <c r="D914" s="159"/>
      <c r="E914" s="159"/>
      <c r="F914" s="493"/>
    </row>
    <row r="915" spans="1:6" thickBot="1">
      <c r="A915" s="164"/>
      <c r="B915" s="164"/>
      <c r="C915" s="159"/>
      <c r="D915" s="159"/>
      <c r="E915" s="159"/>
      <c r="F915" s="493"/>
    </row>
    <row r="916" spans="1:6" thickBot="1">
      <c r="A916" s="164"/>
      <c r="B916" s="164"/>
      <c r="C916" s="159"/>
      <c r="D916" s="159"/>
      <c r="E916" s="159"/>
      <c r="F916" s="493"/>
    </row>
    <row r="917" spans="1:6" thickBot="1">
      <c r="A917" s="164"/>
      <c r="B917" s="164"/>
      <c r="C917" s="159"/>
      <c r="D917" s="159"/>
      <c r="E917" s="159"/>
      <c r="F917" s="493"/>
    </row>
    <row r="918" spans="1:6" thickBot="1">
      <c r="A918" s="164"/>
      <c r="B918" s="164"/>
      <c r="C918" s="159"/>
      <c r="D918" s="159"/>
      <c r="E918" s="159"/>
      <c r="F918" s="493"/>
    </row>
    <row r="919" spans="1:6" thickBot="1">
      <c r="A919" s="164"/>
      <c r="B919" s="164"/>
      <c r="C919" s="159"/>
      <c r="D919" s="159"/>
      <c r="E919" s="159"/>
      <c r="F919" s="493"/>
    </row>
    <row r="920" spans="1:6" thickBot="1">
      <c r="A920" s="164"/>
      <c r="B920" s="164"/>
      <c r="C920" s="159"/>
      <c r="D920" s="159"/>
      <c r="E920" s="159"/>
      <c r="F920" s="493"/>
    </row>
    <row r="921" spans="1:6" thickBot="1">
      <c r="A921" s="164"/>
      <c r="B921" s="164"/>
      <c r="C921" s="159"/>
      <c r="D921" s="159"/>
      <c r="E921" s="159"/>
      <c r="F921" s="493"/>
    </row>
    <row r="922" spans="1:6" thickBot="1">
      <c r="A922" s="164"/>
      <c r="B922" s="164"/>
      <c r="C922" s="159"/>
      <c r="D922" s="159"/>
      <c r="E922" s="159"/>
      <c r="F922" s="493"/>
    </row>
    <row r="923" spans="1:6" thickBot="1">
      <c r="A923" s="164"/>
      <c r="B923" s="164"/>
      <c r="C923" s="159"/>
      <c r="D923" s="159"/>
      <c r="E923" s="159"/>
      <c r="F923" s="493"/>
    </row>
    <row r="924" spans="1:6" thickBot="1">
      <c r="A924" s="164"/>
      <c r="B924" s="164"/>
      <c r="C924" s="159"/>
      <c r="D924" s="159"/>
      <c r="E924" s="159"/>
      <c r="F924" s="493"/>
    </row>
    <row r="925" spans="1:6" thickBot="1">
      <c r="A925" s="164"/>
      <c r="B925" s="164"/>
      <c r="C925" s="159"/>
      <c r="D925" s="159"/>
      <c r="E925" s="159"/>
      <c r="F925" s="493"/>
    </row>
    <row r="926" spans="1:6" thickBot="1">
      <c r="A926" s="164"/>
      <c r="B926" s="164"/>
      <c r="C926" s="159"/>
      <c r="D926" s="159"/>
      <c r="E926" s="159"/>
      <c r="F926" s="493"/>
    </row>
    <row r="927" spans="1:6" thickBot="1">
      <c r="A927" s="164"/>
      <c r="B927" s="164"/>
      <c r="C927" s="159"/>
      <c r="D927" s="159"/>
      <c r="E927" s="159"/>
      <c r="F927" s="493"/>
    </row>
    <row r="928" spans="1:6" thickBot="1">
      <c r="A928" s="164"/>
      <c r="B928" s="164"/>
      <c r="C928" s="159"/>
      <c r="D928" s="159"/>
      <c r="E928" s="159"/>
      <c r="F928" s="493"/>
    </row>
    <row r="929" spans="1:6" thickBot="1">
      <c r="A929" s="164"/>
      <c r="B929" s="164"/>
      <c r="C929" s="159"/>
      <c r="D929" s="159"/>
      <c r="E929" s="159"/>
      <c r="F929" s="493"/>
    </row>
    <row r="930" spans="1:6" thickBot="1">
      <c r="A930" s="164"/>
      <c r="B930" s="164"/>
      <c r="C930" s="159"/>
      <c r="D930" s="159"/>
      <c r="E930" s="159"/>
      <c r="F930" s="493"/>
    </row>
    <row r="931" spans="1:6" thickBot="1">
      <c r="A931" s="164"/>
      <c r="B931" s="164"/>
      <c r="C931" s="159"/>
      <c r="D931" s="159"/>
      <c r="E931" s="159"/>
      <c r="F931" s="493"/>
    </row>
    <row r="932" spans="1:6" thickBot="1">
      <c r="A932" s="164"/>
      <c r="B932" s="164"/>
      <c r="C932" s="159"/>
      <c r="D932" s="159"/>
      <c r="E932" s="159"/>
      <c r="F932" s="493"/>
    </row>
    <row r="933" spans="1:6" thickBot="1">
      <c r="A933" s="164"/>
      <c r="B933" s="164"/>
      <c r="C933" s="159"/>
      <c r="D933" s="159"/>
      <c r="E933" s="159"/>
      <c r="F933" s="493"/>
    </row>
    <row r="934" spans="1:6" thickBot="1">
      <c r="A934" s="164"/>
      <c r="B934" s="164"/>
      <c r="C934" s="159"/>
      <c r="D934" s="159"/>
      <c r="E934" s="159"/>
      <c r="F934" s="493"/>
    </row>
    <row r="935" spans="1:6" thickBot="1">
      <c r="A935" s="164"/>
      <c r="B935" s="164"/>
      <c r="C935" s="159"/>
      <c r="D935" s="159"/>
      <c r="E935" s="159"/>
      <c r="F935" s="493"/>
    </row>
    <row r="936" spans="1:6" thickBot="1">
      <c r="A936" s="164"/>
      <c r="B936" s="164"/>
      <c r="C936" s="159"/>
      <c r="D936" s="159"/>
      <c r="E936" s="159"/>
      <c r="F936" s="493"/>
    </row>
    <row r="937" spans="1:6" thickBot="1">
      <c r="A937" s="164"/>
      <c r="B937" s="164"/>
      <c r="C937" s="159"/>
      <c r="D937" s="159"/>
      <c r="E937" s="159"/>
      <c r="F937" s="493"/>
    </row>
    <row r="938" spans="1:6" thickBot="1">
      <c r="A938" s="164"/>
      <c r="B938" s="164"/>
      <c r="C938" s="159"/>
      <c r="D938" s="159"/>
      <c r="E938" s="159"/>
      <c r="F938" s="493"/>
    </row>
    <row r="939" spans="1:6" thickBot="1">
      <c r="A939" s="164"/>
      <c r="B939" s="164"/>
      <c r="C939" s="159"/>
      <c r="D939" s="159"/>
      <c r="E939" s="159"/>
      <c r="F939" s="493"/>
    </row>
    <row r="940" spans="1:6" thickBot="1">
      <c r="A940" s="164"/>
      <c r="B940" s="164"/>
      <c r="C940" s="159"/>
      <c r="D940" s="159"/>
      <c r="E940" s="159"/>
      <c r="F940" s="493"/>
    </row>
    <row r="941" spans="1:6" thickBot="1">
      <c r="A941" s="164"/>
      <c r="B941" s="164"/>
      <c r="C941" s="159"/>
      <c r="D941" s="159"/>
      <c r="E941" s="159"/>
      <c r="F941" s="493"/>
    </row>
    <row r="942" spans="1:6" thickBot="1">
      <c r="A942" s="164"/>
      <c r="B942" s="164"/>
      <c r="C942" s="159"/>
      <c r="D942" s="159"/>
      <c r="E942" s="159"/>
      <c r="F942" s="493"/>
    </row>
    <row r="943" spans="1:6" thickBot="1">
      <c r="A943" s="164"/>
      <c r="B943" s="164"/>
      <c r="C943" s="159"/>
      <c r="D943" s="159"/>
      <c r="E943" s="159"/>
      <c r="F943" s="493"/>
    </row>
  </sheetData>
  <mergeCells count="17">
    <mergeCell ref="A3:F3"/>
    <mergeCell ref="A132:B132"/>
    <mergeCell ref="A37:B37"/>
    <mergeCell ref="A79:B79"/>
    <mergeCell ref="A26:B26"/>
    <mergeCell ref="A36:B36"/>
    <mergeCell ref="A77:B77"/>
    <mergeCell ref="A107:B107"/>
    <mergeCell ref="A108:B108"/>
    <mergeCell ref="A109:B109"/>
    <mergeCell ref="A110:B110"/>
    <mergeCell ref="A111:B111"/>
    <mergeCell ref="A112:B112"/>
    <mergeCell ref="A86:B86"/>
    <mergeCell ref="A87:B87"/>
    <mergeCell ref="A63:B63"/>
    <mergeCell ref="A88:B8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rowBreaks count="3" manualBreakCount="3">
    <brk id="53" max="5" man="1"/>
    <brk id="95" max="5" man="1"/>
    <brk id="1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578"/>
  <sheetViews>
    <sheetView tabSelected="1" view="pageBreakPreview" zoomScaleSheetLayoutView="100" workbookViewId="0">
      <selection activeCell="C1" sqref="C1"/>
    </sheetView>
  </sheetViews>
  <sheetFormatPr defaultRowHeight="19.5" thickBottom="1"/>
  <cols>
    <col min="1" max="1" width="84.42578125" style="197" customWidth="1"/>
    <col min="2" max="2" width="18.28515625" style="197" customWidth="1"/>
    <col min="3" max="5" width="21.42578125" style="198" customWidth="1"/>
    <col min="6" max="6" width="21.42578125" style="491" customWidth="1"/>
    <col min="7" max="41" width="9.140625" style="189"/>
    <col min="42" max="42" width="9.140625" style="194"/>
    <col min="43" max="16384" width="9.140625" style="195"/>
  </cols>
  <sheetData>
    <row r="1" spans="1:42" s="188" customFormat="1" ht="18.75">
      <c r="A1" s="28" t="s">
        <v>414</v>
      </c>
      <c r="B1" s="186"/>
      <c r="C1" s="187"/>
      <c r="D1" s="187"/>
      <c r="E1" s="187"/>
      <c r="F1" s="480"/>
    </row>
    <row r="2" spans="1:42" s="189" customFormat="1" ht="18.75">
      <c r="A2" s="186"/>
      <c r="B2" s="186"/>
      <c r="C2" s="187"/>
      <c r="D2" s="187"/>
      <c r="E2" s="187"/>
      <c r="F2" s="480"/>
    </row>
    <row r="3" spans="1:42" s="189" customFormat="1" ht="41.25" customHeight="1">
      <c r="A3" s="670" t="s">
        <v>403</v>
      </c>
      <c r="B3" s="670"/>
      <c r="C3" s="670"/>
      <c r="D3" s="670"/>
      <c r="E3" s="670"/>
      <c r="F3" s="670"/>
    </row>
    <row r="4" spans="1:42" s="189" customFormat="1" ht="18.75">
      <c r="C4" s="187"/>
      <c r="D4" s="187"/>
      <c r="E4" s="187"/>
      <c r="F4" s="480"/>
    </row>
    <row r="5" spans="1:42" s="190" customFormat="1" thickBot="1">
      <c r="A5" s="189"/>
      <c r="B5" s="189"/>
      <c r="C5" s="173"/>
      <c r="D5" s="384"/>
      <c r="E5" s="417"/>
      <c r="F5" s="481" t="s">
        <v>0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</row>
    <row r="6" spans="1:42" s="193" customFormat="1" ht="66.75" customHeight="1" thickBot="1">
      <c r="A6" s="201" t="s">
        <v>315</v>
      </c>
      <c r="B6" s="203"/>
      <c r="C6" s="199" t="s">
        <v>113</v>
      </c>
      <c r="D6" s="199" t="s">
        <v>338</v>
      </c>
      <c r="E6" s="199" t="s">
        <v>363</v>
      </c>
      <c r="F6" s="482" t="s">
        <v>362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2"/>
    </row>
    <row r="7" spans="1:42" s="193" customFormat="1" ht="33" customHeight="1" thickBot="1">
      <c r="A7" s="202" t="s">
        <v>295</v>
      </c>
      <c r="B7" s="208"/>
      <c r="C7" s="390"/>
      <c r="D7" s="209"/>
      <c r="E7" s="390"/>
      <c r="F7" s="483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2"/>
    </row>
    <row r="8" spans="1:42" s="19" customFormat="1" ht="22.5" customHeight="1" thickBot="1">
      <c r="A8" s="214" t="s">
        <v>125</v>
      </c>
      <c r="B8" s="215"/>
      <c r="C8" s="216">
        <v>120</v>
      </c>
      <c r="D8" s="216">
        <v>120</v>
      </c>
      <c r="E8" s="216">
        <v>129</v>
      </c>
      <c r="F8" s="484"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19" customFormat="1" ht="22.5" customHeight="1" thickBot="1">
      <c r="A9" s="217" t="s">
        <v>89</v>
      </c>
      <c r="B9" s="215"/>
      <c r="C9" s="216"/>
      <c r="D9" s="216"/>
      <c r="E9" s="216"/>
      <c r="F9" s="48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</row>
    <row r="10" spans="1:42" s="19" customFormat="1" ht="30.75" customHeight="1" thickBot="1">
      <c r="A10" s="217" t="s">
        <v>173</v>
      </c>
      <c r="B10" s="215">
        <v>120</v>
      </c>
      <c r="C10" s="216"/>
      <c r="D10" s="216"/>
      <c r="E10" s="216"/>
      <c r="F10" s="48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19" customFormat="1" ht="25.5" customHeight="1" thickBot="1">
      <c r="A11" s="214" t="s">
        <v>132</v>
      </c>
      <c r="B11" s="215"/>
      <c r="C11" s="216">
        <v>13984</v>
      </c>
      <c r="D11" s="216">
        <v>13984</v>
      </c>
      <c r="E11" s="216">
        <v>12607</v>
      </c>
      <c r="F11" s="484">
        <f>E11/D11</f>
        <v>0.90153032036613268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s="19" customFormat="1" ht="25.5" customHeight="1" thickBot="1">
      <c r="A12" s="217" t="s">
        <v>133</v>
      </c>
      <c r="B12" s="215">
        <v>13984</v>
      </c>
      <c r="C12" s="216"/>
      <c r="D12" s="216"/>
      <c r="E12" s="216"/>
      <c r="F12" s="48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42" s="19" customFormat="1" ht="51" customHeight="1" thickBot="1">
      <c r="A13" s="214" t="s">
        <v>216</v>
      </c>
      <c r="B13" s="218"/>
      <c r="C13" s="216">
        <v>737</v>
      </c>
      <c r="D13" s="216">
        <v>737</v>
      </c>
      <c r="E13" s="216">
        <f>868+2</f>
        <v>870</v>
      </c>
      <c r="F13" s="484">
        <f>E13/D13</f>
        <v>1.180461329715061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19" customFormat="1" ht="34.5" customHeight="1" thickBot="1">
      <c r="A14" s="214" t="s">
        <v>220</v>
      </c>
      <c r="B14" s="218"/>
      <c r="C14" s="216">
        <v>1474</v>
      </c>
      <c r="D14" s="216">
        <v>1474</v>
      </c>
      <c r="E14" s="216">
        <f>745+7+1186</f>
        <v>1938</v>
      </c>
      <c r="F14" s="484">
        <f>E14/D14</f>
        <v>1.3147896879240162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42" s="25" customFormat="1" ht="16.5" thickBot="1">
      <c r="A15" s="214" t="s">
        <v>160</v>
      </c>
      <c r="B15" s="218"/>
      <c r="C15" s="216"/>
      <c r="D15" s="216"/>
      <c r="E15" s="216">
        <v>1265</v>
      </c>
      <c r="F15" s="484"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</row>
    <row r="16" spans="1:42" s="25" customFormat="1" ht="16.5" thickBot="1">
      <c r="A16" s="214" t="s">
        <v>144</v>
      </c>
      <c r="B16" s="218"/>
      <c r="C16" s="216">
        <v>667</v>
      </c>
      <c r="D16" s="216">
        <v>667</v>
      </c>
      <c r="E16" s="216">
        <v>647</v>
      </c>
      <c r="F16" s="484">
        <f>E16/D16</f>
        <v>0.97001499250374812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</row>
    <row r="17" spans="1:42" s="25" customFormat="1" ht="44.25" customHeight="1" thickBot="1">
      <c r="A17" s="214" t="s">
        <v>153</v>
      </c>
      <c r="B17" s="218"/>
      <c r="C17" s="216">
        <v>21084</v>
      </c>
      <c r="D17" s="216">
        <v>21084</v>
      </c>
      <c r="E17" s="216">
        <f>13411+2461</f>
        <v>15872</v>
      </c>
      <c r="F17" s="484">
        <f>E17/D17</f>
        <v>0.7527983304875735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</row>
    <row r="18" spans="1:42" s="19" customFormat="1" ht="24" customHeight="1" thickBot="1">
      <c r="A18" s="217" t="s">
        <v>154</v>
      </c>
      <c r="B18" s="215">
        <v>3331</v>
      </c>
      <c r="C18" s="216"/>
      <c r="D18" s="216"/>
      <c r="E18" s="216"/>
      <c r="F18" s="48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19" customFormat="1" ht="24" customHeight="1" thickBot="1">
      <c r="A19" s="217" t="s">
        <v>155</v>
      </c>
      <c r="B19" s="215">
        <v>17753</v>
      </c>
      <c r="C19" s="216"/>
      <c r="D19" s="216"/>
      <c r="E19" s="216"/>
      <c r="F19" s="48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8"/>
    </row>
    <row r="20" spans="1:42" s="19" customFormat="1" ht="22.5" customHeight="1" thickBot="1">
      <c r="A20" s="544" t="s">
        <v>398</v>
      </c>
      <c r="B20" s="218"/>
      <c r="C20" s="216"/>
      <c r="D20" s="216"/>
      <c r="E20" s="216">
        <v>967</v>
      </c>
      <c r="F20" s="484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</row>
    <row r="21" spans="1:42" s="25" customFormat="1" ht="35.25" customHeight="1" thickBot="1">
      <c r="A21" s="214" t="s">
        <v>289</v>
      </c>
      <c r="B21" s="218"/>
      <c r="C21" s="216">
        <v>2362</v>
      </c>
      <c r="D21" s="216">
        <v>2362</v>
      </c>
      <c r="E21" s="216">
        <v>0</v>
      </c>
      <c r="F21" s="484"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</row>
    <row r="22" spans="1:42" s="48" customFormat="1" ht="31.5" customHeight="1" thickBot="1">
      <c r="A22" s="206" t="s">
        <v>294</v>
      </c>
      <c r="B22" s="207"/>
      <c r="C22" s="200">
        <f>SUM(C8:C21)</f>
        <v>40428</v>
      </c>
      <c r="D22" s="200">
        <f>SUM(D8:D21)</f>
        <v>40428</v>
      </c>
      <c r="E22" s="200">
        <f>SUM(E8:E21)</f>
        <v>34295</v>
      </c>
      <c r="F22" s="485">
        <f>E22/D22</f>
        <v>0.84829820916196697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47"/>
    </row>
    <row r="23" spans="1:42" s="48" customFormat="1" ht="31.5" customHeight="1" thickBot="1">
      <c r="A23" s="205"/>
      <c r="B23" s="211"/>
      <c r="C23" s="391"/>
      <c r="D23" s="210"/>
      <c r="E23" s="391"/>
      <c r="F23" s="48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47"/>
    </row>
    <row r="24" spans="1:42" s="193" customFormat="1" ht="33" customHeight="1" thickBot="1">
      <c r="A24" s="202" t="s">
        <v>296</v>
      </c>
      <c r="B24" s="208"/>
      <c r="C24" s="209"/>
      <c r="D24" s="209"/>
      <c r="E24" s="209"/>
      <c r="F24" s="483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</row>
    <row r="25" spans="1:42" s="19" customFormat="1" ht="22.5" customHeight="1" thickBot="1">
      <c r="A25" s="214" t="s">
        <v>125</v>
      </c>
      <c r="B25" s="215"/>
      <c r="C25" s="216">
        <v>32</v>
      </c>
      <c r="D25" s="216">
        <v>32</v>
      </c>
      <c r="E25" s="216">
        <v>31</v>
      </c>
      <c r="F25" s="484">
        <f>E25/D25</f>
        <v>0.96875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</row>
    <row r="26" spans="1:42" s="19" customFormat="1" ht="22.5" customHeight="1" thickBot="1">
      <c r="A26" s="217" t="s">
        <v>89</v>
      </c>
      <c r="B26" s="215"/>
      <c r="C26" s="216"/>
      <c r="D26" s="216"/>
      <c r="E26" s="216"/>
      <c r="F26" s="48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42" s="19" customFormat="1" ht="30.75" customHeight="1" thickBot="1">
      <c r="A27" s="217" t="s">
        <v>293</v>
      </c>
      <c r="B27" s="215">
        <v>32</v>
      </c>
      <c r="C27" s="216"/>
      <c r="D27" s="216"/>
      <c r="E27" s="216"/>
      <c r="F27" s="48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</row>
    <row r="28" spans="1:42" s="19" customFormat="1" ht="25.5" customHeight="1" thickBot="1">
      <c r="A28" s="214" t="s">
        <v>132</v>
      </c>
      <c r="B28" s="215"/>
      <c r="C28" s="216">
        <v>3849</v>
      </c>
      <c r="D28" s="216">
        <v>3849</v>
      </c>
      <c r="E28" s="216">
        <v>3504</v>
      </c>
      <c r="F28" s="484">
        <f>E28/D28</f>
        <v>0.91036632891660174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19" customFormat="1" ht="25.5" customHeight="1" thickBot="1">
      <c r="A29" s="217" t="s">
        <v>133</v>
      </c>
      <c r="B29" s="215">
        <v>3849</v>
      </c>
      <c r="C29" s="216"/>
      <c r="D29" s="216"/>
      <c r="E29" s="216"/>
      <c r="F29" s="48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</row>
    <row r="30" spans="1:42" s="19" customFormat="1" ht="51" customHeight="1" thickBot="1">
      <c r="A30" s="214" t="s">
        <v>216</v>
      </c>
      <c r="B30" s="218"/>
      <c r="C30" s="216">
        <v>263</v>
      </c>
      <c r="D30" s="216">
        <v>263</v>
      </c>
      <c r="E30" s="216">
        <v>678</v>
      </c>
      <c r="F30" s="484">
        <f>E30/D30</f>
        <v>2.5779467680608366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</row>
    <row r="31" spans="1:42" s="19" customFormat="1" ht="18.75" customHeight="1" thickBot="1">
      <c r="A31" s="214" t="s">
        <v>160</v>
      </c>
      <c r="B31" s="218"/>
      <c r="C31" s="216"/>
      <c r="D31" s="216"/>
      <c r="E31" s="216">
        <v>109</v>
      </c>
      <c r="F31" s="484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</row>
    <row r="32" spans="1:42" s="19" customFormat="1" ht="34.5" customHeight="1" thickBot="1">
      <c r="A32" s="214" t="s">
        <v>220</v>
      </c>
      <c r="B32" s="218"/>
      <c r="C32" s="216">
        <v>526</v>
      </c>
      <c r="D32" s="216">
        <v>1526</v>
      </c>
      <c r="E32" s="216">
        <v>1276</v>
      </c>
      <c r="F32" s="484">
        <f>E32/D32</f>
        <v>0.836173001310616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25" customFormat="1" ht="16.5" thickBot="1">
      <c r="A33" s="214" t="s">
        <v>144</v>
      </c>
      <c r="B33" s="218"/>
      <c r="C33" s="216">
        <v>180</v>
      </c>
      <c r="D33" s="216">
        <v>180</v>
      </c>
      <c r="E33" s="216">
        <v>242</v>
      </c>
      <c r="F33" s="484">
        <f>E33/D33</f>
        <v>1.3444444444444446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s="25" customFormat="1" ht="44.25" customHeight="1" thickBot="1">
      <c r="A34" s="214" t="s">
        <v>153</v>
      </c>
      <c r="B34" s="218"/>
      <c r="C34" s="216">
        <v>5693</v>
      </c>
      <c r="D34" s="216">
        <v>5693</v>
      </c>
      <c r="E34" s="216">
        <f>3532+703</f>
        <v>4235</v>
      </c>
      <c r="F34" s="484">
        <f>E34/D34</f>
        <v>0.74389601264711047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s="19" customFormat="1" ht="24" customHeight="1" thickBot="1">
      <c r="A35" s="217" t="s">
        <v>154</v>
      </c>
      <c r="B35" s="215">
        <v>900</v>
      </c>
      <c r="C35" s="216"/>
      <c r="D35" s="216"/>
      <c r="E35" s="216"/>
      <c r="F35" s="48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1:42" s="19" customFormat="1" ht="24" customHeight="1" thickBot="1">
      <c r="A36" s="217" t="s">
        <v>155</v>
      </c>
      <c r="B36" s="215">
        <v>4793</v>
      </c>
      <c r="C36" s="216"/>
      <c r="D36" s="216"/>
      <c r="E36" s="216"/>
      <c r="F36" s="48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/>
    </row>
    <row r="37" spans="1:42" s="19" customFormat="1" ht="22.5" customHeight="1" thickBot="1">
      <c r="A37" s="544" t="s">
        <v>398</v>
      </c>
      <c r="B37" s="218"/>
      <c r="C37" s="216"/>
      <c r="D37" s="216"/>
      <c r="E37" s="216">
        <v>531</v>
      </c>
      <c r="F37" s="484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8"/>
    </row>
    <row r="38" spans="1:42" s="25" customFormat="1" ht="35.25" customHeight="1" thickBot="1">
      <c r="A38" s="214" t="s">
        <v>289</v>
      </c>
      <c r="B38" s="218"/>
      <c r="C38" s="216">
        <v>638</v>
      </c>
      <c r="D38" s="216">
        <v>638</v>
      </c>
      <c r="E38" s="216">
        <v>0</v>
      </c>
      <c r="F38" s="484"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/>
    </row>
    <row r="39" spans="1:42" s="48" customFormat="1" ht="31.5" customHeight="1" thickBot="1">
      <c r="A39" s="206" t="s">
        <v>297</v>
      </c>
      <c r="B39" s="207"/>
      <c r="C39" s="200">
        <f>SUM(C25:C38)</f>
        <v>11181</v>
      </c>
      <c r="D39" s="200">
        <f>SUM(D25:D38)</f>
        <v>12181</v>
      </c>
      <c r="E39" s="200">
        <f>SUM(E25:E38)</f>
        <v>10606</v>
      </c>
      <c r="F39" s="485">
        <f>E39/D39</f>
        <v>0.87070027091371804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47"/>
    </row>
    <row r="40" spans="1:42" s="48" customFormat="1" ht="31.5" customHeight="1" thickBot="1">
      <c r="A40" s="205"/>
      <c r="B40" s="211"/>
      <c r="C40" s="391"/>
      <c r="D40" s="210"/>
      <c r="E40" s="391"/>
      <c r="F40" s="48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47"/>
    </row>
    <row r="41" spans="1:42" s="193" customFormat="1" ht="33" customHeight="1" thickBot="1">
      <c r="A41" s="202" t="s">
        <v>298</v>
      </c>
      <c r="B41" s="208"/>
      <c r="C41" s="209"/>
      <c r="D41" s="209"/>
      <c r="E41" s="209"/>
      <c r="F41" s="483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2"/>
    </row>
    <row r="42" spans="1:42" s="19" customFormat="1" ht="21" customHeight="1" thickBot="1">
      <c r="A42" s="214" t="s">
        <v>115</v>
      </c>
      <c r="B42" s="215"/>
      <c r="C42" s="216">
        <v>63134</v>
      </c>
      <c r="D42" s="216">
        <v>63134</v>
      </c>
      <c r="E42" s="216">
        <v>31696</v>
      </c>
      <c r="F42" s="484">
        <f>E42/D42</f>
        <v>0.50204327303829954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2" s="25" customFormat="1" ht="28.5" customHeight="1" thickBot="1">
      <c r="A43" s="214" t="s">
        <v>201</v>
      </c>
      <c r="B43" s="218"/>
      <c r="C43" s="216">
        <v>2000</v>
      </c>
      <c r="D43" s="216">
        <v>2000</v>
      </c>
      <c r="E43" s="216">
        <v>896</v>
      </c>
      <c r="F43" s="484">
        <f>E43/D43</f>
        <v>0.44800000000000001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4"/>
    </row>
    <row r="44" spans="1:42" s="19" customFormat="1" ht="19.5" customHeight="1" thickBot="1">
      <c r="A44" s="214" t="s">
        <v>116</v>
      </c>
      <c r="B44" s="215"/>
      <c r="C44" s="216">
        <v>4000</v>
      </c>
      <c r="D44" s="216">
        <v>4000</v>
      </c>
      <c r="E44" s="216">
        <v>552</v>
      </c>
      <c r="F44" s="484">
        <f>E44/D44</f>
        <v>0.13800000000000001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</row>
    <row r="45" spans="1:42" s="19" customFormat="1" ht="39.75" customHeight="1" thickBot="1">
      <c r="A45" s="217" t="s">
        <v>214</v>
      </c>
      <c r="B45" s="219">
        <f>4000+254</f>
        <v>4254</v>
      </c>
      <c r="C45" s="216"/>
      <c r="D45" s="216"/>
      <c r="E45" s="216"/>
      <c r="F45" s="48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</row>
    <row r="46" spans="1:42" s="19" customFormat="1" ht="22.5" customHeight="1" thickBot="1">
      <c r="A46" s="214" t="s">
        <v>117</v>
      </c>
      <c r="B46" s="215"/>
      <c r="C46" s="216">
        <v>150</v>
      </c>
      <c r="D46" s="216">
        <v>150</v>
      </c>
      <c r="E46" s="216">
        <v>70</v>
      </c>
      <c r="F46" s="484">
        <f>E46/D46</f>
        <v>0.46666666666666667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</row>
    <row r="47" spans="1:42" s="19" customFormat="1" ht="22.5" customHeight="1" thickBot="1">
      <c r="A47" s="214" t="s">
        <v>118</v>
      </c>
      <c r="B47" s="215"/>
      <c r="C47" s="216">
        <v>340</v>
      </c>
      <c r="D47" s="216">
        <v>340</v>
      </c>
      <c r="E47" s="216">
        <v>0</v>
      </c>
      <c r="F47" s="484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</row>
    <row r="48" spans="1:42" s="19" customFormat="1" ht="22.5" customHeight="1" thickBot="1">
      <c r="A48" s="217" t="s">
        <v>89</v>
      </c>
      <c r="B48" s="215"/>
      <c r="C48" s="216"/>
      <c r="D48" s="216"/>
      <c r="E48" s="216"/>
      <c r="F48" s="484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</row>
    <row r="49" spans="1:42" s="19" customFormat="1" ht="32.25" thickBot="1">
      <c r="A49" s="217" t="s">
        <v>119</v>
      </c>
      <c r="B49" s="215">
        <v>300</v>
      </c>
      <c r="C49" s="216"/>
      <c r="D49" s="216"/>
      <c r="E49" s="216"/>
      <c r="F49" s="484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</row>
    <row r="50" spans="1:42" s="19" customFormat="1" ht="22.5" customHeight="1" thickBot="1">
      <c r="A50" s="217" t="s">
        <v>120</v>
      </c>
      <c r="B50" s="215">
        <v>40</v>
      </c>
      <c r="C50" s="216"/>
      <c r="D50" s="216"/>
      <c r="E50" s="216"/>
      <c r="F50" s="48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s="19" customFormat="1" ht="22.5" customHeight="1" thickBot="1">
      <c r="A51" s="214" t="s">
        <v>121</v>
      </c>
      <c r="B51" s="215"/>
      <c r="C51" s="216">
        <v>50</v>
      </c>
      <c r="D51" s="216">
        <v>50</v>
      </c>
      <c r="E51" s="216">
        <v>0</v>
      </c>
      <c r="F51" s="484"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</row>
    <row r="52" spans="1:42" s="19" customFormat="1" ht="22.5" customHeight="1" thickBot="1">
      <c r="A52" s="217" t="s">
        <v>89</v>
      </c>
      <c r="B52" s="215"/>
      <c r="C52" s="216"/>
      <c r="D52" s="216"/>
      <c r="E52" s="216"/>
      <c r="F52" s="48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</row>
    <row r="53" spans="1:42" s="19" customFormat="1" ht="22.5" customHeight="1" thickBot="1">
      <c r="A53" s="217" t="s">
        <v>122</v>
      </c>
      <c r="B53" s="215">
        <v>50</v>
      </c>
      <c r="C53" s="216"/>
      <c r="D53" s="216"/>
      <c r="E53" s="216"/>
      <c r="F53" s="484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42" s="19" customFormat="1" ht="22.5" customHeight="1" thickBot="1">
      <c r="A54" s="214" t="s">
        <v>125</v>
      </c>
      <c r="B54" s="215"/>
      <c r="C54" s="216">
        <v>1057</v>
      </c>
      <c r="D54" s="216">
        <v>1057</v>
      </c>
      <c r="E54" s="216">
        <f>530+90</f>
        <v>620</v>
      </c>
      <c r="F54" s="484">
        <f>E54/D54</f>
        <v>0.58656575212866602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</row>
    <row r="55" spans="1:42" s="19" customFormat="1" ht="22.5" customHeight="1" thickBot="1">
      <c r="A55" s="217" t="s">
        <v>89</v>
      </c>
      <c r="B55" s="215"/>
      <c r="C55" s="216"/>
      <c r="D55" s="216"/>
      <c r="E55" s="216"/>
      <c r="F55" s="48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</row>
    <row r="56" spans="1:42" s="19" customFormat="1" ht="43.5" customHeight="1" thickBot="1">
      <c r="A56" s="217" t="s">
        <v>172</v>
      </c>
      <c r="B56" s="215">
        <v>909</v>
      </c>
      <c r="C56" s="216"/>
      <c r="D56" s="216"/>
      <c r="E56" s="216"/>
      <c r="F56" s="48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</row>
    <row r="57" spans="1:42" s="19" customFormat="1" ht="30.75" customHeight="1" thickBot="1">
      <c r="A57" s="217" t="s">
        <v>173</v>
      </c>
      <c r="B57" s="215">
        <v>148</v>
      </c>
      <c r="C57" s="216"/>
      <c r="D57" s="216"/>
      <c r="E57" s="216"/>
      <c r="F57" s="484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8"/>
    </row>
    <row r="58" spans="1:42" s="19" customFormat="1" ht="27.75" customHeight="1" thickBot="1">
      <c r="A58" s="214" t="s">
        <v>175</v>
      </c>
      <c r="B58" s="215"/>
      <c r="C58" s="216">
        <v>870</v>
      </c>
      <c r="D58" s="216">
        <v>870</v>
      </c>
      <c r="E58" s="216">
        <v>420</v>
      </c>
      <c r="F58" s="484">
        <f>E58/D58</f>
        <v>0.48275862068965519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</row>
    <row r="59" spans="1:42" s="19" customFormat="1" ht="22.5" customHeight="1" thickBot="1">
      <c r="A59" s="217" t="s">
        <v>128</v>
      </c>
      <c r="B59" s="215">
        <v>450</v>
      </c>
      <c r="C59" s="220"/>
      <c r="D59" s="220"/>
      <c r="E59" s="220"/>
      <c r="F59" s="48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</row>
    <row r="60" spans="1:42" s="19" customFormat="1" ht="30.75" customHeight="1" thickBot="1">
      <c r="A60" s="217" t="s">
        <v>174</v>
      </c>
      <c r="B60" s="215">
        <v>420</v>
      </c>
      <c r="C60" s="220"/>
      <c r="D60" s="220"/>
      <c r="E60" s="220"/>
      <c r="F60" s="48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</row>
    <row r="61" spans="1:42" s="25" customFormat="1" ht="36.75" customHeight="1" thickBot="1">
      <c r="A61" s="221" t="s">
        <v>299</v>
      </c>
      <c r="B61" s="222"/>
      <c r="C61" s="216">
        <v>30443</v>
      </c>
      <c r="D61" s="216">
        <f>C61-30443</f>
        <v>0</v>
      </c>
      <c r="E61" s="216">
        <v>23</v>
      </c>
      <c r="F61" s="484"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4"/>
    </row>
    <row r="62" spans="1:42" s="19" customFormat="1" ht="23.25" customHeight="1" thickBot="1">
      <c r="A62" s="214" t="s">
        <v>130</v>
      </c>
      <c r="B62" s="215"/>
      <c r="C62" s="216">
        <v>2600</v>
      </c>
      <c r="D62" s="216">
        <v>2600</v>
      </c>
      <c r="E62" s="216">
        <v>2250</v>
      </c>
      <c r="F62" s="484">
        <f>E62/D62</f>
        <v>0.86538461538461542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</row>
    <row r="63" spans="1:42" s="19" customFormat="1" ht="39" customHeight="1" thickBot="1">
      <c r="A63" s="214" t="s">
        <v>205</v>
      </c>
      <c r="B63" s="215"/>
      <c r="C63" s="216">
        <v>32835</v>
      </c>
      <c r="D63" s="216">
        <f>C63+2494</f>
        <v>35329</v>
      </c>
      <c r="E63" s="216">
        <f>24978+392</f>
        <v>25370</v>
      </c>
      <c r="F63" s="484">
        <f>E63/D63</f>
        <v>0.71810693764329592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8"/>
    </row>
    <row r="64" spans="1:42" s="19" customFormat="1" ht="27.75" customHeight="1" thickBot="1">
      <c r="A64" s="217" t="s">
        <v>131</v>
      </c>
      <c r="B64" s="215"/>
      <c r="C64" s="216"/>
      <c r="D64" s="216"/>
      <c r="E64" s="216"/>
      <c r="F64" s="48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8"/>
    </row>
    <row r="65" spans="1:42" s="19" customFormat="1" ht="37.5" customHeight="1" thickBot="1">
      <c r="A65" s="217" t="s">
        <v>206</v>
      </c>
      <c r="B65" s="215">
        <f>2504+2494</f>
        <v>4998</v>
      </c>
      <c r="C65" s="216"/>
      <c r="D65" s="216"/>
      <c r="E65" s="216"/>
      <c r="F65" s="48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8"/>
    </row>
    <row r="66" spans="1:42" s="19" customFormat="1" ht="24.75" customHeight="1" thickBot="1">
      <c r="A66" s="217" t="s">
        <v>207</v>
      </c>
      <c r="B66" s="215">
        <f>29970+361</f>
        <v>30331</v>
      </c>
      <c r="C66" s="216"/>
      <c r="D66" s="216"/>
      <c r="E66" s="216"/>
      <c r="F66" s="48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8"/>
    </row>
    <row r="67" spans="1:42" s="25" customFormat="1" ht="32.25" customHeight="1" thickBot="1">
      <c r="A67" s="214" t="s">
        <v>188</v>
      </c>
      <c r="B67" s="218"/>
      <c r="C67" s="216">
        <v>2400</v>
      </c>
      <c r="D67" s="216">
        <v>4800</v>
      </c>
      <c r="E67" s="216">
        <v>2148</v>
      </c>
      <c r="F67" s="484">
        <f>E67/D67</f>
        <v>0.44750000000000001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4"/>
    </row>
    <row r="68" spans="1:42" s="19" customFormat="1" ht="87.75" customHeight="1" thickBot="1">
      <c r="A68" s="217" t="s">
        <v>168</v>
      </c>
      <c r="B68" s="215">
        <v>2400</v>
      </c>
      <c r="C68" s="220"/>
      <c r="D68" s="220"/>
      <c r="E68" s="220"/>
      <c r="F68" s="48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8"/>
    </row>
    <row r="69" spans="1:42" s="19" customFormat="1" ht="33" customHeight="1" thickBot="1">
      <c r="A69" s="357" t="s">
        <v>395</v>
      </c>
      <c r="B69" s="539">
        <v>2400</v>
      </c>
      <c r="C69" s="220"/>
      <c r="D69" s="220"/>
      <c r="E69" s="220"/>
      <c r="F69" s="54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</row>
    <row r="70" spans="1:42" s="19" customFormat="1" ht="39.75" customHeight="1" thickBot="1">
      <c r="A70" s="214" t="s">
        <v>134</v>
      </c>
      <c r="B70" s="215"/>
      <c r="C70" s="216">
        <v>21047</v>
      </c>
      <c r="D70" s="216">
        <f>C70+571</f>
        <v>21618</v>
      </c>
      <c r="E70" s="216">
        <f>107+6+38+41+9463+5733</f>
        <v>15388</v>
      </c>
      <c r="F70" s="484">
        <f>E70/D70</f>
        <v>0.71181422888333801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</row>
    <row r="71" spans="1:42" s="19" customFormat="1" ht="21.75" customHeight="1" thickBot="1">
      <c r="A71" s="217" t="s">
        <v>89</v>
      </c>
      <c r="B71" s="215"/>
      <c r="C71" s="216"/>
      <c r="D71" s="216"/>
      <c r="E71" s="216"/>
      <c r="F71" s="484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</row>
    <row r="72" spans="1:42" s="19" customFormat="1" ht="21.75" customHeight="1" thickBot="1">
      <c r="A72" s="217" t="s">
        <v>211</v>
      </c>
      <c r="B72" s="219">
        <f>6058</f>
        <v>6058</v>
      </c>
      <c r="C72" s="216"/>
      <c r="D72" s="216"/>
      <c r="E72" s="216"/>
      <c r="F72" s="48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8"/>
    </row>
    <row r="73" spans="1:42" s="19" customFormat="1" ht="21.75" customHeight="1" thickBot="1">
      <c r="A73" s="217" t="s">
        <v>135</v>
      </c>
      <c r="B73" s="219">
        <v>3147</v>
      </c>
      <c r="C73" s="216"/>
      <c r="D73" s="216"/>
      <c r="E73" s="216"/>
      <c r="F73" s="484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</row>
    <row r="74" spans="1:42" s="19" customFormat="1" ht="21.75" customHeight="1" thickBot="1">
      <c r="A74" s="217" t="s">
        <v>212</v>
      </c>
      <c r="B74" s="219">
        <v>984</v>
      </c>
      <c r="C74" s="216"/>
      <c r="D74" s="216"/>
      <c r="E74" s="216"/>
      <c r="F74" s="484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</row>
    <row r="75" spans="1:42" s="19" customFormat="1" ht="21.75" customHeight="1" thickBot="1">
      <c r="A75" s="217" t="s">
        <v>136</v>
      </c>
      <c r="B75" s="219">
        <v>302</v>
      </c>
      <c r="C75" s="216"/>
      <c r="D75" s="216"/>
      <c r="E75" s="216"/>
      <c r="F75" s="48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</row>
    <row r="76" spans="1:42" s="19" customFormat="1" ht="21.75" customHeight="1" thickBot="1">
      <c r="A76" s="217" t="s">
        <v>137</v>
      </c>
      <c r="B76" s="219">
        <f>95+6+73+977</f>
        <v>1151</v>
      </c>
      <c r="C76" s="216"/>
      <c r="D76" s="216"/>
      <c r="E76" s="216"/>
      <c r="F76" s="484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</row>
    <row r="77" spans="1:42" s="19" customFormat="1" ht="28.5" customHeight="1" thickBot="1">
      <c r="A77" s="214" t="s">
        <v>181</v>
      </c>
      <c r="B77" s="223"/>
      <c r="C77" s="216">
        <v>19000</v>
      </c>
      <c r="D77" s="216">
        <v>34235</v>
      </c>
      <c r="E77" s="216">
        <f>9824+80</f>
        <v>9904</v>
      </c>
      <c r="F77" s="484">
        <f>E77/D77</f>
        <v>0.28929458156857019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</row>
    <row r="78" spans="1:42" s="19" customFormat="1" ht="28.5" customHeight="1" thickBot="1">
      <c r="A78" s="214" t="s">
        <v>361</v>
      </c>
      <c r="B78" s="223"/>
      <c r="C78" s="216"/>
      <c r="D78" s="216">
        <v>3000</v>
      </c>
      <c r="E78" s="216">
        <v>0</v>
      </c>
      <c r="F78" s="484"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</row>
    <row r="79" spans="1:42" s="19" customFormat="1" ht="49.5" customHeight="1" thickBot="1">
      <c r="A79" s="214" t="s">
        <v>397</v>
      </c>
      <c r="B79" s="223"/>
      <c r="C79" s="216"/>
      <c r="D79" s="216">
        <v>10000</v>
      </c>
      <c r="E79" s="216">
        <v>0</v>
      </c>
      <c r="F79" s="484"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</row>
    <row r="80" spans="1:42" s="19" customFormat="1" ht="56.25" customHeight="1" thickBot="1">
      <c r="A80" s="214" t="s">
        <v>213</v>
      </c>
      <c r="B80" s="218"/>
      <c r="C80" s="216">
        <v>19050</v>
      </c>
      <c r="D80" s="216">
        <v>19050</v>
      </c>
      <c r="E80" s="216">
        <v>14288</v>
      </c>
      <c r="F80" s="484">
        <f>E80/D80</f>
        <v>0.75002624671916007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8"/>
    </row>
    <row r="81" spans="1:42" s="19" customFormat="1" ht="47.25" customHeight="1" thickBot="1">
      <c r="A81" s="214" t="s">
        <v>316</v>
      </c>
      <c r="B81" s="215"/>
      <c r="C81" s="216">
        <v>133</v>
      </c>
      <c r="D81" s="216">
        <v>133</v>
      </c>
      <c r="E81" s="216">
        <v>133</v>
      </c>
      <c r="F81" s="484">
        <f>E81/D81</f>
        <v>1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8"/>
    </row>
    <row r="82" spans="1:42" s="19" customFormat="1" ht="27.75" customHeight="1" thickBot="1">
      <c r="A82" s="214" t="s">
        <v>141</v>
      </c>
      <c r="B82" s="218"/>
      <c r="C82" s="216">
        <v>2500</v>
      </c>
      <c r="D82" s="216">
        <v>2500</v>
      </c>
      <c r="E82" s="216">
        <v>0</v>
      </c>
      <c r="F82" s="484">
        <v>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</row>
    <row r="83" spans="1:42" s="19" customFormat="1" ht="36.75" customHeight="1" thickBot="1">
      <c r="A83" s="217" t="s">
        <v>221</v>
      </c>
      <c r="B83" s="215">
        <v>500</v>
      </c>
      <c r="C83" s="220"/>
      <c r="D83" s="220"/>
      <c r="E83" s="220"/>
      <c r="F83" s="48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8"/>
    </row>
    <row r="84" spans="1:42" s="19" customFormat="1" ht="36.75" customHeight="1" thickBot="1">
      <c r="A84" s="217" t="s">
        <v>222</v>
      </c>
      <c r="B84" s="215">
        <v>2000</v>
      </c>
      <c r="C84" s="220"/>
      <c r="D84" s="220"/>
      <c r="E84" s="220"/>
      <c r="F84" s="48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8"/>
    </row>
    <row r="85" spans="1:42" s="19" customFormat="1" ht="51" customHeight="1" thickBot="1">
      <c r="A85" s="214" t="s">
        <v>216</v>
      </c>
      <c r="B85" s="218"/>
      <c r="C85" s="216"/>
      <c r="D85" s="216"/>
      <c r="E85" s="216"/>
      <c r="F85" s="48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8"/>
    </row>
    <row r="86" spans="1:42" s="19" customFormat="1" ht="22.5" customHeight="1" thickBot="1">
      <c r="A86" s="533" t="s">
        <v>398</v>
      </c>
      <c r="B86" s="218"/>
      <c r="C86" s="216"/>
      <c r="D86" s="216">
        <v>2000</v>
      </c>
      <c r="E86" s="216">
        <v>364</v>
      </c>
      <c r="F86" s="484">
        <f>E86/D86</f>
        <v>0.182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8"/>
    </row>
    <row r="87" spans="1:42" s="19" customFormat="1" ht="22.5" customHeight="1" thickBot="1">
      <c r="A87" s="533" t="s">
        <v>399</v>
      </c>
      <c r="B87" s="218"/>
      <c r="C87" s="216"/>
      <c r="D87" s="216">
        <v>50</v>
      </c>
      <c r="E87" s="216">
        <v>50</v>
      </c>
      <c r="F87" s="484">
        <f t="shared" ref="F87:F88" si="0">E87/D87</f>
        <v>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42" s="19" customFormat="1" ht="34.5" customHeight="1" thickBot="1">
      <c r="A88" s="214" t="s">
        <v>220</v>
      </c>
      <c r="B88" s="218"/>
      <c r="C88" s="216"/>
      <c r="D88" s="216">
        <v>5000</v>
      </c>
      <c r="E88" s="216">
        <v>3955</v>
      </c>
      <c r="F88" s="484">
        <f t="shared" si="0"/>
        <v>0.79100000000000004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42" s="19" customFormat="1" ht="32.25" thickBot="1">
      <c r="A89" s="214" t="s">
        <v>167</v>
      </c>
      <c r="B89" s="218"/>
      <c r="C89" s="216">
        <v>3750</v>
      </c>
      <c r="D89" s="216">
        <v>3750</v>
      </c>
      <c r="E89" s="216">
        <v>2500</v>
      </c>
      <c r="F89" s="484">
        <f>E89/D89</f>
        <v>0.66666666666666663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</row>
    <row r="90" spans="1:42" s="25" customFormat="1" ht="36.75" customHeight="1" thickBot="1">
      <c r="A90" s="214" t="s">
        <v>287</v>
      </c>
      <c r="B90" s="218"/>
      <c r="C90" s="216">
        <v>100</v>
      </c>
      <c r="D90" s="216">
        <v>100</v>
      </c>
      <c r="E90" s="216">
        <v>0</v>
      </c>
      <c r="F90" s="484">
        <v>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4"/>
    </row>
    <row r="91" spans="1:42" s="19" customFormat="1" ht="27.75" customHeight="1" thickBot="1">
      <c r="A91" s="214" t="s">
        <v>288</v>
      </c>
      <c r="B91" s="218"/>
      <c r="C91" s="216">
        <v>8130</v>
      </c>
      <c r="D91" s="216">
        <v>8130</v>
      </c>
      <c r="E91" s="216">
        <v>5709</v>
      </c>
      <c r="F91" s="484">
        <f>E91/D91</f>
        <v>0.70221402214022144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8"/>
    </row>
    <row r="92" spans="1:42" s="19" customFormat="1" ht="24" customHeight="1" thickBot="1">
      <c r="A92" s="217" t="s">
        <v>152</v>
      </c>
      <c r="B92" s="215">
        <v>8130</v>
      </c>
      <c r="C92" s="216"/>
      <c r="D92" s="216"/>
      <c r="E92" s="216"/>
      <c r="F92" s="48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8"/>
    </row>
    <row r="93" spans="1:42" s="19" customFormat="1" ht="42.75" customHeight="1" thickBot="1">
      <c r="A93" s="221" t="s">
        <v>134</v>
      </c>
      <c r="B93" s="222"/>
      <c r="C93" s="216">
        <v>5103</v>
      </c>
      <c r="D93" s="216">
        <f>C93+33</f>
        <v>5136</v>
      </c>
      <c r="E93" s="216">
        <v>5108</v>
      </c>
      <c r="F93" s="484">
        <f>E93/D93</f>
        <v>0.99454828660436134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8"/>
    </row>
    <row r="94" spans="1:42" s="19" customFormat="1" ht="22.5" customHeight="1" thickBot="1">
      <c r="A94" s="217" t="s">
        <v>156</v>
      </c>
      <c r="B94" s="219">
        <v>78</v>
      </c>
      <c r="C94" s="216"/>
      <c r="D94" s="216"/>
      <c r="E94" s="216"/>
      <c r="F94" s="48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8"/>
    </row>
    <row r="95" spans="1:42" s="19" customFormat="1" ht="22.5" customHeight="1" thickBot="1">
      <c r="A95" s="217" t="s">
        <v>157</v>
      </c>
      <c r="B95" s="219">
        <v>66</v>
      </c>
      <c r="C95" s="216"/>
      <c r="D95" s="216"/>
      <c r="E95" s="216"/>
      <c r="F95" s="48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8"/>
    </row>
    <row r="96" spans="1:42" s="19" customFormat="1" ht="22.5" customHeight="1" thickBot="1">
      <c r="A96" s="217" t="s">
        <v>158</v>
      </c>
      <c r="B96" s="219">
        <v>445</v>
      </c>
      <c r="C96" s="216"/>
      <c r="D96" s="216"/>
      <c r="E96" s="216"/>
      <c r="F96" s="48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8"/>
    </row>
    <row r="97" spans="1:42" s="19" customFormat="1" ht="22.5" customHeight="1" thickBot="1">
      <c r="A97" s="217" t="s">
        <v>208</v>
      </c>
      <c r="B97" s="219"/>
      <c r="C97" s="216"/>
      <c r="D97" s="216"/>
      <c r="E97" s="216"/>
      <c r="F97" s="48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</row>
    <row r="98" spans="1:42" s="19" customFormat="1" ht="22.5" customHeight="1" thickBot="1">
      <c r="A98" s="217" t="s">
        <v>209</v>
      </c>
      <c r="B98" s="219">
        <v>1256</v>
      </c>
      <c r="C98" s="216"/>
      <c r="D98" s="216"/>
      <c r="E98" s="216"/>
      <c r="F98" s="48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</row>
    <row r="99" spans="1:42" s="19" customFormat="1" ht="22.5" customHeight="1" thickBot="1">
      <c r="A99" s="217" t="s">
        <v>210</v>
      </c>
      <c r="B99" s="219">
        <v>135</v>
      </c>
      <c r="C99" s="216"/>
      <c r="D99" s="216"/>
      <c r="E99" s="216"/>
      <c r="F99" s="48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8"/>
    </row>
    <row r="100" spans="1:42" s="19" customFormat="1" ht="16.5" hidden="1" thickBot="1">
      <c r="A100" s="217" t="s">
        <v>159</v>
      </c>
      <c r="B100" s="219"/>
      <c r="C100" s="216"/>
      <c r="D100" s="216"/>
      <c r="E100" s="216"/>
      <c r="F100" s="48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</row>
    <row r="101" spans="1:42" s="19" customFormat="1" ht="48" thickBot="1">
      <c r="A101" s="217" t="s">
        <v>281</v>
      </c>
      <c r="B101" s="219">
        <v>1730</v>
      </c>
      <c r="C101" s="216"/>
      <c r="D101" s="216"/>
      <c r="E101" s="216"/>
      <c r="F101" s="48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42" s="183" customFormat="1" ht="23.25" customHeight="1" thickBot="1">
      <c r="A102" s="214" t="s">
        <v>193</v>
      </c>
      <c r="B102" s="218"/>
      <c r="C102" s="216"/>
      <c r="D102" s="216"/>
      <c r="E102" s="216">
        <v>100</v>
      </c>
      <c r="F102" s="488">
        <v>0</v>
      </c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2"/>
    </row>
    <row r="103" spans="1:42" s="183" customFormat="1" ht="23.25" customHeight="1" thickBot="1">
      <c r="A103" s="214" t="s">
        <v>146</v>
      </c>
      <c r="B103" s="218"/>
      <c r="C103" s="216"/>
      <c r="D103" s="216">
        <v>1296</v>
      </c>
      <c r="E103" s="216">
        <v>819</v>
      </c>
      <c r="F103" s="484">
        <f>E103/D103</f>
        <v>0.63194444444444442</v>
      </c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2"/>
    </row>
    <row r="104" spans="1:42" s="183" customFormat="1" ht="18.75" customHeight="1" thickBot="1">
      <c r="A104" s="217" t="s">
        <v>147</v>
      </c>
      <c r="B104" s="215">
        <v>723</v>
      </c>
      <c r="C104" s="216"/>
      <c r="D104" s="216"/>
      <c r="E104" s="216"/>
      <c r="F104" s="484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2"/>
    </row>
    <row r="105" spans="1:42" s="183" customFormat="1" ht="18.75" customHeight="1" thickBot="1">
      <c r="A105" s="217" t="s">
        <v>148</v>
      </c>
      <c r="B105" s="215"/>
      <c r="C105" s="216"/>
      <c r="D105" s="216"/>
      <c r="E105" s="216"/>
      <c r="F105" s="484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2"/>
    </row>
    <row r="106" spans="1:42" s="183" customFormat="1" ht="18.75" customHeight="1" thickBot="1">
      <c r="A106" s="217" t="s">
        <v>217</v>
      </c>
      <c r="B106" s="215">
        <v>50</v>
      </c>
      <c r="C106" s="216"/>
      <c r="D106" s="216"/>
      <c r="E106" s="216"/>
      <c r="F106" s="484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2"/>
    </row>
    <row r="107" spans="1:42" s="183" customFormat="1" ht="32.25" thickBot="1">
      <c r="A107" s="217" t="s">
        <v>218</v>
      </c>
      <c r="B107" s="215"/>
      <c r="C107" s="216"/>
      <c r="D107" s="216"/>
      <c r="E107" s="216"/>
      <c r="F107" s="484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2"/>
    </row>
    <row r="108" spans="1:42" s="183" customFormat="1" ht="18.75" customHeight="1" thickBot="1">
      <c r="A108" s="217" t="s">
        <v>219</v>
      </c>
      <c r="B108" s="215"/>
      <c r="C108" s="216"/>
      <c r="D108" s="216"/>
      <c r="E108" s="216"/>
      <c r="F108" s="484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2"/>
    </row>
    <row r="109" spans="1:42" s="183" customFormat="1" ht="18.75" customHeight="1" thickBot="1">
      <c r="A109" s="217" t="s">
        <v>149</v>
      </c>
      <c r="B109" s="215"/>
      <c r="C109" s="216"/>
      <c r="D109" s="216"/>
      <c r="E109" s="216"/>
      <c r="F109" s="484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2"/>
    </row>
    <row r="110" spans="1:42" s="183" customFormat="1" ht="18.75" customHeight="1" thickBot="1">
      <c r="A110" s="217" t="s">
        <v>150</v>
      </c>
      <c r="B110" s="215">
        <v>5</v>
      </c>
      <c r="C110" s="216"/>
      <c r="D110" s="216"/>
      <c r="E110" s="216"/>
      <c r="F110" s="484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2"/>
    </row>
    <row r="111" spans="1:42" s="183" customFormat="1" ht="18.75" customHeight="1" thickBot="1">
      <c r="A111" s="217" t="s">
        <v>151</v>
      </c>
      <c r="B111" s="215"/>
      <c r="C111" s="216"/>
      <c r="D111" s="216"/>
      <c r="E111" s="216"/>
      <c r="F111" s="484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2"/>
    </row>
    <row r="112" spans="1:42" s="25" customFormat="1" ht="21.75" customHeight="1" thickBot="1">
      <c r="A112" s="214" t="s">
        <v>365</v>
      </c>
      <c r="B112" s="218"/>
      <c r="C112" s="216"/>
      <c r="D112" s="216"/>
      <c r="E112" s="216">
        <v>432</v>
      </c>
      <c r="F112" s="484"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4"/>
    </row>
    <row r="113" spans="1:42" s="183" customFormat="1" ht="59.25" customHeight="1" thickBot="1">
      <c r="A113" s="221" t="s">
        <v>176</v>
      </c>
      <c r="B113" s="222"/>
      <c r="C113" s="216"/>
      <c r="D113" s="216"/>
      <c r="E113" s="216">
        <v>337</v>
      </c>
      <c r="F113" s="484">
        <v>0</v>
      </c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2"/>
    </row>
    <row r="114" spans="1:42" s="183" customFormat="1" ht="36" customHeight="1" thickBot="1">
      <c r="A114" s="214" t="s">
        <v>189</v>
      </c>
      <c r="B114" s="222"/>
      <c r="C114" s="216"/>
      <c r="D114" s="216"/>
      <c r="E114" s="216">
        <v>80</v>
      </c>
      <c r="F114" s="484">
        <v>0</v>
      </c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2"/>
    </row>
    <row r="115" spans="1:42" s="25" customFormat="1" ht="33.75" customHeight="1" thickBot="1">
      <c r="A115" s="214" t="s">
        <v>160</v>
      </c>
      <c r="B115" s="218"/>
      <c r="C115" s="216">
        <v>5000</v>
      </c>
      <c r="D115" s="216">
        <v>5955</v>
      </c>
      <c r="E115" s="216">
        <v>1983</v>
      </c>
      <c r="F115" s="484">
        <f>E115/D115</f>
        <v>0.33299748110831234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4"/>
    </row>
    <row r="116" spans="1:42" s="48" customFormat="1" ht="31.5" customHeight="1" thickBot="1">
      <c r="A116" s="206" t="s">
        <v>301</v>
      </c>
      <c r="B116" s="207"/>
      <c r="C116" s="200">
        <f>SUM(C42:C115)</f>
        <v>223692</v>
      </c>
      <c r="D116" s="200">
        <f>SUM(D42:D115)</f>
        <v>236283</v>
      </c>
      <c r="E116" s="200">
        <f>SUM(E42:E115)</f>
        <v>125195</v>
      </c>
      <c r="F116" s="485">
        <f>E116/D116</f>
        <v>0.52985191486480199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47"/>
    </row>
    <row r="117" spans="1:42" s="48" customFormat="1" ht="31.5" customHeight="1" thickBot="1">
      <c r="A117" s="205"/>
      <c r="B117" s="211"/>
      <c r="C117" s="391"/>
      <c r="D117" s="210"/>
      <c r="E117" s="391"/>
      <c r="F117" s="48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47"/>
    </row>
    <row r="118" spans="1:42" s="193" customFormat="1" ht="33" customHeight="1" thickBot="1">
      <c r="A118" s="202" t="s">
        <v>302</v>
      </c>
      <c r="B118" s="208"/>
      <c r="C118" s="209"/>
      <c r="D118" s="209"/>
      <c r="E118" s="209"/>
      <c r="F118" s="483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2"/>
    </row>
    <row r="119" spans="1:42" s="19" customFormat="1" ht="42" customHeight="1" thickBot="1">
      <c r="A119" s="671" t="s">
        <v>285</v>
      </c>
      <c r="B119" s="671"/>
      <c r="C119" s="216">
        <v>78967</v>
      </c>
      <c r="D119" s="216">
        <v>78967</v>
      </c>
      <c r="E119" s="216">
        <f>24475+2512+13479+65</f>
        <v>40531</v>
      </c>
      <c r="F119" s="484">
        <f>E119/D119</f>
        <v>0.51326503476135599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8"/>
    </row>
    <row r="120" spans="1:42" s="19" customFormat="1" ht="21" customHeight="1" thickBot="1">
      <c r="A120" s="217" t="s">
        <v>184</v>
      </c>
      <c r="B120" s="518">
        <v>20203</v>
      </c>
      <c r="C120" s="216"/>
      <c r="D120" s="519"/>
      <c r="E120" s="520"/>
      <c r="F120" s="52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8"/>
    </row>
    <row r="121" spans="1:42" s="19" customFormat="1" ht="21" customHeight="1" thickBot="1">
      <c r="A121" s="217" t="s">
        <v>185</v>
      </c>
      <c r="B121" s="518">
        <v>1900</v>
      </c>
      <c r="C121" s="216"/>
      <c r="D121" s="519"/>
      <c r="E121" s="520"/>
      <c r="F121" s="52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8"/>
    </row>
    <row r="122" spans="1:42" s="19" customFormat="1" ht="21" customHeight="1" thickBot="1">
      <c r="A122" s="217" t="s">
        <v>187</v>
      </c>
      <c r="B122" s="518">
        <v>8223</v>
      </c>
      <c r="C122" s="216"/>
      <c r="D122" s="519"/>
      <c r="E122" s="520"/>
      <c r="F122" s="52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8"/>
    </row>
    <row r="123" spans="1:42" s="19" customFormat="1" ht="21" customHeight="1" thickBot="1">
      <c r="A123" s="217" t="s">
        <v>186</v>
      </c>
      <c r="B123" s="518">
        <v>1886</v>
      </c>
      <c r="C123" s="216"/>
      <c r="D123" s="519"/>
      <c r="E123" s="520"/>
      <c r="F123" s="52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8"/>
    </row>
    <row r="124" spans="1:42" s="19" customFormat="1" ht="27.75" customHeight="1" thickBot="1">
      <c r="A124" s="214" t="s">
        <v>141</v>
      </c>
      <c r="B124" s="218"/>
      <c r="C124" s="216">
        <v>6100</v>
      </c>
      <c r="D124" s="216">
        <v>6100</v>
      </c>
      <c r="E124" s="216">
        <v>1231</v>
      </c>
      <c r="F124" s="484">
        <f>E124/D124</f>
        <v>0.2018032786885246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8"/>
    </row>
    <row r="125" spans="1:42" s="19" customFormat="1" ht="30" customHeight="1" thickBot="1">
      <c r="A125" s="217" t="s">
        <v>142</v>
      </c>
      <c r="B125" s="215">
        <v>2000</v>
      </c>
      <c r="C125" s="216"/>
      <c r="D125" s="216"/>
      <c r="E125" s="216"/>
      <c r="F125" s="484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8"/>
    </row>
    <row r="126" spans="1:42" s="19" customFormat="1" ht="32.25" thickBot="1">
      <c r="A126" s="217" t="s">
        <v>203</v>
      </c>
      <c r="B126" s="215">
        <v>100</v>
      </c>
      <c r="C126" s="216"/>
      <c r="D126" s="216"/>
      <c r="E126" s="216"/>
      <c r="F126" s="484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8"/>
    </row>
    <row r="127" spans="1:42" s="19" customFormat="1" ht="39.75" customHeight="1" thickBot="1">
      <c r="A127" s="217" t="s">
        <v>204</v>
      </c>
      <c r="B127" s="215">
        <v>4000</v>
      </c>
      <c r="C127" s="216"/>
      <c r="D127" s="216"/>
      <c r="E127" s="216"/>
      <c r="F127" s="484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8"/>
    </row>
    <row r="128" spans="1:42" s="48" customFormat="1" ht="31.5" customHeight="1" thickBot="1">
      <c r="A128" s="206" t="s">
        <v>303</v>
      </c>
      <c r="B128" s="207"/>
      <c r="C128" s="200">
        <f>SUM(C119:C127)</f>
        <v>85067</v>
      </c>
      <c r="D128" s="200">
        <f>SUM(D119:D127)</f>
        <v>85067</v>
      </c>
      <c r="E128" s="200">
        <f>SUM(E119:E127)</f>
        <v>41762</v>
      </c>
      <c r="F128" s="485">
        <f>E128/D128</f>
        <v>0.4909306781713238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47"/>
    </row>
    <row r="129" spans="1:42" s="48" customFormat="1" ht="31.5" customHeight="1" thickBot="1">
      <c r="A129" s="205"/>
      <c r="B129" s="211"/>
      <c r="C129" s="391"/>
      <c r="D129" s="210"/>
      <c r="E129" s="391"/>
      <c r="F129" s="48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47"/>
    </row>
    <row r="130" spans="1:42" s="193" customFormat="1" ht="33" customHeight="1" thickBot="1">
      <c r="A130" s="202" t="s">
        <v>304</v>
      </c>
      <c r="B130" s="208"/>
      <c r="C130" s="209"/>
      <c r="D130" s="209"/>
      <c r="E130" s="209"/>
      <c r="F130" s="483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2"/>
    </row>
    <row r="131" spans="1:42" s="183" customFormat="1" ht="23.25" customHeight="1" thickBot="1">
      <c r="A131" s="214" t="s">
        <v>123</v>
      </c>
      <c r="B131" s="215"/>
      <c r="C131" s="216">
        <v>205</v>
      </c>
      <c r="D131" s="216">
        <v>205</v>
      </c>
      <c r="E131" s="216"/>
      <c r="F131" s="484">
        <v>0</v>
      </c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2"/>
    </row>
    <row r="132" spans="1:42" s="183" customFormat="1" ht="86.25" customHeight="1" thickBot="1">
      <c r="A132" s="221" t="s">
        <v>320</v>
      </c>
      <c r="B132" s="222"/>
      <c r="C132" s="216">
        <v>1000</v>
      </c>
      <c r="D132" s="216">
        <v>1000</v>
      </c>
      <c r="E132" s="216">
        <v>769</v>
      </c>
      <c r="F132" s="484">
        <f>E132/D132</f>
        <v>0.76900000000000002</v>
      </c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2"/>
    </row>
    <row r="133" spans="1:42" s="183" customFormat="1" ht="32.25" thickBot="1">
      <c r="A133" s="214" t="s">
        <v>126</v>
      </c>
      <c r="B133" s="215"/>
      <c r="C133" s="216">
        <v>487388</v>
      </c>
      <c r="D133" s="216">
        <v>554387</v>
      </c>
      <c r="E133" s="216">
        <v>435688</v>
      </c>
      <c r="F133" s="484">
        <f t="shared" ref="F133:F136" si="1">E133/D133</f>
        <v>0.78589144406344302</v>
      </c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2"/>
    </row>
    <row r="134" spans="1:42" s="183" customFormat="1" ht="32.25" thickBot="1">
      <c r="A134" s="214" t="s">
        <v>283</v>
      </c>
      <c r="B134" s="215"/>
      <c r="C134" s="216">
        <v>70000</v>
      </c>
      <c r="D134" s="216">
        <v>80000</v>
      </c>
      <c r="E134" s="216">
        <v>48000</v>
      </c>
      <c r="F134" s="484">
        <f t="shared" si="1"/>
        <v>0.6</v>
      </c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2"/>
    </row>
    <row r="135" spans="1:42" s="183" customFormat="1" ht="19.5" customHeight="1" thickBot="1">
      <c r="A135" s="214" t="s">
        <v>127</v>
      </c>
      <c r="B135" s="215"/>
      <c r="C135" s="216">
        <v>1032</v>
      </c>
      <c r="D135" s="216">
        <v>1032</v>
      </c>
      <c r="E135" s="216">
        <v>0</v>
      </c>
      <c r="F135" s="484">
        <f t="shared" si="1"/>
        <v>0</v>
      </c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2"/>
    </row>
    <row r="136" spans="1:42" s="183" customFormat="1" ht="19.5" customHeight="1" thickBot="1">
      <c r="A136" s="214" t="s">
        <v>175</v>
      </c>
      <c r="B136" s="215"/>
      <c r="C136" s="216">
        <v>76224</v>
      </c>
      <c r="D136" s="216">
        <v>76224</v>
      </c>
      <c r="E136" s="216">
        <v>57168</v>
      </c>
      <c r="F136" s="484">
        <f t="shared" si="1"/>
        <v>0.75</v>
      </c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2"/>
    </row>
    <row r="137" spans="1:42" s="183" customFormat="1" ht="32.25" thickBot="1">
      <c r="A137" s="217" t="s">
        <v>284</v>
      </c>
      <c r="B137" s="215">
        <f>6352*12</f>
        <v>76224</v>
      </c>
      <c r="C137" s="220"/>
      <c r="D137" s="220"/>
      <c r="E137" s="220"/>
      <c r="F137" s="487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2"/>
    </row>
    <row r="138" spans="1:42" s="183" customFormat="1" ht="21" customHeight="1" thickBot="1">
      <c r="A138" s="214" t="s">
        <v>171</v>
      </c>
      <c r="B138" s="215"/>
      <c r="C138" s="216">
        <v>15473</v>
      </c>
      <c r="D138" s="216">
        <v>16005</v>
      </c>
      <c r="E138" s="216">
        <v>5270</v>
      </c>
      <c r="F138" s="488">
        <f>E138/D138</f>
        <v>0.32927210246797878</v>
      </c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2"/>
    </row>
    <row r="139" spans="1:42" s="183" customFormat="1" ht="21" customHeight="1" thickBot="1">
      <c r="A139" s="217" t="s">
        <v>170</v>
      </c>
      <c r="B139" s="215">
        <v>9950</v>
      </c>
      <c r="C139" s="216"/>
      <c r="D139" s="216"/>
      <c r="E139" s="216"/>
      <c r="F139" s="484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2"/>
    </row>
    <row r="140" spans="1:42" s="183" customFormat="1" ht="21" customHeight="1" thickBot="1">
      <c r="A140" s="217" t="s">
        <v>169</v>
      </c>
      <c r="B140" s="215">
        <v>5523</v>
      </c>
      <c r="C140" s="216"/>
      <c r="D140" s="216"/>
      <c r="E140" s="216"/>
      <c r="F140" s="484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2"/>
    </row>
    <row r="141" spans="1:42" s="183" customFormat="1" ht="21" customHeight="1" thickBot="1">
      <c r="A141" s="217" t="s">
        <v>404</v>
      </c>
      <c r="B141" s="215">
        <v>532</v>
      </c>
      <c r="C141" s="216"/>
      <c r="D141" s="216"/>
      <c r="E141" s="216"/>
      <c r="F141" s="54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2"/>
    </row>
    <row r="142" spans="1:42" s="183" customFormat="1" ht="21" customHeight="1" thickBot="1">
      <c r="A142" s="214" t="s">
        <v>344</v>
      </c>
      <c r="B142" s="215"/>
      <c r="C142" s="216"/>
      <c r="D142" s="216">
        <v>1410</v>
      </c>
      <c r="E142" s="216">
        <v>1689</v>
      </c>
      <c r="F142" s="488">
        <v>0</v>
      </c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2"/>
    </row>
    <row r="143" spans="1:42" s="183" customFormat="1" ht="21" customHeight="1" thickBot="1">
      <c r="A143" s="214" t="s">
        <v>180</v>
      </c>
      <c r="B143" s="215"/>
      <c r="C143" s="216">
        <v>10000</v>
      </c>
      <c r="D143" s="216">
        <v>10000</v>
      </c>
      <c r="E143" s="216">
        <v>0</v>
      </c>
      <c r="F143" s="484">
        <v>0</v>
      </c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2"/>
    </row>
    <row r="144" spans="1:42" s="183" customFormat="1" ht="32.25" thickBot="1">
      <c r="A144" s="214" t="s">
        <v>191</v>
      </c>
      <c r="B144" s="218"/>
      <c r="C144" s="216">
        <v>593</v>
      </c>
      <c r="D144" s="216">
        <v>593</v>
      </c>
      <c r="E144" s="216">
        <v>0</v>
      </c>
      <c r="F144" s="484">
        <v>0</v>
      </c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2"/>
    </row>
    <row r="145" spans="1:42" s="183" customFormat="1" ht="23.25" customHeight="1" thickBot="1">
      <c r="A145" s="214" t="s">
        <v>193</v>
      </c>
      <c r="B145" s="218"/>
      <c r="C145" s="216">
        <v>100</v>
      </c>
      <c r="D145" s="216">
        <v>100</v>
      </c>
      <c r="E145" s="216">
        <v>0</v>
      </c>
      <c r="F145" s="488">
        <f>E145/D145</f>
        <v>0</v>
      </c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2"/>
    </row>
    <row r="146" spans="1:42" s="183" customFormat="1" ht="23.25" customHeight="1" thickBot="1">
      <c r="A146" s="214" t="s">
        <v>282</v>
      </c>
      <c r="B146" s="218"/>
      <c r="C146" s="216">
        <v>115000</v>
      </c>
      <c r="D146" s="216">
        <v>115000</v>
      </c>
      <c r="E146" s="216">
        <v>77884</v>
      </c>
      <c r="F146" s="488">
        <f>E146/D146</f>
        <v>0.67725217391304349</v>
      </c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2"/>
    </row>
    <row r="147" spans="1:42" s="183" customFormat="1" ht="23.25" customHeight="1" thickBot="1">
      <c r="A147" s="217" t="s">
        <v>182</v>
      </c>
      <c r="B147" s="215">
        <v>100000</v>
      </c>
      <c r="C147" s="220"/>
      <c r="D147" s="220"/>
      <c r="E147" s="220"/>
      <c r="F147" s="487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2"/>
    </row>
    <row r="148" spans="1:42" s="183" customFormat="1" ht="23.25" customHeight="1" thickBot="1">
      <c r="A148" s="217" t="s">
        <v>183</v>
      </c>
      <c r="B148" s="215">
        <v>15000</v>
      </c>
      <c r="C148" s="220"/>
      <c r="D148" s="220"/>
      <c r="E148" s="220"/>
      <c r="F148" s="487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2"/>
    </row>
    <row r="149" spans="1:42" s="183" customFormat="1" ht="23.25" customHeight="1" thickBot="1">
      <c r="A149" s="214" t="s">
        <v>143</v>
      </c>
      <c r="B149" s="218"/>
      <c r="C149" s="216">
        <v>300</v>
      </c>
      <c r="D149" s="216">
        <v>300</v>
      </c>
      <c r="E149" s="216">
        <v>0</v>
      </c>
      <c r="F149" s="484">
        <v>0</v>
      </c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2"/>
    </row>
    <row r="150" spans="1:42" s="19" customFormat="1" ht="24" customHeight="1" thickBot="1">
      <c r="A150" s="674" t="s">
        <v>353</v>
      </c>
      <c r="B150" s="672"/>
      <c r="C150" s="216"/>
      <c r="D150" s="509">
        <v>200</v>
      </c>
      <c r="E150" s="216">
        <v>0</v>
      </c>
      <c r="F150" s="488">
        <v>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</row>
    <row r="151" spans="1:42" s="19" customFormat="1" ht="24" customHeight="1" thickBot="1">
      <c r="A151" s="674" t="s">
        <v>354</v>
      </c>
      <c r="B151" s="672"/>
      <c r="C151" s="409"/>
      <c r="D151" s="509">
        <v>100</v>
      </c>
      <c r="E151" s="409">
        <v>100</v>
      </c>
      <c r="F151" s="488">
        <f>E151/D151</f>
        <v>1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</row>
    <row r="152" spans="1:42" s="19" customFormat="1" ht="24" customHeight="1" thickBot="1">
      <c r="A152" s="674" t="s">
        <v>355</v>
      </c>
      <c r="B152" s="672"/>
      <c r="C152" s="409"/>
      <c r="D152" s="509">
        <v>200</v>
      </c>
      <c r="E152" s="409">
        <v>200</v>
      </c>
      <c r="F152" s="488">
        <f>E152/D152</f>
        <v>1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</row>
    <row r="153" spans="1:42" s="19" customFormat="1" ht="24" customHeight="1" thickBot="1">
      <c r="A153" s="674" t="s">
        <v>356</v>
      </c>
      <c r="B153" s="672"/>
      <c r="C153" s="409"/>
      <c r="D153" s="509">
        <v>10</v>
      </c>
      <c r="E153" s="409">
        <v>10</v>
      </c>
      <c r="F153" s="488">
        <f t="shared" ref="F153:F157" si="2">E153/D153</f>
        <v>1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</row>
    <row r="154" spans="1:42" s="19" customFormat="1" ht="24" customHeight="1" thickBot="1">
      <c r="A154" s="674" t="s">
        <v>357</v>
      </c>
      <c r="B154" s="672"/>
      <c r="C154" s="409"/>
      <c r="D154" s="509">
        <v>10</v>
      </c>
      <c r="E154" s="409">
        <v>10</v>
      </c>
      <c r="F154" s="488">
        <f t="shared" si="2"/>
        <v>1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</row>
    <row r="155" spans="1:42" s="19" customFormat="1" ht="24" customHeight="1" thickBot="1">
      <c r="A155" s="674" t="s">
        <v>358</v>
      </c>
      <c r="B155" s="672"/>
      <c r="C155" s="409"/>
      <c r="D155" s="509">
        <v>200</v>
      </c>
      <c r="E155" s="409">
        <v>200</v>
      </c>
      <c r="F155" s="488">
        <f t="shared" si="2"/>
        <v>1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8"/>
    </row>
    <row r="156" spans="1:42" s="19" customFormat="1" ht="24" customHeight="1" thickBot="1">
      <c r="A156" s="508" t="s">
        <v>160</v>
      </c>
      <c r="B156" s="508"/>
      <c r="C156" s="409"/>
      <c r="D156" s="509"/>
      <c r="E156" s="409">
        <v>693</v>
      </c>
      <c r="F156" s="488">
        <v>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8"/>
    </row>
    <row r="157" spans="1:42" s="183" customFormat="1" ht="23.25" customHeight="1" thickBot="1">
      <c r="A157" s="214" t="s">
        <v>145</v>
      </c>
      <c r="B157" s="218"/>
      <c r="C157" s="216">
        <v>5000</v>
      </c>
      <c r="D157" s="216">
        <f>C157+10000</f>
        <v>15000</v>
      </c>
      <c r="E157" s="216">
        <v>12500</v>
      </c>
      <c r="F157" s="488">
        <f t="shared" si="2"/>
        <v>0.83333333333333337</v>
      </c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2"/>
    </row>
    <row r="158" spans="1:42" s="183" customFormat="1" ht="38.25" customHeight="1" thickBot="1">
      <c r="A158" s="214" t="s">
        <v>400</v>
      </c>
      <c r="B158" s="218"/>
      <c r="C158" s="216"/>
      <c r="D158" s="216">
        <v>1580</v>
      </c>
      <c r="E158" s="216">
        <v>0</v>
      </c>
      <c r="F158" s="541">
        <v>0</v>
      </c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2"/>
    </row>
    <row r="159" spans="1:42" s="183" customFormat="1" ht="23.25" customHeight="1" thickBot="1">
      <c r="A159" s="214" t="s">
        <v>220</v>
      </c>
      <c r="B159" s="218"/>
      <c r="C159" s="216"/>
      <c r="D159" s="216">
        <v>100</v>
      </c>
      <c r="E159" s="216">
        <v>0</v>
      </c>
      <c r="F159" s="541">
        <v>0</v>
      </c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2"/>
    </row>
    <row r="160" spans="1:42" s="183" customFormat="1" ht="23.25" customHeight="1" thickBot="1">
      <c r="A160" s="214" t="s">
        <v>146</v>
      </c>
      <c r="B160" s="218"/>
      <c r="C160" s="216">
        <v>1296</v>
      </c>
      <c r="D160" s="216">
        <v>0</v>
      </c>
      <c r="E160" s="216">
        <v>5</v>
      </c>
      <c r="F160" s="484">
        <v>0</v>
      </c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2"/>
    </row>
    <row r="161" spans="1:42" s="183" customFormat="1" ht="18.75" customHeight="1" thickBot="1">
      <c r="A161" s="217" t="s">
        <v>147</v>
      </c>
      <c r="B161" s="215">
        <v>640</v>
      </c>
      <c r="C161" s="216"/>
      <c r="D161" s="216"/>
      <c r="E161" s="216"/>
      <c r="F161" s="484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2"/>
    </row>
    <row r="162" spans="1:42" s="183" customFormat="1" ht="18.75" customHeight="1" thickBot="1">
      <c r="A162" s="217" t="s">
        <v>148</v>
      </c>
      <c r="B162" s="215">
        <v>25</v>
      </c>
      <c r="C162" s="216"/>
      <c r="D162" s="216"/>
      <c r="E162" s="216"/>
      <c r="F162" s="484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2"/>
    </row>
    <row r="163" spans="1:42" s="183" customFormat="1" ht="18.75" customHeight="1" thickBot="1">
      <c r="A163" s="217" t="s">
        <v>217</v>
      </c>
      <c r="B163" s="215">
        <v>50</v>
      </c>
      <c r="C163" s="216"/>
      <c r="D163" s="216"/>
      <c r="E163" s="216"/>
      <c r="F163" s="484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2"/>
    </row>
    <row r="164" spans="1:42" s="183" customFormat="1" ht="32.25" thickBot="1">
      <c r="A164" s="217" t="s">
        <v>218</v>
      </c>
      <c r="B164" s="215">
        <v>543</v>
      </c>
      <c r="C164" s="216"/>
      <c r="D164" s="216"/>
      <c r="E164" s="216"/>
      <c r="F164" s="484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2"/>
    </row>
    <row r="165" spans="1:42" s="183" customFormat="1" ht="18.75" customHeight="1" thickBot="1">
      <c r="A165" s="217" t="s">
        <v>219</v>
      </c>
      <c r="B165" s="215">
        <v>22</v>
      </c>
      <c r="C165" s="216"/>
      <c r="D165" s="216"/>
      <c r="E165" s="216"/>
      <c r="F165" s="484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2"/>
    </row>
    <row r="166" spans="1:42" s="183" customFormat="1" ht="18.75" customHeight="1" thickBot="1">
      <c r="A166" s="217" t="s">
        <v>149</v>
      </c>
      <c r="B166" s="215">
        <v>1</v>
      </c>
      <c r="C166" s="216"/>
      <c r="D166" s="216"/>
      <c r="E166" s="216"/>
      <c r="F166" s="484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2"/>
    </row>
    <row r="167" spans="1:42" s="183" customFormat="1" ht="18.75" customHeight="1" thickBot="1">
      <c r="A167" s="217" t="s">
        <v>150</v>
      </c>
      <c r="B167" s="215">
        <v>5</v>
      </c>
      <c r="C167" s="216"/>
      <c r="D167" s="216"/>
      <c r="E167" s="216"/>
      <c r="F167" s="484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2"/>
    </row>
    <row r="168" spans="1:42" s="183" customFormat="1" ht="18.75" customHeight="1" thickBot="1">
      <c r="A168" s="217" t="s">
        <v>151</v>
      </c>
      <c r="B168" s="215">
        <v>10</v>
      </c>
      <c r="C168" s="216"/>
      <c r="D168" s="216"/>
      <c r="E168" s="216"/>
      <c r="F168" s="484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2"/>
    </row>
    <row r="169" spans="1:42" s="19" customFormat="1" ht="27.75" customHeight="1" thickBot="1">
      <c r="A169" s="214" t="s">
        <v>141</v>
      </c>
      <c r="B169" s="218"/>
      <c r="C169" s="216"/>
      <c r="D169" s="216"/>
      <c r="E169" s="216">
        <v>2720</v>
      </c>
      <c r="F169" s="484">
        <v>0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8"/>
    </row>
    <row r="170" spans="1:42" s="19" customFormat="1" ht="39.75" customHeight="1" thickBot="1">
      <c r="A170" s="217" t="s">
        <v>204</v>
      </c>
      <c r="B170" s="215"/>
      <c r="C170" s="216"/>
      <c r="D170" s="216"/>
      <c r="E170" s="216"/>
      <c r="F170" s="484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8"/>
    </row>
    <row r="171" spans="1:42" s="185" customFormat="1" ht="39.75" customHeight="1" thickBot="1">
      <c r="A171" s="214" t="s">
        <v>366</v>
      </c>
      <c r="B171" s="218"/>
      <c r="C171" s="216"/>
      <c r="D171" s="216"/>
      <c r="E171" s="216"/>
      <c r="F171" s="484">
        <v>0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184"/>
    </row>
    <row r="172" spans="1:42" s="185" customFormat="1" ht="38.25" customHeight="1" thickBot="1">
      <c r="A172" s="214" t="s">
        <v>196</v>
      </c>
      <c r="B172" s="224"/>
      <c r="C172" s="216">
        <v>50000</v>
      </c>
      <c r="D172" s="216">
        <v>41320</v>
      </c>
      <c r="E172" s="216"/>
      <c r="F172" s="484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184"/>
    </row>
    <row r="173" spans="1:42" s="185" customFormat="1" ht="38.25" customHeight="1" thickBot="1">
      <c r="A173" s="214" t="s">
        <v>197</v>
      </c>
      <c r="B173" s="224"/>
      <c r="C173" s="216">
        <v>175727</v>
      </c>
      <c r="D173" s="216">
        <f>SUM(B175:B176)</f>
        <v>176141</v>
      </c>
      <c r="E173" s="216"/>
      <c r="F173" s="484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184"/>
    </row>
    <row r="174" spans="1:42" s="25" customFormat="1" ht="41.25" customHeight="1" thickBot="1">
      <c r="A174" s="214" t="s">
        <v>199</v>
      </c>
      <c r="B174" s="218"/>
      <c r="C174" s="216"/>
      <c r="D174" s="216"/>
      <c r="E174" s="216"/>
      <c r="F174" s="484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4"/>
    </row>
    <row r="175" spans="1:42" s="19" customFormat="1" ht="43.5" customHeight="1" thickBot="1">
      <c r="A175" s="217" t="s">
        <v>192</v>
      </c>
      <c r="B175" s="215">
        <v>12166</v>
      </c>
      <c r="C175" s="216"/>
      <c r="D175" s="216"/>
      <c r="E175" s="216"/>
      <c r="F175" s="484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8"/>
    </row>
    <row r="176" spans="1:42" s="19" customFormat="1" ht="32.25" thickBot="1">
      <c r="A176" s="214" t="s">
        <v>129</v>
      </c>
      <c r="B176" s="215">
        <f>SUM(B178:B179)</f>
        <v>163975</v>
      </c>
      <c r="C176" s="216"/>
      <c r="D176" s="216"/>
      <c r="E176" s="216"/>
      <c r="F176" s="484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8"/>
    </row>
    <row r="177" spans="1:42" s="19" customFormat="1" ht="22.5" customHeight="1" thickBot="1">
      <c r="A177" s="217" t="s">
        <v>89</v>
      </c>
      <c r="B177" s="215"/>
      <c r="C177" s="216"/>
      <c r="D177" s="216"/>
      <c r="E177" s="216"/>
      <c r="F177" s="484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8"/>
    </row>
    <row r="178" spans="1:42" s="19" customFormat="1" ht="22.5" customHeight="1" thickBot="1">
      <c r="A178" s="217" t="s">
        <v>194</v>
      </c>
      <c r="B178" s="215">
        <v>49950</v>
      </c>
      <c r="C178" s="216"/>
      <c r="D178" s="216"/>
      <c r="E178" s="216"/>
      <c r="F178" s="484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8"/>
    </row>
    <row r="179" spans="1:42" s="19" customFormat="1" ht="37.5" customHeight="1" thickBot="1">
      <c r="A179" s="217" t="s">
        <v>195</v>
      </c>
      <c r="B179" s="215">
        <f>113611+414</f>
        <v>114025</v>
      </c>
      <c r="C179" s="216"/>
      <c r="D179" s="216"/>
      <c r="E179" s="216"/>
      <c r="F179" s="484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8"/>
    </row>
    <row r="180" spans="1:42" s="48" customFormat="1" ht="31.5" customHeight="1" thickBot="1">
      <c r="A180" s="206" t="s">
        <v>305</v>
      </c>
      <c r="B180" s="212"/>
      <c r="C180" s="209">
        <f>SUM(C131:C179)</f>
        <v>1009338</v>
      </c>
      <c r="D180" s="209">
        <f>SUM(D131:D179)</f>
        <v>1091117</v>
      </c>
      <c r="E180" s="209">
        <f>SUM(E131:E179)</f>
        <v>642906</v>
      </c>
      <c r="F180" s="485">
        <f>E180/D180</f>
        <v>0.58921820483046272</v>
      </c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47"/>
    </row>
    <row r="181" spans="1:42" s="48" customFormat="1" ht="31.5" customHeight="1" thickBot="1">
      <c r="A181" s="205"/>
      <c r="B181" s="211"/>
      <c r="C181" s="391"/>
      <c r="D181" s="210"/>
      <c r="E181" s="391"/>
      <c r="F181" s="48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47"/>
    </row>
    <row r="182" spans="1:42" s="193" customFormat="1" ht="33" customHeight="1" thickBot="1">
      <c r="A182" s="202" t="s">
        <v>306</v>
      </c>
      <c r="B182" s="204"/>
      <c r="C182" s="200"/>
      <c r="D182" s="200"/>
      <c r="E182" s="200"/>
      <c r="F182" s="485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2"/>
    </row>
    <row r="183" spans="1:42" s="183" customFormat="1" ht="23.25" customHeight="1" thickBot="1">
      <c r="A183" s="214" t="s">
        <v>124</v>
      </c>
      <c r="B183" s="215"/>
      <c r="C183" s="216">
        <v>250</v>
      </c>
      <c r="D183" s="216">
        <v>250</v>
      </c>
      <c r="E183" s="216">
        <v>0</v>
      </c>
      <c r="F183" s="484">
        <v>0</v>
      </c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2"/>
    </row>
    <row r="184" spans="1:42" s="183" customFormat="1" ht="32.25" thickBot="1">
      <c r="A184" s="214" t="s">
        <v>140</v>
      </c>
      <c r="B184" s="215"/>
      <c r="C184" s="216">
        <v>1000</v>
      </c>
      <c r="D184" s="216">
        <f>C184-1000</f>
        <v>0</v>
      </c>
      <c r="E184" s="216">
        <v>0</v>
      </c>
      <c r="F184" s="484">
        <v>0</v>
      </c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2"/>
    </row>
    <row r="185" spans="1:42" s="19" customFormat="1" ht="19.5" customHeight="1" thickBot="1">
      <c r="A185" s="214" t="s">
        <v>116</v>
      </c>
      <c r="B185" s="215"/>
      <c r="C185" s="216"/>
      <c r="D185" s="216">
        <v>254</v>
      </c>
      <c r="E185" s="216">
        <v>254</v>
      </c>
      <c r="F185" s="484">
        <v>0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8"/>
    </row>
    <row r="186" spans="1:42" s="19" customFormat="1" ht="35.25" customHeight="1" thickBot="1">
      <c r="A186" s="214" t="s">
        <v>401</v>
      </c>
      <c r="B186" s="215"/>
      <c r="C186" s="216"/>
      <c r="D186" s="216">
        <v>695</v>
      </c>
      <c r="E186" s="216">
        <v>695</v>
      </c>
      <c r="F186" s="484">
        <v>0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8"/>
    </row>
    <row r="187" spans="1:42" s="19" customFormat="1" ht="25.5" customHeight="1" thickBot="1">
      <c r="A187" s="214" t="s">
        <v>160</v>
      </c>
      <c r="B187" s="215"/>
      <c r="C187" s="216"/>
      <c r="D187" s="216">
        <v>445</v>
      </c>
      <c r="E187" s="216">
        <f>350+95</f>
        <v>445</v>
      </c>
      <c r="F187" s="484">
        <f>E187/D187</f>
        <v>1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8"/>
    </row>
    <row r="188" spans="1:42" s="19" customFormat="1" ht="25.5" customHeight="1" thickBot="1">
      <c r="A188" s="214" t="s">
        <v>181</v>
      </c>
      <c r="B188" s="215"/>
      <c r="C188" s="216"/>
      <c r="D188" s="216">
        <v>7825</v>
      </c>
      <c r="E188" s="216">
        <v>500</v>
      </c>
      <c r="F188" s="484">
        <f>E188/D188</f>
        <v>6.3897763578274758E-2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8"/>
    </row>
    <row r="189" spans="1:42" s="25" customFormat="1" ht="21.75" customHeight="1" thickBot="1">
      <c r="A189" s="214" t="s">
        <v>365</v>
      </c>
      <c r="B189" s="218"/>
      <c r="C189" s="216"/>
      <c r="D189" s="216"/>
      <c r="E189" s="216">
        <v>745</v>
      </c>
      <c r="F189" s="484">
        <v>0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4"/>
    </row>
    <row r="190" spans="1:42" s="19" customFormat="1" ht="28.5" customHeight="1" thickBot="1">
      <c r="A190" s="214" t="s">
        <v>189</v>
      </c>
      <c r="B190" s="223"/>
      <c r="C190" s="216"/>
      <c r="D190" s="216"/>
      <c r="E190" s="216">
        <v>3158</v>
      </c>
      <c r="F190" s="541">
        <v>0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8"/>
    </row>
    <row r="191" spans="1:42" s="19" customFormat="1" ht="39.75" customHeight="1" thickBot="1">
      <c r="A191" s="214" t="s">
        <v>134</v>
      </c>
      <c r="B191" s="215"/>
      <c r="C191" s="216"/>
      <c r="D191" s="216"/>
      <c r="E191" s="216">
        <v>1193</v>
      </c>
      <c r="F191" s="484">
        <v>0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8"/>
    </row>
    <row r="192" spans="1:42" s="183" customFormat="1" ht="23.25" customHeight="1" thickBot="1">
      <c r="A192" s="214" t="s">
        <v>282</v>
      </c>
      <c r="B192" s="218"/>
      <c r="C192" s="216"/>
      <c r="D192" s="216"/>
      <c r="E192" s="216">
        <v>3153</v>
      </c>
      <c r="F192" s="488">
        <v>0</v>
      </c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2"/>
    </row>
    <row r="193" spans="1:42" s="183" customFormat="1" ht="23.25" customHeight="1" thickBot="1">
      <c r="A193" s="217" t="s">
        <v>183</v>
      </c>
      <c r="B193" s="215"/>
      <c r="C193" s="220"/>
      <c r="D193" s="220"/>
      <c r="E193" s="220"/>
      <c r="F193" s="487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2"/>
    </row>
    <row r="194" spans="1:42" s="48" customFormat="1" ht="31.5" customHeight="1" thickBot="1">
      <c r="A194" s="206" t="s">
        <v>307</v>
      </c>
      <c r="B194" s="207"/>
      <c r="C194" s="200">
        <f>SUM(C183:C193)</f>
        <v>1250</v>
      </c>
      <c r="D194" s="200">
        <f>SUM(D183:D193)</f>
        <v>9469</v>
      </c>
      <c r="E194" s="200">
        <f>SUM(E183:E193)</f>
        <v>10143</v>
      </c>
      <c r="F194" s="485">
        <f>E194/D194</f>
        <v>1.0711796388214172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47"/>
    </row>
    <row r="195" spans="1:42" s="48" customFormat="1" ht="31.5" customHeight="1" thickBot="1">
      <c r="A195" s="205"/>
      <c r="B195" s="211"/>
      <c r="C195" s="210"/>
      <c r="D195" s="210"/>
      <c r="E195" s="210"/>
      <c r="F195" s="48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47"/>
    </row>
    <row r="196" spans="1:42" s="193" customFormat="1" ht="33" customHeight="1" thickBot="1">
      <c r="A196" s="202" t="s">
        <v>308</v>
      </c>
      <c r="B196" s="208"/>
      <c r="C196" s="209"/>
      <c r="D196" s="209"/>
      <c r="E196" s="209"/>
      <c r="F196" s="483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2"/>
    </row>
    <row r="197" spans="1:42" s="183" customFormat="1" ht="32.25" thickBot="1">
      <c r="A197" s="214" t="s">
        <v>189</v>
      </c>
      <c r="B197" s="218"/>
      <c r="C197" s="216">
        <v>31580</v>
      </c>
      <c r="D197" s="216">
        <f>SUM(C197+1076)</f>
        <v>32656</v>
      </c>
      <c r="E197" s="216">
        <v>29595</v>
      </c>
      <c r="F197" s="484">
        <f>E197/D197</f>
        <v>0.90626531112199904</v>
      </c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2"/>
    </row>
    <row r="198" spans="1:42" s="183" customFormat="1" ht="16.5" thickBot="1">
      <c r="A198" s="217" t="s">
        <v>190</v>
      </c>
      <c r="B198" s="225">
        <v>1580</v>
      </c>
      <c r="C198" s="216"/>
      <c r="D198" s="216"/>
      <c r="E198" s="216"/>
      <c r="F198" s="484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2"/>
    </row>
    <row r="199" spans="1:42" s="183" customFormat="1" ht="16.5" thickBot="1">
      <c r="A199" s="217" t="s">
        <v>179</v>
      </c>
      <c r="B199" s="225">
        <v>30000</v>
      </c>
      <c r="C199" s="216"/>
      <c r="D199" s="216"/>
      <c r="E199" s="216"/>
      <c r="F199" s="484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2"/>
    </row>
    <row r="200" spans="1:42" s="404" customFormat="1" ht="30.75" customHeight="1" thickBot="1">
      <c r="A200" s="357" t="s">
        <v>360</v>
      </c>
      <c r="B200" s="358">
        <v>1076</v>
      </c>
      <c r="C200" s="216"/>
      <c r="D200" s="408"/>
      <c r="E200" s="216"/>
      <c r="F200" s="489"/>
      <c r="G200" s="402"/>
      <c r="H200" s="402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  <c r="AA200" s="402"/>
      <c r="AB200" s="402"/>
      <c r="AC200" s="402"/>
      <c r="AD200" s="402"/>
      <c r="AE200" s="402"/>
      <c r="AF200" s="402"/>
      <c r="AG200" s="402"/>
      <c r="AH200" s="402"/>
      <c r="AI200" s="402"/>
      <c r="AJ200" s="402"/>
      <c r="AK200" s="402"/>
      <c r="AL200" s="402"/>
      <c r="AM200" s="402"/>
      <c r="AN200" s="402"/>
      <c r="AO200" s="403"/>
    </row>
    <row r="201" spans="1:42" s="183" customFormat="1" ht="39" customHeight="1" thickBot="1">
      <c r="A201" s="226" t="s">
        <v>319</v>
      </c>
      <c r="B201" s="227"/>
      <c r="C201" s="216">
        <v>6500</v>
      </c>
      <c r="D201" s="216">
        <f>C201+3000</f>
        <v>9500</v>
      </c>
      <c r="E201" s="216">
        <v>0</v>
      </c>
      <c r="F201" s="484">
        <v>0</v>
      </c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2"/>
    </row>
    <row r="202" spans="1:42" s="183" customFormat="1" ht="25.5" customHeight="1" thickBot="1">
      <c r="A202" s="228" t="s">
        <v>177</v>
      </c>
      <c r="B202" s="229">
        <v>9500</v>
      </c>
      <c r="C202" s="220"/>
      <c r="D202" s="220"/>
      <c r="E202" s="220"/>
      <c r="F202" s="487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2"/>
    </row>
    <row r="203" spans="1:42" s="183" customFormat="1" ht="59.25" customHeight="1" thickBot="1">
      <c r="A203" s="221" t="s">
        <v>176</v>
      </c>
      <c r="B203" s="222"/>
      <c r="C203" s="216">
        <v>21392</v>
      </c>
      <c r="D203" s="216">
        <v>21392</v>
      </c>
      <c r="E203" s="216">
        <v>0</v>
      </c>
      <c r="F203" s="484">
        <v>0</v>
      </c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2"/>
    </row>
    <row r="204" spans="1:42" s="183" customFormat="1" ht="16.5" thickBot="1">
      <c r="A204" s="217" t="s">
        <v>178</v>
      </c>
      <c r="B204" s="225">
        <v>1393</v>
      </c>
      <c r="C204" s="216"/>
      <c r="D204" s="216"/>
      <c r="E204" s="216"/>
      <c r="F204" s="484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2"/>
    </row>
    <row r="205" spans="1:42" s="183" customFormat="1" ht="16.5" thickBot="1">
      <c r="A205" s="217" t="s">
        <v>179</v>
      </c>
      <c r="B205" s="225">
        <v>19999</v>
      </c>
      <c r="C205" s="216"/>
      <c r="D205" s="216"/>
      <c r="E205" s="216"/>
      <c r="F205" s="484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2"/>
    </row>
    <row r="206" spans="1:42" s="404" customFormat="1" ht="23.25" customHeight="1" thickBot="1">
      <c r="A206" s="674" t="s">
        <v>359</v>
      </c>
      <c r="B206" s="672"/>
      <c r="C206" s="216"/>
      <c r="D206" s="408">
        <v>18796</v>
      </c>
      <c r="E206" s="216">
        <v>0</v>
      </c>
      <c r="F206" s="489">
        <v>0</v>
      </c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  <c r="AI206" s="402"/>
      <c r="AJ206" s="402"/>
      <c r="AK206" s="402"/>
      <c r="AL206" s="402"/>
      <c r="AM206" s="402"/>
      <c r="AN206" s="402"/>
      <c r="AO206" s="403"/>
    </row>
    <row r="207" spans="1:42" s="404" customFormat="1" ht="23.25" customHeight="1" thickBot="1">
      <c r="A207" s="538" t="s">
        <v>181</v>
      </c>
      <c r="B207" s="537"/>
      <c r="C207" s="216"/>
      <c r="D207" s="408">
        <v>2540</v>
      </c>
      <c r="E207" s="216">
        <f>649+762+189</f>
        <v>1600</v>
      </c>
      <c r="F207" s="489">
        <f>E207/D207</f>
        <v>0.62992125984251968</v>
      </c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  <c r="Y207" s="402"/>
      <c r="Z207" s="402"/>
      <c r="AA207" s="402"/>
      <c r="AB207" s="402"/>
      <c r="AC207" s="402"/>
      <c r="AD207" s="402"/>
      <c r="AE207" s="402"/>
      <c r="AF207" s="402"/>
      <c r="AG207" s="402"/>
      <c r="AH207" s="402"/>
      <c r="AI207" s="402"/>
      <c r="AJ207" s="402"/>
      <c r="AK207" s="402"/>
      <c r="AL207" s="402"/>
      <c r="AM207" s="402"/>
      <c r="AN207" s="402"/>
      <c r="AO207" s="403"/>
    </row>
    <row r="208" spans="1:42" s="25" customFormat="1" ht="26.25" customHeight="1" thickBot="1">
      <c r="A208" s="398" t="s">
        <v>346</v>
      </c>
      <c r="B208" s="407"/>
      <c r="C208" s="216"/>
      <c r="D208" s="408">
        <f>SUM(B209:B210)</f>
        <v>32600</v>
      </c>
      <c r="E208" s="216">
        <v>12000</v>
      </c>
      <c r="F208" s="489">
        <f>E208/D208</f>
        <v>0.36809815950920244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4"/>
    </row>
    <row r="209" spans="1:42" s="25" customFormat="1" ht="26.25" customHeight="1" thickBot="1">
      <c r="A209" s="357" t="s">
        <v>347</v>
      </c>
      <c r="B209" s="358">
        <v>12000</v>
      </c>
      <c r="C209" s="216"/>
      <c r="D209" s="408"/>
      <c r="E209" s="216"/>
      <c r="F209" s="489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4"/>
    </row>
    <row r="210" spans="1:42" s="25" customFormat="1" ht="26.25" customHeight="1" thickBot="1">
      <c r="A210" s="357" t="s">
        <v>348</v>
      </c>
      <c r="B210" s="358">
        <v>20600</v>
      </c>
      <c r="C210" s="216"/>
      <c r="D210" s="408"/>
      <c r="E210" s="216"/>
      <c r="F210" s="489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4"/>
    </row>
    <row r="211" spans="1:42" s="25" customFormat="1" ht="21.75" customHeight="1" thickBot="1">
      <c r="A211" s="214" t="s">
        <v>365</v>
      </c>
      <c r="B211" s="218"/>
      <c r="C211" s="216"/>
      <c r="D211" s="216"/>
      <c r="E211" s="216">
        <v>7191</v>
      </c>
      <c r="F211" s="484">
        <v>0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4"/>
    </row>
    <row r="212" spans="1:42" s="48" customFormat="1" ht="31.5" customHeight="1" thickBot="1">
      <c r="A212" s="206" t="s">
        <v>309</v>
      </c>
      <c r="B212" s="207"/>
      <c r="C212" s="200">
        <f>SUM(C197:C211)</f>
        <v>59472</v>
      </c>
      <c r="D212" s="200">
        <f>SUM(D197:D211)</f>
        <v>117484</v>
      </c>
      <c r="E212" s="200">
        <f>SUM(E197:E211)</f>
        <v>50386</v>
      </c>
      <c r="F212" s="485">
        <f>E212/D212</f>
        <v>0.42887542133396889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47"/>
    </row>
    <row r="213" spans="1:42" s="48" customFormat="1" ht="31.5" customHeight="1" thickBot="1">
      <c r="A213" s="205"/>
      <c r="B213" s="211"/>
      <c r="C213" s="210"/>
      <c r="D213" s="210"/>
      <c r="E213" s="210"/>
      <c r="F213" s="48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47"/>
    </row>
    <row r="214" spans="1:42" s="193" customFormat="1" ht="33" customHeight="1" thickBot="1">
      <c r="A214" s="202" t="s">
        <v>310</v>
      </c>
      <c r="B214" s="208"/>
      <c r="C214" s="209"/>
      <c r="D214" s="209"/>
      <c r="E214" s="209"/>
      <c r="F214" s="483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2"/>
    </row>
    <row r="215" spans="1:42" s="19" customFormat="1" ht="44.25" customHeight="1" thickBot="1">
      <c r="A215" s="214" t="s">
        <v>317</v>
      </c>
      <c r="B215" s="215"/>
      <c r="C215" s="216">
        <v>3875</v>
      </c>
      <c r="D215" s="216">
        <v>3875</v>
      </c>
      <c r="E215" s="216">
        <v>0</v>
      </c>
      <c r="F215" s="484">
        <v>0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8"/>
    </row>
    <row r="216" spans="1:42" s="183" customFormat="1" ht="32.25" thickBot="1">
      <c r="A216" s="214" t="s">
        <v>140</v>
      </c>
      <c r="B216" s="215"/>
      <c r="C216" s="216">
        <v>0</v>
      </c>
      <c r="D216" s="216">
        <f>C216+1000</f>
        <v>1000</v>
      </c>
      <c r="E216" s="216">
        <v>1000</v>
      </c>
      <c r="F216" s="484">
        <f>E216/D216</f>
        <v>1</v>
      </c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2"/>
    </row>
    <row r="217" spans="1:42" s="19" customFormat="1" ht="27" customHeight="1" thickBot="1">
      <c r="A217" s="672" t="s">
        <v>350</v>
      </c>
      <c r="B217" s="673"/>
      <c r="C217" s="216"/>
      <c r="D217" s="408">
        <v>98</v>
      </c>
      <c r="E217" s="216">
        <v>98</v>
      </c>
      <c r="F217" s="484">
        <f>E217/D217</f>
        <v>1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8"/>
    </row>
    <row r="218" spans="1:42" s="404" customFormat="1" ht="39.75" customHeight="1" thickBot="1">
      <c r="A218" s="398" t="s">
        <v>345</v>
      </c>
      <c r="B218" s="405"/>
      <c r="C218" s="216"/>
      <c r="D218" s="216">
        <v>14000</v>
      </c>
      <c r="E218" s="553">
        <v>0</v>
      </c>
      <c r="F218" s="489">
        <v>0</v>
      </c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  <c r="AA218" s="402"/>
      <c r="AB218" s="402"/>
      <c r="AC218" s="402"/>
      <c r="AD218" s="402"/>
      <c r="AE218" s="402"/>
      <c r="AF218" s="402"/>
      <c r="AG218" s="402"/>
      <c r="AH218" s="402"/>
      <c r="AI218" s="402"/>
      <c r="AJ218" s="402"/>
      <c r="AK218" s="402"/>
      <c r="AL218" s="402"/>
      <c r="AM218" s="402"/>
      <c r="AN218" s="402"/>
      <c r="AO218" s="403"/>
    </row>
    <row r="219" spans="1:42" s="404" customFormat="1" ht="39.75" customHeight="1" thickBot="1">
      <c r="A219" s="538" t="s">
        <v>396</v>
      </c>
      <c r="B219" s="405"/>
      <c r="C219" s="216"/>
      <c r="D219" s="216">
        <v>4000</v>
      </c>
      <c r="E219" s="553">
        <v>0</v>
      </c>
      <c r="F219" s="489">
        <v>0</v>
      </c>
      <c r="G219" s="402"/>
      <c r="H219" s="402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  <c r="AI219" s="402"/>
      <c r="AJ219" s="402"/>
      <c r="AK219" s="402"/>
      <c r="AL219" s="402"/>
      <c r="AM219" s="402"/>
      <c r="AN219" s="402"/>
      <c r="AO219" s="403"/>
    </row>
    <row r="220" spans="1:42" s="25" customFormat="1" ht="26.25" customHeight="1" thickBot="1">
      <c r="A220" s="398" t="s">
        <v>346</v>
      </c>
      <c r="B220" s="407"/>
      <c r="C220" s="216"/>
      <c r="D220" s="216">
        <f>SUM(B221)</f>
        <v>27400</v>
      </c>
      <c r="E220" s="553">
        <v>0</v>
      </c>
      <c r="F220" s="489">
        <v>0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4"/>
    </row>
    <row r="221" spans="1:42" s="25" customFormat="1" ht="26.25" customHeight="1" thickBot="1">
      <c r="A221" s="357" t="s">
        <v>349</v>
      </c>
      <c r="B221" s="358">
        <v>27400</v>
      </c>
      <c r="C221" s="216"/>
      <c r="D221" s="406"/>
      <c r="E221" s="216"/>
      <c r="F221" s="489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4"/>
    </row>
    <row r="222" spans="1:42" s="48" customFormat="1" ht="31.5" customHeight="1" thickBot="1">
      <c r="A222" s="206" t="s">
        <v>311</v>
      </c>
      <c r="B222" s="207"/>
      <c r="C222" s="200">
        <f>SUM(C215:C221)</f>
        <v>3875</v>
      </c>
      <c r="D222" s="200">
        <f>SUM(D215:D221)</f>
        <v>50373</v>
      </c>
      <c r="E222" s="200">
        <f>SUM(E215:E221)</f>
        <v>1098</v>
      </c>
      <c r="F222" s="485">
        <f>E222/D222</f>
        <v>2.1797391459710561E-2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47"/>
    </row>
    <row r="223" spans="1:42" s="48" customFormat="1" ht="31.5" customHeight="1" thickBot="1">
      <c r="A223" s="205"/>
      <c r="B223" s="211"/>
      <c r="C223" s="391"/>
      <c r="D223" s="210"/>
      <c r="E223" s="391"/>
      <c r="F223" s="48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47"/>
    </row>
    <row r="224" spans="1:42" s="193" customFormat="1" ht="33" customHeight="1" thickBot="1">
      <c r="A224" s="202" t="s">
        <v>312</v>
      </c>
      <c r="B224" s="208"/>
      <c r="C224" s="209"/>
      <c r="D224" s="209"/>
      <c r="E224" s="209"/>
      <c r="F224" s="483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2"/>
    </row>
    <row r="225" spans="1:42" s="185" customFormat="1" ht="38.25" customHeight="1" thickBot="1">
      <c r="A225" s="214" t="s">
        <v>318</v>
      </c>
      <c r="B225" s="230"/>
      <c r="C225" s="216">
        <v>49935</v>
      </c>
      <c r="D225" s="216">
        <v>49935</v>
      </c>
      <c r="E225" s="216">
        <v>49935</v>
      </c>
      <c r="F225" s="484">
        <f>E225/D225</f>
        <v>1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184"/>
    </row>
    <row r="226" spans="1:42" s="25" customFormat="1" ht="47.25" customHeight="1" thickBot="1">
      <c r="A226" s="214" t="s">
        <v>163</v>
      </c>
      <c r="B226" s="224"/>
      <c r="C226" s="216">
        <v>1228730</v>
      </c>
      <c r="D226" s="216">
        <v>1263488</v>
      </c>
      <c r="E226" s="216">
        <v>961573</v>
      </c>
      <c r="F226" s="484">
        <f>E226/D226</f>
        <v>0.76104640487285991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4"/>
    </row>
    <row r="227" spans="1:42" s="48" customFormat="1" ht="31.5" customHeight="1" thickBot="1">
      <c r="A227" s="206" t="s">
        <v>313</v>
      </c>
      <c r="B227" s="207"/>
      <c r="C227" s="200">
        <f>SUM(C225:C226)</f>
        <v>1278665</v>
      </c>
      <c r="D227" s="200">
        <f>SUM(D225:D226)</f>
        <v>1313423</v>
      </c>
      <c r="E227" s="200">
        <f>SUM(E225:E226)</f>
        <v>1011508</v>
      </c>
      <c r="F227" s="485">
        <f>E227/D227</f>
        <v>0.77013117632324091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47"/>
    </row>
    <row r="228" spans="1:42" thickBot="1">
      <c r="A228" s="213"/>
      <c r="B228" s="392"/>
      <c r="C228" s="394"/>
      <c r="D228" s="393"/>
      <c r="E228" s="394"/>
      <c r="F228" s="490"/>
    </row>
    <row r="229" spans="1:42" s="48" customFormat="1" ht="31.5" customHeight="1" thickBot="1">
      <c r="A229" s="206" t="s">
        <v>314</v>
      </c>
      <c r="B229" s="212"/>
      <c r="C229" s="209">
        <f>SUM(C22+C39+C116+C128+C180+C194+C212+C222+C227)</f>
        <v>2712968</v>
      </c>
      <c r="D229" s="209">
        <f>SUM(D22+D39+D116+D128+D180+D194+D212+D222+D227)</f>
        <v>2955825</v>
      </c>
      <c r="E229" s="209">
        <f>SUM(E22+E39+E116+E128+E180+E194+E212+E222+E227)</f>
        <v>1927899</v>
      </c>
      <c r="F229" s="485">
        <f>E229/D229</f>
        <v>0.65223719266194713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47"/>
    </row>
    <row r="230" spans="1:42" thickBot="1">
      <c r="A230" s="196"/>
      <c r="B230" s="196"/>
      <c r="C230" s="187"/>
      <c r="D230" s="187"/>
      <c r="E230" s="187"/>
      <c r="F230" s="480"/>
    </row>
    <row r="231" spans="1:42" thickBot="1">
      <c r="A231" s="196"/>
      <c r="B231" s="196"/>
      <c r="C231" s="187"/>
      <c r="D231" s="187"/>
      <c r="E231" s="187"/>
      <c r="F231" s="480"/>
    </row>
    <row r="232" spans="1:42" thickBot="1">
      <c r="A232" s="196"/>
      <c r="B232" s="196"/>
      <c r="C232" s="187"/>
      <c r="D232" s="187"/>
      <c r="E232" s="187"/>
      <c r="F232" s="480"/>
    </row>
    <row r="233" spans="1:42" thickBot="1">
      <c r="A233" s="196"/>
      <c r="B233" s="196"/>
      <c r="C233" s="187"/>
      <c r="D233" s="187"/>
      <c r="E233" s="187"/>
      <c r="F233" s="480"/>
    </row>
    <row r="234" spans="1:42" thickBot="1">
      <c r="A234" s="196"/>
      <c r="B234" s="196"/>
      <c r="C234" s="187"/>
      <c r="D234" s="187"/>
      <c r="E234" s="187"/>
      <c r="F234" s="480"/>
    </row>
    <row r="235" spans="1:42" thickBot="1">
      <c r="A235" s="196"/>
      <c r="B235" s="196"/>
      <c r="C235" s="187"/>
      <c r="D235" s="187"/>
      <c r="E235" s="187"/>
      <c r="F235" s="480"/>
    </row>
    <row r="236" spans="1:42" thickBot="1">
      <c r="A236" s="196"/>
      <c r="B236" s="196"/>
      <c r="C236" s="187"/>
      <c r="D236" s="187"/>
      <c r="E236" s="187"/>
      <c r="F236" s="480"/>
    </row>
    <row r="237" spans="1:42" thickBot="1">
      <c r="A237" s="196"/>
      <c r="B237" s="196"/>
      <c r="C237" s="187"/>
      <c r="D237" s="187"/>
      <c r="E237" s="187"/>
      <c r="F237" s="480"/>
    </row>
    <row r="238" spans="1:42" thickBot="1">
      <c r="A238" s="196"/>
      <c r="B238" s="196"/>
      <c r="C238" s="187"/>
      <c r="D238" s="187"/>
      <c r="E238" s="187"/>
      <c r="F238" s="480"/>
    </row>
    <row r="239" spans="1:42" thickBot="1">
      <c r="A239" s="196"/>
      <c r="B239" s="196"/>
      <c r="C239" s="187"/>
      <c r="D239" s="187"/>
      <c r="E239" s="187"/>
      <c r="F239" s="480"/>
    </row>
    <row r="240" spans="1:42" thickBot="1">
      <c r="A240" s="196"/>
      <c r="B240" s="196"/>
      <c r="C240" s="187"/>
      <c r="D240" s="187"/>
      <c r="E240" s="187"/>
      <c r="F240" s="480"/>
    </row>
    <row r="241" spans="1:6" thickBot="1">
      <c r="A241" s="196"/>
      <c r="B241" s="196"/>
      <c r="C241" s="187"/>
      <c r="D241" s="187"/>
      <c r="E241" s="187"/>
      <c r="F241" s="480"/>
    </row>
    <row r="242" spans="1:6" thickBot="1">
      <c r="A242" s="196"/>
      <c r="B242" s="196"/>
      <c r="C242" s="187"/>
      <c r="D242" s="187"/>
      <c r="E242" s="187"/>
      <c r="F242" s="480"/>
    </row>
    <row r="243" spans="1:6" thickBot="1">
      <c r="A243" s="196"/>
      <c r="B243" s="196"/>
      <c r="C243" s="187"/>
      <c r="D243" s="187"/>
      <c r="E243" s="187"/>
      <c r="F243" s="480"/>
    </row>
    <row r="244" spans="1:6" thickBot="1">
      <c r="A244" s="196"/>
      <c r="B244" s="196"/>
      <c r="C244" s="187"/>
      <c r="D244" s="187"/>
      <c r="E244" s="187"/>
      <c r="F244" s="480"/>
    </row>
    <row r="245" spans="1:6" thickBot="1">
      <c r="A245" s="196"/>
      <c r="B245" s="196"/>
      <c r="C245" s="187"/>
      <c r="D245" s="187"/>
      <c r="E245" s="187"/>
      <c r="F245" s="480"/>
    </row>
    <row r="246" spans="1:6" thickBot="1">
      <c r="A246" s="196"/>
      <c r="B246" s="196"/>
      <c r="C246" s="187"/>
      <c r="D246" s="187"/>
      <c r="E246" s="187"/>
      <c r="F246" s="480"/>
    </row>
    <row r="247" spans="1:6" thickBot="1">
      <c r="A247" s="196"/>
      <c r="B247" s="196"/>
      <c r="C247" s="187"/>
      <c r="D247" s="187"/>
      <c r="E247" s="187"/>
      <c r="F247" s="480"/>
    </row>
    <row r="248" spans="1:6" thickBot="1">
      <c r="A248" s="196"/>
      <c r="B248" s="196"/>
      <c r="C248" s="187"/>
      <c r="D248" s="187"/>
      <c r="E248" s="187"/>
      <c r="F248" s="480"/>
    </row>
    <row r="249" spans="1:6" thickBot="1">
      <c r="A249" s="196"/>
      <c r="B249" s="196"/>
      <c r="C249" s="187"/>
      <c r="D249" s="187"/>
      <c r="E249" s="187"/>
      <c r="F249" s="480"/>
    </row>
    <row r="250" spans="1:6" thickBot="1">
      <c r="A250" s="196"/>
      <c r="B250" s="196"/>
      <c r="C250" s="187"/>
      <c r="D250" s="187"/>
      <c r="E250" s="187"/>
      <c r="F250" s="480"/>
    </row>
    <row r="251" spans="1:6" thickBot="1">
      <c r="A251" s="196"/>
      <c r="B251" s="196"/>
      <c r="C251" s="187"/>
      <c r="D251" s="187"/>
      <c r="E251" s="187"/>
      <c r="F251" s="480"/>
    </row>
    <row r="252" spans="1:6" thickBot="1">
      <c r="A252" s="196"/>
      <c r="B252" s="196"/>
      <c r="C252" s="187"/>
      <c r="D252" s="187"/>
      <c r="E252" s="187"/>
      <c r="F252" s="480"/>
    </row>
    <row r="253" spans="1:6" thickBot="1">
      <c r="A253" s="196"/>
      <c r="B253" s="196"/>
      <c r="C253" s="187"/>
      <c r="D253" s="187"/>
      <c r="E253" s="187"/>
      <c r="F253" s="480"/>
    </row>
    <row r="254" spans="1:6" thickBot="1">
      <c r="A254" s="196"/>
      <c r="B254" s="196"/>
      <c r="C254" s="187"/>
      <c r="D254" s="187"/>
      <c r="E254" s="187"/>
      <c r="F254" s="480"/>
    </row>
    <row r="255" spans="1:6" thickBot="1">
      <c r="A255" s="196"/>
      <c r="B255" s="196"/>
      <c r="C255" s="187"/>
      <c r="D255" s="187"/>
      <c r="E255" s="187"/>
      <c r="F255" s="480"/>
    </row>
    <row r="256" spans="1:6" thickBot="1">
      <c r="A256" s="196"/>
      <c r="B256" s="196"/>
      <c r="C256" s="187"/>
      <c r="D256" s="187"/>
      <c r="E256" s="187"/>
      <c r="F256" s="480"/>
    </row>
    <row r="257" spans="1:6" thickBot="1">
      <c r="A257" s="196"/>
      <c r="B257" s="196"/>
      <c r="C257" s="187"/>
      <c r="D257" s="187"/>
      <c r="E257" s="187"/>
      <c r="F257" s="480"/>
    </row>
    <row r="258" spans="1:6" thickBot="1">
      <c r="A258" s="196"/>
      <c r="B258" s="196"/>
      <c r="C258" s="187"/>
      <c r="D258" s="187"/>
      <c r="E258" s="187"/>
      <c r="F258" s="480"/>
    </row>
    <row r="259" spans="1:6" thickBot="1">
      <c r="A259" s="196"/>
      <c r="B259" s="196"/>
      <c r="C259" s="187"/>
      <c r="D259" s="187"/>
      <c r="E259" s="187"/>
      <c r="F259" s="480"/>
    </row>
    <row r="260" spans="1:6" thickBot="1">
      <c r="A260" s="196"/>
      <c r="B260" s="196"/>
      <c r="C260" s="187"/>
      <c r="D260" s="187"/>
      <c r="E260" s="187"/>
      <c r="F260" s="480"/>
    </row>
    <row r="261" spans="1:6" thickBot="1">
      <c r="A261" s="196"/>
      <c r="B261" s="196"/>
      <c r="C261" s="187"/>
      <c r="D261" s="187"/>
      <c r="E261" s="187"/>
      <c r="F261" s="480"/>
    </row>
    <row r="262" spans="1:6" thickBot="1">
      <c r="A262" s="196"/>
      <c r="B262" s="196"/>
      <c r="C262" s="187"/>
      <c r="D262" s="187"/>
      <c r="E262" s="187"/>
      <c r="F262" s="480"/>
    </row>
    <row r="263" spans="1:6" thickBot="1">
      <c r="A263" s="196"/>
      <c r="B263" s="196"/>
      <c r="C263" s="187"/>
      <c r="D263" s="187"/>
      <c r="E263" s="187"/>
      <c r="F263" s="480"/>
    </row>
    <row r="264" spans="1:6" thickBot="1">
      <c r="A264" s="196"/>
      <c r="B264" s="196"/>
      <c r="C264" s="187"/>
      <c r="D264" s="187"/>
      <c r="E264" s="187"/>
      <c r="F264" s="480"/>
    </row>
    <row r="265" spans="1:6" thickBot="1">
      <c r="A265" s="196"/>
      <c r="B265" s="196"/>
      <c r="C265" s="187"/>
      <c r="D265" s="187"/>
      <c r="E265" s="187"/>
      <c r="F265" s="480"/>
    </row>
    <row r="266" spans="1:6" thickBot="1">
      <c r="A266" s="196"/>
      <c r="B266" s="196"/>
      <c r="C266" s="187"/>
      <c r="D266" s="187"/>
      <c r="E266" s="187"/>
      <c r="F266" s="480"/>
    </row>
    <row r="267" spans="1:6" thickBot="1">
      <c r="A267" s="196"/>
      <c r="B267" s="196"/>
      <c r="C267" s="187"/>
      <c r="D267" s="187"/>
      <c r="E267" s="187"/>
      <c r="F267" s="480"/>
    </row>
    <row r="268" spans="1:6" thickBot="1">
      <c r="A268" s="196"/>
      <c r="B268" s="196"/>
      <c r="C268" s="187"/>
      <c r="D268" s="187"/>
      <c r="E268" s="187"/>
      <c r="F268" s="480"/>
    </row>
    <row r="269" spans="1:6" thickBot="1">
      <c r="A269" s="196"/>
      <c r="B269" s="196"/>
      <c r="C269" s="187"/>
      <c r="D269" s="187"/>
      <c r="E269" s="187"/>
      <c r="F269" s="480"/>
    </row>
    <row r="270" spans="1:6" thickBot="1">
      <c r="A270" s="196"/>
      <c r="B270" s="196"/>
      <c r="C270" s="187"/>
      <c r="D270" s="187"/>
      <c r="E270" s="187"/>
      <c r="F270" s="480"/>
    </row>
    <row r="271" spans="1:6" thickBot="1">
      <c r="A271" s="196"/>
      <c r="B271" s="196"/>
      <c r="C271" s="187"/>
      <c r="D271" s="187"/>
      <c r="E271" s="187"/>
      <c r="F271" s="480"/>
    </row>
    <row r="272" spans="1:6" thickBot="1">
      <c r="A272" s="196"/>
      <c r="B272" s="196"/>
      <c r="C272" s="187"/>
      <c r="D272" s="187"/>
      <c r="E272" s="187"/>
      <c r="F272" s="480"/>
    </row>
    <row r="273" spans="1:6" thickBot="1">
      <c r="A273" s="196"/>
      <c r="B273" s="196"/>
      <c r="C273" s="187"/>
      <c r="D273" s="187"/>
      <c r="E273" s="187"/>
      <c r="F273" s="480"/>
    </row>
    <row r="274" spans="1:6" thickBot="1">
      <c r="A274" s="196"/>
      <c r="B274" s="196"/>
      <c r="C274" s="187"/>
      <c r="D274" s="187"/>
      <c r="E274" s="187"/>
      <c r="F274" s="480"/>
    </row>
    <row r="275" spans="1:6" thickBot="1">
      <c r="A275" s="196"/>
      <c r="B275" s="196"/>
      <c r="C275" s="187"/>
      <c r="D275" s="187"/>
      <c r="E275" s="187"/>
      <c r="F275" s="480"/>
    </row>
    <row r="276" spans="1:6" thickBot="1">
      <c r="A276" s="196"/>
      <c r="B276" s="196"/>
      <c r="C276" s="187"/>
      <c r="D276" s="187"/>
      <c r="E276" s="187"/>
      <c r="F276" s="480"/>
    </row>
    <row r="277" spans="1:6" thickBot="1">
      <c r="A277" s="196"/>
      <c r="B277" s="196"/>
      <c r="C277" s="187"/>
      <c r="D277" s="187"/>
      <c r="E277" s="187"/>
      <c r="F277" s="480"/>
    </row>
    <row r="278" spans="1:6" thickBot="1">
      <c r="A278" s="196"/>
      <c r="B278" s="196"/>
      <c r="C278" s="187"/>
      <c r="D278" s="187"/>
      <c r="E278" s="187"/>
      <c r="F278" s="480"/>
    </row>
    <row r="279" spans="1:6" thickBot="1">
      <c r="A279" s="196"/>
      <c r="B279" s="196"/>
      <c r="C279" s="187"/>
      <c r="D279" s="187"/>
      <c r="E279" s="187"/>
      <c r="F279" s="480"/>
    </row>
    <row r="280" spans="1:6" thickBot="1">
      <c r="A280" s="196"/>
      <c r="B280" s="196"/>
      <c r="C280" s="187"/>
      <c r="D280" s="187"/>
      <c r="E280" s="187"/>
      <c r="F280" s="480"/>
    </row>
    <row r="281" spans="1:6" thickBot="1">
      <c r="A281" s="196"/>
      <c r="B281" s="196"/>
      <c r="C281" s="187"/>
      <c r="D281" s="187"/>
      <c r="E281" s="187"/>
      <c r="F281" s="480"/>
    </row>
    <row r="282" spans="1:6" thickBot="1">
      <c r="A282" s="196"/>
      <c r="B282" s="196"/>
      <c r="C282" s="187"/>
      <c r="D282" s="187"/>
      <c r="E282" s="187"/>
      <c r="F282" s="480"/>
    </row>
    <row r="283" spans="1:6" thickBot="1">
      <c r="A283" s="196"/>
      <c r="B283" s="196"/>
      <c r="C283" s="187"/>
      <c r="D283" s="187"/>
      <c r="E283" s="187"/>
      <c r="F283" s="480"/>
    </row>
    <row r="284" spans="1:6" thickBot="1">
      <c r="A284" s="196"/>
      <c r="B284" s="196"/>
      <c r="C284" s="187"/>
      <c r="D284" s="187"/>
      <c r="E284" s="187"/>
      <c r="F284" s="480"/>
    </row>
    <row r="285" spans="1:6" thickBot="1">
      <c r="A285" s="196"/>
      <c r="B285" s="196"/>
      <c r="C285" s="187"/>
      <c r="D285" s="187"/>
      <c r="E285" s="187"/>
      <c r="F285" s="480"/>
    </row>
    <row r="286" spans="1:6" thickBot="1">
      <c r="A286" s="196"/>
      <c r="B286" s="196"/>
      <c r="C286" s="187"/>
      <c r="D286" s="187"/>
      <c r="E286" s="187"/>
      <c r="F286" s="480"/>
    </row>
    <row r="287" spans="1:6" thickBot="1">
      <c r="A287" s="196"/>
      <c r="B287" s="196"/>
      <c r="C287" s="187"/>
      <c r="D287" s="187"/>
      <c r="E287" s="187"/>
      <c r="F287" s="480"/>
    </row>
    <row r="288" spans="1:6" thickBot="1">
      <c r="A288" s="196"/>
      <c r="B288" s="196"/>
      <c r="C288" s="187"/>
      <c r="D288" s="187"/>
      <c r="E288" s="187"/>
      <c r="F288" s="480"/>
    </row>
    <row r="289" spans="1:6" thickBot="1">
      <c r="A289" s="196"/>
      <c r="B289" s="196"/>
      <c r="C289" s="187"/>
      <c r="D289" s="187"/>
      <c r="E289" s="187"/>
      <c r="F289" s="480"/>
    </row>
    <row r="290" spans="1:6" thickBot="1">
      <c r="A290" s="196"/>
      <c r="B290" s="196"/>
      <c r="C290" s="187"/>
      <c r="D290" s="187"/>
      <c r="E290" s="187"/>
      <c r="F290" s="480"/>
    </row>
    <row r="291" spans="1:6" thickBot="1">
      <c r="A291" s="196"/>
      <c r="B291" s="196"/>
      <c r="C291" s="187"/>
      <c r="D291" s="187"/>
      <c r="E291" s="187"/>
      <c r="F291" s="480"/>
    </row>
    <row r="292" spans="1:6" thickBot="1">
      <c r="A292" s="196"/>
      <c r="B292" s="196"/>
      <c r="C292" s="187"/>
      <c r="D292" s="187"/>
      <c r="E292" s="187"/>
      <c r="F292" s="480"/>
    </row>
    <row r="293" spans="1:6" thickBot="1">
      <c r="A293" s="196"/>
      <c r="B293" s="196"/>
      <c r="C293" s="187"/>
      <c r="D293" s="187"/>
      <c r="E293" s="187"/>
      <c r="F293" s="480"/>
    </row>
    <row r="294" spans="1:6" thickBot="1">
      <c r="A294" s="196"/>
      <c r="B294" s="196"/>
      <c r="C294" s="187"/>
      <c r="D294" s="187"/>
      <c r="E294" s="187"/>
      <c r="F294" s="480"/>
    </row>
    <row r="295" spans="1:6" thickBot="1">
      <c r="A295" s="196"/>
      <c r="B295" s="196"/>
      <c r="C295" s="187"/>
      <c r="D295" s="187"/>
      <c r="E295" s="187"/>
      <c r="F295" s="480"/>
    </row>
    <row r="296" spans="1:6" thickBot="1">
      <c r="A296" s="196"/>
      <c r="B296" s="196"/>
      <c r="C296" s="187"/>
      <c r="D296" s="187"/>
      <c r="E296" s="187"/>
      <c r="F296" s="480"/>
    </row>
    <row r="297" spans="1:6" thickBot="1">
      <c r="A297" s="196"/>
      <c r="B297" s="196"/>
      <c r="C297" s="187"/>
      <c r="D297" s="187"/>
      <c r="E297" s="187"/>
      <c r="F297" s="480"/>
    </row>
    <row r="298" spans="1:6" thickBot="1">
      <c r="A298" s="196"/>
      <c r="B298" s="196"/>
      <c r="C298" s="187"/>
      <c r="D298" s="187"/>
      <c r="E298" s="187"/>
      <c r="F298" s="480"/>
    </row>
    <row r="299" spans="1:6" thickBot="1">
      <c r="A299" s="196"/>
      <c r="B299" s="196"/>
      <c r="C299" s="187"/>
      <c r="D299" s="187"/>
      <c r="E299" s="187"/>
      <c r="F299" s="480"/>
    </row>
    <row r="300" spans="1:6" thickBot="1">
      <c r="A300" s="196"/>
      <c r="B300" s="196"/>
      <c r="C300" s="187"/>
      <c r="D300" s="187"/>
      <c r="E300" s="187"/>
      <c r="F300" s="480"/>
    </row>
    <row r="301" spans="1:6" thickBot="1">
      <c r="A301" s="196"/>
      <c r="B301" s="196"/>
      <c r="C301" s="187"/>
      <c r="D301" s="187"/>
      <c r="E301" s="187"/>
      <c r="F301" s="480"/>
    </row>
    <row r="302" spans="1:6" thickBot="1">
      <c r="A302" s="196"/>
      <c r="B302" s="196"/>
      <c r="C302" s="187"/>
      <c r="D302" s="187"/>
      <c r="E302" s="187"/>
      <c r="F302" s="480"/>
    </row>
    <row r="303" spans="1:6" thickBot="1">
      <c r="A303" s="196"/>
      <c r="B303" s="196"/>
      <c r="C303" s="187"/>
      <c r="D303" s="187"/>
      <c r="E303" s="187"/>
      <c r="F303" s="480"/>
    </row>
    <row r="304" spans="1:6" thickBot="1">
      <c r="A304" s="196"/>
      <c r="B304" s="196"/>
      <c r="C304" s="187"/>
      <c r="D304" s="187"/>
      <c r="E304" s="187"/>
      <c r="F304" s="480"/>
    </row>
    <row r="305" spans="1:6" thickBot="1">
      <c r="A305" s="196"/>
      <c r="B305" s="196"/>
      <c r="C305" s="187"/>
      <c r="D305" s="187"/>
      <c r="E305" s="187"/>
      <c r="F305" s="480"/>
    </row>
    <row r="306" spans="1:6" thickBot="1">
      <c r="A306" s="196"/>
      <c r="B306" s="196"/>
      <c r="C306" s="187"/>
      <c r="D306" s="187"/>
      <c r="E306" s="187"/>
      <c r="F306" s="480"/>
    </row>
    <row r="307" spans="1:6" thickBot="1">
      <c r="A307" s="196"/>
      <c r="B307" s="196"/>
      <c r="C307" s="187"/>
      <c r="D307" s="187"/>
      <c r="E307" s="187"/>
      <c r="F307" s="480"/>
    </row>
    <row r="308" spans="1:6" thickBot="1">
      <c r="A308" s="196"/>
      <c r="B308" s="196"/>
      <c r="C308" s="187"/>
      <c r="D308" s="187"/>
      <c r="E308" s="187"/>
      <c r="F308" s="480"/>
    </row>
    <row r="309" spans="1:6" thickBot="1">
      <c r="A309" s="196"/>
      <c r="B309" s="196"/>
      <c r="C309" s="187"/>
      <c r="D309" s="187"/>
      <c r="E309" s="187"/>
      <c r="F309" s="480"/>
    </row>
    <row r="310" spans="1:6" thickBot="1">
      <c r="A310" s="196"/>
      <c r="B310" s="196"/>
      <c r="C310" s="187"/>
      <c r="D310" s="187"/>
      <c r="E310" s="187"/>
      <c r="F310" s="480"/>
    </row>
    <row r="311" spans="1:6" thickBot="1">
      <c r="A311" s="196"/>
      <c r="B311" s="196"/>
      <c r="C311" s="187"/>
      <c r="D311" s="187"/>
      <c r="E311" s="187"/>
      <c r="F311" s="480"/>
    </row>
    <row r="312" spans="1:6" thickBot="1">
      <c r="A312" s="196"/>
      <c r="B312" s="196"/>
      <c r="C312" s="187"/>
      <c r="D312" s="187"/>
      <c r="E312" s="187"/>
      <c r="F312" s="480"/>
    </row>
    <row r="313" spans="1:6" thickBot="1">
      <c r="A313" s="196"/>
      <c r="B313" s="196"/>
      <c r="C313" s="187"/>
      <c r="D313" s="187"/>
      <c r="E313" s="187"/>
      <c r="F313" s="480"/>
    </row>
    <row r="314" spans="1:6" thickBot="1">
      <c r="A314" s="196"/>
      <c r="B314" s="196"/>
      <c r="C314" s="187"/>
      <c r="D314" s="187"/>
      <c r="E314" s="187"/>
      <c r="F314" s="480"/>
    </row>
    <row r="315" spans="1:6" thickBot="1">
      <c r="A315" s="196"/>
      <c r="B315" s="196"/>
      <c r="C315" s="187"/>
      <c r="D315" s="187"/>
      <c r="E315" s="187"/>
      <c r="F315" s="480"/>
    </row>
    <row r="316" spans="1:6" thickBot="1">
      <c r="A316" s="196"/>
      <c r="B316" s="196"/>
      <c r="C316" s="187"/>
      <c r="D316" s="187"/>
      <c r="E316" s="187"/>
      <c r="F316" s="480"/>
    </row>
    <row r="317" spans="1:6" thickBot="1">
      <c r="A317" s="196"/>
      <c r="B317" s="196"/>
      <c r="C317" s="187"/>
      <c r="D317" s="187"/>
      <c r="E317" s="187"/>
      <c r="F317" s="480"/>
    </row>
    <row r="318" spans="1:6" thickBot="1">
      <c r="A318" s="196"/>
      <c r="B318" s="196"/>
      <c r="C318" s="187"/>
      <c r="D318" s="187"/>
      <c r="E318" s="187"/>
      <c r="F318" s="480"/>
    </row>
    <row r="319" spans="1:6" thickBot="1">
      <c r="A319" s="196"/>
      <c r="B319" s="196"/>
      <c r="C319" s="187"/>
      <c r="D319" s="187"/>
      <c r="E319" s="187"/>
      <c r="F319" s="480"/>
    </row>
    <row r="320" spans="1:6" thickBot="1">
      <c r="A320" s="196"/>
      <c r="B320" s="196"/>
      <c r="C320" s="187"/>
      <c r="D320" s="187"/>
      <c r="E320" s="187"/>
      <c r="F320" s="480"/>
    </row>
    <row r="321" spans="1:6" thickBot="1">
      <c r="A321" s="196"/>
      <c r="B321" s="196"/>
      <c r="C321" s="187"/>
      <c r="D321" s="187"/>
      <c r="E321" s="187"/>
      <c r="F321" s="480"/>
    </row>
    <row r="322" spans="1:6" thickBot="1">
      <c r="A322" s="196"/>
      <c r="B322" s="196"/>
      <c r="C322" s="187"/>
      <c r="D322" s="187"/>
      <c r="E322" s="187"/>
      <c r="F322" s="480"/>
    </row>
    <row r="323" spans="1:6" thickBot="1">
      <c r="A323" s="196"/>
      <c r="B323" s="196"/>
      <c r="C323" s="187"/>
      <c r="D323" s="187"/>
      <c r="E323" s="187"/>
      <c r="F323" s="480"/>
    </row>
    <row r="324" spans="1:6" thickBot="1">
      <c r="A324" s="196"/>
      <c r="B324" s="196"/>
      <c r="C324" s="187"/>
      <c r="D324" s="187"/>
      <c r="E324" s="187"/>
      <c r="F324" s="480"/>
    </row>
    <row r="325" spans="1:6" thickBot="1">
      <c r="A325" s="196"/>
      <c r="B325" s="196"/>
      <c r="C325" s="187"/>
      <c r="D325" s="187"/>
      <c r="E325" s="187"/>
      <c r="F325" s="480"/>
    </row>
    <row r="326" spans="1:6" thickBot="1">
      <c r="A326" s="196"/>
      <c r="B326" s="196"/>
      <c r="C326" s="187"/>
      <c r="D326" s="187"/>
      <c r="E326" s="187"/>
      <c r="F326" s="480"/>
    </row>
    <row r="327" spans="1:6" thickBot="1">
      <c r="A327" s="196"/>
      <c r="B327" s="196"/>
      <c r="C327" s="187"/>
      <c r="D327" s="187"/>
      <c r="E327" s="187"/>
      <c r="F327" s="480"/>
    </row>
    <row r="328" spans="1:6" thickBot="1">
      <c r="A328" s="196"/>
      <c r="B328" s="196"/>
      <c r="C328" s="187"/>
      <c r="D328" s="187"/>
      <c r="E328" s="187"/>
      <c r="F328" s="480"/>
    </row>
    <row r="329" spans="1:6" thickBot="1">
      <c r="A329" s="196"/>
      <c r="B329" s="196"/>
      <c r="C329" s="187"/>
      <c r="D329" s="187"/>
      <c r="E329" s="187"/>
      <c r="F329" s="480"/>
    </row>
    <row r="330" spans="1:6" thickBot="1">
      <c r="A330" s="196"/>
      <c r="B330" s="196"/>
      <c r="C330" s="187"/>
      <c r="D330" s="187"/>
      <c r="E330" s="187"/>
      <c r="F330" s="480"/>
    </row>
    <row r="331" spans="1:6" thickBot="1">
      <c r="A331" s="196"/>
      <c r="B331" s="196"/>
      <c r="C331" s="187"/>
      <c r="D331" s="187"/>
      <c r="E331" s="187"/>
      <c r="F331" s="480"/>
    </row>
    <row r="332" spans="1:6" thickBot="1">
      <c r="A332" s="196"/>
      <c r="B332" s="196"/>
      <c r="C332" s="187"/>
      <c r="D332" s="187"/>
      <c r="E332" s="187"/>
      <c r="F332" s="480"/>
    </row>
    <row r="333" spans="1:6" thickBot="1">
      <c r="A333" s="196"/>
      <c r="B333" s="196"/>
      <c r="C333" s="187"/>
      <c r="D333" s="187"/>
      <c r="E333" s="187"/>
      <c r="F333" s="480"/>
    </row>
    <row r="334" spans="1:6" thickBot="1">
      <c r="A334" s="196"/>
      <c r="B334" s="196"/>
      <c r="C334" s="187"/>
      <c r="D334" s="187"/>
      <c r="E334" s="187"/>
      <c r="F334" s="480"/>
    </row>
    <row r="335" spans="1:6" thickBot="1">
      <c r="A335" s="196"/>
      <c r="B335" s="196"/>
      <c r="C335" s="187"/>
      <c r="D335" s="187"/>
      <c r="E335" s="187"/>
      <c r="F335" s="480"/>
    </row>
    <row r="336" spans="1:6" thickBot="1">
      <c r="A336" s="196"/>
      <c r="B336" s="196"/>
      <c r="C336" s="187"/>
      <c r="D336" s="187"/>
      <c r="E336" s="187"/>
      <c r="F336" s="480"/>
    </row>
    <row r="337" spans="1:6" thickBot="1">
      <c r="A337" s="196"/>
      <c r="B337" s="196"/>
      <c r="C337" s="187"/>
      <c r="D337" s="187"/>
      <c r="E337" s="187"/>
      <c r="F337" s="480"/>
    </row>
    <row r="338" spans="1:6" thickBot="1">
      <c r="A338" s="196"/>
      <c r="B338" s="196"/>
      <c r="C338" s="187"/>
      <c r="D338" s="187"/>
      <c r="E338" s="187"/>
      <c r="F338" s="480"/>
    </row>
    <row r="339" spans="1:6" thickBot="1">
      <c r="A339" s="196"/>
      <c r="B339" s="196"/>
      <c r="C339" s="187"/>
      <c r="D339" s="187"/>
      <c r="E339" s="187"/>
      <c r="F339" s="480"/>
    </row>
    <row r="340" spans="1:6" thickBot="1">
      <c r="A340" s="196"/>
      <c r="B340" s="196"/>
      <c r="C340" s="187"/>
      <c r="D340" s="187"/>
      <c r="E340" s="187"/>
      <c r="F340" s="480"/>
    </row>
    <row r="341" spans="1:6" thickBot="1">
      <c r="A341" s="196"/>
      <c r="B341" s="196"/>
      <c r="C341" s="187"/>
      <c r="D341" s="187"/>
      <c r="E341" s="187"/>
      <c r="F341" s="480"/>
    </row>
    <row r="342" spans="1:6" thickBot="1">
      <c r="A342" s="196"/>
      <c r="B342" s="196"/>
      <c r="C342" s="187"/>
      <c r="D342" s="187"/>
      <c r="E342" s="187"/>
      <c r="F342" s="480"/>
    </row>
    <row r="343" spans="1:6" thickBot="1">
      <c r="A343" s="196"/>
      <c r="B343" s="196"/>
      <c r="C343" s="187"/>
      <c r="D343" s="187"/>
      <c r="E343" s="187"/>
      <c r="F343" s="480"/>
    </row>
    <row r="344" spans="1:6" thickBot="1">
      <c r="A344" s="196"/>
      <c r="B344" s="196"/>
      <c r="C344" s="187"/>
      <c r="D344" s="187"/>
      <c r="E344" s="187"/>
      <c r="F344" s="480"/>
    </row>
    <row r="345" spans="1:6" thickBot="1">
      <c r="A345" s="196"/>
      <c r="B345" s="196"/>
      <c r="C345" s="187"/>
      <c r="D345" s="187"/>
      <c r="E345" s="187"/>
      <c r="F345" s="480"/>
    </row>
    <row r="346" spans="1:6" thickBot="1">
      <c r="A346" s="196"/>
      <c r="B346" s="196"/>
      <c r="C346" s="187"/>
      <c r="D346" s="187"/>
      <c r="E346" s="187"/>
      <c r="F346" s="480"/>
    </row>
    <row r="347" spans="1:6" thickBot="1">
      <c r="A347" s="196"/>
      <c r="B347" s="196"/>
      <c r="C347" s="187"/>
      <c r="D347" s="187"/>
      <c r="E347" s="187"/>
      <c r="F347" s="480"/>
    </row>
    <row r="348" spans="1:6" thickBot="1">
      <c r="A348" s="196"/>
      <c r="B348" s="196"/>
      <c r="C348" s="187"/>
      <c r="D348" s="187"/>
      <c r="E348" s="187"/>
      <c r="F348" s="480"/>
    </row>
    <row r="349" spans="1:6" thickBot="1">
      <c r="A349" s="196"/>
      <c r="B349" s="196"/>
      <c r="C349" s="187"/>
      <c r="D349" s="187"/>
      <c r="E349" s="187"/>
      <c r="F349" s="480"/>
    </row>
    <row r="350" spans="1:6" thickBot="1">
      <c r="A350" s="196"/>
      <c r="B350" s="196"/>
      <c r="C350" s="187"/>
      <c r="D350" s="187"/>
      <c r="E350" s="187"/>
      <c r="F350" s="480"/>
    </row>
    <row r="351" spans="1:6" thickBot="1">
      <c r="A351" s="196"/>
      <c r="B351" s="196"/>
      <c r="C351" s="187"/>
      <c r="D351" s="187"/>
      <c r="E351" s="187"/>
      <c r="F351" s="480"/>
    </row>
    <row r="352" spans="1:6" thickBot="1">
      <c r="A352" s="196"/>
      <c r="B352" s="196"/>
      <c r="C352" s="187"/>
      <c r="D352" s="187"/>
      <c r="E352" s="187"/>
      <c r="F352" s="480"/>
    </row>
    <row r="353" spans="1:6" thickBot="1">
      <c r="A353" s="196"/>
      <c r="B353" s="196"/>
      <c r="C353" s="187"/>
      <c r="D353" s="187"/>
      <c r="E353" s="187"/>
      <c r="F353" s="480"/>
    </row>
    <row r="354" spans="1:6" thickBot="1">
      <c r="A354" s="196"/>
      <c r="B354" s="196"/>
      <c r="C354" s="187"/>
      <c r="D354" s="187"/>
      <c r="E354" s="187"/>
      <c r="F354" s="480"/>
    </row>
    <row r="355" spans="1:6" thickBot="1">
      <c r="A355" s="196"/>
      <c r="B355" s="196"/>
      <c r="C355" s="187"/>
      <c r="D355" s="187"/>
      <c r="E355" s="187"/>
      <c r="F355" s="480"/>
    </row>
    <row r="356" spans="1:6" thickBot="1">
      <c r="A356" s="196"/>
      <c r="B356" s="196"/>
      <c r="C356" s="187"/>
      <c r="D356" s="187"/>
      <c r="E356" s="187"/>
      <c r="F356" s="480"/>
    </row>
    <row r="357" spans="1:6" thickBot="1">
      <c r="A357" s="196"/>
      <c r="B357" s="196"/>
      <c r="C357" s="187"/>
      <c r="D357" s="187"/>
      <c r="E357" s="187"/>
      <c r="F357" s="480"/>
    </row>
    <row r="358" spans="1:6" thickBot="1">
      <c r="A358" s="196"/>
      <c r="B358" s="196"/>
      <c r="C358" s="187"/>
      <c r="D358" s="187"/>
      <c r="E358" s="187"/>
      <c r="F358" s="480"/>
    </row>
    <row r="359" spans="1:6" thickBot="1">
      <c r="A359" s="196"/>
      <c r="B359" s="196"/>
      <c r="C359" s="187"/>
      <c r="D359" s="187"/>
      <c r="E359" s="187"/>
      <c r="F359" s="480"/>
    </row>
    <row r="360" spans="1:6" thickBot="1">
      <c r="A360" s="196"/>
      <c r="B360" s="196"/>
      <c r="C360" s="187"/>
      <c r="D360" s="187"/>
      <c r="E360" s="187"/>
      <c r="F360" s="480"/>
    </row>
    <row r="361" spans="1:6" thickBot="1">
      <c r="A361" s="196"/>
      <c r="B361" s="196"/>
      <c r="C361" s="187"/>
      <c r="D361" s="187"/>
      <c r="E361" s="187"/>
      <c r="F361" s="480"/>
    </row>
    <row r="362" spans="1:6" thickBot="1">
      <c r="A362" s="196"/>
      <c r="B362" s="196"/>
      <c r="C362" s="187"/>
      <c r="D362" s="187"/>
      <c r="E362" s="187"/>
      <c r="F362" s="480"/>
    </row>
    <row r="363" spans="1:6" thickBot="1">
      <c r="A363" s="196"/>
      <c r="B363" s="196"/>
      <c r="C363" s="187"/>
      <c r="D363" s="187"/>
      <c r="E363" s="187"/>
      <c r="F363" s="480"/>
    </row>
    <row r="364" spans="1:6" thickBot="1">
      <c r="A364" s="196"/>
      <c r="B364" s="196"/>
      <c r="C364" s="187"/>
      <c r="D364" s="187"/>
      <c r="E364" s="187"/>
      <c r="F364" s="480"/>
    </row>
    <row r="365" spans="1:6" thickBot="1">
      <c r="A365" s="196"/>
      <c r="B365" s="196"/>
      <c r="C365" s="187"/>
      <c r="D365" s="187"/>
      <c r="E365" s="187"/>
      <c r="F365" s="480"/>
    </row>
    <row r="366" spans="1:6" thickBot="1">
      <c r="A366" s="196"/>
      <c r="B366" s="196"/>
      <c r="C366" s="187"/>
      <c r="D366" s="187"/>
      <c r="E366" s="187"/>
      <c r="F366" s="480"/>
    </row>
    <row r="367" spans="1:6" thickBot="1">
      <c r="A367" s="196"/>
      <c r="B367" s="196"/>
      <c r="C367" s="187"/>
      <c r="D367" s="187"/>
      <c r="E367" s="187"/>
      <c r="F367" s="480"/>
    </row>
    <row r="368" spans="1:6" thickBot="1">
      <c r="A368" s="196"/>
      <c r="B368" s="196"/>
      <c r="C368" s="187"/>
      <c r="D368" s="187"/>
      <c r="E368" s="187"/>
      <c r="F368" s="480"/>
    </row>
    <row r="369" spans="1:6" thickBot="1">
      <c r="A369" s="196"/>
      <c r="B369" s="196"/>
      <c r="C369" s="187"/>
      <c r="D369" s="187"/>
      <c r="E369" s="187"/>
      <c r="F369" s="480"/>
    </row>
    <row r="370" spans="1:6" thickBot="1">
      <c r="A370" s="196"/>
      <c r="B370" s="196"/>
      <c r="C370" s="187"/>
      <c r="D370" s="187"/>
      <c r="E370" s="187"/>
      <c r="F370" s="480"/>
    </row>
    <row r="371" spans="1:6" thickBot="1">
      <c r="A371" s="196"/>
      <c r="B371" s="196"/>
      <c r="C371" s="187"/>
      <c r="D371" s="187"/>
      <c r="E371" s="187"/>
      <c r="F371" s="480"/>
    </row>
    <row r="372" spans="1:6" thickBot="1">
      <c r="A372" s="196"/>
      <c r="B372" s="196"/>
      <c r="C372" s="187"/>
      <c r="D372" s="187"/>
      <c r="E372" s="187"/>
      <c r="F372" s="480"/>
    </row>
    <row r="373" spans="1:6" thickBot="1">
      <c r="A373" s="196"/>
      <c r="B373" s="196"/>
      <c r="C373" s="187"/>
      <c r="D373" s="187"/>
      <c r="E373" s="187"/>
      <c r="F373" s="480"/>
    </row>
    <row r="374" spans="1:6" thickBot="1">
      <c r="A374" s="196"/>
      <c r="B374" s="196"/>
      <c r="C374" s="187"/>
      <c r="D374" s="187"/>
      <c r="E374" s="187"/>
      <c r="F374" s="480"/>
    </row>
    <row r="375" spans="1:6" thickBot="1">
      <c r="A375" s="196"/>
      <c r="B375" s="196"/>
      <c r="C375" s="187"/>
      <c r="D375" s="187"/>
      <c r="E375" s="187"/>
      <c r="F375" s="480"/>
    </row>
    <row r="376" spans="1:6" thickBot="1">
      <c r="A376" s="196"/>
      <c r="B376" s="196"/>
      <c r="C376" s="187"/>
      <c r="D376" s="187"/>
      <c r="E376" s="187"/>
      <c r="F376" s="480"/>
    </row>
    <row r="377" spans="1:6" thickBot="1">
      <c r="A377" s="196"/>
      <c r="B377" s="196"/>
      <c r="C377" s="187"/>
      <c r="D377" s="187"/>
      <c r="E377" s="187"/>
      <c r="F377" s="480"/>
    </row>
    <row r="378" spans="1:6" thickBot="1">
      <c r="A378" s="196"/>
      <c r="B378" s="196"/>
      <c r="C378" s="187"/>
      <c r="D378" s="187"/>
      <c r="E378" s="187"/>
      <c r="F378" s="480"/>
    </row>
    <row r="379" spans="1:6" thickBot="1">
      <c r="A379" s="196"/>
      <c r="B379" s="196"/>
      <c r="C379" s="187"/>
      <c r="D379" s="187"/>
      <c r="E379" s="187"/>
      <c r="F379" s="480"/>
    </row>
    <row r="380" spans="1:6" thickBot="1">
      <c r="A380" s="196"/>
      <c r="B380" s="196"/>
      <c r="C380" s="187"/>
      <c r="D380" s="187"/>
      <c r="E380" s="187"/>
      <c r="F380" s="480"/>
    </row>
    <row r="381" spans="1:6" thickBot="1">
      <c r="A381" s="196"/>
      <c r="B381" s="196"/>
      <c r="C381" s="187"/>
      <c r="D381" s="187"/>
      <c r="E381" s="187"/>
      <c r="F381" s="480"/>
    </row>
    <row r="382" spans="1:6" thickBot="1">
      <c r="A382" s="196"/>
      <c r="B382" s="196"/>
      <c r="C382" s="187"/>
      <c r="D382" s="187"/>
      <c r="E382" s="187"/>
      <c r="F382" s="480"/>
    </row>
    <row r="383" spans="1:6" thickBot="1">
      <c r="A383" s="196"/>
      <c r="B383" s="196"/>
      <c r="C383" s="187"/>
      <c r="D383" s="187"/>
      <c r="E383" s="187"/>
      <c r="F383" s="480"/>
    </row>
    <row r="384" spans="1:6" thickBot="1">
      <c r="A384" s="196"/>
      <c r="B384" s="196"/>
      <c r="C384" s="187"/>
      <c r="D384" s="187"/>
      <c r="E384" s="187"/>
      <c r="F384" s="480"/>
    </row>
    <row r="385" spans="1:6" thickBot="1">
      <c r="A385" s="196"/>
      <c r="B385" s="196"/>
      <c r="C385" s="187"/>
      <c r="D385" s="187"/>
      <c r="E385" s="187"/>
      <c r="F385" s="480"/>
    </row>
    <row r="386" spans="1:6" thickBot="1">
      <c r="A386" s="196"/>
      <c r="B386" s="196"/>
      <c r="C386" s="187"/>
      <c r="D386" s="187"/>
      <c r="E386" s="187"/>
      <c r="F386" s="480"/>
    </row>
    <row r="387" spans="1:6" thickBot="1">
      <c r="A387" s="196"/>
      <c r="B387" s="196"/>
      <c r="C387" s="187"/>
      <c r="D387" s="187"/>
      <c r="E387" s="187"/>
      <c r="F387" s="480"/>
    </row>
    <row r="388" spans="1:6" thickBot="1">
      <c r="A388" s="196"/>
      <c r="B388" s="196"/>
      <c r="C388" s="187"/>
      <c r="D388" s="187"/>
      <c r="E388" s="187"/>
      <c r="F388" s="480"/>
    </row>
    <row r="389" spans="1:6" thickBot="1">
      <c r="A389" s="196"/>
      <c r="B389" s="196"/>
      <c r="C389" s="187"/>
      <c r="D389" s="187"/>
      <c r="E389" s="187"/>
      <c r="F389" s="480"/>
    </row>
    <row r="390" spans="1:6" thickBot="1">
      <c r="A390" s="196"/>
      <c r="B390" s="196"/>
      <c r="C390" s="187"/>
      <c r="D390" s="187"/>
      <c r="E390" s="187"/>
      <c r="F390" s="480"/>
    </row>
    <row r="391" spans="1:6" thickBot="1">
      <c r="A391" s="196"/>
      <c r="B391" s="196"/>
      <c r="C391" s="187"/>
      <c r="D391" s="187"/>
      <c r="E391" s="187"/>
      <c r="F391" s="480"/>
    </row>
    <row r="392" spans="1:6" thickBot="1">
      <c r="A392" s="196"/>
      <c r="B392" s="196"/>
      <c r="C392" s="187"/>
      <c r="D392" s="187"/>
      <c r="E392" s="187"/>
      <c r="F392" s="480"/>
    </row>
    <row r="393" spans="1:6" thickBot="1">
      <c r="A393" s="196"/>
      <c r="B393" s="196"/>
      <c r="C393" s="187"/>
      <c r="D393" s="187"/>
      <c r="E393" s="187"/>
      <c r="F393" s="480"/>
    </row>
    <row r="394" spans="1:6" thickBot="1">
      <c r="A394" s="196"/>
      <c r="B394" s="196"/>
      <c r="C394" s="187"/>
      <c r="D394" s="187"/>
      <c r="E394" s="187"/>
      <c r="F394" s="480"/>
    </row>
    <row r="395" spans="1:6" thickBot="1">
      <c r="A395" s="196"/>
      <c r="B395" s="196"/>
      <c r="C395" s="187"/>
      <c r="D395" s="187"/>
      <c r="E395" s="187"/>
      <c r="F395" s="480"/>
    </row>
    <row r="396" spans="1:6" thickBot="1">
      <c r="A396" s="196"/>
      <c r="B396" s="196"/>
      <c r="C396" s="187"/>
      <c r="D396" s="187"/>
      <c r="E396" s="187"/>
      <c r="F396" s="480"/>
    </row>
    <row r="397" spans="1:6" thickBot="1">
      <c r="A397" s="196"/>
      <c r="B397" s="196"/>
      <c r="C397" s="187"/>
      <c r="D397" s="187"/>
      <c r="E397" s="187"/>
      <c r="F397" s="480"/>
    </row>
    <row r="398" spans="1:6" thickBot="1">
      <c r="A398" s="196"/>
      <c r="B398" s="196"/>
      <c r="C398" s="187"/>
      <c r="D398" s="187"/>
      <c r="E398" s="187"/>
      <c r="F398" s="480"/>
    </row>
    <row r="399" spans="1:6" thickBot="1">
      <c r="A399" s="196"/>
      <c r="B399" s="196"/>
      <c r="C399" s="187"/>
      <c r="D399" s="187"/>
      <c r="E399" s="187"/>
      <c r="F399" s="480"/>
    </row>
    <row r="400" spans="1:6" thickBot="1">
      <c r="A400" s="196"/>
      <c r="B400" s="196"/>
      <c r="C400" s="187"/>
      <c r="D400" s="187"/>
      <c r="E400" s="187"/>
      <c r="F400" s="480"/>
    </row>
    <row r="401" spans="1:6" thickBot="1">
      <c r="A401" s="196"/>
      <c r="B401" s="196"/>
      <c r="C401" s="187"/>
      <c r="D401" s="187"/>
      <c r="E401" s="187"/>
      <c r="F401" s="480"/>
    </row>
    <row r="402" spans="1:6" thickBot="1">
      <c r="A402" s="196"/>
      <c r="B402" s="196"/>
      <c r="C402" s="187"/>
      <c r="D402" s="187"/>
      <c r="E402" s="187"/>
      <c r="F402" s="480"/>
    </row>
    <row r="403" spans="1:6" thickBot="1">
      <c r="A403" s="196"/>
      <c r="B403" s="196"/>
      <c r="C403" s="187"/>
      <c r="D403" s="187"/>
      <c r="E403" s="187"/>
      <c r="F403" s="480"/>
    </row>
    <row r="404" spans="1:6" thickBot="1">
      <c r="A404" s="196"/>
      <c r="B404" s="196"/>
      <c r="C404" s="187"/>
      <c r="D404" s="187"/>
      <c r="E404" s="187"/>
      <c r="F404" s="480"/>
    </row>
    <row r="405" spans="1:6" thickBot="1">
      <c r="A405" s="196"/>
      <c r="B405" s="196"/>
      <c r="C405" s="187"/>
      <c r="D405" s="187"/>
      <c r="E405" s="187"/>
      <c r="F405" s="480"/>
    </row>
    <row r="406" spans="1:6" thickBot="1">
      <c r="A406" s="196"/>
      <c r="B406" s="196"/>
      <c r="C406" s="187"/>
      <c r="D406" s="187"/>
      <c r="E406" s="187"/>
      <c r="F406" s="480"/>
    </row>
    <row r="407" spans="1:6" thickBot="1">
      <c r="A407" s="196"/>
      <c r="B407" s="196"/>
      <c r="C407" s="187"/>
      <c r="D407" s="187"/>
      <c r="E407" s="187"/>
      <c r="F407" s="480"/>
    </row>
    <row r="408" spans="1:6" thickBot="1">
      <c r="A408" s="196"/>
      <c r="B408" s="196"/>
      <c r="C408" s="187"/>
      <c r="D408" s="187"/>
      <c r="E408" s="187"/>
      <c r="F408" s="480"/>
    </row>
    <row r="409" spans="1:6" thickBot="1">
      <c r="A409" s="196"/>
      <c r="B409" s="196"/>
      <c r="C409" s="187"/>
      <c r="D409" s="187"/>
      <c r="E409" s="187"/>
      <c r="F409" s="480"/>
    </row>
    <row r="410" spans="1:6" thickBot="1">
      <c r="A410" s="196"/>
      <c r="B410" s="196"/>
      <c r="C410" s="187"/>
      <c r="D410" s="187"/>
      <c r="E410" s="187"/>
      <c r="F410" s="480"/>
    </row>
    <row r="411" spans="1:6" thickBot="1">
      <c r="A411" s="196"/>
      <c r="B411" s="196"/>
      <c r="C411" s="187"/>
      <c r="D411" s="187"/>
      <c r="E411" s="187"/>
      <c r="F411" s="480"/>
    </row>
    <row r="412" spans="1:6" thickBot="1">
      <c r="A412" s="196"/>
      <c r="B412" s="196"/>
      <c r="C412" s="187"/>
      <c r="D412" s="187"/>
      <c r="E412" s="187"/>
      <c r="F412" s="480"/>
    </row>
    <row r="413" spans="1:6" thickBot="1">
      <c r="A413" s="196"/>
      <c r="B413" s="196"/>
      <c r="C413" s="187"/>
      <c r="D413" s="187"/>
      <c r="E413" s="187"/>
      <c r="F413" s="480"/>
    </row>
    <row r="414" spans="1:6" thickBot="1">
      <c r="A414" s="196"/>
      <c r="B414" s="196"/>
      <c r="C414" s="187"/>
      <c r="D414" s="187"/>
      <c r="E414" s="187"/>
      <c r="F414" s="480"/>
    </row>
    <row r="415" spans="1:6" thickBot="1">
      <c r="A415" s="196"/>
      <c r="B415" s="196"/>
      <c r="C415" s="187"/>
      <c r="D415" s="187"/>
      <c r="E415" s="187"/>
      <c r="F415" s="480"/>
    </row>
    <row r="416" spans="1:6" thickBot="1">
      <c r="A416" s="196"/>
      <c r="B416" s="196"/>
      <c r="C416" s="187"/>
      <c r="D416" s="187"/>
      <c r="E416" s="187"/>
      <c r="F416" s="480"/>
    </row>
    <row r="417" spans="1:6" thickBot="1">
      <c r="A417" s="196"/>
      <c r="B417" s="196"/>
      <c r="C417" s="187"/>
      <c r="D417" s="187"/>
      <c r="E417" s="187"/>
      <c r="F417" s="480"/>
    </row>
    <row r="418" spans="1:6" thickBot="1">
      <c r="A418" s="196"/>
      <c r="B418" s="196"/>
      <c r="C418" s="187"/>
      <c r="D418" s="187"/>
      <c r="E418" s="187"/>
      <c r="F418" s="480"/>
    </row>
    <row r="419" spans="1:6" thickBot="1">
      <c r="A419" s="196"/>
      <c r="B419" s="196"/>
      <c r="C419" s="187"/>
      <c r="D419" s="187"/>
      <c r="E419" s="187"/>
      <c r="F419" s="480"/>
    </row>
    <row r="420" spans="1:6" thickBot="1">
      <c r="A420" s="196"/>
      <c r="B420" s="196"/>
      <c r="C420" s="187"/>
      <c r="D420" s="187"/>
      <c r="E420" s="187"/>
      <c r="F420" s="480"/>
    </row>
    <row r="421" spans="1:6" thickBot="1">
      <c r="A421" s="196"/>
      <c r="B421" s="196"/>
      <c r="C421" s="187"/>
      <c r="D421" s="187"/>
      <c r="E421" s="187"/>
      <c r="F421" s="480"/>
    </row>
    <row r="422" spans="1:6" thickBot="1">
      <c r="A422" s="196"/>
      <c r="B422" s="196"/>
      <c r="C422" s="187"/>
      <c r="D422" s="187"/>
      <c r="E422" s="187"/>
      <c r="F422" s="480"/>
    </row>
    <row r="423" spans="1:6" thickBot="1">
      <c r="A423" s="196"/>
      <c r="B423" s="196"/>
      <c r="C423" s="187"/>
      <c r="D423" s="187"/>
      <c r="E423" s="187"/>
      <c r="F423" s="480"/>
    </row>
    <row r="424" spans="1:6" thickBot="1">
      <c r="A424" s="196"/>
      <c r="B424" s="196"/>
      <c r="C424" s="187"/>
      <c r="D424" s="187"/>
      <c r="E424" s="187"/>
      <c r="F424" s="480"/>
    </row>
    <row r="425" spans="1:6" thickBot="1">
      <c r="A425" s="196"/>
      <c r="B425" s="196"/>
      <c r="C425" s="187"/>
      <c r="D425" s="187"/>
      <c r="E425" s="187"/>
      <c r="F425" s="480"/>
    </row>
    <row r="426" spans="1:6" thickBot="1">
      <c r="A426" s="196"/>
      <c r="B426" s="196"/>
      <c r="C426" s="187"/>
      <c r="D426" s="187"/>
      <c r="E426" s="187"/>
      <c r="F426" s="480"/>
    </row>
    <row r="427" spans="1:6" thickBot="1">
      <c r="A427" s="196"/>
      <c r="B427" s="196"/>
      <c r="C427" s="187"/>
      <c r="D427" s="187"/>
      <c r="E427" s="187"/>
      <c r="F427" s="480"/>
    </row>
    <row r="428" spans="1:6" thickBot="1">
      <c r="A428" s="196"/>
      <c r="B428" s="196"/>
      <c r="C428" s="187"/>
      <c r="D428" s="187"/>
      <c r="E428" s="187"/>
      <c r="F428" s="480"/>
    </row>
    <row r="429" spans="1:6" thickBot="1">
      <c r="A429" s="196"/>
      <c r="B429" s="196"/>
      <c r="C429" s="187"/>
      <c r="D429" s="187"/>
      <c r="E429" s="187"/>
      <c r="F429" s="480"/>
    </row>
    <row r="430" spans="1:6" thickBot="1">
      <c r="A430" s="196"/>
      <c r="B430" s="196"/>
      <c r="C430" s="187"/>
      <c r="D430" s="187"/>
      <c r="E430" s="187"/>
      <c r="F430" s="480"/>
    </row>
    <row r="431" spans="1:6" thickBot="1">
      <c r="A431" s="196"/>
      <c r="B431" s="196"/>
      <c r="C431" s="187"/>
      <c r="D431" s="187"/>
      <c r="E431" s="187"/>
      <c r="F431" s="480"/>
    </row>
    <row r="432" spans="1:6" thickBot="1">
      <c r="A432" s="196"/>
      <c r="B432" s="196"/>
      <c r="C432" s="187"/>
      <c r="D432" s="187"/>
      <c r="E432" s="187"/>
      <c r="F432" s="480"/>
    </row>
    <row r="433" spans="1:6" thickBot="1">
      <c r="A433" s="196"/>
      <c r="B433" s="196"/>
      <c r="C433" s="187"/>
      <c r="D433" s="187"/>
      <c r="E433" s="187"/>
      <c r="F433" s="480"/>
    </row>
    <row r="434" spans="1:6" thickBot="1">
      <c r="A434" s="196"/>
      <c r="B434" s="196"/>
      <c r="C434" s="187"/>
      <c r="D434" s="187"/>
      <c r="E434" s="187"/>
      <c r="F434" s="480"/>
    </row>
    <row r="435" spans="1:6" thickBot="1">
      <c r="A435" s="196"/>
      <c r="B435" s="196"/>
      <c r="C435" s="187"/>
      <c r="D435" s="187"/>
      <c r="E435" s="187"/>
      <c r="F435" s="480"/>
    </row>
    <row r="436" spans="1:6" thickBot="1">
      <c r="A436" s="196"/>
      <c r="B436" s="196"/>
      <c r="C436" s="187"/>
      <c r="D436" s="187"/>
      <c r="E436" s="187"/>
      <c r="F436" s="480"/>
    </row>
    <row r="437" spans="1:6" thickBot="1">
      <c r="A437" s="196"/>
      <c r="B437" s="196"/>
      <c r="C437" s="187"/>
      <c r="D437" s="187"/>
      <c r="E437" s="187"/>
      <c r="F437" s="480"/>
    </row>
    <row r="438" spans="1:6" thickBot="1">
      <c r="A438" s="196"/>
      <c r="B438" s="196"/>
      <c r="C438" s="187"/>
      <c r="D438" s="187"/>
      <c r="E438" s="187"/>
      <c r="F438" s="480"/>
    </row>
    <row r="439" spans="1:6" thickBot="1">
      <c r="A439" s="196"/>
      <c r="B439" s="196"/>
      <c r="C439" s="187"/>
      <c r="D439" s="187"/>
      <c r="E439" s="187"/>
      <c r="F439" s="480"/>
    </row>
    <row r="440" spans="1:6" thickBot="1">
      <c r="A440" s="196"/>
      <c r="B440" s="196"/>
      <c r="C440" s="187"/>
      <c r="D440" s="187"/>
      <c r="E440" s="187"/>
      <c r="F440" s="480"/>
    </row>
    <row r="441" spans="1:6" thickBot="1">
      <c r="A441" s="196"/>
      <c r="B441" s="196"/>
      <c r="C441" s="187"/>
      <c r="D441" s="187"/>
      <c r="E441" s="187"/>
      <c r="F441" s="480"/>
    </row>
    <row r="442" spans="1:6" thickBot="1">
      <c r="A442" s="196"/>
      <c r="B442" s="196"/>
      <c r="C442" s="187"/>
      <c r="D442" s="187"/>
      <c r="E442" s="187"/>
      <c r="F442" s="480"/>
    </row>
    <row r="443" spans="1:6" thickBot="1">
      <c r="A443" s="196"/>
      <c r="B443" s="196"/>
      <c r="C443" s="187"/>
      <c r="D443" s="187"/>
      <c r="E443" s="187"/>
      <c r="F443" s="480"/>
    </row>
    <row r="444" spans="1:6" thickBot="1">
      <c r="A444" s="196"/>
      <c r="B444" s="196"/>
      <c r="C444" s="187"/>
      <c r="D444" s="187"/>
      <c r="E444" s="187"/>
      <c r="F444" s="480"/>
    </row>
    <row r="445" spans="1:6" thickBot="1">
      <c r="A445" s="196"/>
      <c r="B445" s="196"/>
      <c r="C445" s="187"/>
      <c r="D445" s="187"/>
      <c r="E445" s="187"/>
      <c r="F445" s="480"/>
    </row>
    <row r="446" spans="1:6" thickBot="1">
      <c r="A446" s="196"/>
      <c r="B446" s="196"/>
      <c r="C446" s="187"/>
      <c r="D446" s="187"/>
      <c r="E446" s="187"/>
      <c r="F446" s="480"/>
    </row>
    <row r="447" spans="1:6" thickBot="1">
      <c r="A447" s="196"/>
      <c r="B447" s="196"/>
      <c r="C447" s="187"/>
      <c r="D447" s="187"/>
      <c r="E447" s="187"/>
      <c r="F447" s="480"/>
    </row>
    <row r="448" spans="1:6" thickBot="1">
      <c r="A448" s="196"/>
      <c r="B448" s="196"/>
      <c r="C448" s="187"/>
      <c r="D448" s="187"/>
      <c r="E448" s="187"/>
      <c r="F448" s="480"/>
    </row>
    <row r="449" spans="1:6" thickBot="1">
      <c r="A449" s="196"/>
      <c r="B449" s="196"/>
      <c r="C449" s="187"/>
      <c r="D449" s="187"/>
      <c r="E449" s="187"/>
      <c r="F449" s="480"/>
    </row>
    <row r="450" spans="1:6" thickBot="1">
      <c r="A450" s="196"/>
      <c r="B450" s="196"/>
      <c r="C450" s="187"/>
      <c r="D450" s="187"/>
      <c r="E450" s="187"/>
      <c r="F450" s="480"/>
    </row>
    <row r="451" spans="1:6" thickBot="1">
      <c r="A451" s="196"/>
      <c r="B451" s="196"/>
      <c r="C451" s="187"/>
      <c r="D451" s="187"/>
      <c r="E451" s="187"/>
      <c r="F451" s="480"/>
    </row>
    <row r="452" spans="1:6" thickBot="1">
      <c r="A452" s="196"/>
      <c r="B452" s="196"/>
      <c r="C452" s="187"/>
      <c r="D452" s="187"/>
      <c r="E452" s="187"/>
      <c r="F452" s="480"/>
    </row>
    <row r="453" spans="1:6" thickBot="1">
      <c r="A453" s="196"/>
      <c r="B453" s="196"/>
      <c r="C453" s="187"/>
      <c r="D453" s="187"/>
      <c r="E453" s="187"/>
      <c r="F453" s="480"/>
    </row>
    <row r="454" spans="1:6" thickBot="1">
      <c r="A454" s="196"/>
      <c r="B454" s="196"/>
      <c r="C454" s="187"/>
      <c r="D454" s="187"/>
      <c r="E454" s="187"/>
      <c r="F454" s="480"/>
    </row>
    <row r="455" spans="1:6" thickBot="1">
      <c r="A455" s="196"/>
      <c r="B455" s="196"/>
      <c r="C455" s="187"/>
      <c r="D455" s="187"/>
      <c r="E455" s="187"/>
      <c r="F455" s="480"/>
    </row>
    <row r="456" spans="1:6" thickBot="1">
      <c r="A456" s="196"/>
      <c r="B456" s="196"/>
      <c r="C456" s="187"/>
      <c r="D456" s="187"/>
      <c r="E456" s="187"/>
      <c r="F456" s="480"/>
    </row>
    <row r="457" spans="1:6" thickBot="1">
      <c r="A457" s="196"/>
      <c r="B457" s="196"/>
      <c r="C457" s="187"/>
      <c r="D457" s="187"/>
      <c r="E457" s="187"/>
      <c r="F457" s="480"/>
    </row>
    <row r="458" spans="1:6" thickBot="1">
      <c r="A458" s="196"/>
      <c r="B458" s="196"/>
      <c r="C458" s="187"/>
      <c r="D458" s="187"/>
      <c r="E458" s="187"/>
      <c r="F458" s="480"/>
    </row>
    <row r="459" spans="1:6" thickBot="1">
      <c r="A459" s="196"/>
      <c r="B459" s="196"/>
      <c r="C459" s="187"/>
      <c r="D459" s="187"/>
      <c r="E459" s="187"/>
      <c r="F459" s="480"/>
    </row>
    <row r="460" spans="1:6" thickBot="1">
      <c r="A460" s="196"/>
      <c r="B460" s="196"/>
      <c r="C460" s="187"/>
      <c r="D460" s="187"/>
      <c r="E460" s="187"/>
      <c r="F460" s="480"/>
    </row>
    <row r="461" spans="1:6" thickBot="1">
      <c r="A461" s="196"/>
      <c r="B461" s="196"/>
      <c r="C461" s="187"/>
      <c r="D461" s="187"/>
      <c r="E461" s="187"/>
      <c r="F461" s="480"/>
    </row>
    <row r="462" spans="1:6" thickBot="1">
      <c r="A462" s="196"/>
      <c r="B462" s="196"/>
      <c r="C462" s="187"/>
      <c r="D462" s="187"/>
      <c r="E462" s="187"/>
      <c r="F462" s="480"/>
    </row>
    <row r="463" spans="1:6" thickBot="1">
      <c r="A463" s="196"/>
      <c r="B463" s="196"/>
      <c r="C463" s="187"/>
      <c r="D463" s="187"/>
      <c r="E463" s="187"/>
      <c r="F463" s="480"/>
    </row>
    <row r="464" spans="1:6" thickBot="1">
      <c r="A464" s="196"/>
      <c r="B464" s="196"/>
      <c r="C464" s="187"/>
      <c r="D464" s="187"/>
      <c r="E464" s="187"/>
      <c r="F464" s="480"/>
    </row>
    <row r="465" spans="1:6" thickBot="1">
      <c r="A465" s="196"/>
      <c r="B465" s="196"/>
      <c r="C465" s="187"/>
      <c r="D465" s="187"/>
      <c r="E465" s="187"/>
      <c r="F465" s="480"/>
    </row>
    <row r="466" spans="1:6" thickBot="1">
      <c r="A466" s="196"/>
      <c r="B466" s="196"/>
      <c r="C466" s="187"/>
      <c r="D466" s="187"/>
      <c r="E466" s="187"/>
      <c r="F466" s="480"/>
    </row>
    <row r="467" spans="1:6" thickBot="1">
      <c r="A467" s="196"/>
      <c r="B467" s="196"/>
      <c r="C467" s="187"/>
      <c r="D467" s="187"/>
      <c r="E467" s="187"/>
      <c r="F467" s="480"/>
    </row>
    <row r="468" spans="1:6" thickBot="1">
      <c r="A468" s="196"/>
      <c r="B468" s="196"/>
      <c r="C468" s="187"/>
      <c r="D468" s="187"/>
      <c r="E468" s="187"/>
      <c r="F468" s="480"/>
    </row>
    <row r="469" spans="1:6" thickBot="1">
      <c r="A469" s="196"/>
      <c r="B469" s="196"/>
      <c r="C469" s="187"/>
      <c r="D469" s="187"/>
      <c r="E469" s="187"/>
      <c r="F469" s="480"/>
    </row>
    <row r="470" spans="1:6" thickBot="1">
      <c r="A470" s="196"/>
      <c r="B470" s="196"/>
      <c r="C470" s="187"/>
      <c r="D470" s="187"/>
      <c r="E470" s="187"/>
      <c r="F470" s="480"/>
    </row>
    <row r="471" spans="1:6" thickBot="1">
      <c r="A471" s="196"/>
      <c r="B471" s="196"/>
      <c r="C471" s="187"/>
      <c r="D471" s="187"/>
      <c r="E471" s="187"/>
      <c r="F471" s="480"/>
    </row>
    <row r="472" spans="1:6" thickBot="1">
      <c r="A472" s="196"/>
      <c r="B472" s="196"/>
      <c r="C472" s="187"/>
      <c r="D472" s="187"/>
      <c r="E472" s="187"/>
      <c r="F472" s="480"/>
    </row>
    <row r="473" spans="1:6" thickBot="1">
      <c r="A473" s="196"/>
      <c r="B473" s="196"/>
      <c r="C473" s="187"/>
      <c r="D473" s="187"/>
      <c r="E473" s="187"/>
      <c r="F473" s="480"/>
    </row>
    <row r="474" spans="1:6" thickBot="1">
      <c r="A474" s="196"/>
      <c r="B474" s="196"/>
      <c r="C474" s="187"/>
      <c r="D474" s="187"/>
      <c r="E474" s="187"/>
      <c r="F474" s="480"/>
    </row>
    <row r="475" spans="1:6" thickBot="1">
      <c r="A475" s="196"/>
      <c r="B475" s="196"/>
      <c r="C475" s="187"/>
      <c r="D475" s="187"/>
      <c r="E475" s="187"/>
      <c r="F475" s="480"/>
    </row>
    <row r="476" spans="1:6" thickBot="1">
      <c r="A476" s="196"/>
      <c r="B476" s="196"/>
      <c r="C476" s="187"/>
      <c r="D476" s="187"/>
      <c r="E476" s="187"/>
      <c r="F476" s="480"/>
    </row>
    <row r="477" spans="1:6" thickBot="1">
      <c r="A477" s="196"/>
      <c r="B477" s="196"/>
      <c r="C477" s="187"/>
      <c r="D477" s="187"/>
      <c r="E477" s="187"/>
      <c r="F477" s="480"/>
    </row>
    <row r="478" spans="1:6" thickBot="1">
      <c r="A478" s="196"/>
      <c r="B478" s="196"/>
      <c r="C478" s="187"/>
      <c r="D478" s="187"/>
      <c r="E478" s="187"/>
      <c r="F478" s="480"/>
    </row>
    <row r="479" spans="1:6" thickBot="1">
      <c r="A479" s="196"/>
      <c r="B479" s="196"/>
      <c r="C479" s="187"/>
      <c r="D479" s="187"/>
      <c r="E479" s="187"/>
      <c r="F479" s="480"/>
    </row>
    <row r="480" spans="1:6" thickBot="1">
      <c r="A480" s="196"/>
      <c r="B480" s="196"/>
      <c r="C480" s="187"/>
      <c r="D480" s="187"/>
      <c r="E480" s="187"/>
      <c r="F480" s="480"/>
    </row>
    <row r="481" spans="1:6" thickBot="1">
      <c r="A481" s="196"/>
      <c r="B481" s="196"/>
      <c r="C481" s="187"/>
      <c r="D481" s="187"/>
      <c r="E481" s="187"/>
      <c r="F481" s="480"/>
    </row>
    <row r="482" spans="1:6" thickBot="1">
      <c r="A482" s="196"/>
      <c r="B482" s="196"/>
      <c r="C482" s="187"/>
      <c r="D482" s="187"/>
      <c r="E482" s="187"/>
      <c r="F482" s="480"/>
    </row>
    <row r="483" spans="1:6" thickBot="1">
      <c r="A483" s="196"/>
      <c r="B483" s="196"/>
      <c r="C483" s="187"/>
      <c r="D483" s="187"/>
      <c r="E483" s="187"/>
      <c r="F483" s="480"/>
    </row>
    <row r="484" spans="1:6" thickBot="1">
      <c r="A484" s="196"/>
      <c r="B484" s="196"/>
      <c r="C484" s="187"/>
      <c r="D484" s="187"/>
      <c r="E484" s="187"/>
      <c r="F484" s="480"/>
    </row>
    <row r="485" spans="1:6" thickBot="1">
      <c r="A485" s="196"/>
      <c r="B485" s="196"/>
      <c r="C485" s="187"/>
      <c r="D485" s="187"/>
      <c r="E485" s="187"/>
      <c r="F485" s="480"/>
    </row>
    <row r="486" spans="1:6" thickBot="1">
      <c r="A486" s="196"/>
      <c r="B486" s="196"/>
      <c r="C486" s="187"/>
      <c r="D486" s="187"/>
      <c r="E486" s="187"/>
      <c r="F486" s="480"/>
    </row>
    <row r="487" spans="1:6" thickBot="1">
      <c r="A487" s="196"/>
      <c r="B487" s="196"/>
      <c r="C487" s="187"/>
      <c r="D487" s="187"/>
      <c r="E487" s="187"/>
      <c r="F487" s="480"/>
    </row>
    <row r="488" spans="1:6" thickBot="1">
      <c r="A488" s="196"/>
      <c r="B488" s="196"/>
      <c r="C488" s="187"/>
      <c r="D488" s="187"/>
      <c r="E488" s="187"/>
      <c r="F488" s="480"/>
    </row>
    <row r="489" spans="1:6" thickBot="1">
      <c r="A489" s="196"/>
      <c r="B489" s="196"/>
      <c r="C489" s="187"/>
      <c r="D489" s="187"/>
      <c r="E489" s="187"/>
      <c r="F489" s="480"/>
    </row>
    <row r="490" spans="1:6" thickBot="1">
      <c r="A490" s="196"/>
      <c r="B490" s="196"/>
      <c r="C490" s="187"/>
      <c r="D490" s="187"/>
      <c r="E490" s="187"/>
      <c r="F490" s="480"/>
    </row>
    <row r="491" spans="1:6" thickBot="1">
      <c r="A491" s="196"/>
      <c r="B491" s="196"/>
      <c r="C491" s="187"/>
      <c r="D491" s="187"/>
      <c r="E491" s="187"/>
      <c r="F491" s="480"/>
    </row>
    <row r="492" spans="1:6" thickBot="1">
      <c r="A492" s="196"/>
      <c r="B492" s="196"/>
      <c r="C492" s="187"/>
      <c r="D492" s="187"/>
      <c r="E492" s="187"/>
      <c r="F492" s="480"/>
    </row>
    <row r="493" spans="1:6" thickBot="1">
      <c r="A493" s="196"/>
      <c r="B493" s="196"/>
      <c r="C493" s="187"/>
      <c r="D493" s="187"/>
      <c r="E493" s="187"/>
      <c r="F493" s="480"/>
    </row>
    <row r="494" spans="1:6" thickBot="1">
      <c r="A494" s="196"/>
      <c r="B494" s="196"/>
      <c r="C494" s="187"/>
      <c r="D494" s="187"/>
      <c r="E494" s="187"/>
      <c r="F494" s="480"/>
    </row>
    <row r="495" spans="1:6" thickBot="1">
      <c r="A495" s="196"/>
      <c r="B495" s="196"/>
      <c r="C495" s="187"/>
      <c r="D495" s="187"/>
      <c r="E495" s="187"/>
      <c r="F495" s="480"/>
    </row>
    <row r="496" spans="1:6" thickBot="1">
      <c r="A496" s="196"/>
      <c r="B496" s="196"/>
      <c r="C496" s="187"/>
      <c r="D496" s="187"/>
      <c r="E496" s="187"/>
      <c r="F496" s="480"/>
    </row>
    <row r="497" spans="1:6" thickBot="1">
      <c r="A497" s="196"/>
      <c r="B497" s="196"/>
      <c r="C497" s="187"/>
      <c r="D497" s="187"/>
      <c r="E497" s="187"/>
      <c r="F497" s="480"/>
    </row>
    <row r="498" spans="1:6" thickBot="1">
      <c r="A498" s="196"/>
      <c r="B498" s="196"/>
      <c r="C498" s="187"/>
      <c r="D498" s="187"/>
      <c r="E498" s="187"/>
      <c r="F498" s="480"/>
    </row>
    <row r="499" spans="1:6" thickBot="1">
      <c r="A499" s="196"/>
      <c r="B499" s="196"/>
      <c r="C499" s="187"/>
      <c r="D499" s="187"/>
      <c r="E499" s="187"/>
      <c r="F499" s="480"/>
    </row>
    <row r="500" spans="1:6" thickBot="1">
      <c r="A500" s="196"/>
      <c r="B500" s="196"/>
      <c r="C500" s="187"/>
      <c r="D500" s="187"/>
      <c r="E500" s="187"/>
      <c r="F500" s="480"/>
    </row>
    <row r="501" spans="1:6" thickBot="1">
      <c r="A501" s="196"/>
      <c r="B501" s="196"/>
      <c r="C501" s="187"/>
      <c r="D501" s="187"/>
      <c r="E501" s="187"/>
      <c r="F501" s="480"/>
    </row>
    <row r="502" spans="1:6" thickBot="1">
      <c r="A502" s="196"/>
      <c r="B502" s="196"/>
      <c r="C502" s="187"/>
      <c r="D502" s="187"/>
      <c r="E502" s="187"/>
      <c r="F502" s="480"/>
    </row>
    <row r="503" spans="1:6" thickBot="1">
      <c r="A503" s="196"/>
      <c r="B503" s="196"/>
      <c r="C503" s="187"/>
      <c r="D503" s="187"/>
      <c r="E503" s="187"/>
      <c r="F503" s="480"/>
    </row>
    <row r="504" spans="1:6" thickBot="1">
      <c r="A504" s="196"/>
      <c r="B504" s="196"/>
      <c r="C504" s="187"/>
      <c r="D504" s="187"/>
      <c r="E504" s="187"/>
      <c r="F504" s="480"/>
    </row>
    <row r="505" spans="1:6" thickBot="1">
      <c r="A505" s="196"/>
      <c r="B505" s="196"/>
      <c r="C505" s="187"/>
      <c r="D505" s="187"/>
      <c r="E505" s="187"/>
      <c r="F505" s="480"/>
    </row>
    <row r="506" spans="1:6" thickBot="1">
      <c r="A506" s="196"/>
      <c r="B506" s="196"/>
      <c r="C506" s="187"/>
      <c r="D506" s="187"/>
      <c r="E506" s="187"/>
      <c r="F506" s="480"/>
    </row>
    <row r="507" spans="1:6" thickBot="1">
      <c r="A507" s="196"/>
      <c r="B507" s="196"/>
      <c r="C507" s="187"/>
      <c r="D507" s="187"/>
      <c r="E507" s="187"/>
      <c r="F507" s="480"/>
    </row>
    <row r="508" spans="1:6" thickBot="1">
      <c r="A508" s="196"/>
      <c r="B508" s="196"/>
      <c r="C508" s="187"/>
      <c r="D508" s="187"/>
      <c r="E508" s="187"/>
      <c r="F508" s="480"/>
    </row>
    <row r="509" spans="1:6" thickBot="1">
      <c r="A509" s="196"/>
      <c r="B509" s="196"/>
      <c r="C509" s="187"/>
      <c r="D509" s="187"/>
      <c r="E509" s="187"/>
      <c r="F509" s="480"/>
    </row>
    <row r="510" spans="1:6" thickBot="1">
      <c r="A510" s="196"/>
      <c r="B510" s="196"/>
      <c r="C510" s="187"/>
      <c r="D510" s="187"/>
      <c r="E510" s="187"/>
      <c r="F510" s="480"/>
    </row>
    <row r="511" spans="1:6" thickBot="1">
      <c r="A511" s="196"/>
      <c r="B511" s="196"/>
      <c r="C511" s="187"/>
      <c r="D511" s="187"/>
      <c r="E511" s="187"/>
      <c r="F511" s="480"/>
    </row>
    <row r="512" spans="1:6" thickBot="1">
      <c r="A512" s="196"/>
      <c r="B512" s="196"/>
      <c r="C512" s="187"/>
      <c r="D512" s="187"/>
      <c r="E512" s="187"/>
      <c r="F512" s="480"/>
    </row>
    <row r="513" spans="1:6" thickBot="1">
      <c r="A513" s="196"/>
      <c r="B513" s="196"/>
      <c r="C513" s="187"/>
      <c r="D513" s="187"/>
      <c r="E513" s="187"/>
      <c r="F513" s="480"/>
    </row>
    <row r="514" spans="1:6" thickBot="1">
      <c r="A514" s="196"/>
      <c r="B514" s="196"/>
      <c r="C514" s="187"/>
      <c r="D514" s="187"/>
      <c r="E514" s="187"/>
      <c r="F514" s="480"/>
    </row>
    <row r="515" spans="1:6" thickBot="1">
      <c r="A515" s="196"/>
      <c r="B515" s="196"/>
      <c r="C515" s="187"/>
      <c r="D515" s="187"/>
      <c r="E515" s="187"/>
      <c r="F515" s="480"/>
    </row>
    <row r="516" spans="1:6" thickBot="1">
      <c r="A516" s="196"/>
      <c r="B516" s="196"/>
      <c r="C516" s="187"/>
      <c r="D516" s="187"/>
      <c r="E516" s="187"/>
      <c r="F516" s="480"/>
    </row>
    <row r="517" spans="1:6" thickBot="1">
      <c r="A517" s="196"/>
      <c r="B517" s="196"/>
      <c r="C517" s="187"/>
      <c r="D517" s="187"/>
      <c r="E517" s="187"/>
      <c r="F517" s="480"/>
    </row>
    <row r="518" spans="1:6" thickBot="1">
      <c r="A518" s="196"/>
      <c r="B518" s="196"/>
      <c r="C518" s="187"/>
      <c r="D518" s="187"/>
      <c r="E518" s="187"/>
      <c r="F518" s="480"/>
    </row>
    <row r="519" spans="1:6" thickBot="1">
      <c r="A519" s="196"/>
      <c r="B519" s="196"/>
      <c r="C519" s="187"/>
      <c r="D519" s="187"/>
      <c r="E519" s="187"/>
      <c r="F519" s="480"/>
    </row>
    <row r="520" spans="1:6" thickBot="1">
      <c r="A520" s="196"/>
      <c r="B520" s="196"/>
      <c r="C520" s="187"/>
      <c r="D520" s="187"/>
      <c r="E520" s="187"/>
      <c r="F520" s="480"/>
    </row>
    <row r="521" spans="1:6" thickBot="1">
      <c r="A521" s="196"/>
      <c r="B521" s="196"/>
      <c r="C521" s="187"/>
      <c r="D521" s="187"/>
      <c r="E521" s="187"/>
      <c r="F521" s="480"/>
    </row>
    <row r="522" spans="1:6" thickBot="1">
      <c r="A522" s="196"/>
      <c r="B522" s="196"/>
      <c r="C522" s="187"/>
      <c r="D522" s="187"/>
      <c r="E522" s="187"/>
      <c r="F522" s="480"/>
    </row>
    <row r="523" spans="1:6" thickBot="1">
      <c r="A523" s="196"/>
      <c r="B523" s="196"/>
      <c r="C523" s="187"/>
      <c r="D523" s="187"/>
      <c r="E523" s="187"/>
      <c r="F523" s="480"/>
    </row>
    <row r="524" spans="1:6" thickBot="1">
      <c r="A524" s="196"/>
      <c r="B524" s="196"/>
      <c r="C524" s="187"/>
      <c r="D524" s="187"/>
      <c r="E524" s="187"/>
      <c r="F524" s="480"/>
    </row>
    <row r="525" spans="1:6" thickBot="1">
      <c r="A525" s="196"/>
      <c r="B525" s="196"/>
      <c r="C525" s="187"/>
      <c r="D525" s="187"/>
      <c r="E525" s="187"/>
      <c r="F525" s="480"/>
    </row>
    <row r="526" spans="1:6" thickBot="1">
      <c r="A526" s="196"/>
      <c r="B526" s="196"/>
      <c r="C526" s="187"/>
      <c r="D526" s="187"/>
      <c r="E526" s="187"/>
      <c r="F526" s="480"/>
    </row>
    <row r="527" spans="1:6" thickBot="1">
      <c r="A527" s="196"/>
      <c r="B527" s="196"/>
      <c r="C527" s="187"/>
      <c r="D527" s="187"/>
      <c r="E527" s="187"/>
      <c r="F527" s="480"/>
    </row>
    <row r="528" spans="1:6" thickBot="1">
      <c r="A528" s="196"/>
      <c r="B528" s="196"/>
      <c r="C528" s="187"/>
      <c r="D528" s="187"/>
      <c r="E528" s="187"/>
      <c r="F528" s="480"/>
    </row>
    <row r="529" spans="1:6" thickBot="1">
      <c r="A529" s="196"/>
      <c r="B529" s="196"/>
      <c r="C529" s="187"/>
      <c r="D529" s="187"/>
      <c r="E529" s="187"/>
      <c r="F529" s="480"/>
    </row>
    <row r="530" spans="1:6" thickBot="1">
      <c r="A530" s="196"/>
      <c r="B530" s="196"/>
      <c r="C530" s="187"/>
      <c r="D530" s="187"/>
      <c r="E530" s="187"/>
      <c r="F530" s="480"/>
    </row>
    <row r="531" spans="1:6" thickBot="1">
      <c r="A531" s="196"/>
      <c r="B531" s="196"/>
      <c r="C531" s="187"/>
      <c r="D531" s="187"/>
      <c r="E531" s="187"/>
      <c r="F531" s="480"/>
    </row>
    <row r="532" spans="1:6" thickBot="1">
      <c r="A532" s="196"/>
      <c r="B532" s="196"/>
      <c r="C532" s="187"/>
      <c r="D532" s="187"/>
      <c r="E532" s="187"/>
      <c r="F532" s="480"/>
    </row>
    <row r="533" spans="1:6" thickBot="1">
      <c r="A533" s="196"/>
      <c r="B533" s="196"/>
      <c r="C533" s="187"/>
      <c r="D533" s="187"/>
      <c r="E533" s="187"/>
      <c r="F533" s="480"/>
    </row>
    <row r="534" spans="1:6" thickBot="1">
      <c r="A534" s="196"/>
      <c r="B534" s="196"/>
      <c r="C534" s="187"/>
      <c r="D534" s="187"/>
      <c r="E534" s="187"/>
      <c r="F534" s="480"/>
    </row>
    <row r="535" spans="1:6" thickBot="1">
      <c r="A535" s="196"/>
      <c r="B535" s="196"/>
      <c r="C535" s="187"/>
      <c r="D535" s="187"/>
      <c r="E535" s="187"/>
      <c r="F535" s="480"/>
    </row>
    <row r="536" spans="1:6" thickBot="1">
      <c r="A536" s="196"/>
      <c r="B536" s="196"/>
      <c r="C536" s="187"/>
      <c r="D536" s="187"/>
      <c r="E536" s="187"/>
      <c r="F536" s="480"/>
    </row>
    <row r="537" spans="1:6" thickBot="1">
      <c r="A537" s="196"/>
      <c r="B537" s="196"/>
      <c r="C537" s="187"/>
      <c r="D537" s="187"/>
      <c r="E537" s="187"/>
      <c r="F537" s="480"/>
    </row>
    <row r="538" spans="1:6" thickBot="1">
      <c r="A538" s="196"/>
      <c r="B538" s="196"/>
      <c r="C538" s="187"/>
      <c r="D538" s="187"/>
      <c r="E538" s="187"/>
      <c r="F538" s="480"/>
    </row>
    <row r="539" spans="1:6" thickBot="1">
      <c r="A539" s="196"/>
      <c r="B539" s="196"/>
      <c r="C539" s="187"/>
      <c r="D539" s="187"/>
      <c r="E539" s="187"/>
      <c r="F539" s="480"/>
    </row>
    <row r="540" spans="1:6" thickBot="1">
      <c r="A540" s="196"/>
      <c r="B540" s="196"/>
      <c r="C540" s="187"/>
      <c r="D540" s="187"/>
      <c r="E540" s="187"/>
      <c r="F540" s="480"/>
    </row>
    <row r="541" spans="1:6" thickBot="1">
      <c r="A541" s="196"/>
      <c r="B541" s="196"/>
      <c r="C541" s="187"/>
      <c r="D541" s="187"/>
      <c r="E541" s="187"/>
      <c r="F541" s="480"/>
    </row>
    <row r="542" spans="1:6" thickBot="1">
      <c r="A542" s="196"/>
      <c r="B542" s="196"/>
      <c r="C542" s="187"/>
      <c r="D542" s="187"/>
      <c r="E542" s="187"/>
      <c r="F542" s="480"/>
    </row>
    <row r="543" spans="1:6" thickBot="1">
      <c r="A543" s="196"/>
      <c r="B543" s="196"/>
      <c r="C543" s="187"/>
      <c r="D543" s="187"/>
      <c r="E543" s="187"/>
      <c r="F543" s="480"/>
    </row>
    <row r="544" spans="1:6" thickBot="1">
      <c r="A544" s="196"/>
      <c r="B544" s="196"/>
      <c r="C544" s="187"/>
      <c r="D544" s="187"/>
      <c r="E544" s="187"/>
      <c r="F544" s="480"/>
    </row>
    <row r="545" spans="1:6" thickBot="1">
      <c r="A545" s="196"/>
      <c r="B545" s="196"/>
      <c r="C545" s="187"/>
      <c r="D545" s="187"/>
      <c r="E545" s="187"/>
      <c r="F545" s="480"/>
    </row>
    <row r="546" spans="1:6" thickBot="1">
      <c r="A546" s="196"/>
      <c r="B546" s="196"/>
      <c r="C546" s="187"/>
      <c r="D546" s="187"/>
      <c r="E546" s="187"/>
      <c r="F546" s="480"/>
    </row>
    <row r="547" spans="1:6" thickBot="1">
      <c r="A547" s="196"/>
      <c r="B547" s="196"/>
      <c r="C547" s="187"/>
      <c r="D547" s="187"/>
      <c r="E547" s="187"/>
      <c r="F547" s="480"/>
    </row>
    <row r="548" spans="1:6" thickBot="1">
      <c r="A548" s="196"/>
      <c r="B548" s="196"/>
      <c r="C548" s="187"/>
      <c r="D548" s="187"/>
      <c r="E548" s="187"/>
      <c r="F548" s="480"/>
    </row>
    <row r="549" spans="1:6" thickBot="1">
      <c r="A549" s="196"/>
      <c r="B549" s="196"/>
      <c r="C549" s="187"/>
      <c r="D549" s="187"/>
      <c r="E549" s="187"/>
      <c r="F549" s="480"/>
    </row>
    <row r="550" spans="1:6" thickBot="1">
      <c r="A550" s="196"/>
      <c r="B550" s="196"/>
      <c r="C550" s="187"/>
      <c r="D550" s="187"/>
      <c r="E550" s="187"/>
      <c r="F550" s="480"/>
    </row>
    <row r="551" spans="1:6" thickBot="1">
      <c r="A551" s="196"/>
      <c r="B551" s="196"/>
      <c r="C551" s="187"/>
      <c r="D551" s="187"/>
      <c r="E551" s="187"/>
      <c r="F551" s="480"/>
    </row>
    <row r="552" spans="1:6" thickBot="1">
      <c r="A552" s="196"/>
      <c r="B552" s="196"/>
      <c r="C552" s="187"/>
      <c r="D552" s="187"/>
      <c r="E552" s="187"/>
      <c r="F552" s="480"/>
    </row>
    <row r="553" spans="1:6" thickBot="1">
      <c r="A553" s="196"/>
      <c r="B553" s="196"/>
      <c r="C553" s="187"/>
      <c r="D553" s="187"/>
      <c r="E553" s="187"/>
      <c r="F553" s="480"/>
    </row>
    <row r="554" spans="1:6" thickBot="1">
      <c r="A554" s="196"/>
      <c r="B554" s="196"/>
      <c r="C554" s="187"/>
      <c r="D554" s="187"/>
      <c r="E554" s="187"/>
      <c r="F554" s="480"/>
    </row>
    <row r="555" spans="1:6" thickBot="1">
      <c r="A555" s="196"/>
      <c r="B555" s="196"/>
      <c r="C555" s="187"/>
      <c r="D555" s="187"/>
      <c r="E555" s="187"/>
      <c r="F555" s="480"/>
    </row>
    <row r="556" spans="1:6" thickBot="1">
      <c r="A556" s="196"/>
      <c r="B556" s="196"/>
      <c r="C556" s="187"/>
      <c r="D556" s="187"/>
      <c r="E556" s="187"/>
      <c r="F556" s="480"/>
    </row>
    <row r="557" spans="1:6" thickBot="1">
      <c r="A557" s="196"/>
      <c r="B557" s="196"/>
      <c r="C557" s="187"/>
      <c r="D557" s="187"/>
      <c r="E557" s="187"/>
      <c r="F557" s="480"/>
    </row>
    <row r="558" spans="1:6" thickBot="1">
      <c r="A558" s="196"/>
      <c r="B558" s="196"/>
      <c r="C558" s="187"/>
      <c r="D558" s="187"/>
      <c r="E558" s="187"/>
      <c r="F558" s="480"/>
    </row>
    <row r="559" spans="1:6" thickBot="1">
      <c r="A559" s="196"/>
      <c r="B559" s="196"/>
      <c r="C559" s="187"/>
      <c r="D559" s="187"/>
      <c r="E559" s="187"/>
      <c r="F559" s="480"/>
    </row>
    <row r="560" spans="1:6" thickBot="1">
      <c r="A560" s="196"/>
      <c r="B560" s="196"/>
      <c r="C560" s="187"/>
      <c r="D560" s="187"/>
      <c r="E560" s="187"/>
      <c r="F560" s="480"/>
    </row>
    <row r="561" spans="1:6" thickBot="1">
      <c r="A561" s="196"/>
      <c r="B561" s="196"/>
      <c r="C561" s="187"/>
      <c r="D561" s="187"/>
      <c r="E561" s="187"/>
      <c r="F561" s="480"/>
    </row>
    <row r="562" spans="1:6" thickBot="1">
      <c r="A562" s="196"/>
      <c r="B562" s="196"/>
      <c r="C562" s="187"/>
      <c r="D562" s="187"/>
      <c r="E562" s="187"/>
      <c r="F562" s="480"/>
    </row>
    <row r="563" spans="1:6" thickBot="1">
      <c r="A563" s="196"/>
      <c r="B563" s="196"/>
      <c r="C563" s="187"/>
      <c r="D563" s="187"/>
      <c r="E563" s="187"/>
      <c r="F563" s="480"/>
    </row>
    <row r="564" spans="1:6" thickBot="1">
      <c r="A564" s="196"/>
      <c r="B564" s="196"/>
      <c r="C564" s="187"/>
      <c r="D564" s="187"/>
      <c r="E564" s="187"/>
      <c r="F564" s="480"/>
    </row>
    <row r="565" spans="1:6" thickBot="1">
      <c r="A565" s="196"/>
      <c r="B565" s="196"/>
      <c r="C565" s="187"/>
      <c r="D565" s="187"/>
      <c r="E565" s="187"/>
      <c r="F565" s="480"/>
    </row>
    <row r="566" spans="1:6" thickBot="1">
      <c r="A566" s="196"/>
      <c r="B566" s="196"/>
      <c r="C566" s="187"/>
      <c r="D566" s="187"/>
      <c r="E566" s="187"/>
      <c r="F566" s="480"/>
    </row>
    <row r="567" spans="1:6" thickBot="1">
      <c r="A567" s="196"/>
      <c r="B567" s="196"/>
      <c r="C567" s="187"/>
      <c r="D567" s="187"/>
      <c r="E567" s="187"/>
      <c r="F567" s="480"/>
    </row>
    <row r="568" spans="1:6" thickBot="1">
      <c r="A568" s="196"/>
      <c r="B568" s="196"/>
      <c r="C568" s="187"/>
      <c r="D568" s="187"/>
      <c r="E568" s="187"/>
      <c r="F568" s="480"/>
    </row>
    <row r="569" spans="1:6" ht="18.75"/>
    <row r="570" spans="1:6" ht="18.75"/>
    <row r="571" spans="1:6" ht="18.75"/>
    <row r="572" spans="1:6" ht="18.75"/>
    <row r="573" spans="1:6" ht="18.75"/>
    <row r="574" spans="1:6" ht="18.75"/>
    <row r="575" spans="1:6" ht="18.75"/>
    <row r="576" spans="1:6" ht="18.75"/>
    <row r="577" ht="18.75"/>
    <row r="578" ht="18.75"/>
  </sheetData>
  <mergeCells count="10">
    <mergeCell ref="A3:F3"/>
    <mergeCell ref="A119:B119"/>
    <mergeCell ref="A217:B217"/>
    <mergeCell ref="A150:B150"/>
    <mergeCell ref="A151:B151"/>
    <mergeCell ref="A152:B152"/>
    <mergeCell ref="A153:B153"/>
    <mergeCell ref="A154:B154"/>
    <mergeCell ref="A155:B155"/>
    <mergeCell ref="A206:B20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  <rowBreaks count="3" manualBreakCount="3">
    <brk id="60" max="5" man="1"/>
    <brk id="117" max="5" man="1"/>
    <brk id="17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0"/>
  <sheetViews>
    <sheetView view="pageBreakPreview" zoomScale="89" zoomScaleSheetLayoutView="89" workbookViewId="0">
      <selection sqref="A1:XFD1"/>
    </sheetView>
  </sheetViews>
  <sheetFormatPr defaultRowHeight="15"/>
  <cols>
    <col min="1" max="1" width="46.7109375" customWidth="1"/>
    <col min="2" max="4" width="12" customWidth="1"/>
    <col min="5" max="5" width="12" style="437" customWidth="1"/>
    <col min="6" max="8" width="12" customWidth="1"/>
    <col min="9" max="9" width="12" style="437" customWidth="1"/>
    <col min="10" max="12" width="12" customWidth="1"/>
    <col min="13" max="13" width="12" style="437" customWidth="1"/>
    <col min="14" max="16" width="12" customWidth="1"/>
    <col min="17" max="17" width="12" style="437" customWidth="1"/>
    <col min="18" max="20" width="12" customWidth="1"/>
    <col min="21" max="21" width="12" style="437" customWidth="1"/>
    <col min="22" max="24" width="12" customWidth="1"/>
    <col min="25" max="25" width="12" style="437" customWidth="1"/>
    <col min="26" max="28" width="12" customWidth="1"/>
    <col min="29" max="29" width="12" style="437" customWidth="1"/>
    <col min="30" max="32" width="12" customWidth="1"/>
    <col min="33" max="33" width="12" style="437" customWidth="1"/>
    <col min="34" max="36" width="12" customWidth="1"/>
    <col min="37" max="37" width="12" style="437" customWidth="1"/>
    <col min="38" max="40" width="12" customWidth="1"/>
    <col min="41" max="41" width="12" style="437" customWidth="1"/>
    <col min="42" max="44" width="12" customWidth="1"/>
    <col min="45" max="45" width="12" style="437" customWidth="1"/>
    <col min="46" max="48" width="13" customWidth="1"/>
  </cols>
  <sheetData>
    <row r="1" spans="1:86" s="9" customFormat="1" ht="16.5" customHeight="1">
      <c r="A1" s="554" t="s">
        <v>415</v>
      </c>
      <c r="E1" s="430"/>
      <c r="I1" s="430"/>
      <c r="M1" s="430"/>
      <c r="Q1" s="430"/>
      <c r="U1" s="430"/>
      <c r="Y1" s="430" t="s">
        <v>339</v>
      </c>
      <c r="AC1" s="430"/>
      <c r="AG1" s="430"/>
      <c r="AK1" s="430"/>
      <c r="AO1" s="430"/>
      <c r="AS1" s="430" t="s">
        <v>340</v>
      </c>
    </row>
    <row r="2" spans="1:86" s="59" customFormat="1" ht="6.75" customHeight="1">
      <c r="A2" s="43"/>
      <c r="E2" s="431"/>
      <c r="I2" s="431"/>
      <c r="M2" s="431"/>
      <c r="Q2" s="431"/>
      <c r="U2" s="431"/>
      <c r="Y2" s="431"/>
      <c r="AC2" s="431"/>
      <c r="AG2" s="431"/>
      <c r="AK2" s="431"/>
      <c r="AO2" s="431"/>
      <c r="AS2" s="431"/>
    </row>
    <row r="3" spans="1:86" s="59" customFormat="1" ht="6.75" customHeight="1">
      <c r="A3" s="43"/>
      <c r="E3" s="431"/>
      <c r="I3" s="431"/>
      <c r="M3" s="431"/>
      <c r="Q3" s="431"/>
      <c r="U3" s="431"/>
      <c r="Y3" s="431"/>
      <c r="AC3" s="431"/>
      <c r="AG3" s="431"/>
      <c r="AK3" s="431"/>
      <c r="AO3" s="431"/>
      <c r="AS3" s="431"/>
    </row>
    <row r="4" spans="1:86" s="91" customFormat="1" ht="37.5" customHeight="1">
      <c r="A4" s="675" t="s">
        <v>405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 t="s">
        <v>405</v>
      </c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</row>
    <row r="5" spans="1:86" ht="15.75">
      <c r="A5" s="67"/>
      <c r="B5" s="67"/>
      <c r="C5" s="382"/>
      <c r="D5" s="410"/>
      <c r="E5" s="432"/>
      <c r="F5" s="67"/>
      <c r="G5" s="382"/>
      <c r="H5" s="410"/>
      <c r="I5" s="432"/>
      <c r="J5" s="67"/>
      <c r="K5" s="382"/>
      <c r="L5" s="410"/>
      <c r="M5" s="432"/>
      <c r="N5" s="67"/>
      <c r="O5" s="382"/>
      <c r="P5" s="410"/>
      <c r="Q5" s="432"/>
      <c r="R5" s="67"/>
      <c r="S5" s="382"/>
      <c r="T5" s="410"/>
      <c r="U5" s="432"/>
      <c r="V5" s="67"/>
      <c r="W5" s="382"/>
      <c r="X5" s="410"/>
      <c r="Y5" s="432"/>
      <c r="Z5" s="67"/>
      <c r="AA5" s="382"/>
      <c r="AB5" s="410"/>
      <c r="AC5" s="432"/>
      <c r="AD5" s="67"/>
      <c r="AE5" s="382"/>
      <c r="AF5" s="410"/>
      <c r="AG5" s="432"/>
      <c r="AH5" s="410"/>
      <c r="AI5" s="410"/>
      <c r="AJ5" s="410"/>
      <c r="AK5" s="432"/>
      <c r="AL5" s="67"/>
      <c r="AM5" s="382"/>
      <c r="AN5" s="410"/>
      <c r="AO5" s="432"/>
      <c r="AP5" s="67"/>
      <c r="AQ5" s="382"/>
      <c r="AR5" s="410"/>
      <c r="AS5" s="432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1:86" ht="16.5" thickBot="1">
      <c r="A6" s="67"/>
      <c r="B6" s="67"/>
      <c r="C6" s="382"/>
      <c r="D6" s="410"/>
      <c r="E6" s="432"/>
      <c r="F6" s="67"/>
      <c r="G6" s="382"/>
      <c r="H6" s="410"/>
      <c r="I6" s="432"/>
      <c r="J6" s="67"/>
      <c r="K6" s="382"/>
      <c r="L6" s="410"/>
      <c r="M6" s="432"/>
      <c r="N6" s="67"/>
      <c r="O6" s="382"/>
      <c r="P6" s="410"/>
      <c r="Q6" s="432"/>
      <c r="R6" s="67"/>
      <c r="S6" s="382"/>
      <c r="T6" s="410"/>
      <c r="U6" s="432"/>
      <c r="V6" s="67"/>
      <c r="W6" s="382"/>
      <c r="X6" s="410"/>
      <c r="Y6" s="432"/>
      <c r="Z6" s="67"/>
      <c r="AA6" s="382"/>
      <c r="AB6" s="410"/>
      <c r="AC6" s="432"/>
      <c r="AD6" s="67"/>
      <c r="AE6" s="382"/>
      <c r="AF6" s="410"/>
      <c r="AG6" s="432"/>
      <c r="AH6" s="410"/>
      <c r="AI6" s="410"/>
      <c r="AJ6" s="410"/>
      <c r="AK6" s="432"/>
      <c r="AL6" s="664"/>
      <c r="AM6" s="664"/>
      <c r="AN6" s="664"/>
      <c r="AO6" s="664"/>
      <c r="AP6" s="664"/>
      <c r="AQ6" s="386"/>
      <c r="AR6" s="413"/>
      <c r="AS6" s="439" t="s">
        <v>0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86" s="337" customFormat="1" ht="13.5" customHeight="1" thickBot="1">
      <c r="A7" s="643" t="s">
        <v>248</v>
      </c>
      <c r="B7" s="649" t="s">
        <v>102</v>
      </c>
      <c r="C7" s="650"/>
      <c r="D7" s="650"/>
      <c r="E7" s="651"/>
      <c r="F7" s="649" t="s">
        <v>103</v>
      </c>
      <c r="G7" s="650"/>
      <c r="H7" s="650"/>
      <c r="I7" s="651"/>
      <c r="J7" s="649" t="s">
        <v>104</v>
      </c>
      <c r="K7" s="650"/>
      <c r="L7" s="650"/>
      <c r="M7" s="651"/>
      <c r="N7" s="649" t="s">
        <v>105</v>
      </c>
      <c r="O7" s="650"/>
      <c r="P7" s="650"/>
      <c r="Q7" s="651"/>
      <c r="R7" s="649" t="s">
        <v>106</v>
      </c>
      <c r="S7" s="650"/>
      <c r="T7" s="650"/>
      <c r="U7" s="651"/>
      <c r="V7" s="649" t="s">
        <v>107</v>
      </c>
      <c r="W7" s="650"/>
      <c r="X7" s="650"/>
      <c r="Y7" s="651"/>
      <c r="Z7" s="649" t="s">
        <v>108</v>
      </c>
      <c r="AA7" s="650"/>
      <c r="AB7" s="650"/>
      <c r="AC7" s="651"/>
      <c r="AD7" s="649" t="s">
        <v>109</v>
      </c>
      <c r="AE7" s="650"/>
      <c r="AF7" s="650"/>
      <c r="AG7" s="651"/>
      <c r="AH7" s="647">
        <v>3</v>
      </c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353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</row>
    <row r="8" spans="1:86" s="339" customFormat="1" ht="29.25" customHeight="1" thickBot="1">
      <c r="A8" s="644"/>
      <c r="B8" s="652" t="s">
        <v>68</v>
      </c>
      <c r="C8" s="653"/>
      <c r="D8" s="653"/>
      <c r="E8" s="654"/>
      <c r="F8" s="652" t="s">
        <v>69</v>
      </c>
      <c r="G8" s="653"/>
      <c r="H8" s="653"/>
      <c r="I8" s="654"/>
      <c r="J8" s="652" t="s">
        <v>70</v>
      </c>
      <c r="K8" s="653"/>
      <c r="L8" s="653"/>
      <c r="M8" s="654"/>
      <c r="N8" s="652" t="s">
        <v>88</v>
      </c>
      <c r="O8" s="653"/>
      <c r="P8" s="653"/>
      <c r="Q8" s="654"/>
      <c r="R8" s="652" t="s">
        <v>71</v>
      </c>
      <c r="S8" s="653"/>
      <c r="T8" s="653"/>
      <c r="U8" s="654"/>
      <c r="V8" s="652" t="s">
        <v>73</v>
      </c>
      <c r="W8" s="653"/>
      <c r="X8" s="653"/>
      <c r="Y8" s="654"/>
      <c r="Z8" s="652" t="s">
        <v>72</v>
      </c>
      <c r="AA8" s="653"/>
      <c r="AB8" s="653"/>
      <c r="AC8" s="654"/>
      <c r="AD8" s="652" t="s">
        <v>74</v>
      </c>
      <c r="AE8" s="653"/>
      <c r="AF8" s="653"/>
      <c r="AG8" s="654"/>
      <c r="AH8" s="648" t="s">
        <v>77</v>
      </c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354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</row>
    <row r="9" spans="1:86" s="339" customFormat="1" ht="12.75" hidden="1" customHeight="1" thickBot="1">
      <c r="A9" s="644"/>
      <c r="B9" s="677"/>
      <c r="C9" s="678"/>
      <c r="D9" s="678"/>
      <c r="E9" s="679"/>
      <c r="F9" s="677"/>
      <c r="G9" s="678"/>
      <c r="H9" s="678"/>
      <c r="I9" s="679"/>
      <c r="J9" s="677"/>
      <c r="K9" s="678"/>
      <c r="L9" s="678"/>
      <c r="M9" s="679"/>
      <c r="N9" s="677"/>
      <c r="O9" s="678"/>
      <c r="P9" s="678"/>
      <c r="Q9" s="679"/>
      <c r="R9" s="677"/>
      <c r="S9" s="678"/>
      <c r="T9" s="678"/>
      <c r="U9" s="679"/>
      <c r="V9" s="677"/>
      <c r="W9" s="678"/>
      <c r="X9" s="678"/>
      <c r="Y9" s="679"/>
      <c r="Z9" s="677"/>
      <c r="AA9" s="678"/>
      <c r="AB9" s="678"/>
      <c r="AC9" s="679"/>
      <c r="AD9" s="677"/>
      <c r="AE9" s="678"/>
      <c r="AF9" s="678"/>
      <c r="AG9" s="679"/>
      <c r="AH9" s="648"/>
      <c r="AI9" s="648"/>
      <c r="AJ9" s="648"/>
      <c r="AK9" s="648"/>
      <c r="AL9" s="648"/>
      <c r="AM9" s="648"/>
      <c r="AN9" s="648"/>
      <c r="AO9" s="648"/>
      <c r="AP9" s="648"/>
      <c r="AQ9" s="648"/>
      <c r="AR9" s="648"/>
      <c r="AS9" s="648"/>
      <c r="AT9" s="354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</row>
    <row r="10" spans="1:86" s="339" customFormat="1" ht="24.75" customHeight="1" thickBot="1">
      <c r="A10" s="644"/>
      <c r="B10" s="655"/>
      <c r="C10" s="656"/>
      <c r="D10" s="656"/>
      <c r="E10" s="657"/>
      <c r="F10" s="655"/>
      <c r="G10" s="656"/>
      <c r="H10" s="656"/>
      <c r="I10" s="657"/>
      <c r="J10" s="655"/>
      <c r="K10" s="656"/>
      <c r="L10" s="656"/>
      <c r="M10" s="657"/>
      <c r="N10" s="655"/>
      <c r="O10" s="656"/>
      <c r="P10" s="656"/>
      <c r="Q10" s="657"/>
      <c r="R10" s="655"/>
      <c r="S10" s="656"/>
      <c r="T10" s="656"/>
      <c r="U10" s="657"/>
      <c r="V10" s="655"/>
      <c r="W10" s="656"/>
      <c r="X10" s="656"/>
      <c r="Y10" s="657"/>
      <c r="Z10" s="655"/>
      <c r="AA10" s="656"/>
      <c r="AB10" s="656"/>
      <c r="AC10" s="657"/>
      <c r="AD10" s="655"/>
      <c r="AE10" s="656"/>
      <c r="AF10" s="656"/>
      <c r="AG10" s="657"/>
      <c r="AH10" s="648" t="s">
        <v>111</v>
      </c>
      <c r="AI10" s="648"/>
      <c r="AJ10" s="648"/>
      <c r="AK10" s="648"/>
      <c r="AL10" s="648" t="s">
        <v>112</v>
      </c>
      <c r="AM10" s="648"/>
      <c r="AN10" s="648"/>
      <c r="AO10" s="648"/>
      <c r="AP10" s="648" t="s">
        <v>77</v>
      </c>
      <c r="AQ10" s="648"/>
      <c r="AR10" s="648"/>
      <c r="AS10" s="648"/>
      <c r="AT10" s="354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</row>
    <row r="11" spans="1:86" s="339" customFormat="1" ht="38.25" customHeight="1" thickBot="1">
      <c r="A11" s="645"/>
      <c r="B11" s="383" t="s">
        <v>113</v>
      </c>
      <c r="C11" s="383" t="s">
        <v>338</v>
      </c>
      <c r="D11" s="411" t="s">
        <v>363</v>
      </c>
      <c r="E11" s="433" t="s">
        <v>362</v>
      </c>
      <c r="F11" s="383" t="s">
        <v>113</v>
      </c>
      <c r="G11" s="383" t="s">
        <v>338</v>
      </c>
      <c r="H11" s="411" t="s">
        <v>363</v>
      </c>
      <c r="I11" s="433" t="s">
        <v>362</v>
      </c>
      <c r="J11" s="383" t="s">
        <v>113</v>
      </c>
      <c r="K11" s="383" t="s">
        <v>338</v>
      </c>
      <c r="L11" s="411" t="s">
        <v>363</v>
      </c>
      <c r="M11" s="433" t="s">
        <v>362</v>
      </c>
      <c r="N11" s="383" t="s">
        <v>113</v>
      </c>
      <c r="O11" s="383" t="s">
        <v>338</v>
      </c>
      <c r="P11" s="411" t="s">
        <v>363</v>
      </c>
      <c r="Q11" s="433" t="s">
        <v>362</v>
      </c>
      <c r="R11" s="383" t="s">
        <v>113</v>
      </c>
      <c r="S11" s="383" t="s">
        <v>338</v>
      </c>
      <c r="T11" s="411" t="s">
        <v>363</v>
      </c>
      <c r="U11" s="433" t="s">
        <v>362</v>
      </c>
      <c r="V11" s="383" t="s">
        <v>113</v>
      </c>
      <c r="W11" s="383" t="s">
        <v>338</v>
      </c>
      <c r="X11" s="411" t="s">
        <v>363</v>
      </c>
      <c r="Y11" s="433" t="s">
        <v>362</v>
      </c>
      <c r="Z11" s="383" t="s">
        <v>113</v>
      </c>
      <c r="AA11" s="383" t="s">
        <v>338</v>
      </c>
      <c r="AB11" s="411" t="s">
        <v>363</v>
      </c>
      <c r="AC11" s="433" t="s">
        <v>362</v>
      </c>
      <c r="AD11" s="383" t="s">
        <v>113</v>
      </c>
      <c r="AE11" s="383" t="s">
        <v>338</v>
      </c>
      <c r="AF11" s="411" t="s">
        <v>363</v>
      </c>
      <c r="AG11" s="433" t="s">
        <v>362</v>
      </c>
      <c r="AH11" s="411" t="s">
        <v>113</v>
      </c>
      <c r="AI11" s="411" t="s">
        <v>338</v>
      </c>
      <c r="AJ11" s="411" t="s">
        <v>363</v>
      </c>
      <c r="AK11" s="433" t="s">
        <v>362</v>
      </c>
      <c r="AL11" s="383" t="s">
        <v>113</v>
      </c>
      <c r="AM11" s="383" t="s">
        <v>338</v>
      </c>
      <c r="AN11" s="411" t="s">
        <v>363</v>
      </c>
      <c r="AO11" s="433" t="s">
        <v>362</v>
      </c>
      <c r="AP11" s="383" t="s">
        <v>113</v>
      </c>
      <c r="AQ11" s="383" t="s">
        <v>338</v>
      </c>
      <c r="AR11" s="411" t="s">
        <v>363</v>
      </c>
      <c r="AS11" s="433" t="s">
        <v>362</v>
      </c>
      <c r="AT11" s="354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</row>
    <row r="12" spans="1:86" s="72" customFormat="1" ht="39.950000000000003" customHeight="1">
      <c r="A12" s="68" t="s">
        <v>78</v>
      </c>
      <c r="B12" s="69"/>
      <c r="C12" s="69"/>
      <c r="D12" s="69"/>
      <c r="E12" s="434"/>
      <c r="F12" s="69"/>
      <c r="G12" s="69"/>
      <c r="H12" s="69"/>
      <c r="I12" s="434"/>
      <c r="J12" s="69"/>
      <c r="K12" s="69"/>
      <c r="L12" s="69"/>
      <c r="M12" s="434"/>
      <c r="N12" s="69"/>
      <c r="O12" s="69"/>
      <c r="P12" s="69"/>
      <c r="Q12" s="434"/>
      <c r="R12" s="69"/>
      <c r="S12" s="69"/>
      <c r="T12" s="69"/>
      <c r="U12" s="434"/>
      <c r="V12" s="69"/>
      <c r="W12" s="69"/>
      <c r="X12" s="69"/>
      <c r="Y12" s="434"/>
      <c r="Z12" s="69"/>
      <c r="AA12" s="69"/>
      <c r="AB12" s="69"/>
      <c r="AC12" s="434"/>
      <c r="AD12" s="69"/>
      <c r="AE12" s="69"/>
      <c r="AF12" s="69"/>
      <c r="AG12" s="434"/>
      <c r="AH12" s="69"/>
      <c r="AI12" s="69"/>
      <c r="AJ12" s="69"/>
      <c r="AK12" s="434"/>
      <c r="AL12" s="69"/>
      <c r="AM12" s="69"/>
      <c r="AN12" s="69"/>
      <c r="AO12" s="434"/>
      <c r="AP12" s="69"/>
      <c r="AQ12" s="69"/>
      <c r="AR12" s="69"/>
      <c r="AS12" s="434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</row>
    <row r="13" spans="1:86" s="72" customFormat="1" ht="39.950000000000003" customHeight="1">
      <c r="A13" s="73" t="s">
        <v>114</v>
      </c>
      <c r="B13" s="74">
        <v>315228</v>
      </c>
      <c r="C13" s="74">
        <v>330295</v>
      </c>
      <c r="D13" s="74">
        <v>256255</v>
      </c>
      <c r="E13" s="419">
        <f>D13/C13</f>
        <v>0.77583675199442925</v>
      </c>
      <c r="F13" s="74">
        <v>84836</v>
      </c>
      <c r="G13" s="74">
        <v>89826</v>
      </c>
      <c r="H13" s="74">
        <v>72005</v>
      </c>
      <c r="I13" s="419">
        <f>H13/G13</f>
        <v>0.80160532585220312</v>
      </c>
      <c r="J13" s="74">
        <f>126477-2700</f>
        <v>123777</v>
      </c>
      <c r="K13" s="74">
        <v>127914</v>
      </c>
      <c r="L13" s="74">
        <v>74254</v>
      </c>
      <c r="M13" s="419">
        <f>L13/K13</f>
        <v>0.5804993980330535</v>
      </c>
      <c r="N13" s="84"/>
      <c r="O13" s="84"/>
      <c r="P13" s="74"/>
      <c r="Q13" s="419"/>
      <c r="R13" s="74">
        <v>2700</v>
      </c>
      <c r="S13" s="74">
        <f>R13+4829</f>
        <v>7529</v>
      </c>
      <c r="T13" s="74">
        <v>4871</v>
      </c>
      <c r="U13" s="419">
        <f>T13/S13</f>
        <v>0.64696506840217827</v>
      </c>
      <c r="V13" s="74"/>
      <c r="W13" s="74">
        <v>646</v>
      </c>
      <c r="X13" s="74">
        <v>644</v>
      </c>
      <c r="Y13" s="419">
        <f>X13/W13</f>
        <v>0.99690402476780182</v>
      </c>
      <c r="Z13" s="74"/>
      <c r="AA13" s="74">
        <v>470</v>
      </c>
      <c r="AB13" s="74">
        <v>470</v>
      </c>
      <c r="AC13" s="419">
        <v>0</v>
      </c>
      <c r="AD13" s="74"/>
      <c r="AE13" s="74"/>
      <c r="AF13" s="74"/>
      <c r="AG13" s="419"/>
      <c r="AH13" s="74">
        <f t="shared" ref="AH13:AJ14" si="0">SUM(B13+F13+J13+N13+R13)</f>
        <v>526541</v>
      </c>
      <c r="AI13" s="74">
        <f t="shared" si="0"/>
        <v>555564</v>
      </c>
      <c r="AJ13" s="74">
        <f t="shared" si="0"/>
        <v>407385</v>
      </c>
      <c r="AK13" s="419">
        <f>AJ13/AI13</f>
        <v>0.73328185411581748</v>
      </c>
      <c r="AL13" s="74">
        <f t="shared" ref="AL13:AN14" si="1">SUM(V13+Z13+AD13)</f>
        <v>0</v>
      </c>
      <c r="AM13" s="74">
        <f t="shared" si="1"/>
        <v>1116</v>
      </c>
      <c r="AN13" s="74">
        <f t="shared" si="1"/>
        <v>1114</v>
      </c>
      <c r="AO13" s="419">
        <f>AN13/AM13</f>
        <v>0.99820788530465954</v>
      </c>
      <c r="AP13" s="74">
        <f t="shared" ref="AP13:AR14" si="2">SUM(AH13+AL13)</f>
        <v>526541</v>
      </c>
      <c r="AQ13" s="74">
        <f t="shared" si="2"/>
        <v>556680</v>
      </c>
      <c r="AR13" s="74">
        <f t="shared" si="2"/>
        <v>408499</v>
      </c>
      <c r="AS13" s="419">
        <f>AR13/AQ13</f>
        <v>0.73381296256377093</v>
      </c>
      <c r="AT13" s="93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</row>
    <row r="14" spans="1:86" s="72" customFormat="1" ht="39.950000000000003" customHeight="1" thickBot="1">
      <c r="A14" s="77" t="s">
        <v>139</v>
      </c>
      <c r="B14" s="78"/>
      <c r="C14" s="78"/>
      <c r="D14" s="78"/>
      <c r="E14" s="420"/>
      <c r="F14" s="78"/>
      <c r="G14" s="78"/>
      <c r="H14" s="78"/>
      <c r="I14" s="420"/>
      <c r="J14" s="78"/>
      <c r="K14" s="78"/>
      <c r="L14" s="78"/>
      <c r="M14" s="420"/>
      <c r="N14" s="78"/>
      <c r="O14" s="78"/>
      <c r="P14" s="78"/>
      <c r="Q14" s="420"/>
      <c r="R14" s="78"/>
      <c r="S14" s="78"/>
      <c r="T14" s="78"/>
      <c r="U14" s="420"/>
      <c r="V14" s="78"/>
      <c r="W14" s="78"/>
      <c r="X14" s="78"/>
      <c r="Y14" s="420"/>
      <c r="Z14" s="78"/>
      <c r="AA14" s="78"/>
      <c r="AB14" s="78"/>
      <c r="AC14" s="420"/>
      <c r="AD14" s="78"/>
      <c r="AE14" s="78"/>
      <c r="AF14" s="78"/>
      <c r="AG14" s="420"/>
      <c r="AH14" s="74">
        <f t="shared" si="0"/>
        <v>0</v>
      </c>
      <c r="AI14" s="74">
        <f t="shared" si="0"/>
        <v>0</v>
      </c>
      <c r="AJ14" s="74">
        <f t="shared" si="0"/>
        <v>0</v>
      </c>
      <c r="AK14" s="420"/>
      <c r="AL14" s="74">
        <f t="shared" si="1"/>
        <v>0</v>
      </c>
      <c r="AM14" s="74">
        <f t="shared" si="1"/>
        <v>0</v>
      </c>
      <c r="AN14" s="74">
        <f t="shared" si="1"/>
        <v>0</v>
      </c>
      <c r="AO14" s="420"/>
      <c r="AP14" s="74">
        <f t="shared" si="2"/>
        <v>0</v>
      </c>
      <c r="AQ14" s="74">
        <f t="shared" si="2"/>
        <v>0</v>
      </c>
      <c r="AR14" s="74">
        <f t="shared" si="2"/>
        <v>0</v>
      </c>
      <c r="AS14" s="420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</row>
    <row r="15" spans="1:86" s="360" customFormat="1" ht="39.950000000000003" customHeight="1" thickBot="1">
      <c r="A15" s="362" t="s">
        <v>251</v>
      </c>
      <c r="B15" s="363">
        <f>B13+B14</f>
        <v>315228</v>
      </c>
      <c r="C15" s="363">
        <f>C13+C14</f>
        <v>330295</v>
      </c>
      <c r="D15" s="363">
        <f>D13+D14</f>
        <v>256255</v>
      </c>
      <c r="E15" s="435">
        <f>D15/C15</f>
        <v>0.77583675199442925</v>
      </c>
      <c r="F15" s="363">
        <f t="shared" ref="F15:AL15" si="3">F13+F14</f>
        <v>84836</v>
      </c>
      <c r="G15" s="363">
        <f t="shared" ref="G15" si="4">G13+G14</f>
        <v>89826</v>
      </c>
      <c r="H15" s="363">
        <f>H13+H14</f>
        <v>72005</v>
      </c>
      <c r="I15" s="435">
        <f>H15/G15</f>
        <v>0.80160532585220312</v>
      </c>
      <c r="J15" s="363">
        <f t="shared" si="3"/>
        <v>123777</v>
      </c>
      <c r="K15" s="363">
        <f t="shared" ref="K15" si="5">K13+K14</f>
        <v>127914</v>
      </c>
      <c r="L15" s="363">
        <f>L13+L14</f>
        <v>74254</v>
      </c>
      <c r="M15" s="435">
        <f>L15/K15</f>
        <v>0.5804993980330535</v>
      </c>
      <c r="N15" s="363">
        <f t="shared" si="3"/>
        <v>0</v>
      </c>
      <c r="O15" s="363">
        <f t="shared" ref="O15" si="6">O13+O14</f>
        <v>0</v>
      </c>
      <c r="P15" s="363">
        <f>P13+P14</f>
        <v>0</v>
      </c>
      <c r="Q15" s="435">
        <v>0</v>
      </c>
      <c r="R15" s="363">
        <f t="shared" si="3"/>
        <v>2700</v>
      </c>
      <c r="S15" s="363">
        <f t="shared" ref="S15" si="7">S13+S14</f>
        <v>7529</v>
      </c>
      <c r="T15" s="363">
        <f>T13+T14</f>
        <v>4871</v>
      </c>
      <c r="U15" s="435">
        <f>T15/S15</f>
        <v>0.64696506840217827</v>
      </c>
      <c r="V15" s="363">
        <f t="shared" si="3"/>
        <v>0</v>
      </c>
      <c r="W15" s="363">
        <f t="shared" ref="W15" si="8">W13+W14</f>
        <v>646</v>
      </c>
      <c r="X15" s="363">
        <f>X13+X14</f>
        <v>644</v>
      </c>
      <c r="Y15" s="435">
        <f>X15/W15</f>
        <v>0.99690402476780182</v>
      </c>
      <c r="Z15" s="363">
        <f t="shared" si="3"/>
        <v>0</v>
      </c>
      <c r="AA15" s="363">
        <f t="shared" ref="AA15" si="9">AA13+AA14</f>
        <v>470</v>
      </c>
      <c r="AB15" s="363">
        <f>AB13+AB14</f>
        <v>470</v>
      </c>
      <c r="AC15" s="435">
        <v>0</v>
      </c>
      <c r="AD15" s="363">
        <f t="shared" si="3"/>
        <v>0</v>
      </c>
      <c r="AE15" s="363">
        <f t="shared" ref="AE15" si="10">AE13+AE14</f>
        <v>0</v>
      </c>
      <c r="AF15" s="363">
        <f>AF13+AF14</f>
        <v>0</v>
      </c>
      <c r="AG15" s="435">
        <v>0</v>
      </c>
      <c r="AH15" s="363">
        <f t="shared" si="3"/>
        <v>526541</v>
      </c>
      <c r="AI15" s="363">
        <f t="shared" ref="AI15:AJ15" si="11">AI13+AI14</f>
        <v>555564</v>
      </c>
      <c r="AJ15" s="363">
        <f t="shared" si="11"/>
        <v>407385</v>
      </c>
      <c r="AK15" s="435">
        <f>AJ15/AI15</f>
        <v>0.73328185411581748</v>
      </c>
      <c r="AL15" s="363">
        <f t="shared" si="3"/>
        <v>0</v>
      </c>
      <c r="AM15" s="363">
        <f t="shared" ref="AM15:AN15" si="12">AM13+AM14</f>
        <v>1116</v>
      </c>
      <c r="AN15" s="363">
        <f t="shared" si="12"/>
        <v>1114</v>
      </c>
      <c r="AO15" s="435">
        <f>AN15/AM15</f>
        <v>0.99820788530465954</v>
      </c>
      <c r="AP15" s="363">
        <f>AP13+AP14</f>
        <v>526541</v>
      </c>
      <c r="AQ15" s="363">
        <f>AQ13+AQ14</f>
        <v>556680</v>
      </c>
      <c r="AR15" s="363">
        <f>AR13+AR14</f>
        <v>408499</v>
      </c>
      <c r="AS15" s="435">
        <f>AR15/AQ15</f>
        <v>0.73381296256377093</v>
      </c>
      <c r="AT15" s="93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</row>
    <row r="16" spans="1:86" s="72" customFormat="1" ht="39.950000000000003" customHeight="1">
      <c r="A16" s="68" t="s">
        <v>268</v>
      </c>
      <c r="B16" s="79"/>
      <c r="C16" s="79"/>
      <c r="D16" s="79"/>
      <c r="E16" s="422"/>
      <c r="F16" s="79"/>
      <c r="G16" s="79"/>
      <c r="H16" s="79"/>
      <c r="I16" s="422"/>
      <c r="J16" s="79"/>
      <c r="K16" s="79"/>
      <c r="L16" s="79"/>
      <c r="M16" s="422"/>
      <c r="N16" s="79"/>
      <c r="O16" s="79"/>
      <c r="P16" s="79"/>
      <c r="Q16" s="422"/>
      <c r="R16" s="79"/>
      <c r="S16" s="79"/>
      <c r="T16" s="79"/>
      <c r="U16" s="422"/>
      <c r="V16" s="79"/>
      <c r="W16" s="79"/>
      <c r="X16" s="79"/>
      <c r="Y16" s="422"/>
      <c r="Z16" s="79"/>
      <c r="AA16" s="79"/>
      <c r="AB16" s="79"/>
      <c r="AC16" s="422"/>
      <c r="AD16" s="79"/>
      <c r="AE16" s="79"/>
      <c r="AF16" s="79"/>
      <c r="AG16" s="422"/>
      <c r="AH16" s="79"/>
      <c r="AI16" s="79"/>
      <c r="AJ16" s="79"/>
      <c r="AK16" s="422"/>
      <c r="AL16" s="79"/>
      <c r="AM16" s="79"/>
      <c r="AN16" s="79"/>
      <c r="AO16" s="422"/>
      <c r="AP16" s="79"/>
      <c r="AQ16" s="79"/>
      <c r="AR16" s="79"/>
      <c r="AS16" s="422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</row>
    <row r="17" spans="1:86" s="87" customFormat="1" ht="39.950000000000003" customHeight="1">
      <c r="A17" s="94" t="s">
        <v>114</v>
      </c>
      <c r="B17" s="84">
        <v>65608</v>
      </c>
      <c r="C17" s="84">
        <v>71136</v>
      </c>
      <c r="D17" s="74">
        <v>56617</v>
      </c>
      <c r="E17" s="419">
        <f>D17/C17</f>
        <v>0.79589799820062979</v>
      </c>
      <c r="F17" s="84">
        <v>16316</v>
      </c>
      <c r="G17" s="84">
        <v>20278</v>
      </c>
      <c r="H17" s="74">
        <v>18104</v>
      </c>
      <c r="I17" s="419">
        <f>H17/G17</f>
        <v>0.89279021599763286</v>
      </c>
      <c r="J17" s="84">
        <v>42889</v>
      </c>
      <c r="K17" s="84">
        <v>70138</v>
      </c>
      <c r="L17" s="74">
        <v>52673</v>
      </c>
      <c r="M17" s="419">
        <f>L17/K17</f>
        <v>0.75099090364709575</v>
      </c>
      <c r="N17" s="84"/>
      <c r="O17" s="84"/>
      <c r="P17" s="74"/>
      <c r="Q17" s="419"/>
      <c r="R17" s="84"/>
      <c r="S17" s="84"/>
      <c r="T17" s="74"/>
      <c r="U17" s="419"/>
      <c r="V17" s="84"/>
      <c r="W17" s="84">
        <v>469</v>
      </c>
      <c r="X17" s="74">
        <v>680</v>
      </c>
      <c r="Y17" s="419">
        <v>0</v>
      </c>
      <c r="Z17" s="84"/>
      <c r="AA17" s="84"/>
      <c r="AB17" s="74"/>
      <c r="AC17" s="419"/>
      <c r="AD17" s="84"/>
      <c r="AE17" s="84"/>
      <c r="AF17" s="74"/>
      <c r="AG17" s="419"/>
      <c r="AH17" s="74">
        <f t="shared" ref="AH17:AH18" si="13">SUM(B17+F17+J17+N17+R17)</f>
        <v>124813</v>
      </c>
      <c r="AI17" s="74">
        <f>SUM(C17+G17+K17+O17+S17)</f>
        <v>161552</v>
      </c>
      <c r="AJ17" s="74">
        <f>SUM(D17+H17+L17+P17+T17)</f>
        <v>127394</v>
      </c>
      <c r="AK17" s="419">
        <f>AJ17/AI17</f>
        <v>0.78856343468356938</v>
      </c>
      <c r="AL17" s="74">
        <f t="shared" ref="AL17:AN18" si="14">SUM(V17+Z17+AD17)</f>
        <v>0</v>
      </c>
      <c r="AM17" s="74">
        <f t="shared" si="14"/>
        <v>469</v>
      </c>
      <c r="AN17" s="74">
        <f t="shared" si="14"/>
        <v>680</v>
      </c>
      <c r="AO17" s="419">
        <v>0</v>
      </c>
      <c r="AP17" s="74">
        <f>SUM(AH17+AL17)</f>
        <v>124813</v>
      </c>
      <c r="AQ17" s="74">
        <f t="shared" ref="AQ17:AR18" si="15">SUM(AI17+AM17)</f>
        <v>162021</v>
      </c>
      <c r="AR17" s="74">
        <f>SUM(AJ17+AN17)</f>
        <v>128074</v>
      </c>
      <c r="AS17" s="419">
        <f>AR17/AQ17</f>
        <v>0.79047777757204318</v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</row>
    <row r="18" spans="1:86" s="87" customFormat="1" ht="39.950000000000003" customHeight="1" thickBot="1">
      <c r="A18" s="82" t="s">
        <v>139</v>
      </c>
      <c r="B18" s="83">
        <v>2737</v>
      </c>
      <c r="C18" s="83">
        <v>2737</v>
      </c>
      <c r="D18" s="78"/>
      <c r="E18" s="420"/>
      <c r="F18" s="83">
        <v>740</v>
      </c>
      <c r="G18" s="83">
        <v>740</v>
      </c>
      <c r="H18" s="78"/>
      <c r="I18" s="420"/>
      <c r="J18" s="83">
        <f>12850-11311</f>
        <v>1539</v>
      </c>
      <c r="K18" s="83">
        <f>12850-11311</f>
        <v>1539</v>
      </c>
      <c r="L18" s="78"/>
      <c r="M18" s="420"/>
      <c r="N18" s="83"/>
      <c r="O18" s="83"/>
      <c r="P18" s="78"/>
      <c r="Q18" s="420"/>
      <c r="R18" s="83">
        <v>11311</v>
      </c>
      <c r="S18" s="83">
        <f>R18+2748</f>
        <v>14059</v>
      </c>
      <c r="T18" s="78">
        <v>2947</v>
      </c>
      <c r="U18" s="420"/>
      <c r="V18" s="83"/>
      <c r="W18" s="83"/>
      <c r="X18" s="78"/>
      <c r="Y18" s="420"/>
      <c r="Z18" s="83"/>
      <c r="AA18" s="83"/>
      <c r="AB18" s="78"/>
      <c r="AC18" s="420"/>
      <c r="AD18" s="83"/>
      <c r="AE18" s="83"/>
      <c r="AF18" s="78"/>
      <c r="AG18" s="420"/>
      <c r="AH18" s="74">
        <f t="shared" si="13"/>
        <v>16327</v>
      </c>
      <c r="AI18" s="74">
        <f>SUM(C18+G18+K18+O18+S18)</f>
        <v>19075</v>
      </c>
      <c r="AJ18" s="74">
        <f>SUM(D18+H18+L18+P18+T18)</f>
        <v>2947</v>
      </c>
      <c r="AK18" s="419">
        <f>AJ18/AI18</f>
        <v>0.1544954128440367</v>
      </c>
      <c r="AL18" s="74">
        <f t="shared" si="14"/>
        <v>0</v>
      </c>
      <c r="AM18" s="74">
        <f t="shared" si="14"/>
        <v>0</v>
      </c>
      <c r="AN18" s="74">
        <f t="shared" si="14"/>
        <v>0</v>
      </c>
      <c r="AO18" s="420">
        <v>0</v>
      </c>
      <c r="AP18" s="74">
        <f>SUM(AH18+AL18)</f>
        <v>16327</v>
      </c>
      <c r="AQ18" s="74">
        <f t="shared" si="15"/>
        <v>19075</v>
      </c>
      <c r="AR18" s="74">
        <f t="shared" si="15"/>
        <v>2947</v>
      </c>
      <c r="AS18" s="419">
        <f>AR18/AQ18</f>
        <v>0.1544954128440367</v>
      </c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</row>
    <row r="19" spans="1:86" s="360" customFormat="1" ht="39.950000000000003" customHeight="1" thickBot="1">
      <c r="A19" s="362" t="s">
        <v>253</v>
      </c>
      <c r="B19" s="363">
        <f>B17+B18</f>
        <v>68345</v>
      </c>
      <c r="C19" s="363">
        <f>C17+C18</f>
        <v>73873</v>
      </c>
      <c r="D19" s="363">
        <f>D17+D18</f>
        <v>56617</v>
      </c>
      <c r="E19" s="435">
        <f>D19/C19</f>
        <v>0.76640991972709926</v>
      </c>
      <c r="F19" s="363">
        <f t="shared" ref="F19:AP19" si="16">F17+F18</f>
        <v>17056</v>
      </c>
      <c r="G19" s="363">
        <f t="shared" ref="G19" si="17">G17+G18</f>
        <v>21018</v>
      </c>
      <c r="H19" s="363">
        <f>H17+H18</f>
        <v>18104</v>
      </c>
      <c r="I19" s="435">
        <f>H19/G19</f>
        <v>0.86135693215339237</v>
      </c>
      <c r="J19" s="363">
        <f t="shared" si="16"/>
        <v>44428</v>
      </c>
      <c r="K19" s="363">
        <f t="shared" ref="K19" si="18">K17+K18</f>
        <v>71677</v>
      </c>
      <c r="L19" s="363">
        <f>L17+L18</f>
        <v>52673</v>
      </c>
      <c r="M19" s="435">
        <f>L19/K19</f>
        <v>0.73486613558045122</v>
      </c>
      <c r="N19" s="363">
        <f t="shared" si="16"/>
        <v>0</v>
      </c>
      <c r="O19" s="363">
        <f t="shared" ref="O19" si="19">O17+O18</f>
        <v>0</v>
      </c>
      <c r="P19" s="363">
        <f>P17+P18</f>
        <v>0</v>
      </c>
      <c r="Q19" s="435">
        <v>0</v>
      </c>
      <c r="R19" s="363">
        <f t="shared" si="16"/>
        <v>11311</v>
      </c>
      <c r="S19" s="363">
        <f t="shared" ref="S19" si="20">S17+S18</f>
        <v>14059</v>
      </c>
      <c r="T19" s="363">
        <f>T17+T18</f>
        <v>2947</v>
      </c>
      <c r="U19" s="435">
        <f>T19/S19</f>
        <v>0.20961661569101642</v>
      </c>
      <c r="V19" s="363">
        <f t="shared" si="16"/>
        <v>0</v>
      </c>
      <c r="W19" s="363">
        <f t="shared" ref="W19" si="21">W17+W18</f>
        <v>469</v>
      </c>
      <c r="X19" s="363">
        <f>X17+X18</f>
        <v>680</v>
      </c>
      <c r="Y19" s="435">
        <v>0</v>
      </c>
      <c r="Z19" s="363">
        <f t="shared" si="16"/>
        <v>0</v>
      </c>
      <c r="AA19" s="363">
        <f t="shared" ref="AA19" si="22">AA17+AA18</f>
        <v>0</v>
      </c>
      <c r="AB19" s="363">
        <f>AB17+AB18</f>
        <v>0</v>
      </c>
      <c r="AC19" s="435">
        <v>0</v>
      </c>
      <c r="AD19" s="363">
        <f t="shared" si="16"/>
        <v>0</v>
      </c>
      <c r="AE19" s="363">
        <f t="shared" ref="AE19" si="23">AE17+AE18</f>
        <v>0</v>
      </c>
      <c r="AF19" s="363">
        <f>AF17+AF18</f>
        <v>0</v>
      </c>
      <c r="AG19" s="435">
        <v>0</v>
      </c>
      <c r="AH19" s="363">
        <f t="shared" ref="AH19:AJ19" si="24">AH17+AH18</f>
        <v>141140</v>
      </c>
      <c r="AI19" s="363">
        <f t="shared" si="24"/>
        <v>180627</v>
      </c>
      <c r="AJ19" s="363">
        <f t="shared" si="24"/>
        <v>130341</v>
      </c>
      <c r="AK19" s="435">
        <f>AJ19/AI19</f>
        <v>0.72160308259562522</v>
      </c>
      <c r="AL19" s="363">
        <f t="shared" ref="AL19:AM19" si="25">AL17+AL18</f>
        <v>0</v>
      </c>
      <c r="AM19" s="363">
        <f t="shared" si="25"/>
        <v>469</v>
      </c>
      <c r="AN19" s="363">
        <f t="shared" ref="AN19" si="26">AN17+AN18</f>
        <v>680</v>
      </c>
      <c r="AO19" s="435">
        <v>0</v>
      </c>
      <c r="AP19" s="363">
        <f t="shared" si="16"/>
        <v>141140</v>
      </c>
      <c r="AQ19" s="363">
        <f t="shared" ref="AQ19:AR19" si="27">AQ17+AQ18</f>
        <v>181096</v>
      </c>
      <c r="AR19" s="363">
        <f t="shared" si="27"/>
        <v>131021</v>
      </c>
      <c r="AS19" s="435">
        <f>AR19/AQ19</f>
        <v>0.72348919909882048</v>
      </c>
      <c r="AT19" s="93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</row>
    <row r="20" spans="1:86" s="72" customFormat="1" ht="39.950000000000003" customHeight="1">
      <c r="A20" s="68" t="s">
        <v>254</v>
      </c>
      <c r="B20" s="79"/>
      <c r="C20" s="79"/>
      <c r="D20" s="79"/>
      <c r="E20" s="422"/>
      <c r="F20" s="79"/>
      <c r="G20" s="79"/>
      <c r="H20" s="79"/>
      <c r="I20" s="422"/>
      <c r="J20" s="79"/>
      <c r="K20" s="79"/>
      <c r="L20" s="79"/>
      <c r="M20" s="422"/>
      <c r="N20" s="79"/>
      <c r="O20" s="79"/>
      <c r="P20" s="79"/>
      <c r="Q20" s="422"/>
      <c r="R20" s="79"/>
      <c r="S20" s="79"/>
      <c r="T20" s="79"/>
      <c r="U20" s="422"/>
      <c r="V20" s="79"/>
      <c r="W20" s="79"/>
      <c r="X20" s="79"/>
      <c r="Y20" s="422"/>
      <c r="Z20" s="79"/>
      <c r="AA20" s="79"/>
      <c r="AB20" s="79"/>
      <c r="AC20" s="422"/>
      <c r="AD20" s="79"/>
      <c r="AE20" s="79"/>
      <c r="AF20" s="79"/>
      <c r="AG20" s="422"/>
      <c r="AH20" s="79"/>
      <c r="AI20" s="79"/>
      <c r="AJ20" s="79"/>
      <c r="AK20" s="422"/>
      <c r="AL20" s="79"/>
      <c r="AM20" s="79"/>
      <c r="AN20" s="79"/>
      <c r="AO20" s="422"/>
      <c r="AP20" s="79"/>
      <c r="AQ20" s="79"/>
      <c r="AR20" s="79"/>
      <c r="AS20" s="422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</row>
    <row r="21" spans="1:86" s="72" customFormat="1" ht="39.950000000000003" customHeight="1">
      <c r="A21" s="73" t="s">
        <v>114</v>
      </c>
      <c r="B21" s="74">
        <v>120907</v>
      </c>
      <c r="C21" s="74">
        <v>358241</v>
      </c>
      <c r="D21" s="74">
        <v>322042</v>
      </c>
      <c r="E21" s="419">
        <f>D21/C21</f>
        <v>0.89895349778501066</v>
      </c>
      <c r="F21" s="74">
        <v>28585</v>
      </c>
      <c r="G21" s="74">
        <v>58799</v>
      </c>
      <c r="H21" s="74">
        <v>53212</v>
      </c>
      <c r="I21" s="419">
        <f>H21/G21</f>
        <v>0.90498137723430672</v>
      </c>
      <c r="J21" s="74">
        <f>178275-23796</f>
        <v>154479</v>
      </c>
      <c r="K21" s="74">
        <v>213670</v>
      </c>
      <c r="L21" s="74">
        <v>183046</v>
      </c>
      <c r="M21" s="419">
        <f>L21/K21</f>
        <v>0.85667618289886271</v>
      </c>
      <c r="N21" s="84">
        <v>0</v>
      </c>
      <c r="O21" s="84">
        <v>0</v>
      </c>
      <c r="P21" s="74">
        <v>0</v>
      </c>
      <c r="Q21" s="419">
        <v>0</v>
      </c>
      <c r="R21" s="74">
        <v>23796</v>
      </c>
      <c r="S21" s="74">
        <v>25156</v>
      </c>
      <c r="T21" s="74">
        <v>1359</v>
      </c>
      <c r="U21" s="419">
        <f>T21/S21</f>
        <v>5.4022897121958978E-2</v>
      </c>
      <c r="V21" s="74">
        <v>2040</v>
      </c>
      <c r="W21" s="74">
        <v>27270</v>
      </c>
      <c r="X21" s="74">
        <v>4525</v>
      </c>
      <c r="Y21" s="419">
        <f>X21/W21</f>
        <v>0.16593325999266592</v>
      </c>
      <c r="Z21" s="74"/>
      <c r="AA21" s="74">
        <v>5196</v>
      </c>
      <c r="AB21" s="74">
        <v>28991</v>
      </c>
      <c r="AC21" s="419">
        <f>AB21/AA21</f>
        <v>5.5794842186297151</v>
      </c>
      <c r="AD21" s="74">
        <v>8000</v>
      </c>
      <c r="AE21" s="74">
        <f>AD21+359</f>
        <v>8359</v>
      </c>
      <c r="AF21" s="74">
        <v>0</v>
      </c>
      <c r="AG21" s="419">
        <f>AF21/AE21</f>
        <v>0</v>
      </c>
      <c r="AH21" s="74">
        <f t="shared" ref="AH21:AH22" si="28">SUM(B21+F21+J21+N21+R21)</f>
        <v>327767</v>
      </c>
      <c r="AI21" s="74">
        <f>SUM(C21+G21+K21+O21+S21)</f>
        <v>655866</v>
      </c>
      <c r="AJ21" s="74">
        <f>SUM(D21+H21+L21+P21+T21)</f>
        <v>559659</v>
      </c>
      <c r="AK21" s="419">
        <f>AJ21/AI21</f>
        <v>0.85331302430679434</v>
      </c>
      <c r="AL21" s="74">
        <f t="shared" ref="AL21:AN22" si="29">SUM(V21+Z21+AD21)</f>
        <v>10040</v>
      </c>
      <c r="AM21" s="74">
        <f t="shared" si="29"/>
        <v>40825</v>
      </c>
      <c r="AN21" s="74">
        <f t="shared" si="29"/>
        <v>33516</v>
      </c>
      <c r="AO21" s="419">
        <f>AN21/AM21</f>
        <v>0.82096754439681563</v>
      </c>
      <c r="AP21" s="74">
        <f>SUM(AH21+AL21)</f>
        <v>337807</v>
      </c>
      <c r="AQ21" s="74">
        <f t="shared" ref="AQ21:AR22" si="30">SUM(AI21+AM21)</f>
        <v>696691</v>
      </c>
      <c r="AR21" s="74">
        <f t="shared" si="30"/>
        <v>593175</v>
      </c>
      <c r="AS21" s="419">
        <f>AR21/AQ21</f>
        <v>0.85141762991053427</v>
      </c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</row>
    <row r="22" spans="1:86" s="72" customFormat="1" ht="39.950000000000003" customHeight="1" thickBot="1">
      <c r="A22" s="77" t="s">
        <v>139</v>
      </c>
      <c r="B22" s="78"/>
      <c r="C22" s="78"/>
      <c r="D22" s="78"/>
      <c r="E22" s="420"/>
      <c r="F22" s="78"/>
      <c r="G22" s="78"/>
      <c r="H22" s="78"/>
      <c r="I22" s="420"/>
      <c r="J22" s="78"/>
      <c r="K22" s="78"/>
      <c r="L22" s="78"/>
      <c r="M22" s="420"/>
      <c r="N22" s="78"/>
      <c r="O22" s="78"/>
      <c r="P22" s="78"/>
      <c r="Q22" s="420"/>
      <c r="R22" s="78"/>
      <c r="S22" s="78"/>
      <c r="T22" s="78"/>
      <c r="U22" s="420"/>
      <c r="V22" s="78"/>
      <c r="W22" s="78"/>
      <c r="X22" s="78"/>
      <c r="Y22" s="420"/>
      <c r="Z22" s="78"/>
      <c r="AA22" s="78"/>
      <c r="AB22" s="78"/>
      <c r="AC22" s="420"/>
      <c r="AD22" s="78"/>
      <c r="AE22" s="78"/>
      <c r="AF22" s="78"/>
      <c r="AG22" s="420"/>
      <c r="AH22" s="74">
        <f t="shared" si="28"/>
        <v>0</v>
      </c>
      <c r="AI22" s="74">
        <f>SUM(C22+G22+K22+O22+S22)</f>
        <v>0</v>
      </c>
      <c r="AJ22" s="74">
        <f>SUM(D22+H22+L22+P22+T22)</f>
        <v>0</v>
      </c>
      <c r="AK22" s="420"/>
      <c r="AL22" s="74">
        <f t="shared" si="29"/>
        <v>0</v>
      </c>
      <c r="AM22" s="74">
        <f t="shared" si="29"/>
        <v>0</v>
      </c>
      <c r="AN22" s="74">
        <f t="shared" si="29"/>
        <v>0</v>
      </c>
      <c r="AO22" s="420"/>
      <c r="AP22" s="74">
        <f>SUM(AH22+AL22)</f>
        <v>0</v>
      </c>
      <c r="AQ22" s="74">
        <f t="shared" si="30"/>
        <v>0</v>
      </c>
      <c r="AR22" s="74">
        <f t="shared" si="30"/>
        <v>0</v>
      </c>
      <c r="AS22" s="420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</row>
    <row r="23" spans="1:86" s="360" customFormat="1" ht="39.950000000000003" customHeight="1" thickBot="1">
      <c r="A23" s="362" t="s">
        <v>255</v>
      </c>
      <c r="B23" s="363">
        <f>B21+B22</f>
        <v>120907</v>
      </c>
      <c r="C23" s="363">
        <f>C21+C22</f>
        <v>358241</v>
      </c>
      <c r="D23" s="363">
        <f>D21+D22</f>
        <v>322042</v>
      </c>
      <c r="E23" s="435">
        <f>D23/C23</f>
        <v>0.89895349778501066</v>
      </c>
      <c r="F23" s="363">
        <f t="shared" ref="F23:AP23" si="31">F21+F22</f>
        <v>28585</v>
      </c>
      <c r="G23" s="363">
        <f t="shared" ref="G23" si="32">G21+G22</f>
        <v>58799</v>
      </c>
      <c r="H23" s="363">
        <f>H21+H22</f>
        <v>53212</v>
      </c>
      <c r="I23" s="435">
        <f>H23/G23</f>
        <v>0.90498137723430672</v>
      </c>
      <c r="J23" s="363">
        <f t="shared" si="31"/>
        <v>154479</v>
      </c>
      <c r="K23" s="363">
        <f t="shared" ref="K23" si="33">K21+K22</f>
        <v>213670</v>
      </c>
      <c r="L23" s="363">
        <f>L21+L22</f>
        <v>183046</v>
      </c>
      <c r="M23" s="435">
        <f>L23/K23</f>
        <v>0.85667618289886271</v>
      </c>
      <c r="N23" s="363">
        <f t="shared" si="31"/>
        <v>0</v>
      </c>
      <c r="O23" s="363">
        <f t="shared" ref="O23" si="34">O21+O22</f>
        <v>0</v>
      </c>
      <c r="P23" s="363">
        <f>P21+P22</f>
        <v>0</v>
      </c>
      <c r="Q23" s="435">
        <v>0</v>
      </c>
      <c r="R23" s="363">
        <f t="shared" si="31"/>
        <v>23796</v>
      </c>
      <c r="S23" s="363">
        <f t="shared" ref="S23" si="35">S21+S22</f>
        <v>25156</v>
      </c>
      <c r="T23" s="363">
        <f>T21+T22</f>
        <v>1359</v>
      </c>
      <c r="U23" s="435">
        <f>T23/S23</f>
        <v>5.4022897121958978E-2</v>
      </c>
      <c r="V23" s="363">
        <f t="shared" si="31"/>
        <v>2040</v>
      </c>
      <c r="W23" s="363">
        <f t="shared" ref="W23" si="36">W21+W22</f>
        <v>27270</v>
      </c>
      <c r="X23" s="363">
        <f>X21+X22</f>
        <v>4525</v>
      </c>
      <c r="Y23" s="435">
        <f>X23/W23</f>
        <v>0.16593325999266592</v>
      </c>
      <c r="Z23" s="363">
        <f t="shared" si="31"/>
        <v>0</v>
      </c>
      <c r="AA23" s="363">
        <f t="shared" ref="AA23" si="37">AA21+AA22</f>
        <v>5196</v>
      </c>
      <c r="AB23" s="363">
        <f>AB21+AB22</f>
        <v>28991</v>
      </c>
      <c r="AC23" s="435">
        <f>AB23/AA23</f>
        <v>5.5794842186297151</v>
      </c>
      <c r="AD23" s="363">
        <f t="shared" si="31"/>
        <v>8000</v>
      </c>
      <c r="AE23" s="363">
        <f t="shared" ref="AE23" si="38">AE21+AE22</f>
        <v>8359</v>
      </c>
      <c r="AF23" s="363">
        <f>AF21+AF22</f>
        <v>0</v>
      </c>
      <c r="AG23" s="435">
        <f>AF23/AE23</f>
        <v>0</v>
      </c>
      <c r="AH23" s="363">
        <f t="shared" ref="AH23:AI23" si="39">AH21+AH22</f>
        <v>327767</v>
      </c>
      <c r="AI23" s="363">
        <f t="shared" si="39"/>
        <v>655866</v>
      </c>
      <c r="AJ23" s="363">
        <f t="shared" ref="AJ23" si="40">AJ21+AJ22</f>
        <v>559659</v>
      </c>
      <c r="AK23" s="435">
        <f>AJ23/AI23</f>
        <v>0.85331302430679434</v>
      </c>
      <c r="AL23" s="363">
        <f t="shared" ref="AL23:AM23" si="41">AL21+AL22</f>
        <v>10040</v>
      </c>
      <c r="AM23" s="363">
        <f t="shared" si="41"/>
        <v>40825</v>
      </c>
      <c r="AN23" s="363">
        <f t="shared" ref="AN23" si="42">AN21+AN22</f>
        <v>33516</v>
      </c>
      <c r="AO23" s="435">
        <f>AN23/AM23</f>
        <v>0.82096754439681563</v>
      </c>
      <c r="AP23" s="363">
        <f t="shared" si="31"/>
        <v>337807</v>
      </c>
      <c r="AQ23" s="363">
        <f t="shared" ref="AQ23:AR23" si="43">AQ21+AQ22</f>
        <v>696691</v>
      </c>
      <c r="AR23" s="363">
        <f t="shared" si="43"/>
        <v>593175</v>
      </c>
      <c r="AS23" s="435">
        <f>AR23/AQ23</f>
        <v>0.85141762991053427</v>
      </c>
      <c r="AT23" s="93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</row>
    <row r="24" spans="1:86" s="72" customFormat="1" ht="39.950000000000003" customHeight="1">
      <c r="A24" s="68" t="s">
        <v>256</v>
      </c>
      <c r="B24" s="79"/>
      <c r="C24" s="79"/>
      <c r="D24" s="79"/>
      <c r="E24" s="422"/>
      <c r="F24" s="79"/>
      <c r="G24" s="79"/>
      <c r="H24" s="79"/>
      <c r="I24" s="422"/>
      <c r="J24" s="79"/>
      <c r="K24" s="79"/>
      <c r="L24" s="79"/>
      <c r="M24" s="422"/>
      <c r="N24" s="79"/>
      <c r="O24" s="79"/>
      <c r="P24" s="79"/>
      <c r="Q24" s="422"/>
      <c r="R24" s="79"/>
      <c r="S24" s="79"/>
      <c r="T24" s="79"/>
      <c r="U24" s="422"/>
      <c r="V24" s="79"/>
      <c r="W24" s="79"/>
      <c r="X24" s="79"/>
      <c r="Y24" s="422"/>
      <c r="Z24" s="79"/>
      <c r="AA24" s="79"/>
      <c r="AB24" s="79"/>
      <c r="AC24" s="422"/>
      <c r="AD24" s="79"/>
      <c r="AE24" s="79"/>
      <c r="AF24" s="79"/>
      <c r="AG24" s="422"/>
      <c r="AH24" s="79"/>
      <c r="AI24" s="79"/>
      <c r="AJ24" s="79"/>
      <c r="AK24" s="422"/>
      <c r="AL24" s="79"/>
      <c r="AM24" s="79"/>
      <c r="AN24" s="79"/>
      <c r="AO24" s="422"/>
      <c r="AP24" s="79"/>
      <c r="AQ24" s="79"/>
      <c r="AR24" s="79"/>
      <c r="AS24" s="422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</row>
    <row r="25" spans="1:86" s="87" customFormat="1" ht="39.950000000000003" customHeight="1">
      <c r="A25" s="477" t="s">
        <v>114</v>
      </c>
      <c r="B25" s="346">
        <v>15395</v>
      </c>
      <c r="C25" s="346">
        <v>16926</v>
      </c>
      <c r="D25" s="84">
        <v>10869</v>
      </c>
      <c r="E25" s="478">
        <f t="shared" ref="E25:E30" si="44">D25/C25</f>
        <v>0.64214817440623895</v>
      </c>
      <c r="F25" s="346">
        <v>4155</v>
      </c>
      <c r="G25" s="346">
        <v>4543</v>
      </c>
      <c r="H25" s="84">
        <v>2944</v>
      </c>
      <c r="I25" s="478">
        <f t="shared" ref="I25:I30" si="45">H25/G25</f>
        <v>0.6480299361655294</v>
      </c>
      <c r="J25" s="346">
        <f>3619-1000</f>
        <v>2619</v>
      </c>
      <c r="K25" s="346">
        <v>2713</v>
      </c>
      <c r="L25" s="84">
        <v>2584</v>
      </c>
      <c r="M25" s="478">
        <f t="shared" ref="M25:M30" si="46">L25/K25</f>
        <v>0.95245116107629935</v>
      </c>
      <c r="N25" s="346"/>
      <c r="O25" s="346"/>
      <c r="P25" s="84"/>
      <c r="Q25" s="478"/>
      <c r="R25" s="346">
        <v>1000</v>
      </c>
      <c r="S25" s="346">
        <f>R25+2</f>
        <v>1002</v>
      </c>
      <c r="T25" s="84">
        <v>2</v>
      </c>
      <c r="U25" s="478">
        <f>T25/S25</f>
        <v>1.996007984031936E-3</v>
      </c>
      <c r="V25" s="346"/>
      <c r="W25" s="346">
        <v>1123</v>
      </c>
      <c r="X25" s="84">
        <v>22</v>
      </c>
      <c r="Y25" s="478">
        <f t="shared" ref="Y25:Y30" si="47">X25/W25</f>
        <v>1.9590382902938557E-2</v>
      </c>
      <c r="Z25" s="346"/>
      <c r="AA25" s="346">
        <v>2500</v>
      </c>
      <c r="AB25" s="84"/>
      <c r="AC25" s="478"/>
      <c r="AD25" s="346"/>
      <c r="AE25" s="346"/>
      <c r="AF25" s="84"/>
      <c r="AG25" s="478"/>
      <c r="AH25" s="84">
        <f t="shared" ref="AH25:AH26" si="48">SUM(B25+F25+J25+N25+R25)</f>
        <v>23169</v>
      </c>
      <c r="AI25" s="84">
        <f>SUM(C25+G25+K25+O25+S25)</f>
        <v>25184</v>
      </c>
      <c r="AJ25" s="84">
        <f>SUM(D25+H25+L25+P25+T25)</f>
        <v>16399</v>
      </c>
      <c r="AK25" s="478">
        <f t="shared" ref="AK25:AK30" si="49">AJ25/AI25</f>
        <v>0.65116740787801775</v>
      </c>
      <c r="AL25" s="84">
        <f t="shared" ref="AL25:AN26" si="50">SUM(V25+Z25+AD25)</f>
        <v>0</v>
      </c>
      <c r="AM25" s="84">
        <f t="shared" si="50"/>
        <v>3623</v>
      </c>
      <c r="AN25" s="84">
        <f t="shared" si="50"/>
        <v>22</v>
      </c>
      <c r="AO25" s="478">
        <f t="shared" ref="AO25:AO30" si="51">AN25/AM25</f>
        <v>6.0723157604195416E-3</v>
      </c>
      <c r="AP25" s="84">
        <f>SUM(AH25+AL25)</f>
        <v>23169</v>
      </c>
      <c r="AQ25" s="84">
        <f t="shared" ref="AQ25:AR26" si="52">SUM(AI25+AM25)</f>
        <v>28807</v>
      </c>
      <c r="AR25" s="84">
        <f t="shared" si="52"/>
        <v>16421</v>
      </c>
      <c r="AS25" s="478">
        <f t="shared" ref="AS25:AS30" si="53">AR25/AQ25</f>
        <v>0.5700350609226924</v>
      </c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</row>
    <row r="26" spans="1:86" s="87" customFormat="1" ht="39.950000000000003" customHeight="1" thickBot="1">
      <c r="A26" s="82" t="s">
        <v>139</v>
      </c>
      <c r="B26" s="83">
        <v>9624</v>
      </c>
      <c r="C26" s="83">
        <v>9652</v>
      </c>
      <c r="D26" s="83">
        <v>6055</v>
      </c>
      <c r="E26" s="478">
        <f t="shared" si="44"/>
        <v>0.62733112308329875</v>
      </c>
      <c r="F26" s="83">
        <v>2566</v>
      </c>
      <c r="G26" s="83">
        <v>2612</v>
      </c>
      <c r="H26" s="83">
        <v>1785</v>
      </c>
      <c r="I26" s="478">
        <f t="shared" si="45"/>
        <v>0.68338437978560485</v>
      </c>
      <c r="J26" s="83">
        <f>9151-1000</f>
        <v>8151</v>
      </c>
      <c r="K26" s="83">
        <v>8359</v>
      </c>
      <c r="L26" s="83">
        <v>5900</v>
      </c>
      <c r="M26" s="478">
        <f t="shared" si="46"/>
        <v>0.70582605574829527</v>
      </c>
      <c r="N26" s="83"/>
      <c r="O26" s="83"/>
      <c r="P26" s="83"/>
      <c r="Q26" s="423"/>
      <c r="R26" s="83">
        <v>1000</v>
      </c>
      <c r="S26" s="83">
        <v>1000</v>
      </c>
      <c r="T26" s="83"/>
      <c r="U26" s="423"/>
      <c r="V26" s="83"/>
      <c r="W26" s="83">
        <v>121</v>
      </c>
      <c r="X26" s="83">
        <v>120</v>
      </c>
      <c r="Y26" s="478">
        <f t="shared" si="47"/>
        <v>0.99173553719008267</v>
      </c>
      <c r="Z26" s="83"/>
      <c r="AA26" s="83"/>
      <c r="AB26" s="83"/>
      <c r="AC26" s="423"/>
      <c r="AD26" s="83"/>
      <c r="AE26" s="83"/>
      <c r="AF26" s="83"/>
      <c r="AG26" s="423"/>
      <c r="AH26" s="84">
        <f t="shared" si="48"/>
        <v>21341</v>
      </c>
      <c r="AI26" s="84">
        <f>SUM(C26+G26+K26+O26+S26)</f>
        <v>21623</v>
      </c>
      <c r="AJ26" s="84">
        <f>SUM(D26+H26+L26+P26+T26)</f>
        <v>13740</v>
      </c>
      <c r="AK26" s="478">
        <f t="shared" si="49"/>
        <v>0.63543449105119554</v>
      </c>
      <c r="AL26" s="84">
        <f t="shared" si="50"/>
        <v>0</v>
      </c>
      <c r="AM26" s="84">
        <f t="shared" si="50"/>
        <v>121</v>
      </c>
      <c r="AN26" s="84">
        <f t="shared" si="50"/>
        <v>120</v>
      </c>
      <c r="AO26" s="478">
        <f t="shared" si="51"/>
        <v>0.99173553719008267</v>
      </c>
      <c r="AP26" s="84">
        <f>SUM(AH26+AL26)</f>
        <v>21341</v>
      </c>
      <c r="AQ26" s="84">
        <f t="shared" si="52"/>
        <v>21744</v>
      </c>
      <c r="AR26" s="84">
        <f t="shared" si="52"/>
        <v>13860</v>
      </c>
      <c r="AS26" s="478">
        <f t="shared" si="53"/>
        <v>0.63741721854304634</v>
      </c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</row>
    <row r="27" spans="1:86" s="360" customFormat="1" ht="27" customHeight="1" thickBot="1">
      <c r="A27" s="362" t="s">
        <v>257</v>
      </c>
      <c r="B27" s="363">
        <f>B25+B26</f>
        <v>25019</v>
      </c>
      <c r="C27" s="363">
        <f>C25+C26</f>
        <v>26578</v>
      </c>
      <c r="D27" s="363">
        <f>D25+D26</f>
        <v>16924</v>
      </c>
      <c r="E27" s="435">
        <f t="shared" si="44"/>
        <v>0.63676725110994059</v>
      </c>
      <c r="F27" s="363">
        <f t="shared" ref="F27:AP27" si="54">F25+F26</f>
        <v>6721</v>
      </c>
      <c r="G27" s="363">
        <f t="shared" ref="G27" si="55">G25+G26</f>
        <v>7155</v>
      </c>
      <c r="H27" s="363">
        <f>H25+H26</f>
        <v>4729</v>
      </c>
      <c r="I27" s="435">
        <f t="shared" si="45"/>
        <v>0.66093640810621945</v>
      </c>
      <c r="J27" s="363">
        <f t="shared" si="54"/>
        <v>10770</v>
      </c>
      <c r="K27" s="363">
        <f t="shared" ref="K27" si="56">K25+K26</f>
        <v>11072</v>
      </c>
      <c r="L27" s="363">
        <f>L25+L26</f>
        <v>8484</v>
      </c>
      <c r="M27" s="435">
        <f t="shared" si="46"/>
        <v>0.76625722543352603</v>
      </c>
      <c r="N27" s="363">
        <f t="shared" si="54"/>
        <v>0</v>
      </c>
      <c r="O27" s="363">
        <f t="shared" ref="O27" si="57">O25+O26</f>
        <v>0</v>
      </c>
      <c r="P27" s="363">
        <f>P25+P26</f>
        <v>0</v>
      </c>
      <c r="Q27" s="435">
        <v>0</v>
      </c>
      <c r="R27" s="363">
        <f t="shared" si="54"/>
        <v>2000</v>
      </c>
      <c r="S27" s="363">
        <f t="shared" ref="S27" si="58">S25+S26</f>
        <v>2002</v>
      </c>
      <c r="T27" s="363">
        <f>T25+T26</f>
        <v>2</v>
      </c>
      <c r="U27" s="435">
        <f>T27/S27</f>
        <v>9.99000999000999E-4</v>
      </c>
      <c r="V27" s="363">
        <f t="shared" si="54"/>
        <v>0</v>
      </c>
      <c r="W27" s="363">
        <f t="shared" ref="W27" si="59">W25+W26</f>
        <v>1244</v>
      </c>
      <c r="X27" s="363">
        <f>X25+X26</f>
        <v>142</v>
      </c>
      <c r="Y27" s="435">
        <f t="shared" si="47"/>
        <v>0.11414790996784566</v>
      </c>
      <c r="Z27" s="363">
        <f t="shared" si="54"/>
        <v>0</v>
      </c>
      <c r="AA27" s="363">
        <f t="shared" ref="AA27" si="60">AA25+AA26</f>
        <v>2500</v>
      </c>
      <c r="AB27" s="363">
        <f>AB25+AB26</f>
        <v>0</v>
      </c>
      <c r="AC27" s="435">
        <v>0</v>
      </c>
      <c r="AD27" s="363">
        <f t="shared" si="54"/>
        <v>0</v>
      </c>
      <c r="AE27" s="363">
        <f t="shared" ref="AE27" si="61">AE25+AE26</f>
        <v>0</v>
      </c>
      <c r="AF27" s="363">
        <f>AF25+AF26</f>
        <v>0</v>
      </c>
      <c r="AG27" s="435">
        <v>0</v>
      </c>
      <c r="AH27" s="363">
        <f t="shared" ref="AH27:AI27" si="62">AH25+AH26</f>
        <v>44510</v>
      </c>
      <c r="AI27" s="363">
        <f t="shared" si="62"/>
        <v>46807</v>
      </c>
      <c r="AJ27" s="363">
        <f t="shared" ref="AJ27" si="63">AJ25+AJ26</f>
        <v>30139</v>
      </c>
      <c r="AK27" s="435">
        <f t="shared" si="49"/>
        <v>0.64389941675390439</v>
      </c>
      <c r="AL27" s="363">
        <f t="shared" ref="AL27:AM27" si="64">AL25+AL26</f>
        <v>0</v>
      </c>
      <c r="AM27" s="363">
        <f t="shared" si="64"/>
        <v>3744</v>
      </c>
      <c r="AN27" s="363">
        <f t="shared" ref="AN27" si="65">AN25+AN26</f>
        <v>142</v>
      </c>
      <c r="AO27" s="435">
        <f t="shared" si="51"/>
        <v>3.7927350427350424E-2</v>
      </c>
      <c r="AP27" s="363">
        <f t="shared" si="54"/>
        <v>44510</v>
      </c>
      <c r="AQ27" s="363">
        <f t="shared" ref="AQ27:AR27" si="66">AQ25+AQ26</f>
        <v>50551</v>
      </c>
      <c r="AR27" s="363">
        <f t="shared" si="66"/>
        <v>30281</v>
      </c>
      <c r="AS27" s="435">
        <f t="shared" si="53"/>
        <v>0.59901881268421986</v>
      </c>
      <c r="AT27" s="93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</row>
    <row r="28" spans="1:86" s="72" customFormat="1" ht="50.1" customHeight="1" thickBot="1">
      <c r="A28" s="344" t="s">
        <v>258</v>
      </c>
      <c r="B28" s="364">
        <f t="shared" ref="B28:D29" si="67">B13+B17+B21+B25</f>
        <v>517138</v>
      </c>
      <c r="C28" s="364">
        <f t="shared" si="67"/>
        <v>776598</v>
      </c>
      <c r="D28" s="364">
        <f t="shared" si="67"/>
        <v>645783</v>
      </c>
      <c r="E28" s="422">
        <f t="shared" si="44"/>
        <v>0.83155377685752474</v>
      </c>
      <c r="F28" s="364">
        <f t="shared" ref="F28:H29" si="68">F13+F17+F21+F25</f>
        <v>133892</v>
      </c>
      <c r="G28" s="364">
        <f t="shared" si="68"/>
        <v>173446</v>
      </c>
      <c r="H28" s="364">
        <f t="shared" si="68"/>
        <v>146265</v>
      </c>
      <c r="I28" s="422">
        <f t="shared" si="45"/>
        <v>0.84328840100088787</v>
      </c>
      <c r="J28" s="364">
        <f t="shared" ref="J28:L29" si="69">J13+J17+J21+J25</f>
        <v>323764</v>
      </c>
      <c r="K28" s="364">
        <f t="shared" si="69"/>
        <v>414435</v>
      </c>
      <c r="L28" s="364">
        <f t="shared" si="69"/>
        <v>312557</v>
      </c>
      <c r="M28" s="422">
        <f t="shared" si="46"/>
        <v>0.7541761675534161</v>
      </c>
      <c r="N28" s="364">
        <f t="shared" ref="N28:P29" si="70">N13+N17+N21+N25</f>
        <v>0</v>
      </c>
      <c r="O28" s="364">
        <f t="shared" si="70"/>
        <v>0</v>
      </c>
      <c r="P28" s="364">
        <f t="shared" si="70"/>
        <v>0</v>
      </c>
      <c r="Q28" s="422">
        <v>0</v>
      </c>
      <c r="R28" s="364">
        <f t="shared" ref="R28:T29" si="71">R13+R17+R21+R25</f>
        <v>27496</v>
      </c>
      <c r="S28" s="364">
        <f t="shared" si="71"/>
        <v>33687</v>
      </c>
      <c r="T28" s="364">
        <f t="shared" si="71"/>
        <v>6232</v>
      </c>
      <c r="U28" s="422">
        <f>T28/S28</f>
        <v>0.18499717992103779</v>
      </c>
      <c r="V28" s="364">
        <f t="shared" ref="V28:X29" si="72">V13+V17+V21+V25</f>
        <v>2040</v>
      </c>
      <c r="W28" s="364">
        <f t="shared" si="72"/>
        <v>29508</v>
      </c>
      <c r="X28" s="364">
        <f t="shared" si="72"/>
        <v>5871</v>
      </c>
      <c r="Y28" s="422">
        <f t="shared" si="47"/>
        <v>0.19896299308662058</v>
      </c>
      <c r="Z28" s="364">
        <f t="shared" ref="Z28:AB29" si="73">Z13+Z17+Z21+Z25</f>
        <v>0</v>
      </c>
      <c r="AA28" s="364">
        <f t="shared" si="73"/>
        <v>8166</v>
      </c>
      <c r="AB28" s="364">
        <f t="shared" si="73"/>
        <v>29461</v>
      </c>
      <c r="AC28" s="422">
        <f>AB28/AA28</f>
        <v>3.6077638990938037</v>
      </c>
      <c r="AD28" s="364">
        <f t="shared" ref="AD28:AF29" si="74">AD13+AD17+AD21+AD25</f>
        <v>8000</v>
      </c>
      <c r="AE28" s="364">
        <f t="shared" si="74"/>
        <v>8359</v>
      </c>
      <c r="AF28" s="364">
        <f t="shared" si="74"/>
        <v>0</v>
      </c>
      <c r="AG28" s="422">
        <f>AF28/AE28</f>
        <v>0</v>
      </c>
      <c r="AH28" s="79">
        <f t="shared" ref="AH28:AH29" si="75">SUM(B28+F28+J28+N28+R28)</f>
        <v>1002290</v>
      </c>
      <c r="AI28" s="79">
        <f>SUM(C28+G28+K28+O28+S28)</f>
        <v>1398166</v>
      </c>
      <c r="AJ28" s="79">
        <f>SUM(D28+H28+L28+P28+T28)</f>
        <v>1110837</v>
      </c>
      <c r="AK28" s="422">
        <f t="shared" si="49"/>
        <v>0.79449578948422428</v>
      </c>
      <c r="AL28" s="79">
        <f>SUM(V28+Z28+AD28)</f>
        <v>10040</v>
      </c>
      <c r="AM28" s="79">
        <f>SUM(W28+AA28+AE28)</f>
        <v>46033</v>
      </c>
      <c r="AN28" s="345">
        <f>AN13+AN17+AN21+AN25</f>
        <v>35332</v>
      </c>
      <c r="AO28" s="422">
        <f t="shared" si="51"/>
        <v>0.76753633263093868</v>
      </c>
      <c r="AP28" s="79">
        <f>SUM(AH28+AL28)</f>
        <v>1012330</v>
      </c>
      <c r="AQ28" s="79">
        <f t="shared" ref="AQ28:AR29" si="76">SUM(AI28+AM28)</f>
        <v>1444199</v>
      </c>
      <c r="AR28" s="79">
        <f t="shared" si="76"/>
        <v>1146169</v>
      </c>
      <c r="AS28" s="422">
        <f t="shared" si="53"/>
        <v>0.79363647253598713</v>
      </c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</row>
    <row r="29" spans="1:86" s="72" customFormat="1" ht="50.1" customHeight="1" thickBot="1">
      <c r="A29" s="344" t="s">
        <v>259</v>
      </c>
      <c r="B29" s="79">
        <f t="shared" si="67"/>
        <v>12361</v>
      </c>
      <c r="C29" s="79">
        <f t="shared" si="67"/>
        <v>12389</v>
      </c>
      <c r="D29" s="79">
        <f t="shared" si="67"/>
        <v>6055</v>
      </c>
      <c r="E29" s="425">
        <f t="shared" si="44"/>
        <v>0.48874001130034705</v>
      </c>
      <c r="F29" s="79">
        <f t="shared" si="68"/>
        <v>3306</v>
      </c>
      <c r="G29" s="79">
        <f t="shared" si="68"/>
        <v>3352</v>
      </c>
      <c r="H29" s="79">
        <f t="shared" si="68"/>
        <v>1785</v>
      </c>
      <c r="I29" s="425">
        <f t="shared" si="45"/>
        <v>0.53251789976133657</v>
      </c>
      <c r="J29" s="79">
        <f t="shared" si="69"/>
        <v>9690</v>
      </c>
      <c r="K29" s="79">
        <f t="shared" si="69"/>
        <v>9898</v>
      </c>
      <c r="L29" s="79">
        <f t="shared" si="69"/>
        <v>5900</v>
      </c>
      <c r="M29" s="425">
        <f t="shared" si="46"/>
        <v>0.59608001616488182</v>
      </c>
      <c r="N29" s="79">
        <f t="shared" si="70"/>
        <v>0</v>
      </c>
      <c r="O29" s="79">
        <f t="shared" si="70"/>
        <v>0</v>
      </c>
      <c r="P29" s="79">
        <f t="shared" si="70"/>
        <v>0</v>
      </c>
      <c r="Q29" s="425">
        <v>0</v>
      </c>
      <c r="R29" s="79">
        <f t="shared" si="71"/>
        <v>12311</v>
      </c>
      <c r="S29" s="79">
        <f t="shared" si="71"/>
        <v>15059</v>
      </c>
      <c r="T29" s="79">
        <f t="shared" si="71"/>
        <v>2947</v>
      </c>
      <c r="U29" s="425">
        <f>T29/S29</f>
        <v>0.19569692542665515</v>
      </c>
      <c r="V29" s="79">
        <f t="shared" si="72"/>
        <v>0</v>
      </c>
      <c r="W29" s="79">
        <f t="shared" si="72"/>
        <v>121</v>
      </c>
      <c r="X29" s="79">
        <f t="shared" si="72"/>
        <v>120</v>
      </c>
      <c r="Y29" s="425">
        <f t="shared" si="47"/>
        <v>0.99173553719008267</v>
      </c>
      <c r="Z29" s="79">
        <f t="shared" si="73"/>
        <v>0</v>
      </c>
      <c r="AA29" s="79">
        <f t="shared" si="73"/>
        <v>0</v>
      </c>
      <c r="AB29" s="79">
        <f t="shared" si="73"/>
        <v>0</v>
      </c>
      <c r="AC29" s="425">
        <v>0</v>
      </c>
      <c r="AD29" s="79">
        <f t="shared" si="74"/>
        <v>0</v>
      </c>
      <c r="AE29" s="79">
        <f t="shared" si="74"/>
        <v>0</v>
      </c>
      <c r="AF29" s="79">
        <f t="shared" si="74"/>
        <v>0</v>
      </c>
      <c r="AG29" s="425">
        <v>0</v>
      </c>
      <c r="AH29" s="364">
        <f t="shared" si="75"/>
        <v>37668</v>
      </c>
      <c r="AI29" s="364">
        <f>SUM(C29+G29+K29+O29+S29)</f>
        <v>40698</v>
      </c>
      <c r="AJ29" s="364">
        <f>SUM(D29+H29+L29+P29+T29)</f>
        <v>16687</v>
      </c>
      <c r="AK29" s="425">
        <f t="shared" si="49"/>
        <v>0.41002014841024131</v>
      </c>
      <c r="AL29" s="364">
        <f>SUM(V29+Z29+AD29)</f>
        <v>0</v>
      </c>
      <c r="AM29" s="364">
        <f>SUM(W29+AA29+AE29)</f>
        <v>121</v>
      </c>
      <c r="AN29" s="364">
        <f>AN14+AN18+AN22+AN26</f>
        <v>120</v>
      </c>
      <c r="AO29" s="425">
        <f t="shared" si="51"/>
        <v>0.99173553719008267</v>
      </c>
      <c r="AP29" s="364">
        <f>SUM(AH29+AL29)</f>
        <v>37668</v>
      </c>
      <c r="AQ29" s="364">
        <f t="shared" si="76"/>
        <v>40819</v>
      </c>
      <c r="AR29" s="364">
        <f t="shared" si="76"/>
        <v>16807</v>
      </c>
      <c r="AS29" s="425">
        <f t="shared" si="53"/>
        <v>0.41174453073323697</v>
      </c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</row>
    <row r="30" spans="1:86" s="360" customFormat="1" ht="50.1" customHeight="1" thickBot="1">
      <c r="A30" s="362" t="s">
        <v>260</v>
      </c>
      <c r="B30" s="363">
        <f t="shared" ref="B30:AP30" si="77">B28+B29</f>
        <v>529499</v>
      </c>
      <c r="C30" s="363">
        <f>C28+C29</f>
        <v>788987</v>
      </c>
      <c r="D30" s="363">
        <f>D28+D29</f>
        <v>651838</v>
      </c>
      <c r="E30" s="435">
        <f t="shared" si="44"/>
        <v>0.82617077340944778</v>
      </c>
      <c r="F30" s="363">
        <f t="shared" si="77"/>
        <v>137198</v>
      </c>
      <c r="G30" s="363">
        <f t="shared" ref="G30" si="78">G28+G29</f>
        <v>176798</v>
      </c>
      <c r="H30" s="363">
        <f>H28+H29</f>
        <v>148050</v>
      </c>
      <c r="I30" s="435">
        <f t="shared" si="45"/>
        <v>0.83739635063745066</v>
      </c>
      <c r="J30" s="363">
        <f t="shared" si="77"/>
        <v>333454</v>
      </c>
      <c r="K30" s="363">
        <f t="shared" ref="K30" si="79">K28+K29</f>
        <v>424333</v>
      </c>
      <c r="L30" s="363">
        <f>L28+L29</f>
        <v>318457</v>
      </c>
      <c r="M30" s="435">
        <f t="shared" si="46"/>
        <v>0.75048841358084339</v>
      </c>
      <c r="N30" s="363">
        <f t="shared" si="77"/>
        <v>0</v>
      </c>
      <c r="O30" s="363">
        <f t="shared" ref="O30" si="80">O28+O29</f>
        <v>0</v>
      </c>
      <c r="P30" s="363">
        <f>P28+P29</f>
        <v>0</v>
      </c>
      <c r="Q30" s="435">
        <v>0</v>
      </c>
      <c r="R30" s="363">
        <f t="shared" si="77"/>
        <v>39807</v>
      </c>
      <c r="S30" s="363">
        <f t="shared" ref="S30" si="81">S28+S29</f>
        <v>48746</v>
      </c>
      <c r="T30" s="363">
        <f>T28+T29</f>
        <v>9179</v>
      </c>
      <c r="U30" s="435">
        <f>T30/S30</f>
        <v>0.1883026299593813</v>
      </c>
      <c r="V30" s="363">
        <f t="shared" si="77"/>
        <v>2040</v>
      </c>
      <c r="W30" s="363">
        <f t="shared" ref="W30" si="82">W28+W29</f>
        <v>29629</v>
      </c>
      <c r="X30" s="363">
        <f>X28+X29</f>
        <v>5991</v>
      </c>
      <c r="Y30" s="435">
        <f t="shared" si="47"/>
        <v>0.20220054676161869</v>
      </c>
      <c r="Z30" s="363">
        <f t="shared" si="77"/>
        <v>0</v>
      </c>
      <c r="AA30" s="363">
        <f t="shared" ref="AA30" si="83">AA28+AA29</f>
        <v>8166</v>
      </c>
      <c r="AB30" s="363">
        <f>AB28+AB29</f>
        <v>29461</v>
      </c>
      <c r="AC30" s="435">
        <f>AB30/AA30</f>
        <v>3.6077638990938037</v>
      </c>
      <c r="AD30" s="363">
        <f t="shared" si="77"/>
        <v>8000</v>
      </c>
      <c r="AE30" s="363">
        <f t="shared" ref="AE30" si="84">AE28+AE29</f>
        <v>8359</v>
      </c>
      <c r="AF30" s="363">
        <f>AF28+AF29</f>
        <v>0</v>
      </c>
      <c r="AG30" s="435">
        <f>AF30/AE30</f>
        <v>0</v>
      </c>
      <c r="AH30" s="363">
        <f t="shared" si="77"/>
        <v>1039958</v>
      </c>
      <c r="AI30" s="363">
        <f t="shared" ref="AI30:AJ30" si="85">AI28+AI29</f>
        <v>1438864</v>
      </c>
      <c r="AJ30" s="363">
        <f t="shared" si="85"/>
        <v>1127524</v>
      </c>
      <c r="AK30" s="435">
        <f t="shared" si="49"/>
        <v>0.78362096765225897</v>
      </c>
      <c r="AL30" s="363">
        <f t="shared" si="77"/>
        <v>10040</v>
      </c>
      <c r="AM30" s="363">
        <f t="shared" ref="AM30" si="86">AM28+AM29</f>
        <v>46154</v>
      </c>
      <c r="AN30" s="363">
        <f>AN28+AN29</f>
        <v>35452</v>
      </c>
      <c r="AO30" s="435">
        <f t="shared" si="51"/>
        <v>0.76812410625297911</v>
      </c>
      <c r="AP30" s="363">
        <f t="shared" si="77"/>
        <v>1049998</v>
      </c>
      <c r="AQ30" s="363">
        <f t="shared" ref="AQ30:AR30" si="87">AQ28+AQ29</f>
        <v>1485018</v>
      </c>
      <c r="AR30" s="363">
        <f t="shared" si="87"/>
        <v>1162976</v>
      </c>
      <c r="AS30" s="435">
        <f t="shared" si="53"/>
        <v>0.78313932895089489</v>
      </c>
      <c r="AT30" s="427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1"/>
      <c r="CE30" s="361"/>
      <c r="CF30" s="361"/>
      <c r="CG30" s="361"/>
      <c r="CH30" s="361"/>
    </row>
    <row r="31" spans="1:86" s="72" customFormat="1" ht="39.950000000000003" customHeight="1">
      <c r="A31" s="68" t="s">
        <v>261</v>
      </c>
      <c r="B31" s="79"/>
      <c r="C31" s="79"/>
      <c r="D31" s="79"/>
      <c r="E31" s="422"/>
      <c r="F31" s="79"/>
      <c r="G31" s="79"/>
      <c r="H31" s="79"/>
      <c r="I31" s="422"/>
      <c r="J31" s="79"/>
      <c r="K31" s="79"/>
      <c r="L31" s="79"/>
      <c r="M31" s="422"/>
      <c r="N31" s="79"/>
      <c r="O31" s="79"/>
      <c r="P31" s="79"/>
      <c r="Q31" s="422"/>
      <c r="R31" s="79"/>
      <c r="S31" s="79"/>
      <c r="T31" s="79"/>
      <c r="U31" s="422"/>
      <c r="V31" s="79"/>
      <c r="W31" s="79"/>
      <c r="X31" s="79"/>
      <c r="Y31" s="422"/>
      <c r="Z31" s="79"/>
      <c r="AA31" s="79"/>
      <c r="AB31" s="79"/>
      <c r="AC31" s="422"/>
      <c r="AD31" s="79"/>
      <c r="AE31" s="79"/>
      <c r="AF31" s="79"/>
      <c r="AG31" s="422"/>
      <c r="AH31" s="79"/>
      <c r="AI31" s="79"/>
      <c r="AJ31" s="79"/>
      <c r="AK31" s="422"/>
      <c r="AL31" s="79"/>
      <c r="AM31" s="79"/>
      <c r="AN31" s="79"/>
      <c r="AO31" s="422"/>
      <c r="AP31" s="79"/>
      <c r="AQ31" s="79"/>
      <c r="AR31" s="79"/>
      <c r="AS31" s="422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</row>
    <row r="32" spans="1:86" s="72" customFormat="1" ht="39.950000000000003" customHeight="1">
      <c r="A32" s="81" t="s">
        <v>114</v>
      </c>
      <c r="B32" s="74">
        <f>182050-35571</f>
        <v>146479</v>
      </c>
      <c r="C32" s="74">
        <v>149858</v>
      </c>
      <c r="D32" s="74">
        <v>137552</v>
      </c>
      <c r="E32" s="419">
        <f t="shared" ref="E32:E34" si="88">D32/C32</f>
        <v>0.91788226187457456</v>
      </c>
      <c r="F32" s="74">
        <f>54123-9604</f>
        <v>44519</v>
      </c>
      <c r="G32" s="74">
        <v>46250</v>
      </c>
      <c r="H32" s="74">
        <v>41235</v>
      </c>
      <c r="I32" s="419">
        <f t="shared" ref="I32:I34" si="89">H32/G32</f>
        <v>0.89156756756756761</v>
      </c>
      <c r="J32" s="74">
        <v>69887</v>
      </c>
      <c r="K32" s="74">
        <f>J32+3049</f>
        <v>72936</v>
      </c>
      <c r="L32" s="74">
        <v>33505</v>
      </c>
      <c r="M32" s="419">
        <f t="shared" ref="M32" si="90">L32/K32</f>
        <v>0.45937534276626085</v>
      </c>
      <c r="N32" s="74"/>
      <c r="O32" s="74"/>
      <c r="P32" s="74"/>
      <c r="Q32" s="419"/>
      <c r="R32" s="74">
        <f>755+15000</f>
        <v>15755</v>
      </c>
      <c r="S32" s="74">
        <f>R32+5163</f>
        <v>20918</v>
      </c>
      <c r="T32" s="74">
        <v>5918</v>
      </c>
      <c r="U32" s="419">
        <f t="shared" ref="U32" si="91">T32/S32</f>
        <v>0.28291423654269049</v>
      </c>
      <c r="V32" s="74">
        <v>4840</v>
      </c>
      <c r="W32" s="74">
        <f>V32+1162</f>
        <v>6002</v>
      </c>
      <c r="X32" s="74">
        <v>4787</v>
      </c>
      <c r="Y32" s="419">
        <f t="shared" ref="Y32" si="92">X32/W32</f>
        <v>0.79756747750749746</v>
      </c>
      <c r="Z32" s="74"/>
      <c r="AA32" s="74"/>
      <c r="AB32" s="74"/>
      <c r="AC32" s="419"/>
      <c r="AD32" s="79"/>
      <c r="AE32" s="79"/>
      <c r="AF32" s="74"/>
      <c r="AG32" s="419"/>
      <c r="AH32" s="74">
        <f t="shared" ref="AH32:AH34" si="93">SUM(B32+F32+J32+N32+R32)</f>
        <v>276640</v>
      </c>
      <c r="AI32" s="74">
        <f t="shared" ref="AI32:AJ34" si="94">SUM(C32+G32+K32+O32+S32)</f>
        <v>289962</v>
      </c>
      <c r="AJ32" s="74">
        <f t="shared" si="94"/>
        <v>218210</v>
      </c>
      <c r="AK32" s="419">
        <f t="shared" ref="AK32:AK34" si="95">AJ32/AI32</f>
        <v>0.75254688545395598</v>
      </c>
      <c r="AL32" s="74">
        <f t="shared" ref="AL32:AN34" si="96">SUM(V32+Z32+AD32)</f>
        <v>4840</v>
      </c>
      <c r="AM32" s="74">
        <f t="shared" si="96"/>
        <v>6002</v>
      </c>
      <c r="AN32" s="74">
        <f t="shared" si="96"/>
        <v>4787</v>
      </c>
      <c r="AO32" s="419">
        <f t="shared" ref="AO32" si="97">AN32/AM32</f>
        <v>0.79756747750749746</v>
      </c>
      <c r="AP32" s="74">
        <f>SUM(AH32+AL32)</f>
        <v>281480</v>
      </c>
      <c r="AQ32" s="74">
        <f t="shared" ref="AQ32:AR34" si="98">SUM(AI32+AM32)</f>
        <v>295964</v>
      </c>
      <c r="AR32" s="74">
        <f>SUM(AJ32+AN32)</f>
        <v>222997</v>
      </c>
      <c r="AS32" s="419">
        <f t="shared" ref="AS32:AS34" si="99">AR32/AQ32</f>
        <v>0.75345988025570676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</row>
    <row r="33" spans="1:86" s="72" customFormat="1" ht="39.950000000000003" customHeight="1">
      <c r="A33" s="77" t="s">
        <v>139</v>
      </c>
      <c r="B33" s="79"/>
      <c r="C33" s="79"/>
      <c r="D33" s="79"/>
      <c r="E33" s="419"/>
      <c r="F33" s="79"/>
      <c r="G33" s="79"/>
      <c r="H33" s="79"/>
      <c r="I33" s="419"/>
      <c r="J33" s="79"/>
      <c r="K33" s="79">
        <v>700</v>
      </c>
      <c r="L33" s="79"/>
      <c r="M33" s="419"/>
      <c r="N33" s="79"/>
      <c r="O33" s="79"/>
      <c r="P33" s="79"/>
      <c r="Q33" s="419"/>
      <c r="R33" s="79"/>
      <c r="S33" s="79"/>
      <c r="T33" s="79"/>
      <c r="U33" s="419"/>
      <c r="V33" s="79"/>
      <c r="W33" s="79"/>
      <c r="X33" s="79"/>
      <c r="Y33" s="419"/>
      <c r="Z33" s="79"/>
      <c r="AA33" s="79"/>
      <c r="AB33" s="79"/>
      <c r="AC33" s="419"/>
      <c r="AD33" s="95"/>
      <c r="AE33" s="95"/>
      <c r="AF33" s="79"/>
      <c r="AG33" s="419"/>
      <c r="AH33" s="74"/>
      <c r="AI33" s="74">
        <f t="shared" si="94"/>
        <v>700</v>
      </c>
      <c r="AJ33" s="74">
        <f t="shared" ref="AJ33" si="100">SUM(D33+H33+L33+P33+T33)</f>
        <v>0</v>
      </c>
      <c r="AK33" s="419">
        <f t="shared" ref="AK33" si="101">AJ33/AI33</f>
        <v>0</v>
      </c>
      <c r="AL33" s="74">
        <f t="shared" ref="AL33" si="102">SUM(V33+Z33+AD33)</f>
        <v>0</v>
      </c>
      <c r="AM33" s="74">
        <f t="shared" ref="AM33" si="103">SUM(W33+AA33+AE33)</f>
        <v>0</v>
      </c>
      <c r="AN33" s="74">
        <f t="shared" ref="AN33" si="104">SUM(X33+AB33+AF33)</f>
        <v>0</v>
      </c>
      <c r="AO33" s="419">
        <v>0</v>
      </c>
      <c r="AP33" s="74">
        <f>SUM(AH33+AL33)</f>
        <v>0</v>
      </c>
      <c r="AQ33" s="74">
        <f t="shared" ref="AQ33" si="105">SUM(AI33+AM33)</f>
        <v>700</v>
      </c>
      <c r="AR33" s="74">
        <f>SUM(AJ33+AN33)</f>
        <v>0</v>
      </c>
      <c r="AS33" s="419">
        <f t="shared" ref="AS33" si="106">AR33/AQ33</f>
        <v>0</v>
      </c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</row>
    <row r="34" spans="1:86" s="87" customFormat="1" ht="39.950000000000003" customHeight="1" thickBot="1">
      <c r="A34" s="82" t="s">
        <v>262</v>
      </c>
      <c r="B34" s="83">
        <v>35571</v>
      </c>
      <c r="C34" s="83">
        <v>35571</v>
      </c>
      <c r="D34" s="83"/>
      <c r="E34" s="419">
        <f t="shared" si="88"/>
        <v>0</v>
      </c>
      <c r="F34" s="83">
        <v>9604</v>
      </c>
      <c r="G34" s="83">
        <v>9604</v>
      </c>
      <c r="H34" s="83"/>
      <c r="I34" s="419">
        <f t="shared" si="89"/>
        <v>0</v>
      </c>
      <c r="J34" s="83"/>
      <c r="K34" s="83"/>
      <c r="L34" s="83"/>
      <c r="M34" s="419"/>
      <c r="N34" s="83"/>
      <c r="O34" s="83"/>
      <c r="P34" s="83"/>
      <c r="Q34" s="419"/>
      <c r="R34" s="83"/>
      <c r="S34" s="83"/>
      <c r="T34" s="83"/>
      <c r="U34" s="419"/>
      <c r="V34" s="83"/>
      <c r="W34" s="83"/>
      <c r="X34" s="83"/>
      <c r="Y34" s="419"/>
      <c r="Z34" s="83"/>
      <c r="AA34" s="83"/>
      <c r="AB34" s="83"/>
      <c r="AC34" s="419"/>
      <c r="AD34" s="83"/>
      <c r="AE34" s="83"/>
      <c r="AF34" s="83"/>
      <c r="AG34" s="419"/>
      <c r="AH34" s="74">
        <f t="shared" si="93"/>
        <v>45175</v>
      </c>
      <c r="AI34" s="74">
        <f t="shared" si="94"/>
        <v>45175</v>
      </c>
      <c r="AJ34" s="74">
        <f t="shared" si="94"/>
        <v>0</v>
      </c>
      <c r="AK34" s="419">
        <f t="shared" si="95"/>
        <v>0</v>
      </c>
      <c r="AL34" s="74">
        <f t="shared" si="96"/>
        <v>0</v>
      </c>
      <c r="AM34" s="74">
        <f t="shared" si="96"/>
        <v>0</v>
      </c>
      <c r="AN34" s="74">
        <f t="shared" si="96"/>
        <v>0</v>
      </c>
      <c r="AO34" s="419">
        <v>0</v>
      </c>
      <c r="AP34" s="74">
        <f>SUM(AH34+AL34)</f>
        <v>45175</v>
      </c>
      <c r="AQ34" s="74">
        <f t="shared" si="98"/>
        <v>45175</v>
      </c>
      <c r="AR34" s="74">
        <f t="shared" si="98"/>
        <v>0</v>
      </c>
      <c r="AS34" s="419">
        <f t="shared" si="99"/>
        <v>0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</row>
    <row r="35" spans="1:86" s="360" customFormat="1" ht="39.950000000000003" customHeight="1" thickBot="1">
      <c r="A35" s="362" t="s">
        <v>263</v>
      </c>
      <c r="B35" s="363">
        <f>SUM(B32:B34)</f>
        <v>182050</v>
      </c>
      <c r="C35" s="363">
        <f>SUM(C32:C34)</f>
        <v>185429</v>
      </c>
      <c r="D35" s="363">
        <f>SUM(D32:D34)</f>
        <v>137552</v>
      </c>
      <c r="E35" s="435">
        <f>D35/C35</f>
        <v>0.74180414066839595</v>
      </c>
      <c r="F35" s="363">
        <f t="shared" ref="F35:AD35" si="107">SUM(F32:F34)</f>
        <v>54123</v>
      </c>
      <c r="G35" s="363">
        <f t="shared" ref="G35" si="108">SUM(G32:G34)</f>
        <v>55854</v>
      </c>
      <c r="H35" s="363">
        <f>SUM(H32:H34)</f>
        <v>41235</v>
      </c>
      <c r="I35" s="435">
        <f>H35/G35</f>
        <v>0.73826404554731984</v>
      </c>
      <c r="J35" s="363">
        <f t="shared" si="107"/>
        <v>69887</v>
      </c>
      <c r="K35" s="363">
        <f t="shared" ref="K35" si="109">SUM(K32:K34)</f>
        <v>73636</v>
      </c>
      <c r="L35" s="363">
        <f>SUM(L32:L34)</f>
        <v>33505</v>
      </c>
      <c r="M35" s="435">
        <f>L35/K35</f>
        <v>0.45500841979466566</v>
      </c>
      <c r="N35" s="363">
        <f t="shared" si="107"/>
        <v>0</v>
      </c>
      <c r="O35" s="363">
        <f t="shared" ref="O35" si="110">SUM(O32:O34)</f>
        <v>0</v>
      </c>
      <c r="P35" s="363">
        <f>SUM(P32:P34)</f>
        <v>0</v>
      </c>
      <c r="Q35" s="435">
        <v>0</v>
      </c>
      <c r="R35" s="363">
        <f t="shared" si="107"/>
        <v>15755</v>
      </c>
      <c r="S35" s="363">
        <f t="shared" ref="S35" si="111">SUM(S32:S34)</f>
        <v>20918</v>
      </c>
      <c r="T35" s="363">
        <f>SUM(T32:T34)</f>
        <v>5918</v>
      </c>
      <c r="U35" s="435">
        <f>T35/S35</f>
        <v>0.28291423654269049</v>
      </c>
      <c r="V35" s="363">
        <f t="shared" si="107"/>
        <v>4840</v>
      </c>
      <c r="W35" s="363">
        <f t="shared" ref="W35" si="112">SUM(W32:W34)</f>
        <v>6002</v>
      </c>
      <c r="X35" s="363">
        <f>SUM(X32:X34)</f>
        <v>4787</v>
      </c>
      <c r="Y35" s="435">
        <f>X35/W35</f>
        <v>0.79756747750749746</v>
      </c>
      <c r="Z35" s="363">
        <f t="shared" si="107"/>
        <v>0</v>
      </c>
      <c r="AA35" s="363">
        <f t="shared" ref="AA35" si="113">SUM(AA32:AA34)</f>
        <v>0</v>
      </c>
      <c r="AB35" s="363">
        <f>SUM(AB32:AB34)</f>
        <v>0</v>
      </c>
      <c r="AC35" s="435">
        <v>0</v>
      </c>
      <c r="AD35" s="363">
        <f t="shared" si="107"/>
        <v>0</v>
      </c>
      <c r="AE35" s="363">
        <f t="shared" ref="AE35" si="114">SUM(AE32:AE34)</f>
        <v>0</v>
      </c>
      <c r="AF35" s="363">
        <f>SUM(AF32:AF34)</f>
        <v>0</v>
      </c>
      <c r="AG35" s="435">
        <v>0</v>
      </c>
      <c r="AH35" s="363">
        <f t="shared" ref="AH35:AQ35" si="115">SUM(AH32:AH34)</f>
        <v>321815</v>
      </c>
      <c r="AI35" s="363">
        <f t="shared" si="115"/>
        <v>335837</v>
      </c>
      <c r="AJ35" s="363">
        <f t="shared" ref="AJ35" si="116">SUM(AJ32:AJ34)</f>
        <v>218210</v>
      </c>
      <c r="AK35" s="435">
        <f>AJ35/AI35</f>
        <v>0.6497497297796252</v>
      </c>
      <c r="AL35" s="363">
        <f t="shared" si="115"/>
        <v>4840</v>
      </c>
      <c r="AM35" s="363">
        <f t="shared" si="115"/>
        <v>6002</v>
      </c>
      <c r="AN35" s="363">
        <f t="shared" ref="AN35" si="117">SUM(AN32:AN34)</f>
        <v>4787</v>
      </c>
      <c r="AO35" s="435">
        <f>AN35/AM35</f>
        <v>0.79756747750749746</v>
      </c>
      <c r="AP35" s="363">
        <f t="shared" si="115"/>
        <v>326655</v>
      </c>
      <c r="AQ35" s="363">
        <f t="shared" si="115"/>
        <v>341839</v>
      </c>
      <c r="AR35" s="363">
        <f t="shared" ref="AR35" si="118">SUM(AR32:AR34)</f>
        <v>222997</v>
      </c>
      <c r="AS35" s="435">
        <f>AR35/AQ35</f>
        <v>0.65234510983240646</v>
      </c>
      <c r="AT35" s="93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</row>
    <row r="36" spans="1:86" s="72" customFormat="1" ht="39.950000000000003" customHeight="1" thickBot="1">
      <c r="A36" s="347" t="s">
        <v>264</v>
      </c>
      <c r="B36" s="348">
        <f t="shared" ref="B36:AD36" si="119">B28+B32</f>
        <v>663617</v>
      </c>
      <c r="C36" s="348">
        <f t="shared" ref="C36:D36" si="120">C28+C32</f>
        <v>926456</v>
      </c>
      <c r="D36" s="348">
        <f t="shared" si="120"/>
        <v>783335</v>
      </c>
      <c r="E36" s="424">
        <f>D36/C36</f>
        <v>0.84551775799390361</v>
      </c>
      <c r="F36" s="348">
        <f t="shared" si="119"/>
        <v>178411</v>
      </c>
      <c r="G36" s="348">
        <f t="shared" ref="G36:H36" si="121">G28+G32</f>
        <v>219696</v>
      </c>
      <c r="H36" s="348">
        <f t="shared" si="121"/>
        <v>187500</v>
      </c>
      <c r="I36" s="424">
        <f>H36/G36</f>
        <v>0.85345204282280973</v>
      </c>
      <c r="J36" s="348">
        <f t="shared" si="119"/>
        <v>393651</v>
      </c>
      <c r="K36" s="348">
        <f t="shared" ref="K36:L36" si="122">K28+K32</f>
        <v>487371</v>
      </c>
      <c r="L36" s="348">
        <f t="shared" si="122"/>
        <v>346062</v>
      </c>
      <c r="M36" s="424">
        <f>L36/K36</f>
        <v>0.71005866167662823</v>
      </c>
      <c r="N36" s="348">
        <f t="shared" si="119"/>
        <v>0</v>
      </c>
      <c r="O36" s="348">
        <f t="shared" ref="O36:P36" si="123">O28+O32</f>
        <v>0</v>
      </c>
      <c r="P36" s="348">
        <f t="shared" si="123"/>
        <v>0</v>
      </c>
      <c r="Q36" s="424">
        <v>0</v>
      </c>
      <c r="R36" s="348">
        <f t="shared" si="119"/>
        <v>43251</v>
      </c>
      <c r="S36" s="348">
        <f t="shared" ref="S36:T36" si="124">S28+S32</f>
        <v>54605</v>
      </c>
      <c r="T36" s="348">
        <f t="shared" si="124"/>
        <v>12150</v>
      </c>
      <c r="U36" s="424">
        <f>T36/S36</f>
        <v>0.22250709641974178</v>
      </c>
      <c r="V36" s="348">
        <f t="shared" si="119"/>
        <v>6880</v>
      </c>
      <c r="W36" s="348">
        <f t="shared" ref="W36:X36" si="125">W28+W32</f>
        <v>35510</v>
      </c>
      <c r="X36" s="348">
        <f t="shared" si="125"/>
        <v>10658</v>
      </c>
      <c r="Y36" s="424">
        <f>X36/W36</f>
        <v>0.30014080540692761</v>
      </c>
      <c r="Z36" s="348">
        <f t="shared" si="119"/>
        <v>0</v>
      </c>
      <c r="AA36" s="348">
        <f t="shared" ref="AA36:AB36" si="126">AA28+AA32</f>
        <v>8166</v>
      </c>
      <c r="AB36" s="348">
        <f t="shared" si="126"/>
        <v>29461</v>
      </c>
      <c r="AC36" s="424">
        <f>AB36/AA36</f>
        <v>3.6077638990938037</v>
      </c>
      <c r="AD36" s="348">
        <f t="shared" si="119"/>
        <v>8000</v>
      </c>
      <c r="AE36" s="348">
        <f t="shared" ref="AE36:AF36" si="127">AE28+AE32</f>
        <v>8359</v>
      </c>
      <c r="AF36" s="348">
        <f t="shared" si="127"/>
        <v>0</v>
      </c>
      <c r="AG36" s="424">
        <f>AF36/AE36</f>
        <v>0</v>
      </c>
      <c r="AH36" s="80">
        <f t="shared" ref="AH36:AH38" si="128">SUM(B36+F36+J36+N36+R36)</f>
        <v>1278930</v>
      </c>
      <c r="AI36" s="80">
        <f t="shared" ref="AI36:AJ38" si="129">SUM(C36+G36+K36+O36+S36)</f>
        <v>1688128</v>
      </c>
      <c r="AJ36" s="80">
        <f t="shared" si="129"/>
        <v>1329047</v>
      </c>
      <c r="AK36" s="424">
        <f>AJ36/AI36</f>
        <v>0.78729041873602001</v>
      </c>
      <c r="AL36" s="80">
        <f>SUM(V36+Z36+AD36)</f>
        <v>14880</v>
      </c>
      <c r="AM36" s="80">
        <f>SUM(W36+AA36+AE36)</f>
        <v>52035</v>
      </c>
      <c r="AN36" s="80">
        <f>SUM(X36+AB36+AF36)</f>
        <v>40119</v>
      </c>
      <c r="AO36" s="424">
        <f>AN36/AM36</f>
        <v>0.77100028826751221</v>
      </c>
      <c r="AP36" s="80">
        <f>SUM(AH36+AL36)</f>
        <v>1293810</v>
      </c>
      <c r="AQ36" s="80">
        <f t="shared" ref="AQ36:AQ38" si="130">SUM(AI36+AM36)</f>
        <v>1740163</v>
      </c>
      <c r="AR36" s="348">
        <f t="shared" ref="AR36" si="131">AR28+AR32</f>
        <v>1369166</v>
      </c>
      <c r="AS36" s="424">
        <f>AR36/AQ36</f>
        <v>0.78680330520761566</v>
      </c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</row>
    <row r="37" spans="1:86" s="72" customFormat="1" ht="39.950000000000003" customHeight="1" thickBot="1">
      <c r="A37" s="88" t="s">
        <v>265</v>
      </c>
      <c r="B37" s="80">
        <f>SUM(B29+B33)</f>
        <v>12361</v>
      </c>
      <c r="C37" s="80">
        <f>SUM(C29+C33)</f>
        <v>12389</v>
      </c>
      <c r="D37" s="80">
        <f>SUM(D29+D33)</f>
        <v>6055</v>
      </c>
      <c r="E37" s="424">
        <f t="shared" ref="E37:E38" si="132">D37/C37</f>
        <v>0.48874001130034705</v>
      </c>
      <c r="F37" s="80">
        <f t="shared" ref="F37:AD37" si="133">SUM(F29+F33)</f>
        <v>3306</v>
      </c>
      <c r="G37" s="80">
        <f t="shared" ref="G37" si="134">SUM(G29+G33)</f>
        <v>3352</v>
      </c>
      <c r="H37" s="80">
        <f>SUM(H29+H33)</f>
        <v>1785</v>
      </c>
      <c r="I37" s="424">
        <f t="shared" ref="I37:I38" si="135">H37/G37</f>
        <v>0.53251789976133657</v>
      </c>
      <c r="J37" s="80">
        <f t="shared" si="133"/>
        <v>9690</v>
      </c>
      <c r="K37" s="80">
        <f t="shared" ref="K37" si="136">SUM(K29+K33)</f>
        <v>10598</v>
      </c>
      <c r="L37" s="80">
        <f>SUM(L29+L33)</f>
        <v>5900</v>
      </c>
      <c r="M37" s="424">
        <f t="shared" ref="M37" si="137">L37/K37</f>
        <v>0.55670881298358177</v>
      </c>
      <c r="N37" s="80">
        <f t="shared" si="133"/>
        <v>0</v>
      </c>
      <c r="O37" s="80">
        <f t="shared" ref="O37" si="138">SUM(O29+O33)</f>
        <v>0</v>
      </c>
      <c r="P37" s="80">
        <f>SUM(P29+P33)</f>
        <v>0</v>
      </c>
      <c r="Q37" s="424">
        <v>0</v>
      </c>
      <c r="R37" s="80">
        <f t="shared" si="133"/>
        <v>12311</v>
      </c>
      <c r="S37" s="80">
        <f t="shared" ref="S37" si="139">SUM(S29+S33)</f>
        <v>15059</v>
      </c>
      <c r="T37" s="80">
        <f>SUM(T29+T33)</f>
        <v>2947</v>
      </c>
      <c r="U37" s="424">
        <f t="shared" ref="U37" si="140">T37/S37</f>
        <v>0.19569692542665515</v>
      </c>
      <c r="V37" s="80">
        <f t="shared" si="133"/>
        <v>0</v>
      </c>
      <c r="W37" s="80">
        <f t="shared" ref="W37" si="141">SUM(W29+W33)</f>
        <v>121</v>
      </c>
      <c r="X37" s="80">
        <f>SUM(X29+X33)</f>
        <v>120</v>
      </c>
      <c r="Y37" s="424">
        <f t="shared" ref="Y37" si="142">X37/W37</f>
        <v>0.99173553719008267</v>
      </c>
      <c r="Z37" s="80">
        <f t="shared" si="133"/>
        <v>0</v>
      </c>
      <c r="AA37" s="80">
        <f t="shared" ref="AA37" si="143">SUM(AA29+AA33)</f>
        <v>0</v>
      </c>
      <c r="AB37" s="80">
        <f>SUM(AB29+AB33)</f>
        <v>0</v>
      </c>
      <c r="AC37" s="424">
        <v>0</v>
      </c>
      <c r="AD37" s="80">
        <f t="shared" si="133"/>
        <v>0</v>
      </c>
      <c r="AE37" s="80">
        <f t="shared" ref="AE37" si="144">SUM(AE29+AE33)</f>
        <v>0</v>
      </c>
      <c r="AF37" s="80">
        <f>SUM(AF29+AF33)</f>
        <v>0</v>
      </c>
      <c r="AG37" s="424">
        <v>0</v>
      </c>
      <c r="AH37" s="89">
        <f t="shared" si="128"/>
        <v>37668</v>
      </c>
      <c r="AI37" s="89">
        <f t="shared" si="129"/>
        <v>41398</v>
      </c>
      <c r="AJ37" s="89">
        <f t="shared" si="129"/>
        <v>16687</v>
      </c>
      <c r="AK37" s="424">
        <f t="shared" ref="AK37:AK38" si="145">AJ37/AI37</f>
        <v>0.40308710565727812</v>
      </c>
      <c r="AL37" s="89">
        <f>SUM(V37+Z37+AD37)</f>
        <v>0</v>
      </c>
      <c r="AM37" s="89">
        <f>SUM(W37+AA37+AE37)</f>
        <v>121</v>
      </c>
      <c r="AN37" s="89">
        <f>SUM(AN29+AN33)</f>
        <v>120</v>
      </c>
      <c r="AO37" s="424">
        <f t="shared" ref="AO37" si="146">AN37/AM37</f>
        <v>0.99173553719008267</v>
      </c>
      <c r="AP37" s="89">
        <f>SUM(AH37+AL37)</f>
        <v>37668</v>
      </c>
      <c r="AQ37" s="89">
        <f t="shared" si="130"/>
        <v>41519</v>
      </c>
      <c r="AR37" s="80">
        <f>SUM(AR29+AR33)</f>
        <v>16807</v>
      </c>
      <c r="AS37" s="424">
        <f t="shared" ref="AS37:AS38" si="147">AR37/AQ37</f>
        <v>0.40480262048700594</v>
      </c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</row>
    <row r="38" spans="1:86" ht="39.950000000000003" customHeight="1" thickBot="1">
      <c r="A38" s="349" t="s">
        <v>266</v>
      </c>
      <c r="B38" s="90">
        <f>SUM(B34)</f>
        <v>35571</v>
      </c>
      <c r="C38" s="90">
        <f>SUM(C34)</f>
        <v>35571</v>
      </c>
      <c r="D38" s="90">
        <f>SUM(D34)</f>
        <v>0</v>
      </c>
      <c r="E38" s="424">
        <f t="shared" si="132"/>
        <v>0</v>
      </c>
      <c r="F38" s="90">
        <f t="shared" ref="F38:AD38" si="148">SUM(F34)</f>
        <v>9604</v>
      </c>
      <c r="G38" s="90">
        <f t="shared" ref="G38" si="149">SUM(G34)</f>
        <v>9604</v>
      </c>
      <c r="H38" s="90">
        <f>SUM(H34)</f>
        <v>0</v>
      </c>
      <c r="I38" s="424">
        <f t="shared" si="135"/>
        <v>0</v>
      </c>
      <c r="J38" s="90">
        <f t="shared" si="148"/>
        <v>0</v>
      </c>
      <c r="K38" s="90">
        <f t="shared" ref="K38" si="150">SUM(K34)</f>
        <v>0</v>
      </c>
      <c r="L38" s="90">
        <f>SUM(L34)</f>
        <v>0</v>
      </c>
      <c r="M38" s="424">
        <v>0</v>
      </c>
      <c r="N38" s="90">
        <f t="shared" si="148"/>
        <v>0</v>
      </c>
      <c r="O38" s="90">
        <f t="shared" ref="O38" si="151">SUM(O34)</f>
        <v>0</v>
      </c>
      <c r="P38" s="90">
        <f>SUM(P34)</f>
        <v>0</v>
      </c>
      <c r="Q38" s="424">
        <v>0</v>
      </c>
      <c r="R38" s="90">
        <f t="shared" si="148"/>
        <v>0</v>
      </c>
      <c r="S38" s="90">
        <f t="shared" ref="S38" si="152">SUM(S34)</f>
        <v>0</v>
      </c>
      <c r="T38" s="90">
        <f>SUM(T34)</f>
        <v>0</v>
      </c>
      <c r="U38" s="424">
        <v>0</v>
      </c>
      <c r="V38" s="90">
        <f t="shared" si="148"/>
        <v>0</v>
      </c>
      <c r="W38" s="90">
        <f t="shared" ref="W38" si="153">SUM(W34)</f>
        <v>0</v>
      </c>
      <c r="X38" s="90">
        <f>SUM(X34)</f>
        <v>0</v>
      </c>
      <c r="Y38" s="424">
        <v>0</v>
      </c>
      <c r="Z38" s="90">
        <f t="shared" si="148"/>
        <v>0</v>
      </c>
      <c r="AA38" s="90">
        <f t="shared" ref="AA38" si="154">SUM(AA34)</f>
        <v>0</v>
      </c>
      <c r="AB38" s="90">
        <f>SUM(AB34)</f>
        <v>0</v>
      </c>
      <c r="AC38" s="424">
        <v>0</v>
      </c>
      <c r="AD38" s="90">
        <f t="shared" si="148"/>
        <v>0</v>
      </c>
      <c r="AE38" s="90">
        <f t="shared" ref="AE38" si="155">SUM(AE34)</f>
        <v>0</v>
      </c>
      <c r="AF38" s="90">
        <f>SUM(AF34)</f>
        <v>0</v>
      </c>
      <c r="AG38" s="424">
        <v>0</v>
      </c>
      <c r="AH38" s="75">
        <f t="shared" si="128"/>
        <v>45175</v>
      </c>
      <c r="AI38" s="75">
        <f t="shared" si="129"/>
        <v>45175</v>
      </c>
      <c r="AJ38" s="75">
        <f t="shared" si="129"/>
        <v>0</v>
      </c>
      <c r="AK38" s="424">
        <f t="shared" si="145"/>
        <v>0</v>
      </c>
      <c r="AL38" s="75">
        <f>SUM(V38+Z38+AD38)</f>
        <v>0</v>
      </c>
      <c r="AM38" s="75">
        <f>SUM(W38+AA38+AE38)</f>
        <v>0</v>
      </c>
      <c r="AN38" s="90">
        <f>SUM(AN34)</f>
        <v>0</v>
      </c>
      <c r="AO38" s="424">
        <v>0</v>
      </c>
      <c r="AP38" s="75">
        <f>SUM(AH38+AL38)</f>
        <v>45175</v>
      </c>
      <c r="AQ38" s="75">
        <f t="shared" si="130"/>
        <v>45175</v>
      </c>
      <c r="AR38" s="90">
        <f>SUM(AR34)</f>
        <v>0</v>
      </c>
      <c r="AS38" s="424">
        <f t="shared" si="147"/>
        <v>0</v>
      </c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</row>
    <row r="39" spans="1:86" s="359" customFormat="1" ht="39.950000000000003" customHeight="1" thickBot="1">
      <c r="A39" s="362" t="s">
        <v>267</v>
      </c>
      <c r="B39" s="363">
        <f>SUM(B36:B38)</f>
        <v>711549</v>
      </c>
      <c r="C39" s="363">
        <f>SUM(C36:C38)</f>
        <v>974416</v>
      </c>
      <c r="D39" s="363">
        <f>SUM(D36:D38)</f>
        <v>789390</v>
      </c>
      <c r="E39" s="435">
        <f>D39/C39</f>
        <v>0.8101160079473243</v>
      </c>
      <c r="F39" s="363">
        <f t="shared" ref="F39:AP39" si="156">SUM(F36:F38)</f>
        <v>191321</v>
      </c>
      <c r="G39" s="363">
        <f t="shared" ref="G39" si="157">SUM(G36:G38)</f>
        <v>232652</v>
      </c>
      <c r="H39" s="363">
        <f>SUM(H36:H38)</f>
        <v>189285</v>
      </c>
      <c r="I39" s="435">
        <f>H39/G39</f>
        <v>0.81359713219744512</v>
      </c>
      <c r="J39" s="363">
        <f t="shared" si="156"/>
        <v>403341</v>
      </c>
      <c r="K39" s="363">
        <f t="shared" ref="K39" si="158">SUM(K36:K38)</f>
        <v>497969</v>
      </c>
      <c r="L39" s="363">
        <f>SUM(L36:L38)</f>
        <v>351962</v>
      </c>
      <c r="M39" s="435">
        <f>L39/K39</f>
        <v>0.7067950012952614</v>
      </c>
      <c r="N39" s="363">
        <f t="shared" si="156"/>
        <v>0</v>
      </c>
      <c r="O39" s="363">
        <f t="shared" ref="O39" si="159">SUM(O36:O38)</f>
        <v>0</v>
      </c>
      <c r="P39" s="363">
        <f>SUM(P36:P38)</f>
        <v>0</v>
      </c>
      <c r="Q39" s="435">
        <v>0</v>
      </c>
      <c r="R39" s="363">
        <f t="shared" si="156"/>
        <v>55562</v>
      </c>
      <c r="S39" s="363">
        <f t="shared" ref="S39" si="160">SUM(S36:S38)</f>
        <v>69664</v>
      </c>
      <c r="T39" s="363">
        <f>SUM(T36:T38)</f>
        <v>15097</v>
      </c>
      <c r="U39" s="435">
        <f>T39/S39</f>
        <v>0.21671164446485991</v>
      </c>
      <c r="V39" s="363">
        <f t="shared" si="156"/>
        <v>6880</v>
      </c>
      <c r="W39" s="363">
        <f>SUM(W36:W38)</f>
        <v>35631</v>
      </c>
      <c r="X39" s="363">
        <f>SUM(X36:X38)</f>
        <v>10778</v>
      </c>
      <c r="Y39" s="435">
        <f>X39/W39</f>
        <v>0.30248940529314361</v>
      </c>
      <c r="Z39" s="363">
        <f t="shared" si="156"/>
        <v>0</v>
      </c>
      <c r="AA39" s="363">
        <f t="shared" ref="AA39" si="161">SUM(AA36:AA38)</f>
        <v>8166</v>
      </c>
      <c r="AB39" s="363">
        <f>SUM(AB36:AB38)</f>
        <v>29461</v>
      </c>
      <c r="AC39" s="435">
        <f>AB39/AA39</f>
        <v>3.6077638990938037</v>
      </c>
      <c r="AD39" s="363">
        <f t="shared" si="156"/>
        <v>8000</v>
      </c>
      <c r="AE39" s="363">
        <f t="shared" ref="AE39" si="162">SUM(AE36:AE38)</f>
        <v>8359</v>
      </c>
      <c r="AF39" s="363">
        <f>SUM(AF36:AF38)</f>
        <v>0</v>
      </c>
      <c r="AG39" s="435">
        <f>AF39/AE39</f>
        <v>0</v>
      </c>
      <c r="AH39" s="363">
        <f t="shared" si="156"/>
        <v>1361773</v>
      </c>
      <c r="AI39" s="363">
        <f t="shared" ref="AI39:AJ39" si="163">SUM(AI36:AI38)</f>
        <v>1774701</v>
      </c>
      <c r="AJ39" s="363">
        <f t="shared" si="163"/>
        <v>1345734</v>
      </c>
      <c r="AK39" s="435">
        <f>AJ39/AI39</f>
        <v>0.75828773410281503</v>
      </c>
      <c r="AL39" s="363">
        <f t="shared" si="156"/>
        <v>14880</v>
      </c>
      <c r="AM39" s="363">
        <f t="shared" ref="AM39" si="164">SUM(AM36:AM38)</f>
        <v>52156</v>
      </c>
      <c r="AN39" s="363">
        <f>SUM(AN36:AN38)</f>
        <v>40239</v>
      </c>
      <c r="AO39" s="435">
        <f>AN39/AM39</f>
        <v>0.7715123859191656</v>
      </c>
      <c r="AP39" s="363">
        <f t="shared" si="156"/>
        <v>1376653</v>
      </c>
      <c r="AQ39" s="363">
        <f t="shared" ref="AQ39" si="165">SUM(AQ36:AQ38)</f>
        <v>1826857</v>
      </c>
      <c r="AR39" s="363">
        <f>SUM(AR36:AR38)</f>
        <v>1385973</v>
      </c>
      <c r="AS39" s="435">
        <f>AR39/AQ39</f>
        <v>0.75866529235731095</v>
      </c>
      <c r="AT39" s="93"/>
      <c r="AU39" s="428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</row>
    <row r="40" spans="1:86" s="59" customFormat="1" ht="12.75">
      <c r="A40" s="96"/>
      <c r="B40" s="97"/>
      <c r="C40" s="97"/>
      <c r="D40" s="97"/>
      <c r="E40" s="436"/>
      <c r="F40" s="97"/>
      <c r="G40" s="97"/>
      <c r="H40" s="97"/>
      <c r="I40" s="436"/>
      <c r="J40" s="97"/>
      <c r="K40" s="97"/>
      <c r="L40" s="97"/>
      <c r="M40" s="436"/>
      <c r="N40" s="97"/>
      <c r="O40" s="97"/>
      <c r="P40" s="97"/>
      <c r="Q40" s="436"/>
      <c r="R40" s="97"/>
      <c r="S40" s="97"/>
      <c r="T40" s="97"/>
      <c r="U40" s="436"/>
      <c r="V40" s="97"/>
      <c r="W40" s="97"/>
      <c r="X40" s="97"/>
      <c r="Y40" s="436"/>
      <c r="Z40" s="97"/>
      <c r="AA40" s="97"/>
      <c r="AB40" s="97"/>
      <c r="AC40" s="436"/>
      <c r="AD40" s="97"/>
      <c r="AE40" s="97"/>
      <c r="AF40" s="97"/>
      <c r="AG40" s="436"/>
      <c r="AH40" s="97"/>
      <c r="AI40" s="97"/>
      <c r="AJ40" s="97"/>
      <c r="AK40" s="436"/>
      <c r="AL40" s="97"/>
      <c r="AM40" s="97"/>
      <c r="AN40" s="97"/>
      <c r="AO40" s="436"/>
      <c r="AP40" s="97"/>
      <c r="AQ40" s="97"/>
      <c r="AR40" s="97"/>
      <c r="AS40" s="436"/>
      <c r="AT40" s="97"/>
      <c r="AU40" s="97"/>
      <c r="AV40" s="97"/>
      <c r="AW40" s="97"/>
      <c r="AX40" s="97"/>
      <c r="AY40" s="97"/>
      <c r="AZ40" s="97"/>
      <c r="BA40" s="97"/>
    </row>
    <row r="41" spans="1:86" s="59" customFormat="1" ht="17.25" customHeight="1">
      <c r="A41" s="97"/>
      <c r="B41" s="97"/>
      <c r="C41" s="97"/>
      <c r="D41" s="97"/>
      <c r="E41" s="436"/>
      <c r="F41" s="97"/>
      <c r="G41" s="97"/>
      <c r="H41" s="97"/>
      <c r="I41" s="436"/>
      <c r="J41" s="97"/>
      <c r="K41" s="97"/>
      <c r="L41" s="97"/>
      <c r="M41" s="436"/>
      <c r="N41" s="97"/>
      <c r="O41" s="97"/>
      <c r="P41" s="97"/>
      <c r="Q41" s="436"/>
      <c r="R41" s="97"/>
      <c r="S41" s="97"/>
      <c r="T41" s="97"/>
      <c r="U41" s="436"/>
      <c r="V41" s="97"/>
      <c r="W41" s="97"/>
      <c r="X41" s="97"/>
      <c r="Y41" s="436"/>
      <c r="Z41" s="97"/>
      <c r="AA41" s="97"/>
      <c r="AB41" s="97"/>
      <c r="AC41" s="436"/>
      <c r="AD41" s="97"/>
      <c r="AE41" s="97"/>
      <c r="AF41" s="97"/>
      <c r="AG41" s="436"/>
      <c r="AH41" s="97"/>
      <c r="AI41" s="97"/>
      <c r="AJ41" s="97"/>
      <c r="AK41" s="436"/>
      <c r="AL41" s="97"/>
      <c r="AM41" s="97"/>
      <c r="AN41" s="97"/>
      <c r="AO41" s="436"/>
      <c r="AP41" s="97"/>
      <c r="AQ41" s="97"/>
      <c r="AR41" s="429"/>
      <c r="AS41" s="436"/>
      <c r="AT41" s="97"/>
      <c r="AU41" s="97"/>
      <c r="AV41" s="97"/>
      <c r="AW41" s="97"/>
      <c r="AX41" s="97"/>
      <c r="AY41" s="97"/>
      <c r="AZ41" s="97"/>
      <c r="BA41" s="97"/>
    </row>
    <row r="42" spans="1:86" s="59" customFormat="1" ht="12.75">
      <c r="A42" s="97"/>
      <c r="B42" s="97"/>
      <c r="C42" s="97"/>
      <c r="D42" s="97"/>
      <c r="E42" s="436"/>
      <c r="F42" s="97"/>
      <c r="G42" s="97"/>
      <c r="H42" s="97"/>
      <c r="I42" s="436"/>
      <c r="J42" s="97"/>
      <c r="K42" s="97"/>
      <c r="L42" s="97"/>
      <c r="M42" s="436"/>
      <c r="N42" s="97"/>
      <c r="O42" s="97"/>
      <c r="P42" s="97"/>
      <c r="Q42" s="436"/>
      <c r="R42" s="97"/>
      <c r="S42" s="97"/>
      <c r="T42" s="97"/>
      <c r="U42" s="436"/>
      <c r="V42" s="97"/>
      <c r="W42" s="97"/>
      <c r="X42" s="97"/>
      <c r="Y42" s="436"/>
      <c r="Z42" s="97"/>
      <c r="AA42" s="97"/>
      <c r="AB42" s="97"/>
      <c r="AC42" s="436"/>
      <c r="AD42" s="97"/>
      <c r="AE42" s="97"/>
      <c r="AF42" s="97"/>
      <c r="AG42" s="436"/>
      <c r="AH42" s="97"/>
      <c r="AI42" s="97"/>
      <c r="AJ42" s="97"/>
      <c r="AK42" s="436"/>
      <c r="AL42" s="97"/>
      <c r="AM42" s="97"/>
      <c r="AN42" s="97"/>
      <c r="AO42" s="436"/>
      <c r="AP42" s="97"/>
      <c r="AQ42" s="97"/>
      <c r="AR42" s="97"/>
      <c r="AS42" s="436"/>
      <c r="AT42" s="97"/>
      <c r="AU42" s="97"/>
      <c r="AV42" s="97"/>
      <c r="AW42" s="97"/>
      <c r="AX42" s="97"/>
      <c r="AY42" s="97"/>
      <c r="AZ42" s="97"/>
      <c r="BA42" s="97"/>
    </row>
    <row r="43" spans="1:86" s="59" customFormat="1" ht="17.25" customHeight="1">
      <c r="A43" s="97"/>
      <c r="B43" s="97"/>
      <c r="C43" s="97"/>
      <c r="D43" s="97"/>
      <c r="E43" s="436"/>
      <c r="F43" s="97"/>
      <c r="G43" s="97"/>
      <c r="H43" s="97"/>
      <c r="I43" s="436"/>
      <c r="J43" s="97"/>
      <c r="K43" s="97"/>
      <c r="L43" s="97"/>
      <c r="M43" s="436"/>
      <c r="N43" s="97"/>
      <c r="O43" s="97"/>
      <c r="P43" s="97"/>
      <c r="Q43" s="436"/>
      <c r="R43" s="97"/>
      <c r="S43" s="97"/>
      <c r="T43" s="97"/>
      <c r="U43" s="436"/>
      <c r="V43" s="97"/>
      <c r="W43" s="97"/>
      <c r="X43" s="97"/>
      <c r="Y43" s="436"/>
      <c r="Z43" s="97"/>
      <c r="AA43" s="97"/>
      <c r="AB43" s="97"/>
      <c r="AC43" s="436"/>
      <c r="AD43" s="97"/>
      <c r="AE43" s="97"/>
      <c r="AF43" s="97"/>
      <c r="AG43" s="436"/>
      <c r="AH43" s="97"/>
      <c r="AI43" s="97"/>
      <c r="AJ43" s="97"/>
      <c r="AK43" s="436"/>
      <c r="AL43" s="97"/>
      <c r="AM43" s="97"/>
      <c r="AN43" s="97"/>
      <c r="AO43" s="436"/>
      <c r="AP43" s="97"/>
      <c r="AQ43" s="97"/>
      <c r="AR43" s="97"/>
      <c r="AS43" s="436"/>
      <c r="AT43" s="97"/>
      <c r="AU43" s="97"/>
      <c r="AV43" s="97"/>
      <c r="AW43" s="97"/>
      <c r="AX43" s="97"/>
      <c r="AY43" s="97"/>
      <c r="AZ43" s="97"/>
      <c r="BA43" s="97"/>
    </row>
    <row r="44" spans="1:86" s="59" customFormat="1" ht="12.75">
      <c r="A44" s="97"/>
      <c r="B44" s="97"/>
      <c r="C44" s="97"/>
      <c r="D44" s="97"/>
      <c r="E44" s="436"/>
      <c r="F44" s="97"/>
      <c r="G44" s="97"/>
      <c r="H44" s="97"/>
      <c r="I44" s="436"/>
      <c r="J44" s="97"/>
      <c r="K44" s="97"/>
      <c r="L44" s="97"/>
      <c r="M44" s="436"/>
      <c r="N44" s="97"/>
      <c r="O44" s="97"/>
      <c r="P44" s="97"/>
      <c r="Q44" s="436"/>
      <c r="R44" s="97"/>
      <c r="S44" s="97"/>
      <c r="T44" s="97"/>
      <c r="U44" s="436"/>
      <c r="V44" s="97"/>
      <c r="W44" s="97"/>
      <c r="X44" s="97"/>
      <c r="Y44" s="436"/>
      <c r="Z44" s="97"/>
      <c r="AA44" s="97"/>
      <c r="AB44" s="97"/>
      <c r="AC44" s="436"/>
      <c r="AD44" s="97"/>
      <c r="AE44" s="97"/>
      <c r="AF44" s="97"/>
      <c r="AG44" s="436"/>
      <c r="AH44" s="97"/>
      <c r="AI44" s="97"/>
      <c r="AJ44" s="97"/>
      <c r="AK44" s="436"/>
      <c r="AL44" s="97"/>
      <c r="AM44" s="97"/>
      <c r="AN44" s="97"/>
      <c r="AO44" s="436"/>
      <c r="AP44" s="97"/>
      <c r="AQ44" s="97"/>
      <c r="AR44" s="97"/>
      <c r="AS44" s="436"/>
      <c r="AT44" s="97"/>
      <c r="AU44" s="97"/>
      <c r="AV44" s="97"/>
      <c r="AW44" s="97"/>
      <c r="AX44" s="97"/>
      <c r="AY44" s="97"/>
      <c r="AZ44" s="97"/>
      <c r="BA44" s="97"/>
    </row>
    <row r="45" spans="1:86" s="59" customFormat="1" ht="17.25" customHeight="1">
      <c r="A45" s="97"/>
      <c r="B45" s="97"/>
      <c r="C45" s="97"/>
      <c r="D45" s="97"/>
      <c r="E45" s="436"/>
      <c r="F45" s="97"/>
      <c r="G45" s="97"/>
      <c r="H45" s="97"/>
      <c r="I45" s="436"/>
      <c r="J45" s="97"/>
      <c r="K45" s="97"/>
      <c r="L45" s="97"/>
      <c r="M45" s="436"/>
      <c r="N45" s="97"/>
      <c r="O45" s="97"/>
      <c r="P45" s="97"/>
      <c r="Q45" s="436"/>
      <c r="R45" s="97"/>
      <c r="S45" s="97"/>
      <c r="T45" s="97"/>
      <c r="U45" s="436"/>
      <c r="V45" s="97"/>
      <c r="W45" s="97"/>
      <c r="X45" s="97"/>
      <c r="Y45" s="436"/>
      <c r="Z45" s="97"/>
      <c r="AA45" s="97"/>
      <c r="AB45" s="97"/>
      <c r="AC45" s="436"/>
      <c r="AD45" s="97"/>
      <c r="AE45" s="97"/>
      <c r="AF45" s="97"/>
      <c r="AG45" s="436"/>
      <c r="AH45" s="97"/>
      <c r="AI45" s="97"/>
      <c r="AJ45" s="97"/>
      <c r="AK45" s="436"/>
      <c r="AL45" s="97"/>
      <c r="AM45" s="97"/>
      <c r="AN45" s="97"/>
      <c r="AO45" s="436"/>
      <c r="AP45" s="97"/>
      <c r="AQ45" s="97"/>
      <c r="AR45" s="97"/>
      <c r="AS45" s="436"/>
      <c r="AT45" s="97"/>
      <c r="AU45" s="97"/>
      <c r="AV45" s="97"/>
      <c r="AW45" s="97"/>
      <c r="AX45" s="97"/>
      <c r="AY45" s="97"/>
      <c r="AZ45" s="97"/>
      <c r="BA45" s="97"/>
    </row>
    <row r="46" spans="1:86" s="59" customFormat="1" ht="12.75">
      <c r="A46" s="97"/>
      <c r="B46" s="97"/>
      <c r="C46" s="97"/>
      <c r="D46" s="97"/>
      <c r="E46" s="436"/>
      <c r="F46" s="97"/>
      <c r="G46" s="97"/>
      <c r="H46" s="97"/>
      <c r="I46" s="436"/>
      <c r="J46" s="97"/>
      <c r="K46" s="97"/>
      <c r="L46" s="97"/>
      <c r="M46" s="436"/>
      <c r="N46" s="97"/>
      <c r="O46" s="97"/>
      <c r="P46" s="97"/>
      <c r="Q46" s="436"/>
      <c r="R46" s="97"/>
      <c r="S46" s="97"/>
      <c r="T46" s="97"/>
      <c r="U46" s="436"/>
      <c r="V46" s="97"/>
      <c r="W46" s="97"/>
      <c r="X46" s="97"/>
      <c r="Y46" s="436"/>
      <c r="Z46" s="97"/>
      <c r="AA46" s="97"/>
      <c r="AB46" s="97"/>
      <c r="AC46" s="436"/>
      <c r="AD46" s="97"/>
      <c r="AE46" s="97"/>
      <c r="AF46" s="97"/>
      <c r="AG46" s="436"/>
      <c r="AH46" s="97"/>
      <c r="AI46" s="97"/>
      <c r="AJ46" s="97"/>
      <c r="AK46" s="436"/>
      <c r="AL46" s="97"/>
      <c r="AM46" s="97"/>
      <c r="AN46" s="97"/>
      <c r="AO46" s="436"/>
      <c r="AP46" s="97"/>
      <c r="AQ46" s="97"/>
      <c r="AR46" s="97"/>
      <c r="AS46" s="436"/>
      <c r="AT46" s="97"/>
      <c r="AU46" s="97"/>
      <c r="AV46" s="97"/>
      <c r="AW46" s="97"/>
      <c r="AX46" s="97"/>
      <c r="AY46" s="97"/>
      <c r="AZ46" s="97"/>
      <c r="BA46" s="97"/>
    </row>
    <row r="47" spans="1:86" s="59" customFormat="1" ht="17.25" customHeight="1">
      <c r="A47" s="97"/>
      <c r="B47" s="97"/>
      <c r="C47" s="97"/>
      <c r="D47" s="97"/>
      <c r="E47" s="436"/>
      <c r="F47" s="97"/>
      <c r="G47" s="97"/>
      <c r="H47" s="97"/>
      <c r="I47" s="436"/>
      <c r="J47" s="97"/>
      <c r="K47" s="97"/>
      <c r="L47" s="97"/>
      <c r="M47" s="436"/>
      <c r="N47" s="97"/>
      <c r="O47" s="97"/>
      <c r="P47" s="97"/>
      <c r="Q47" s="436"/>
      <c r="R47" s="97"/>
      <c r="S47" s="97"/>
      <c r="T47" s="97"/>
      <c r="U47" s="436"/>
      <c r="V47" s="97"/>
      <c r="W47" s="97"/>
      <c r="X47" s="97"/>
      <c r="Y47" s="436"/>
      <c r="Z47" s="97"/>
      <c r="AA47" s="97"/>
      <c r="AB47" s="97"/>
      <c r="AC47" s="436"/>
      <c r="AD47" s="97"/>
      <c r="AE47" s="97"/>
      <c r="AF47" s="97"/>
      <c r="AG47" s="436"/>
      <c r="AH47" s="97"/>
      <c r="AI47" s="97"/>
      <c r="AJ47" s="97"/>
      <c r="AK47" s="436"/>
      <c r="AL47" s="97"/>
      <c r="AM47" s="97"/>
      <c r="AN47" s="97"/>
      <c r="AO47" s="436"/>
      <c r="AP47" s="97"/>
      <c r="AQ47" s="97"/>
      <c r="AR47" s="97"/>
      <c r="AS47" s="436"/>
      <c r="AT47" s="97"/>
      <c r="AU47" s="97"/>
      <c r="AV47" s="97"/>
      <c r="AW47" s="97"/>
      <c r="AX47" s="97"/>
      <c r="AY47" s="97"/>
      <c r="AZ47" s="97"/>
      <c r="BA47" s="97"/>
    </row>
    <row r="48" spans="1:86" s="59" customFormat="1" ht="12.75">
      <c r="A48" s="97"/>
      <c r="B48" s="97"/>
      <c r="C48" s="97"/>
      <c r="D48" s="97"/>
      <c r="E48" s="436"/>
      <c r="F48" s="97"/>
      <c r="G48" s="97"/>
      <c r="H48" s="97"/>
      <c r="I48" s="436"/>
      <c r="J48" s="97"/>
      <c r="K48" s="97"/>
      <c r="L48" s="97"/>
      <c r="M48" s="436"/>
      <c r="N48" s="97"/>
      <c r="O48" s="97"/>
      <c r="P48" s="97"/>
      <c r="Q48" s="436"/>
      <c r="R48" s="97"/>
      <c r="S48" s="97"/>
      <c r="T48" s="97"/>
      <c r="U48" s="436"/>
      <c r="V48" s="97"/>
      <c r="W48" s="97"/>
      <c r="X48" s="97"/>
      <c r="Y48" s="436"/>
      <c r="Z48" s="97"/>
      <c r="AA48" s="97"/>
      <c r="AB48" s="97"/>
      <c r="AC48" s="436"/>
      <c r="AD48" s="97"/>
      <c r="AE48" s="97"/>
      <c r="AF48" s="97"/>
      <c r="AG48" s="436"/>
      <c r="AH48" s="97"/>
      <c r="AI48" s="97"/>
      <c r="AJ48" s="97"/>
      <c r="AK48" s="436"/>
      <c r="AL48" s="97"/>
      <c r="AM48" s="97"/>
      <c r="AN48" s="97"/>
      <c r="AO48" s="436"/>
      <c r="AP48" s="97"/>
      <c r="AQ48" s="97"/>
      <c r="AR48" s="97"/>
      <c r="AS48" s="436"/>
      <c r="AT48" s="97"/>
      <c r="AU48" s="97"/>
      <c r="AV48" s="97"/>
      <c r="AW48" s="97"/>
      <c r="AX48" s="97"/>
      <c r="AY48" s="97"/>
      <c r="AZ48" s="97"/>
      <c r="BA48" s="97"/>
    </row>
    <row r="49" spans="1:53" s="59" customFormat="1" ht="17.25" customHeight="1">
      <c r="A49" s="97"/>
      <c r="B49" s="97"/>
      <c r="C49" s="97"/>
      <c r="D49" s="97"/>
      <c r="E49" s="436"/>
      <c r="F49" s="97"/>
      <c r="G49" s="97"/>
      <c r="H49" s="97"/>
      <c r="I49" s="436"/>
      <c r="J49" s="97"/>
      <c r="K49" s="97"/>
      <c r="L49" s="97"/>
      <c r="M49" s="436"/>
      <c r="N49" s="97"/>
      <c r="O49" s="97"/>
      <c r="P49" s="97"/>
      <c r="Q49" s="436"/>
      <c r="R49" s="97"/>
      <c r="S49" s="97"/>
      <c r="T49" s="97"/>
      <c r="U49" s="436"/>
      <c r="V49" s="97"/>
      <c r="W49" s="97"/>
      <c r="X49" s="97"/>
      <c r="Y49" s="436"/>
      <c r="Z49" s="97"/>
      <c r="AA49" s="97"/>
      <c r="AB49" s="97"/>
      <c r="AC49" s="436"/>
      <c r="AD49" s="97"/>
      <c r="AE49" s="97"/>
      <c r="AF49" s="97"/>
      <c r="AG49" s="436"/>
      <c r="AH49" s="97"/>
      <c r="AI49" s="97"/>
      <c r="AJ49" s="97"/>
      <c r="AK49" s="436"/>
      <c r="AL49" s="97"/>
      <c r="AM49" s="97"/>
      <c r="AN49" s="97"/>
      <c r="AO49" s="436"/>
      <c r="AP49" s="97"/>
      <c r="AQ49" s="97"/>
      <c r="AR49" s="97"/>
      <c r="AS49" s="436"/>
      <c r="AT49" s="97"/>
      <c r="AU49" s="97"/>
      <c r="AV49" s="97"/>
      <c r="AW49" s="97"/>
      <c r="AX49" s="97"/>
      <c r="AY49" s="97"/>
      <c r="AZ49" s="97"/>
      <c r="BA49" s="97"/>
    </row>
    <row r="50" spans="1:53" s="59" customFormat="1" ht="12.75">
      <c r="A50" s="97"/>
      <c r="B50" s="97"/>
      <c r="C50" s="97"/>
      <c r="D50" s="97"/>
      <c r="E50" s="436"/>
      <c r="F50" s="97"/>
      <c r="G50" s="97"/>
      <c r="H50" s="97"/>
      <c r="I50" s="436"/>
      <c r="J50" s="97"/>
      <c r="K50" s="97"/>
      <c r="L50" s="97"/>
      <c r="M50" s="436"/>
      <c r="N50" s="97"/>
      <c r="O50" s="97"/>
      <c r="P50" s="97"/>
      <c r="Q50" s="436"/>
      <c r="R50" s="97"/>
      <c r="S50" s="97"/>
      <c r="T50" s="97"/>
      <c r="U50" s="436"/>
      <c r="V50" s="97"/>
      <c r="W50" s="97"/>
      <c r="X50" s="97"/>
      <c r="Y50" s="436"/>
      <c r="Z50" s="97"/>
      <c r="AA50" s="97"/>
      <c r="AB50" s="97"/>
      <c r="AC50" s="436"/>
      <c r="AD50" s="97"/>
      <c r="AE50" s="97"/>
      <c r="AF50" s="97"/>
      <c r="AG50" s="436"/>
      <c r="AH50" s="97"/>
      <c r="AI50" s="97"/>
      <c r="AJ50" s="97"/>
      <c r="AK50" s="436"/>
      <c r="AL50" s="97"/>
      <c r="AM50" s="97"/>
      <c r="AN50" s="97"/>
      <c r="AO50" s="436"/>
      <c r="AP50" s="97"/>
      <c r="AQ50" s="97"/>
      <c r="AR50" s="97"/>
      <c r="AS50" s="436"/>
      <c r="AT50" s="97"/>
      <c r="AU50" s="97"/>
      <c r="AV50" s="97"/>
      <c r="AW50" s="97"/>
      <c r="AX50" s="97"/>
      <c r="AY50" s="97"/>
      <c r="AZ50" s="97"/>
      <c r="BA50" s="97"/>
    </row>
    <row r="51" spans="1:53" s="59" customFormat="1" ht="17.25" customHeight="1">
      <c r="A51" s="97"/>
      <c r="B51" s="97"/>
      <c r="C51" s="97"/>
      <c r="D51" s="97"/>
      <c r="E51" s="436"/>
      <c r="F51" s="97"/>
      <c r="G51" s="97"/>
      <c r="H51" s="97"/>
      <c r="I51" s="436"/>
      <c r="J51" s="97"/>
      <c r="K51" s="97"/>
      <c r="L51" s="97"/>
      <c r="M51" s="436"/>
      <c r="N51" s="97"/>
      <c r="O51" s="97"/>
      <c r="P51" s="97"/>
      <c r="Q51" s="436"/>
      <c r="R51" s="97"/>
      <c r="S51" s="97"/>
      <c r="T51" s="97"/>
      <c r="U51" s="436"/>
      <c r="V51" s="97"/>
      <c r="W51" s="97"/>
      <c r="X51" s="97"/>
      <c r="Y51" s="436"/>
      <c r="Z51" s="97"/>
      <c r="AA51" s="97"/>
      <c r="AB51" s="97"/>
      <c r="AC51" s="436"/>
      <c r="AD51" s="97"/>
      <c r="AE51" s="97"/>
      <c r="AF51" s="97"/>
      <c r="AG51" s="436"/>
      <c r="AH51" s="97"/>
      <c r="AI51" s="97"/>
      <c r="AJ51" s="97"/>
      <c r="AK51" s="436"/>
      <c r="AL51" s="97"/>
      <c r="AM51" s="97"/>
      <c r="AN51" s="97"/>
      <c r="AO51" s="436"/>
      <c r="AP51" s="97"/>
      <c r="AQ51" s="97"/>
      <c r="AR51" s="97"/>
      <c r="AS51" s="436"/>
      <c r="AT51" s="97"/>
      <c r="AU51" s="97"/>
      <c r="AV51" s="97"/>
      <c r="AW51" s="97"/>
      <c r="AX51" s="97"/>
      <c r="AY51" s="97"/>
      <c r="AZ51" s="97"/>
      <c r="BA51" s="97"/>
    </row>
    <row r="52" spans="1:53" s="59" customFormat="1" ht="12.75">
      <c r="A52" s="97"/>
      <c r="B52" s="97"/>
      <c r="C52" s="97"/>
      <c r="D52" s="97"/>
      <c r="E52" s="436"/>
      <c r="F52" s="97"/>
      <c r="G52" s="97"/>
      <c r="H52" s="97"/>
      <c r="I52" s="436"/>
      <c r="J52" s="97"/>
      <c r="K52" s="97"/>
      <c r="L52" s="97"/>
      <c r="M52" s="436"/>
      <c r="N52" s="97"/>
      <c r="O52" s="97"/>
      <c r="P52" s="97"/>
      <c r="Q52" s="436"/>
      <c r="R52" s="97"/>
      <c r="S52" s="97"/>
      <c r="T52" s="97"/>
      <c r="U52" s="436"/>
      <c r="V52" s="97"/>
      <c r="W52" s="97"/>
      <c r="X52" s="97"/>
      <c r="Y52" s="436"/>
      <c r="Z52" s="97"/>
      <c r="AA52" s="97"/>
      <c r="AB52" s="97"/>
      <c r="AC52" s="436"/>
      <c r="AD52" s="97"/>
      <c r="AE52" s="97"/>
      <c r="AF52" s="97"/>
      <c r="AG52" s="436"/>
      <c r="AH52" s="97"/>
      <c r="AI52" s="97"/>
      <c r="AJ52" s="97"/>
      <c r="AK52" s="436"/>
      <c r="AL52" s="97"/>
      <c r="AM52" s="97"/>
      <c r="AN52" s="97"/>
      <c r="AO52" s="436"/>
      <c r="AP52" s="97"/>
      <c r="AQ52" s="97"/>
      <c r="AR52" s="97"/>
      <c r="AS52" s="436"/>
      <c r="AT52" s="97"/>
      <c r="AU52" s="97"/>
      <c r="AV52" s="97"/>
      <c r="AW52" s="97"/>
      <c r="AX52" s="97"/>
      <c r="AY52" s="97"/>
      <c r="AZ52" s="97"/>
      <c r="BA52" s="97"/>
    </row>
    <row r="53" spans="1:53" s="59" customFormat="1" ht="17.25" customHeight="1">
      <c r="A53" s="97"/>
      <c r="B53" s="97"/>
      <c r="C53" s="97"/>
      <c r="D53" s="97"/>
      <c r="E53" s="436"/>
      <c r="F53" s="97"/>
      <c r="G53" s="97"/>
      <c r="H53" s="97"/>
      <c r="I53" s="436"/>
      <c r="J53" s="97"/>
      <c r="K53" s="97"/>
      <c r="L53" s="97"/>
      <c r="M53" s="436"/>
      <c r="N53" s="97"/>
      <c r="O53" s="97"/>
      <c r="P53" s="97"/>
      <c r="Q53" s="436"/>
      <c r="R53" s="97"/>
      <c r="S53" s="97"/>
      <c r="T53" s="97"/>
      <c r="U53" s="436"/>
      <c r="V53" s="97"/>
      <c r="W53" s="97"/>
      <c r="X53" s="97"/>
      <c r="Y53" s="436"/>
      <c r="Z53" s="97"/>
      <c r="AA53" s="97"/>
      <c r="AB53" s="97"/>
      <c r="AC53" s="436"/>
      <c r="AD53" s="97"/>
      <c r="AE53" s="97"/>
      <c r="AF53" s="97"/>
      <c r="AG53" s="436"/>
      <c r="AH53" s="97"/>
      <c r="AI53" s="97"/>
      <c r="AJ53" s="97"/>
      <c r="AK53" s="436"/>
      <c r="AL53" s="97"/>
      <c r="AM53" s="97"/>
      <c r="AN53" s="97"/>
      <c r="AO53" s="436"/>
      <c r="AP53" s="97"/>
      <c r="AQ53" s="97"/>
      <c r="AR53" s="97"/>
      <c r="AS53" s="436"/>
      <c r="AT53" s="97"/>
      <c r="AU53" s="97"/>
      <c r="AV53" s="97"/>
      <c r="AW53" s="97"/>
      <c r="AX53" s="97"/>
      <c r="AY53" s="97"/>
      <c r="AZ53" s="97"/>
      <c r="BA53" s="97"/>
    </row>
    <row r="54" spans="1:53" s="59" customFormat="1" ht="12.75">
      <c r="A54" s="97"/>
      <c r="B54" s="97"/>
      <c r="C54" s="97"/>
      <c r="D54" s="97"/>
      <c r="E54" s="436"/>
      <c r="F54" s="97"/>
      <c r="G54" s="97"/>
      <c r="H54" s="97"/>
      <c r="I54" s="436"/>
      <c r="J54" s="97"/>
      <c r="K54" s="97"/>
      <c r="L54" s="97"/>
      <c r="M54" s="436"/>
      <c r="N54" s="97"/>
      <c r="O54" s="97"/>
      <c r="P54" s="97"/>
      <c r="Q54" s="436"/>
      <c r="R54" s="97"/>
      <c r="S54" s="97"/>
      <c r="T54" s="97"/>
      <c r="U54" s="436"/>
      <c r="V54" s="97"/>
      <c r="W54" s="97"/>
      <c r="X54" s="97"/>
      <c r="Y54" s="436"/>
      <c r="Z54" s="97"/>
      <c r="AA54" s="97"/>
      <c r="AB54" s="97"/>
      <c r="AC54" s="436"/>
      <c r="AD54" s="97"/>
      <c r="AE54" s="97"/>
      <c r="AF54" s="97"/>
      <c r="AG54" s="436"/>
      <c r="AH54" s="97"/>
      <c r="AI54" s="97"/>
      <c r="AJ54" s="97"/>
      <c r="AK54" s="436"/>
      <c r="AL54" s="97"/>
      <c r="AM54" s="97"/>
      <c r="AN54" s="97"/>
      <c r="AO54" s="436"/>
      <c r="AP54" s="97"/>
      <c r="AQ54" s="97"/>
      <c r="AR54" s="97"/>
      <c r="AS54" s="436"/>
      <c r="AT54" s="97"/>
      <c r="AU54" s="97"/>
      <c r="AV54" s="97"/>
      <c r="AW54" s="97"/>
      <c r="AX54" s="97"/>
      <c r="AY54" s="97"/>
      <c r="AZ54" s="97"/>
      <c r="BA54" s="97"/>
    </row>
    <row r="55" spans="1:53" s="59" customFormat="1" ht="17.25" customHeight="1">
      <c r="A55" s="97"/>
      <c r="B55" s="97"/>
      <c r="C55" s="97"/>
      <c r="D55" s="97"/>
      <c r="E55" s="436"/>
      <c r="F55" s="97"/>
      <c r="G55" s="97"/>
      <c r="H55" s="97"/>
      <c r="I55" s="436"/>
      <c r="J55" s="97"/>
      <c r="K55" s="97"/>
      <c r="L55" s="97"/>
      <c r="M55" s="436"/>
      <c r="N55" s="97"/>
      <c r="O55" s="97"/>
      <c r="P55" s="97"/>
      <c r="Q55" s="436"/>
      <c r="R55" s="97"/>
      <c r="S55" s="97"/>
      <c r="T55" s="97"/>
      <c r="U55" s="436"/>
      <c r="V55" s="97"/>
      <c r="W55" s="97"/>
      <c r="X55" s="97"/>
      <c r="Y55" s="436"/>
      <c r="Z55" s="97"/>
      <c r="AA55" s="97"/>
      <c r="AB55" s="97"/>
      <c r="AC55" s="436"/>
      <c r="AD55" s="97"/>
      <c r="AE55" s="97"/>
      <c r="AF55" s="97"/>
      <c r="AG55" s="436"/>
      <c r="AH55" s="97"/>
      <c r="AI55" s="97"/>
      <c r="AJ55" s="97"/>
      <c r="AK55" s="436"/>
      <c r="AL55" s="97"/>
      <c r="AM55" s="97"/>
      <c r="AN55" s="97"/>
      <c r="AO55" s="436"/>
      <c r="AP55" s="97"/>
      <c r="AQ55" s="97"/>
      <c r="AR55" s="97"/>
      <c r="AS55" s="436"/>
      <c r="AT55" s="97"/>
      <c r="AU55" s="97"/>
      <c r="AV55" s="97"/>
      <c r="AW55" s="97"/>
      <c r="AX55" s="97"/>
      <c r="AY55" s="97"/>
      <c r="AZ55" s="97"/>
      <c r="BA55" s="97"/>
    </row>
    <row r="56" spans="1:53" s="59" customFormat="1" ht="12.75">
      <c r="A56" s="97"/>
      <c r="B56" s="97"/>
      <c r="C56" s="97"/>
      <c r="D56" s="97"/>
      <c r="E56" s="436"/>
      <c r="F56" s="97"/>
      <c r="G56" s="97"/>
      <c r="H56" s="97"/>
      <c r="I56" s="436"/>
      <c r="J56" s="97"/>
      <c r="K56" s="97"/>
      <c r="L56" s="97"/>
      <c r="M56" s="436"/>
      <c r="N56" s="97"/>
      <c r="O56" s="97"/>
      <c r="P56" s="97"/>
      <c r="Q56" s="436"/>
      <c r="R56" s="97"/>
      <c r="S56" s="97"/>
      <c r="T56" s="97"/>
      <c r="U56" s="436"/>
      <c r="V56" s="97"/>
      <c r="W56" s="97"/>
      <c r="X56" s="97"/>
      <c r="Y56" s="436"/>
      <c r="Z56" s="97"/>
      <c r="AA56" s="97"/>
      <c r="AB56" s="97"/>
      <c r="AC56" s="436"/>
      <c r="AD56" s="97"/>
      <c r="AE56" s="97"/>
      <c r="AF56" s="97"/>
      <c r="AG56" s="436"/>
      <c r="AH56" s="97"/>
      <c r="AI56" s="97"/>
      <c r="AJ56" s="97"/>
      <c r="AK56" s="436"/>
      <c r="AL56" s="97"/>
      <c r="AM56" s="97"/>
      <c r="AN56" s="97"/>
      <c r="AO56" s="436"/>
      <c r="AP56" s="97"/>
      <c r="AQ56" s="97"/>
      <c r="AR56" s="97"/>
      <c r="AS56" s="436"/>
      <c r="AT56" s="97"/>
      <c r="AU56" s="97"/>
      <c r="AV56" s="97"/>
      <c r="AW56" s="97"/>
      <c r="AX56" s="97"/>
      <c r="AY56" s="97"/>
      <c r="AZ56" s="97"/>
      <c r="BA56" s="97"/>
    </row>
    <row r="57" spans="1:53" s="59" customFormat="1" ht="17.25" customHeight="1">
      <c r="A57" s="97"/>
      <c r="B57" s="97"/>
      <c r="C57" s="97"/>
      <c r="D57" s="97"/>
      <c r="E57" s="436"/>
      <c r="F57" s="97"/>
      <c r="G57" s="97"/>
      <c r="H57" s="97"/>
      <c r="I57" s="436"/>
      <c r="J57" s="97"/>
      <c r="K57" s="97"/>
      <c r="L57" s="97"/>
      <c r="M57" s="436"/>
      <c r="N57" s="97"/>
      <c r="O57" s="97"/>
      <c r="P57" s="97"/>
      <c r="Q57" s="436"/>
      <c r="R57" s="97"/>
      <c r="S57" s="97"/>
      <c r="T57" s="97"/>
      <c r="U57" s="436"/>
      <c r="V57" s="97"/>
      <c r="W57" s="97"/>
      <c r="X57" s="97"/>
      <c r="Y57" s="436"/>
      <c r="Z57" s="97"/>
      <c r="AA57" s="97"/>
      <c r="AB57" s="97"/>
      <c r="AC57" s="436"/>
      <c r="AD57" s="97"/>
      <c r="AE57" s="97"/>
      <c r="AF57" s="97"/>
      <c r="AG57" s="436"/>
      <c r="AH57" s="97"/>
      <c r="AI57" s="97"/>
      <c r="AJ57" s="97"/>
      <c r="AK57" s="436"/>
      <c r="AL57" s="97"/>
      <c r="AM57" s="97"/>
      <c r="AN57" s="97"/>
      <c r="AO57" s="436"/>
      <c r="AP57" s="97"/>
      <c r="AQ57" s="97"/>
      <c r="AR57" s="97"/>
      <c r="AS57" s="436"/>
      <c r="AT57" s="97"/>
      <c r="AU57" s="97"/>
      <c r="AV57" s="97"/>
      <c r="AW57" s="97"/>
      <c r="AX57" s="97"/>
      <c r="AY57" s="97"/>
      <c r="AZ57" s="97"/>
      <c r="BA57" s="97"/>
    </row>
    <row r="58" spans="1:53" s="59" customFormat="1" ht="12.75">
      <c r="A58" s="97"/>
      <c r="B58" s="97"/>
      <c r="C58" s="97"/>
      <c r="D58" s="97"/>
      <c r="E58" s="436"/>
      <c r="F58" s="97"/>
      <c r="G58" s="97"/>
      <c r="H58" s="97"/>
      <c r="I58" s="436"/>
      <c r="J58" s="97"/>
      <c r="K58" s="97"/>
      <c r="L58" s="97"/>
      <c r="M58" s="436"/>
      <c r="N58" s="97"/>
      <c r="O58" s="97"/>
      <c r="P58" s="97"/>
      <c r="Q58" s="436"/>
      <c r="R58" s="97"/>
      <c r="S58" s="97"/>
      <c r="T58" s="97"/>
      <c r="U58" s="436"/>
      <c r="V58" s="97"/>
      <c r="W58" s="97"/>
      <c r="X58" s="97"/>
      <c r="Y58" s="436"/>
      <c r="Z58" s="97"/>
      <c r="AA58" s="97"/>
      <c r="AB58" s="97"/>
      <c r="AC58" s="436"/>
      <c r="AD58" s="97"/>
      <c r="AE58" s="97"/>
      <c r="AF58" s="97"/>
      <c r="AG58" s="436"/>
      <c r="AH58" s="97"/>
      <c r="AI58" s="97"/>
      <c r="AJ58" s="97"/>
      <c r="AK58" s="436"/>
      <c r="AL58" s="97"/>
      <c r="AM58" s="97"/>
      <c r="AN58" s="97"/>
      <c r="AO58" s="436"/>
      <c r="AP58" s="97"/>
      <c r="AQ58" s="97"/>
      <c r="AR58" s="97"/>
      <c r="AS58" s="436"/>
      <c r="AT58" s="97"/>
      <c r="AU58" s="97"/>
      <c r="AV58" s="97"/>
      <c r="AW58" s="97"/>
      <c r="AX58" s="97"/>
      <c r="AY58" s="97"/>
      <c r="AZ58" s="97"/>
      <c r="BA58" s="97"/>
    </row>
    <row r="59" spans="1:53" s="59" customFormat="1" ht="17.25" customHeight="1">
      <c r="A59" s="97"/>
      <c r="B59" s="97"/>
      <c r="C59" s="97"/>
      <c r="D59" s="97"/>
      <c r="E59" s="436"/>
      <c r="F59" s="97"/>
      <c r="G59" s="97"/>
      <c r="H59" s="97"/>
      <c r="I59" s="436"/>
      <c r="J59" s="97"/>
      <c r="K59" s="97"/>
      <c r="L59" s="97"/>
      <c r="M59" s="436"/>
      <c r="N59" s="97"/>
      <c r="O59" s="97"/>
      <c r="P59" s="97"/>
      <c r="Q59" s="436"/>
      <c r="R59" s="97"/>
      <c r="S59" s="97"/>
      <c r="T59" s="97"/>
      <c r="U59" s="436"/>
      <c r="V59" s="97"/>
      <c r="W59" s="97"/>
      <c r="X59" s="97"/>
      <c r="Y59" s="436"/>
      <c r="Z59" s="97"/>
      <c r="AA59" s="97"/>
      <c r="AB59" s="97"/>
      <c r="AC59" s="436"/>
      <c r="AD59" s="97"/>
      <c r="AE59" s="97"/>
      <c r="AF59" s="97"/>
      <c r="AG59" s="436"/>
      <c r="AH59" s="97"/>
      <c r="AI59" s="97"/>
      <c r="AJ59" s="97"/>
      <c r="AK59" s="436"/>
      <c r="AL59" s="97"/>
      <c r="AM59" s="97"/>
      <c r="AN59" s="97"/>
      <c r="AO59" s="436"/>
      <c r="AP59" s="97"/>
      <c r="AQ59" s="97"/>
      <c r="AR59" s="97"/>
      <c r="AS59" s="436"/>
      <c r="AT59" s="97"/>
      <c r="AU59" s="97"/>
      <c r="AV59" s="97"/>
      <c r="AW59" s="97"/>
      <c r="AX59" s="97"/>
      <c r="AY59" s="97"/>
      <c r="AZ59" s="97"/>
      <c r="BA59" s="97"/>
    </row>
    <row r="60" spans="1:53" s="59" customFormat="1" ht="12.75">
      <c r="A60" s="97"/>
      <c r="B60" s="97"/>
      <c r="C60" s="97"/>
      <c r="D60" s="97"/>
      <c r="E60" s="436"/>
      <c r="F60" s="97"/>
      <c r="G60" s="97"/>
      <c r="H60" s="97"/>
      <c r="I60" s="436"/>
      <c r="J60" s="97"/>
      <c r="K60" s="97"/>
      <c r="L60" s="97"/>
      <c r="M60" s="436"/>
      <c r="N60" s="97"/>
      <c r="O60" s="97"/>
      <c r="P60" s="97"/>
      <c r="Q60" s="436"/>
      <c r="R60" s="97"/>
      <c r="S60" s="97"/>
      <c r="T60" s="97"/>
      <c r="U60" s="436"/>
      <c r="V60" s="97"/>
      <c r="W60" s="97"/>
      <c r="X60" s="97"/>
      <c r="Y60" s="436"/>
      <c r="Z60" s="97"/>
      <c r="AA60" s="97"/>
      <c r="AB60" s="97"/>
      <c r="AC60" s="436"/>
      <c r="AD60" s="97"/>
      <c r="AE60" s="97"/>
      <c r="AF60" s="97"/>
      <c r="AG60" s="436"/>
      <c r="AH60" s="97"/>
      <c r="AI60" s="97"/>
      <c r="AJ60" s="97"/>
      <c r="AK60" s="436"/>
      <c r="AL60" s="97"/>
      <c r="AM60" s="97"/>
      <c r="AN60" s="97"/>
      <c r="AO60" s="436"/>
      <c r="AP60" s="97"/>
      <c r="AQ60" s="97"/>
      <c r="AR60" s="97"/>
      <c r="AS60" s="436"/>
      <c r="AT60" s="97"/>
      <c r="AU60" s="97"/>
      <c r="AV60" s="97"/>
      <c r="AW60" s="97"/>
      <c r="AX60" s="97"/>
      <c r="AY60" s="97"/>
      <c r="AZ60" s="97"/>
      <c r="BA60" s="97"/>
    </row>
    <row r="61" spans="1:53" s="59" customFormat="1" ht="17.25" customHeight="1">
      <c r="A61" s="97"/>
      <c r="B61" s="97"/>
      <c r="C61" s="97"/>
      <c r="D61" s="97"/>
      <c r="E61" s="436"/>
      <c r="F61" s="97"/>
      <c r="G61" s="97"/>
      <c r="H61" s="97"/>
      <c r="I61" s="436"/>
      <c r="J61" s="97"/>
      <c r="K61" s="97"/>
      <c r="L61" s="97"/>
      <c r="M61" s="436"/>
      <c r="N61" s="97"/>
      <c r="O61" s="97"/>
      <c r="P61" s="97"/>
      <c r="Q61" s="436"/>
      <c r="R61" s="97"/>
      <c r="S61" s="97"/>
      <c r="T61" s="97"/>
      <c r="U61" s="436"/>
      <c r="V61" s="97"/>
      <c r="W61" s="97"/>
      <c r="X61" s="97"/>
      <c r="Y61" s="436"/>
      <c r="Z61" s="97"/>
      <c r="AA61" s="97"/>
      <c r="AB61" s="97"/>
      <c r="AC61" s="436"/>
      <c r="AD61" s="97"/>
      <c r="AE61" s="97"/>
      <c r="AF61" s="97"/>
      <c r="AG61" s="436"/>
      <c r="AH61" s="97"/>
      <c r="AI61" s="97"/>
      <c r="AJ61" s="97"/>
      <c r="AK61" s="436"/>
      <c r="AL61" s="97"/>
      <c r="AM61" s="97"/>
      <c r="AN61" s="97"/>
      <c r="AO61" s="436"/>
      <c r="AP61" s="97"/>
      <c r="AQ61" s="97"/>
      <c r="AR61" s="97"/>
      <c r="AS61" s="436"/>
      <c r="AT61" s="97"/>
      <c r="AU61" s="97"/>
      <c r="AV61" s="97"/>
      <c r="AW61" s="97"/>
      <c r="AX61" s="97"/>
      <c r="AY61" s="97"/>
      <c r="AZ61" s="97"/>
      <c r="BA61" s="97"/>
    </row>
    <row r="62" spans="1:53" s="59" customFormat="1" ht="12.75">
      <c r="A62" s="97"/>
      <c r="B62" s="97"/>
      <c r="C62" s="97"/>
      <c r="D62" s="97"/>
      <c r="E62" s="436"/>
      <c r="F62" s="97"/>
      <c r="G62" s="97"/>
      <c r="H62" s="97"/>
      <c r="I62" s="436"/>
      <c r="J62" s="97"/>
      <c r="K62" s="97"/>
      <c r="L62" s="97"/>
      <c r="M62" s="436"/>
      <c r="N62" s="97"/>
      <c r="O62" s="97"/>
      <c r="P62" s="97"/>
      <c r="Q62" s="436"/>
      <c r="R62" s="97"/>
      <c r="S62" s="97"/>
      <c r="T62" s="97"/>
      <c r="U62" s="436"/>
      <c r="V62" s="97"/>
      <c r="W62" s="97"/>
      <c r="X62" s="97"/>
      <c r="Y62" s="436"/>
      <c r="Z62" s="97"/>
      <c r="AA62" s="97"/>
      <c r="AB62" s="97"/>
      <c r="AC62" s="436"/>
      <c r="AD62" s="97"/>
      <c r="AE62" s="97"/>
      <c r="AF62" s="97"/>
      <c r="AG62" s="436"/>
      <c r="AH62" s="97"/>
      <c r="AI62" s="97"/>
      <c r="AJ62" s="97"/>
      <c r="AK62" s="436"/>
      <c r="AL62" s="97"/>
      <c r="AM62" s="97"/>
      <c r="AN62" s="97"/>
      <c r="AO62" s="436"/>
      <c r="AP62" s="97"/>
      <c r="AQ62" s="97"/>
      <c r="AR62" s="97"/>
      <c r="AS62" s="436"/>
      <c r="AT62" s="97"/>
      <c r="AU62" s="97"/>
      <c r="AV62" s="97"/>
      <c r="AW62" s="97"/>
      <c r="AX62" s="97"/>
      <c r="AY62" s="97"/>
      <c r="AZ62" s="97"/>
      <c r="BA62" s="97"/>
    </row>
    <row r="63" spans="1:53" s="59" customFormat="1" ht="17.25" customHeight="1">
      <c r="A63" s="97"/>
      <c r="B63" s="97"/>
      <c r="C63" s="97"/>
      <c r="D63" s="97"/>
      <c r="E63" s="436"/>
      <c r="F63" s="97"/>
      <c r="G63" s="97"/>
      <c r="H63" s="97"/>
      <c r="I63" s="436"/>
      <c r="J63" s="97"/>
      <c r="K63" s="97"/>
      <c r="L63" s="97"/>
      <c r="M63" s="436"/>
      <c r="N63" s="97"/>
      <c r="O63" s="97"/>
      <c r="P63" s="97"/>
      <c r="Q63" s="436"/>
      <c r="R63" s="97"/>
      <c r="S63" s="97"/>
      <c r="T63" s="97"/>
      <c r="U63" s="436"/>
      <c r="V63" s="97"/>
      <c r="W63" s="97"/>
      <c r="X63" s="97"/>
      <c r="Y63" s="436"/>
      <c r="Z63" s="97"/>
      <c r="AA63" s="97"/>
      <c r="AB63" s="97"/>
      <c r="AC63" s="436"/>
      <c r="AD63" s="97"/>
      <c r="AE63" s="97"/>
      <c r="AF63" s="97"/>
      <c r="AG63" s="436"/>
      <c r="AH63" s="97"/>
      <c r="AI63" s="97"/>
      <c r="AJ63" s="97"/>
      <c r="AK63" s="436"/>
      <c r="AL63" s="97"/>
      <c r="AM63" s="97"/>
      <c r="AN63" s="97"/>
      <c r="AO63" s="436"/>
      <c r="AP63" s="97"/>
      <c r="AQ63" s="97"/>
      <c r="AR63" s="97"/>
      <c r="AS63" s="436"/>
      <c r="AT63" s="97"/>
      <c r="AU63" s="97"/>
      <c r="AV63" s="97"/>
      <c r="AW63" s="97"/>
      <c r="AX63" s="97"/>
      <c r="AY63" s="97"/>
      <c r="AZ63" s="97"/>
      <c r="BA63" s="97"/>
    </row>
    <row r="64" spans="1:53" s="59" customFormat="1" ht="12.75">
      <c r="A64" s="97"/>
      <c r="B64" s="97"/>
      <c r="C64" s="97"/>
      <c r="D64" s="97"/>
      <c r="E64" s="436"/>
      <c r="F64" s="97"/>
      <c r="G64" s="97"/>
      <c r="H64" s="97"/>
      <c r="I64" s="436"/>
      <c r="J64" s="97"/>
      <c r="K64" s="97"/>
      <c r="L64" s="97"/>
      <c r="M64" s="436"/>
      <c r="N64" s="97"/>
      <c r="O64" s="97"/>
      <c r="P64" s="97"/>
      <c r="Q64" s="436"/>
      <c r="R64" s="97"/>
      <c r="S64" s="97"/>
      <c r="T64" s="97"/>
      <c r="U64" s="436"/>
      <c r="V64" s="97"/>
      <c r="W64" s="97"/>
      <c r="X64" s="97"/>
      <c r="Y64" s="436"/>
      <c r="Z64" s="97"/>
      <c r="AA64" s="97"/>
      <c r="AB64" s="97"/>
      <c r="AC64" s="436"/>
      <c r="AD64" s="97"/>
      <c r="AE64" s="97"/>
      <c r="AF64" s="97"/>
      <c r="AG64" s="436"/>
      <c r="AH64" s="97"/>
      <c r="AI64" s="97"/>
      <c r="AJ64" s="97"/>
      <c r="AK64" s="436"/>
      <c r="AL64" s="97"/>
      <c r="AM64" s="97"/>
      <c r="AN64" s="97"/>
      <c r="AO64" s="436"/>
      <c r="AP64" s="97"/>
      <c r="AQ64" s="97"/>
      <c r="AR64" s="97"/>
      <c r="AS64" s="436"/>
      <c r="AT64" s="97"/>
      <c r="AU64" s="97"/>
      <c r="AV64" s="97"/>
      <c r="AW64" s="97"/>
      <c r="AX64" s="97"/>
      <c r="AY64" s="97"/>
      <c r="AZ64" s="97"/>
      <c r="BA64" s="97"/>
    </row>
    <row r="65" spans="1:53" s="59" customFormat="1" ht="17.25" customHeight="1">
      <c r="A65" s="97"/>
      <c r="B65" s="97"/>
      <c r="C65" s="97"/>
      <c r="D65" s="97"/>
      <c r="E65" s="436"/>
      <c r="F65" s="97"/>
      <c r="G65" s="97"/>
      <c r="H65" s="97"/>
      <c r="I65" s="436"/>
      <c r="J65" s="97"/>
      <c r="K65" s="97"/>
      <c r="L65" s="97"/>
      <c r="M65" s="436"/>
      <c r="N65" s="97"/>
      <c r="O65" s="97"/>
      <c r="P65" s="97"/>
      <c r="Q65" s="436"/>
      <c r="R65" s="97"/>
      <c r="S65" s="97"/>
      <c r="T65" s="97"/>
      <c r="U65" s="436"/>
      <c r="V65" s="97"/>
      <c r="W65" s="97"/>
      <c r="X65" s="97"/>
      <c r="Y65" s="436"/>
      <c r="Z65" s="97"/>
      <c r="AA65" s="97"/>
      <c r="AB65" s="97"/>
      <c r="AC65" s="436"/>
      <c r="AD65" s="97"/>
      <c r="AE65" s="97"/>
      <c r="AF65" s="97"/>
      <c r="AG65" s="436"/>
      <c r="AH65" s="97"/>
      <c r="AI65" s="97"/>
      <c r="AJ65" s="97"/>
      <c r="AK65" s="436"/>
      <c r="AL65" s="97"/>
      <c r="AM65" s="97"/>
      <c r="AN65" s="97"/>
      <c r="AO65" s="436"/>
      <c r="AP65" s="97"/>
      <c r="AQ65" s="97"/>
      <c r="AR65" s="97"/>
      <c r="AS65" s="436"/>
      <c r="AT65" s="97"/>
      <c r="AU65" s="97"/>
      <c r="AV65" s="97"/>
      <c r="AW65" s="97"/>
      <c r="AX65" s="97"/>
      <c r="AY65" s="97"/>
      <c r="AZ65" s="97"/>
      <c r="BA65" s="97"/>
    </row>
    <row r="66" spans="1:53" s="59" customFormat="1" ht="12.75">
      <c r="A66" s="97"/>
      <c r="B66" s="97"/>
      <c r="C66" s="97"/>
      <c r="D66" s="97"/>
      <c r="E66" s="436"/>
      <c r="F66" s="97"/>
      <c r="G66" s="97"/>
      <c r="H66" s="97"/>
      <c r="I66" s="436"/>
      <c r="J66" s="97"/>
      <c r="K66" s="97"/>
      <c r="L66" s="97"/>
      <c r="M66" s="436"/>
      <c r="N66" s="97"/>
      <c r="O66" s="97"/>
      <c r="P66" s="97"/>
      <c r="Q66" s="436"/>
      <c r="R66" s="97"/>
      <c r="S66" s="97"/>
      <c r="T66" s="97"/>
      <c r="U66" s="436"/>
      <c r="V66" s="97"/>
      <c r="W66" s="97"/>
      <c r="X66" s="97"/>
      <c r="Y66" s="436"/>
      <c r="Z66" s="97"/>
      <c r="AA66" s="97"/>
      <c r="AB66" s="97"/>
      <c r="AC66" s="436"/>
      <c r="AD66" s="97"/>
      <c r="AE66" s="97"/>
      <c r="AF66" s="97"/>
      <c r="AG66" s="436"/>
      <c r="AH66" s="97"/>
      <c r="AI66" s="97"/>
      <c r="AJ66" s="97"/>
      <c r="AK66" s="436"/>
      <c r="AL66" s="97"/>
      <c r="AM66" s="97"/>
      <c r="AN66" s="97"/>
      <c r="AO66" s="436"/>
      <c r="AP66" s="97"/>
      <c r="AQ66" s="97"/>
      <c r="AR66" s="97"/>
      <c r="AS66" s="436"/>
      <c r="AT66" s="97"/>
      <c r="AU66" s="97"/>
      <c r="AV66" s="97"/>
      <c r="AW66" s="97"/>
      <c r="AX66" s="97"/>
      <c r="AY66" s="97"/>
      <c r="AZ66" s="97"/>
      <c r="BA66" s="97"/>
    </row>
    <row r="67" spans="1:53" s="59" customFormat="1" ht="17.25" customHeight="1">
      <c r="A67" s="97"/>
      <c r="B67" s="97"/>
      <c r="C67" s="97"/>
      <c r="D67" s="97"/>
      <c r="E67" s="436"/>
      <c r="F67" s="97"/>
      <c r="G67" s="97"/>
      <c r="H67" s="97"/>
      <c r="I67" s="436"/>
      <c r="J67" s="97"/>
      <c r="K67" s="97"/>
      <c r="L67" s="97"/>
      <c r="M67" s="436"/>
      <c r="N67" s="97"/>
      <c r="O67" s="97"/>
      <c r="P67" s="97"/>
      <c r="Q67" s="436"/>
      <c r="R67" s="97"/>
      <c r="S67" s="97"/>
      <c r="T67" s="97"/>
      <c r="U67" s="436"/>
      <c r="V67" s="97"/>
      <c r="W67" s="97"/>
      <c r="X67" s="97"/>
      <c r="Y67" s="436"/>
      <c r="Z67" s="97"/>
      <c r="AA67" s="97"/>
      <c r="AB67" s="97"/>
      <c r="AC67" s="436"/>
      <c r="AD67" s="97"/>
      <c r="AE67" s="97"/>
      <c r="AF67" s="97"/>
      <c r="AG67" s="436"/>
      <c r="AH67" s="97"/>
      <c r="AI67" s="97"/>
      <c r="AJ67" s="97"/>
      <c r="AK67" s="436"/>
      <c r="AL67" s="97"/>
      <c r="AM67" s="97"/>
      <c r="AN67" s="97"/>
      <c r="AO67" s="436"/>
      <c r="AP67" s="97"/>
      <c r="AQ67" s="97"/>
      <c r="AR67" s="97"/>
      <c r="AS67" s="436"/>
      <c r="AT67" s="97"/>
      <c r="AU67" s="97"/>
      <c r="AV67" s="97"/>
      <c r="AW67" s="97"/>
      <c r="AX67" s="97"/>
      <c r="AY67" s="97"/>
      <c r="AZ67" s="97"/>
      <c r="BA67" s="97"/>
    </row>
    <row r="68" spans="1:53" s="59" customFormat="1" ht="12.75">
      <c r="A68" s="97"/>
      <c r="B68" s="97"/>
      <c r="C68" s="97"/>
      <c r="D68" s="97"/>
      <c r="E68" s="436"/>
      <c r="F68" s="97"/>
      <c r="G68" s="97"/>
      <c r="H68" s="97"/>
      <c r="I68" s="436"/>
      <c r="J68" s="97"/>
      <c r="K68" s="97"/>
      <c r="L68" s="97"/>
      <c r="M68" s="436"/>
      <c r="N68" s="97"/>
      <c r="O68" s="97"/>
      <c r="P68" s="97"/>
      <c r="Q68" s="436"/>
      <c r="R68" s="97"/>
      <c r="S68" s="97"/>
      <c r="T68" s="97"/>
      <c r="U68" s="436"/>
      <c r="V68" s="97"/>
      <c r="W68" s="97"/>
      <c r="X68" s="97"/>
      <c r="Y68" s="436"/>
      <c r="Z68" s="97"/>
      <c r="AA68" s="97"/>
      <c r="AB68" s="97"/>
      <c r="AC68" s="436"/>
      <c r="AD68" s="97"/>
      <c r="AE68" s="97"/>
      <c r="AF68" s="97"/>
      <c r="AG68" s="436"/>
      <c r="AH68" s="97"/>
      <c r="AI68" s="97"/>
      <c r="AJ68" s="97"/>
      <c r="AK68" s="436"/>
      <c r="AL68" s="97"/>
      <c r="AM68" s="97"/>
      <c r="AN68" s="97"/>
      <c r="AO68" s="436"/>
      <c r="AP68" s="97"/>
      <c r="AQ68" s="97"/>
      <c r="AR68" s="97"/>
      <c r="AS68" s="436"/>
      <c r="AT68" s="97"/>
      <c r="AU68" s="97"/>
      <c r="AV68" s="97"/>
      <c r="AW68" s="97"/>
      <c r="AX68" s="97"/>
      <c r="AY68" s="97"/>
      <c r="AZ68" s="97"/>
      <c r="BA68" s="97"/>
    </row>
    <row r="69" spans="1:53" s="59" customFormat="1" ht="17.25" customHeight="1">
      <c r="A69" s="97"/>
      <c r="B69" s="97"/>
      <c r="C69" s="97"/>
      <c r="D69" s="97"/>
      <c r="E69" s="436"/>
      <c r="F69" s="97"/>
      <c r="G69" s="97"/>
      <c r="H69" s="97"/>
      <c r="I69" s="436"/>
      <c r="J69" s="97"/>
      <c r="K69" s="97"/>
      <c r="L69" s="97"/>
      <c r="M69" s="436"/>
      <c r="N69" s="97"/>
      <c r="O69" s="97"/>
      <c r="P69" s="97"/>
      <c r="Q69" s="436"/>
      <c r="R69" s="97"/>
      <c r="S69" s="97"/>
      <c r="T69" s="97"/>
      <c r="U69" s="436"/>
      <c r="V69" s="97"/>
      <c r="W69" s="97"/>
      <c r="X69" s="97"/>
      <c r="Y69" s="436"/>
      <c r="Z69" s="97"/>
      <c r="AA69" s="97"/>
      <c r="AB69" s="97"/>
      <c r="AC69" s="436"/>
      <c r="AD69" s="97"/>
      <c r="AE69" s="97"/>
      <c r="AF69" s="97"/>
      <c r="AG69" s="436"/>
      <c r="AH69" s="97"/>
      <c r="AI69" s="97"/>
      <c r="AJ69" s="97"/>
      <c r="AK69" s="436"/>
      <c r="AL69" s="97"/>
      <c r="AM69" s="97"/>
      <c r="AN69" s="97"/>
      <c r="AO69" s="436"/>
      <c r="AP69" s="97"/>
      <c r="AQ69" s="97"/>
      <c r="AR69" s="97"/>
      <c r="AS69" s="436"/>
      <c r="AT69" s="97"/>
      <c r="AU69" s="97"/>
      <c r="AV69" s="97"/>
      <c r="AW69" s="97"/>
      <c r="AX69" s="97"/>
      <c r="AY69" s="97"/>
      <c r="AZ69" s="97"/>
      <c r="BA69" s="97"/>
    </row>
    <row r="70" spans="1:53" s="59" customFormat="1" ht="12.75">
      <c r="A70" s="97"/>
      <c r="B70" s="97"/>
      <c r="C70" s="97"/>
      <c r="D70" s="97"/>
      <c r="E70" s="436"/>
      <c r="F70" s="97"/>
      <c r="G70" s="97"/>
      <c r="H70" s="97"/>
      <c r="I70" s="436"/>
      <c r="J70" s="97"/>
      <c r="K70" s="97"/>
      <c r="L70" s="97"/>
      <c r="M70" s="436"/>
      <c r="N70" s="97"/>
      <c r="O70" s="97"/>
      <c r="P70" s="97"/>
      <c r="Q70" s="436"/>
      <c r="R70" s="97"/>
      <c r="S70" s="97"/>
      <c r="T70" s="97"/>
      <c r="U70" s="436"/>
      <c r="V70" s="97"/>
      <c r="W70" s="97"/>
      <c r="X70" s="97"/>
      <c r="Y70" s="436"/>
      <c r="Z70" s="97"/>
      <c r="AA70" s="97"/>
      <c r="AB70" s="97"/>
      <c r="AC70" s="436"/>
      <c r="AD70" s="97"/>
      <c r="AE70" s="97"/>
      <c r="AF70" s="97"/>
      <c r="AG70" s="436"/>
      <c r="AH70" s="97"/>
      <c r="AI70" s="97"/>
      <c r="AJ70" s="97"/>
      <c r="AK70" s="436"/>
      <c r="AL70" s="97"/>
      <c r="AM70" s="97"/>
      <c r="AN70" s="97"/>
      <c r="AO70" s="436"/>
      <c r="AP70" s="97"/>
      <c r="AQ70" s="97"/>
      <c r="AR70" s="97"/>
      <c r="AS70" s="436"/>
      <c r="AT70" s="97"/>
      <c r="AU70" s="97"/>
      <c r="AV70" s="97"/>
      <c r="AW70" s="97"/>
      <c r="AX70" s="97"/>
      <c r="AY70" s="97"/>
      <c r="AZ70" s="97"/>
      <c r="BA70" s="97"/>
    </row>
    <row r="71" spans="1:53" s="59" customFormat="1" ht="17.25" customHeight="1">
      <c r="A71" s="97"/>
      <c r="B71" s="97"/>
      <c r="C71" s="97"/>
      <c r="D71" s="97"/>
      <c r="E71" s="436"/>
      <c r="F71" s="97"/>
      <c r="G71" s="97"/>
      <c r="H71" s="97"/>
      <c r="I71" s="436"/>
      <c r="J71" s="97"/>
      <c r="K71" s="97"/>
      <c r="L71" s="97"/>
      <c r="M71" s="436"/>
      <c r="N71" s="97"/>
      <c r="O71" s="97"/>
      <c r="P71" s="97"/>
      <c r="Q71" s="436"/>
      <c r="R71" s="97"/>
      <c r="S71" s="97"/>
      <c r="T71" s="97"/>
      <c r="U71" s="436"/>
      <c r="V71" s="97"/>
      <c r="W71" s="97"/>
      <c r="X71" s="97"/>
      <c r="Y71" s="436"/>
      <c r="Z71" s="97"/>
      <c r="AA71" s="97"/>
      <c r="AB71" s="97"/>
      <c r="AC71" s="436"/>
      <c r="AD71" s="97"/>
      <c r="AE71" s="97"/>
      <c r="AF71" s="97"/>
      <c r="AG71" s="436"/>
      <c r="AH71" s="97"/>
      <c r="AI71" s="97"/>
      <c r="AJ71" s="97"/>
      <c r="AK71" s="436"/>
      <c r="AL71" s="97"/>
      <c r="AM71" s="97"/>
      <c r="AN71" s="97"/>
      <c r="AO71" s="436"/>
      <c r="AP71" s="97"/>
      <c r="AQ71" s="97"/>
      <c r="AR71" s="97"/>
      <c r="AS71" s="436"/>
      <c r="AT71" s="97"/>
      <c r="AU71" s="97"/>
      <c r="AV71" s="97"/>
      <c r="AW71" s="97"/>
      <c r="AX71" s="97"/>
      <c r="AY71" s="97"/>
      <c r="AZ71" s="97"/>
      <c r="BA71" s="97"/>
    </row>
    <row r="72" spans="1:53" s="59" customFormat="1" ht="12.75">
      <c r="A72" s="97"/>
      <c r="B72" s="97"/>
      <c r="C72" s="97"/>
      <c r="D72" s="97"/>
      <c r="E72" s="436"/>
      <c r="F72" s="97"/>
      <c r="G72" s="97"/>
      <c r="H72" s="97"/>
      <c r="I72" s="436"/>
      <c r="J72" s="97"/>
      <c r="K72" s="97"/>
      <c r="L72" s="97"/>
      <c r="M72" s="436"/>
      <c r="N72" s="97"/>
      <c r="O72" s="97"/>
      <c r="P72" s="97"/>
      <c r="Q72" s="436"/>
      <c r="R72" s="97"/>
      <c r="S72" s="97"/>
      <c r="T72" s="97"/>
      <c r="U72" s="436"/>
      <c r="V72" s="97"/>
      <c r="W72" s="97"/>
      <c r="X72" s="97"/>
      <c r="Y72" s="436"/>
      <c r="Z72" s="97"/>
      <c r="AA72" s="97"/>
      <c r="AB72" s="97"/>
      <c r="AC72" s="436"/>
      <c r="AD72" s="97"/>
      <c r="AE72" s="97"/>
      <c r="AF72" s="97"/>
      <c r="AG72" s="436"/>
      <c r="AH72" s="97"/>
      <c r="AI72" s="97"/>
      <c r="AJ72" s="97"/>
      <c r="AK72" s="436"/>
      <c r="AL72" s="97"/>
      <c r="AM72" s="97"/>
      <c r="AN72" s="97"/>
      <c r="AO72" s="436"/>
      <c r="AP72" s="97"/>
      <c r="AQ72" s="97"/>
      <c r="AR72" s="97"/>
      <c r="AS72" s="436"/>
      <c r="AT72" s="97"/>
      <c r="AU72" s="97"/>
      <c r="AV72" s="97"/>
      <c r="AW72" s="97"/>
      <c r="AX72" s="97"/>
      <c r="AY72" s="97"/>
      <c r="AZ72" s="97"/>
      <c r="BA72" s="97"/>
    </row>
    <row r="73" spans="1:53" s="59" customFormat="1" ht="17.25" customHeight="1">
      <c r="A73" s="97"/>
      <c r="B73" s="97"/>
      <c r="C73" s="97"/>
      <c r="D73" s="97"/>
      <c r="E73" s="436"/>
      <c r="F73" s="97"/>
      <c r="G73" s="97"/>
      <c r="H73" s="97"/>
      <c r="I73" s="436"/>
      <c r="J73" s="97"/>
      <c r="K73" s="97"/>
      <c r="L73" s="97"/>
      <c r="M73" s="436"/>
      <c r="N73" s="97"/>
      <c r="O73" s="97"/>
      <c r="P73" s="97"/>
      <c r="Q73" s="436"/>
      <c r="R73" s="97"/>
      <c r="S73" s="97"/>
      <c r="T73" s="97"/>
      <c r="U73" s="436"/>
      <c r="V73" s="97"/>
      <c r="W73" s="97"/>
      <c r="X73" s="97"/>
      <c r="Y73" s="436"/>
      <c r="Z73" s="97"/>
      <c r="AA73" s="97"/>
      <c r="AB73" s="97"/>
      <c r="AC73" s="436"/>
      <c r="AD73" s="97"/>
      <c r="AE73" s="97"/>
      <c r="AF73" s="97"/>
      <c r="AG73" s="436"/>
      <c r="AH73" s="97"/>
      <c r="AI73" s="97"/>
      <c r="AJ73" s="97"/>
      <c r="AK73" s="436"/>
      <c r="AL73" s="97"/>
      <c r="AM73" s="97"/>
      <c r="AN73" s="97"/>
      <c r="AO73" s="436"/>
      <c r="AP73" s="97"/>
      <c r="AQ73" s="97"/>
      <c r="AR73" s="97"/>
      <c r="AS73" s="436"/>
      <c r="AT73" s="97"/>
      <c r="AU73" s="97"/>
      <c r="AV73" s="97"/>
      <c r="AW73" s="97"/>
      <c r="AX73" s="97"/>
      <c r="AY73" s="97"/>
      <c r="AZ73" s="97"/>
      <c r="BA73" s="97"/>
    </row>
    <row r="74" spans="1:53" s="59" customFormat="1" ht="12.75">
      <c r="A74" s="97"/>
      <c r="B74" s="97"/>
      <c r="C74" s="97"/>
      <c r="D74" s="97"/>
      <c r="E74" s="436"/>
      <c r="F74" s="97"/>
      <c r="G74" s="97"/>
      <c r="H74" s="97"/>
      <c r="I74" s="436"/>
      <c r="J74" s="97"/>
      <c r="K74" s="97"/>
      <c r="L74" s="97"/>
      <c r="M74" s="436"/>
      <c r="N74" s="97"/>
      <c r="O74" s="97"/>
      <c r="P74" s="97"/>
      <c r="Q74" s="436"/>
      <c r="R74" s="97"/>
      <c r="S74" s="97"/>
      <c r="T74" s="97"/>
      <c r="U74" s="436"/>
      <c r="V74" s="97"/>
      <c r="W74" s="97"/>
      <c r="X74" s="97"/>
      <c r="Y74" s="436"/>
      <c r="Z74" s="97"/>
      <c r="AA74" s="97"/>
      <c r="AB74" s="97"/>
      <c r="AC74" s="436"/>
      <c r="AD74" s="97"/>
      <c r="AE74" s="97"/>
      <c r="AF74" s="97"/>
      <c r="AG74" s="436"/>
      <c r="AH74" s="97"/>
      <c r="AI74" s="97"/>
      <c r="AJ74" s="97"/>
      <c r="AK74" s="436"/>
      <c r="AL74" s="97"/>
      <c r="AM74" s="97"/>
      <c r="AN74" s="97"/>
      <c r="AO74" s="436"/>
      <c r="AP74" s="97"/>
      <c r="AQ74" s="97"/>
      <c r="AR74" s="97"/>
      <c r="AS74" s="436"/>
      <c r="AT74" s="97"/>
      <c r="AU74" s="97"/>
      <c r="AV74" s="97"/>
      <c r="AW74" s="97"/>
      <c r="AX74" s="97"/>
      <c r="AY74" s="97"/>
      <c r="AZ74" s="97"/>
      <c r="BA74" s="97"/>
    </row>
    <row r="75" spans="1:53" s="59" customFormat="1" ht="17.25" customHeight="1">
      <c r="A75" s="97"/>
      <c r="B75" s="97"/>
      <c r="C75" s="97"/>
      <c r="D75" s="97"/>
      <c r="E75" s="436"/>
      <c r="F75" s="97"/>
      <c r="G75" s="97"/>
      <c r="H75" s="97"/>
      <c r="I75" s="436"/>
      <c r="J75" s="97"/>
      <c r="K75" s="97"/>
      <c r="L75" s="97"/>
      <c r="M75" s="436"/>
      <c r="N75" s="97"/>
      <c r="O75" s="97"/>
      <c r="P75" s="97"/>
      <c r="Q75" s="436"/>
      <c r="R75" s="97"/>
      <c r="S75" s="97"/>
      <c r="T75" s="97"/>
      <c r="U75" s="436"/>
      <c r="V75" s="97"/>
      <c r="W75" s="97"/>
      <c r="X75" s="97"/>
      <c r="Y75" s="436"/>
      <c r="Z75" s="97"/>
      <c r="AA75" s="97"/>
      <c r="AB75" s="97"/>
      <c r="AC75" s="436"/>
      <c r="AD75" s="97"/>
      <c r="AE75" s="97"/>
      <c r="AF75" s="97"/>
      <c r="AG75" s="436"/>
      <c r="AH75" s="97"/>
      <c r="AI75" s="97"/>
      <c r="AJ75" s="97"/>
      <c r="AK75" s="436"/>
      <c r="AL75" s="97"/>
      <c r="AM75" s="97"/>
      <c r="AN75" s="97"/>
      <c r="AO75" s="436"/>
      <c r="AP75" s="97"/>
      <c r="AQ75" s="97"/>
      <c r="AR75" s="97"/>
      <c r="AS75" s="436"/>
      <c r="AT75" s="97"/>
      <c r="AU75" s="97"/>
      <c r="AV75" s="97"/>
      <c r="AW75" s="97"/>
      <c r="AX75" s="97"/>
      <c r="AY75" s="97"/>
      <c r="AZ75" s="97"/>
      <c r="BA75" s="97"/>
    </row>
    <row r="76" spans="1:53" s="59" customFormat="1" ht="12.75">
      <c r="A76" s="97"/>
      <c r="B76" s="97"/>
      <c r="C76" s="97"/>
      <c r="D76" s="97"/>
      <c r="E76" s="436"/>
      <c r="F76" s="97"/>
      <c r="G76" s="97"/>
      <c r="H76" s="97"/>
      <c r="I76" s="436"/>
      <c r="J76" s="97"/>
      <c r="K76" s="97"/>
      <c r="L76" s="97"/>
      <c r="M76" s="436"/>
      <c r="N76" s="97"/>
      <c r="O76" s="97"/>
      <c r="P76" s="97"/>
      <c r="Q76" s="436"/>
      <c r="R76" s="97"/>
      <c r="S76" s="97"/>
      <c r="T76" s="97"/>
      <c r="U76" s="436"/>
      <c r="V76" s="97"/>
      <c r="W76" s="97"/>
      <c r="X76" s="97"/>
      <c r="Y76" s="436"/>
      <c r="Z76" s="97"/>
      <c r="AA76" s="97"/>
      <c r="AB76" s="97"/>
      <c r="AC76" s="436"/>
      <c r="AD76" s="97"/>
      <c r="AE76" s="97"/>
      <c r="AF76" s="97"/>
      <c r="AG76" s="436"/>
      <c r="AH76" s="97"/>
      <c r="AI76" s="97"/>
      <c r="AJ76" s="97"/>
      <c r="AK76" s="436"/>
      <c r="AL76" s="97"/>
      <c r="AM76" s="97"/>
      <c r="AN76" s="97"/>
      <c r="AO76" s="436"/>
      <c r="AP76" s="97"/>
      <c r="AQ76" s="97"/>
      <c r="AR76" s="97"/>
      <c r="AS76" s="436"/>
      <c r="AT76" s="97"/>
      <c r="AU76" s="97"/>
      <c r="AV76" s="97"/>
      <c r="AW76" s="97"/>
      <c r="AX76" s="97"/>
      <c r="AY76" s="97"/>
      <c r="AZ76" s="97"/>
      <c r="BA76" s="97"/>
    </row>
    <row r="77" spans="1:53" s="59" customFormat="1" ht="17.25" customHeight="1">
      <c r="A77" s="97"/>
      <c r="B77" s="97"/>
      <c r="C77" s="97"/>
      <c r="D77" s="97"/>
      <c r="E77" s="436"/>
      <c r="F77" s="97"/>
      <c r="G77" s="97"/>
      <c r="H77" s="97"/>
      <c r="I77" s="436"/>
      <c r="J77" s="97"/>
      <c r="K77" s="97"/>
      <c r="L77" s="97"/>
      <c r="M77" s="436"/>
      <c r="N77" s="97"/>
      <c r="O77" s="97"/>
      <c r="P77" s="97"/>
      <c r="Q77" s="436"/>
      <c r="R77" s="97"/>
      <c r="S77" s="97"/>
      <c r="T77" s="97"/>
      <c r="U77" s="436"/>
      <c r="V77" s="97"/>
      <c r="W77" s="97"/>
      <c r="X77" s="97"/>
      <c r="Y77" s="436"/>
      <c r="Z77" s="97"/>
      <c r="AA77" s="97"/>
      <c r="AB77" s="97"/>
      <c r="AC77" s="436"/>
      <c r="AD77" s="97"/>
      <c r="AE77" s="97"/>
      <c r="AF77" s="97"/>
      <c r="AG77" s="436"/>
      <c r="AH77" s="97"/>
      <c r="AI77" s="97"/>
      <c r="AJ77" s="97"/>
      <c r="AK77" s="436"/>
      <c r="AL77" s="97"/>
      <c r="AM77" s="97"/>
      <c r="AN77" s="97"/>
      <c r="AO77" s="436"/>
      <c r="AP77" s="97"/>
      <c r="AQ77" s="97"/>
      <c r="AR77" s="97"/>
      <c r="AS77" s="436"/>
      <c r="AT77" s="97"/>
      <c r="AU77" s="97"/>
      <c r="AV77" s="97"/>
      <c r="AW77" s="97"/>
      <c r="AX77" s="97"/>
      <c r="AY77" s="97"/>
      <c r="AZ77" s="97"/>
      <c r="BA77" s="97"/>
    </row>
    <row r="78" spans="1:53" s="59" customFormat="1" ht="12.75">
      <c r="A78" s="97"/>
      <c r="B78" s="97"/>
      <c r="C78" s="97"/>
      <c r="D78" s="97"/>
      <c r="E78" s="436"/>
      <c r="F78" s="97"/>
      <c r="G78" s="97"/>
      <c r="H78" s="97"/>
      <c r="I78" s="436"/>
      <c r="J78" s="97"/>
      <c r="K78" s="97"/>
      <c r="L78" s="97"/>
      <c r="M78" s="436"/>
      <c r="N78" s="97"/>
      <c r="O78" s="97"/>
      <c r="P78" s="97"/>
      <c r="Q78" s="436"/>
      <c r="R78" s="97"/>
      <c r="S78" s="97"/>
      <c r="T78" s="97"/>
      <c r="U78" s="436"/>
      <c r="V78" s="97"/>
      <c r="W78" s="97"/>
      <c r="X78" s="97"/>
      <c r="Y78" s="436"/>
      <c r="Z78" s="97"/>
      <c r="AA78" s="97"/>
      <c r="AB78" s="97"/>
      <c r="AC78" s="436"/>
      <c r="AD78" s="97"/>
      <c r="AE78" s="97"/>
      <c r="AF78" s="97"/>
      <c r="AG78" s="436"/>
      <c r="AH78" s="97"/>
      <c r="AI78" s="97"/>
      <c r="AJ78" s="97"/>
      <c r="AK78" s="436"/>
      <c r="AL78" s="97"/>
      <c r="AM78" s="97"/>
      <c r="AN78" s="97"/>
      <c r="AO78" s="436"/>
      <c r="AP78" s="97"/>
      <c r="AQ78" s="97"/>
      <c r="AR78" s="97"/>
      <c r="AS78" s="436"/>
      <c r="AT78" s="97"/>
      <c r="AU78" s="97"/>
      <c r="AV78" s="97"/>
      <c r="AW78" s="97"/>
      <c r="AX78" s="97"/>
      <c r="AY78" s="97"/>
      <c r="AZ78" s="97"/>
      <c r="BA78" s="97"/>
    </row>
    <row r="79" spans="1:53" s="59" customFormat="1" ht="17.25" customHeight="1">
      <c r="A79" s="97"/>
      <c r="B79" s="97"/>
      <c r="C79" s="97"/>
      <c r="D79" s="97"/>
      <c r="E79" s="436"/>
      <c r="F79" s="97"/>
      <c r="G79" s="97"/>
      <c r="H79" s="97"/>
      <c r="I79" s="436"/>
      <c r="J79" s="97"/>
      <c r="K79" s="97"/>
      <c r="L79" s="97"/>
      <c r="M79" s="436"/>
      <c r="N79" s="97"/>
      <c r="O79" s="97"/>
      <c r="P79" s="97"/>
      <c r="Q79" s="436"/>
      <c r="R79" s="97"/>
      <c r="S79" s="97"/>
      <c r="T79" s="97"/>
      <c r="U79" s="436"/>
      <c r="V79" s="97"/>
      <c r="W79" s="97"/>
      <c r="X79" s="97"/>
      <c r="Y79" s="436"/>
      <c r="Z79" s="97"/>
      <c r="AA79" s="97"/>
      <c r="AB79" s="97"/>
      <c r="AC79" s="436"/>
      <c r="AD79" s="97"/>
      <c r="AE79" s="97"/>
      <c r="AF79" s="97"/>
      <c r="AG79" s="436"/>
      <c r="AH79" s="97"/>
      <c r="AI79" s="97"/>
      <c r="AJ79" s="97"/>
      <c r="AK79" s="436"/>
      <c r="AL79" s="97"/>
      <c r="AM79" s="97"/>
      <c r="AN79" s="97"/>
      <c r="AO79" s="436"/>
      <c r="AP79" s="97"/>
      <c r="AQ79" s="97"/>
      <c r="AR79" s="97"/>
      <c r="AS79" s="436"/>
      <c r="AT79" s="97"/>
      <c r="AU79" s="97"/>
      <c r="AV79" s="97"/>
      <c r="AW79" s="97"/>
      <c r="AX79" s="97"/>
      <c r="AY79" s="97"/>
      <c r="AZ79" s="97"/>
      <c r="BA79" s="97"/>
    </row>
    <row r="80" spans="1:53" s="59" customFormat="1" ht="12.75">
      <c r="A80" s="97"/>
      <c r="B80" s="97"/>
      <c r="C80" s="97"/>
      <c r="D80" s="97"/>
      <c r="E80" s="436"/>
      <c r="F80" s="97"/>
      <c r="G80" s="97"/>
      <c r="H80" s="97"/>
      <c r="I80" s="436"/>
      <c r="J80" s="97"/>
      <c r="K80" s="97"/>
      <c r="L80" s="97"/>
      <c r="M80" s="436"/>
      <c r="N80" s="97"/>
      <c r="O80" s="97"/>
      <c r="P80" s="97"/>
      <c r="Q80" s="436"/>
      <c r="R80" s="97"/>
      <c r="S80" s="97"/>
      <c r="T80" s="97"/>
      <c r="U80" s="436"/>
      <c r="V80" s="97"/>
      <c r="W80" s="97"/>
      <c r="X80" s="97"/>
      <c r="Y80" s="436"/>
      <c r="Z80" s="97"/>
      <c r="AA80" s="97"/>
      <c r="AB80" s="97"/>
      <c r="AC80" s="436"/>
      <c r="AD80" s="97"/>
      <c r="AE80" s="97"/>
      <c r="AF80" s="97"/>
      <c r="AG80" s="436"/>
      <c r="AH80" s="97"/>
      <c r="AI80" s="97"/>
      <c r="AJ80" s="97"/>
      <c r="AK80" s="436"/>
      <c r="AL80" s="97"/>
      <c r="AM80" s="97"/>
      <c r="AN80" s="97"/>
      <c r="AO80" s="436"/>
      <c r="AP80" s="97"/>
      <c r="AQ80" s="97"/>
      <c r="AR80" s="97"/>
      <c r="AS80" s="436"/>
      <c r="AT80" s="97"/>
      <c r="AU80" s="97"/>
      <c r="AV80" s="97"/>
      <c r="AW80" s="97"/>
      <c r="AX80" s="97"/>
      <c r="AY80" s="97"/>
      <c r="AZ80" s="97"/>
      <c r="BA80" s="97"/>
    </row>
    <row r="81" spans="1:53" s="59" customFormat="1" ht="17.25" customHeight="1">
      <c r="A81" s="97"/>
      <c r="B81" s="97"/>
      <c r="C81" s="97"/>
      <c r="D81" s="97"/>
      <c r="E81" s="436"/>
      <c r="F81" s="97"/>
      <c r="G81" s="97"/>
      <c r="H81" s="97"/>
      <c r="I81" s="436"/>
      <c r="J81" s="97"/>
      <c r="K81" s="97"/>
      <c r="L81" s="97"/>
      <c r="M81" s="436"/>
      <c r="N81" s="97"/>
      <c r="O81" s="97"/>
      <c r="P81" s="97"/>
      <c r="Q81" s="436"/>
      <c r="R81" s="97"/>
      <c r="S81" s="97"/>
      <c r="T81" s="97"/>
      <c r="U81" s="436"/>
      <c r="V81" s="97"/>
      <c r="W81" s="97"/>
      <c r="X81" s="97"/>
      <c r="Y81" s="436"/>
      <c r="Z81" s="97"/>
      <c r="AA81" s="97"/>
      <c r="AB81" s="97"/>
      <c r="AC81" s="436"/>
      <c r="AD81" s="97"/>
      <c r="AE81" s="97"/>
      <c r="AF81" s="97"/>
      <c r="AG81" s="436"/>
      <c r="AH81" s="97"/>
      <c r="AI81" s="97"/>
      <c r="AJ81" s="97"/>
      <c r="AK81" s="436"/>
      <c r="AL81" s="97"/>
      <c r="AM81" s="97"/>
      <c r="AN81" s="97"/>
      <c r="AO81" s="436"/>
      <c r="AP81" s="97"/>
      <c r="AQ81" s="97"/>
      <c r="AR81" s="97"/>
      <c r="AS81" s="436"/>
      <c r="AT81" s="97"/>
      <c r="AU81" s="97"/>
      <c r="AV81" s="97"/>
      <c r="AW81" s="97"/>
      <c r="AX81" s="97"/>
      <c r="AY81" s="97"/>
      <c r="AZ81" s="97"/>
      <c r="BA81" s="97"/>
    </row>
    <row r="82" spans="1:53" s="59" customFormat="1" ht="12.75">
      <c r="A82" s="97"/>
      <c r="B82" s="97"/>
      <c r="C82" s="97"/>
      <c r="D82" s="97"/>
      <c r="E82" s="436"/>
      <c r="F82" s="97"/>
      <c r="G82" s="97"/>
      <c r="H82" s="97"/>
      <c r="I82" s="436"/>
      <c r="J82" s="97"/>
      <c r="K82" s="97"/>
      <c r="L82" s="97"/>
      <c r="M82" s="436"/>
      <c r="N82" s="97"/>
      <c r="O82" s="97"/>
      <c r="P82" s="97"/>
      <c r="Q82" s="436"/>
      <c r="R82" s="97"/>
      <c r="S82" s="97"/>
      <c r="T82" s="97"/>
      <c r="U82" s="436"/>
      <c r="V82" s="97"/>
      <c r="W82" s="97"/>
      <c r="X82" s="97"/>
      <c r="Y82" s="436"/>
      <c r="Z82" s="97"/>
      <c r="AA82" s="97"/>
      <c r="AB82" s="97"/>
      <c r="AC82" s="436"/>
      <c r="AD82" s="97"/>
      <c r="AE82" s="97"/>
      <c r="AF82" s="97"/>
      <c r="AG82" s="436"/>
      <c r="AH82" s="97"/>
      <c r="AI82" s="97"/>
      <c r="AJ82" s="97"/>
      <c r="AK82" s="436"/>
      <c r="AL82" s="97"/>
      <c r="AM82" s="97"/>
      <c r="AN82" s="97"/>
      <c r="AO82" s="436"/>
      <c r="AP82" s="97"/>
      <c r="AQ82" s="97"/>
      <c r="AR82" s="97"/>
      <c r="AS82" s="436"/>
      <c r="AT82" s="97"/>
      <c r="AU82" s="97"/>
      <c r="AV82" s="97"/>
      <c r="AW82" s="97"/>
      <c r="AX82" s="97"/>
      <c r="AY82" s="97"/>
      <c r="AZ82" s="97"/>
      <c r="BA82" s="97"/>
    </row>
    <row r="83" spans="1:53" s="59" customFormat="1" ht="17.25" customHeight="1">
      <c r="A83" s="97"/>
      <c r="B83" s="97"/>
      <c r="C83" s="97"/>
      <c r="D83" s="97"/>
      <c r="E83" s="436"/>
      <c r="F83" s="97"/>
      <c r="G83" s="97"/>
      <c r="H83" s="97"/>
      <c r="I83" s="436"/>
      <c r="J83" s="97"/>
      <c r="K83" s="97"/>
      <c r="L83" s="97"/>
      <c r="M83" s="436"/>
      <c r="N83" s="97"/>
      <c r="O83" s="97"/>
      <c r="P83" s="97"/>
      <c r="Q83" s="436"/>
      <c r="R83" s="97"/>
      <c r="S83" s="97"/>
      <c r="T83" s="97"/>
      <c r="U83" s="436"/>
      <c r="V83" s="97"/>
      <c r="W83" s="97"/>
      <c r="X83" s="97"/>
      <c r="Y83" s="436"/>
      <c r="Z83" s="97"/>
      <c r="AA83" s="97"/>
      <c r="AB83" s="97"/>
      <c r="AC83" s="436"/>
      <c r="AD83" s="97"/>
      <c r="AE83" s="97"/>
      <c r="AF83" s="97"/>
      <c r="AG83" s="436"/>
      <c r="AH83" s="97"/>
      <c r="AI83" s="97"/>
      <c r="AJ83" s="97"/>
      <c r="AK83" s="436"/>
      <c r="AL83" s="97"/>
      <c r="AM83" s="97"/>
      <c r="AN83" s="97"/>
      <c r="AO83" s="436"/>
      <c r="AP83" s="97"/>
      <c r="AQ83" s="97"/>
      <c r="AR83" s="97"/>
      <c r="AS83" s="436"/>
      <c r="AT83" s="97"/>
      <c r="AU83" s="97"/>
      <c r="AV83" s="97"/>
      <c r="AW83" s="97"/>
      <c r="AX83" s="97"/>
      <c r="AY83" s="97"/>
      <c r="AZ83" s="97"/>
      <c r="BA83" s="97"/>
    </row>
    <row r="84" spans="1:53" s="59" customFormat="1" ht="12.75">
      <c r="A84" s="97"/>
      <c r="B84" s="97"/>
      <c r="C84" s="97"/>
      <c r="D84" s="97"/>
      <c r="E84" s="436"/>
      <c r="F84" s="97"/>
      <c r="G84" s="97"/>
      <c r="H84" s="97"/>
      <c r="I84" s="436"/>
      <c r="J84" s="97"/>
      <c r="K84" s="97"/>
      <c r="L84" s="97"/>
      <c r="M84" s="436"/>
      <c r="N84" s="97"/>
      <c r="O84" s="97"/>
      <c r="P84" s="97"/>
      <c r="Q84" s="436"/>
      <c r="R84" s="97"/>
      <c r="S84" s="97"/>
      <c r="T84" s="97"/>
      <c r="U84" s="436"/>
      <c r="V84" s="97"/>
      <c r="W84" s="97"/>
      <c r="X84" s="97"/>
      <c r="Y84" s="436"/>
      <c r="Z84" s="97"/>
      <c r="AA84" s="97"/>
      <c r="AB84" s="97"/>
      <c r="AC84" s="436"/>
      <c r="AD84" s="97"/>
      <c r="AE84" s="97"/>
      <c r="AF84" s="97"/>
      <c r="AG84" s="436"/>
      <c r="AH84" s="97"/>
      <c r="AI84" s="97"/>
      <c r="AJ84" s="97"/>
      <c r="AK84" s="436"/>
      <c r="AL84" s="97"/>
      <c r="AM84" s="97"/>
      <c r="AN84" s="97"/>
      <c r="AO84" s="436"/>
      <c r="AP84" s="97"/>
      <c r="AQ84" s="97"/>
      <c r="AR84" s="97"/>
      <c r="AS84" s="436"/>
      <c r="AT84" s="97"/>
      <c r="AU84" s="97"/>
      <c r="AV84" s="97"/>
      <c r="AW84" s="97"/>
      <c r="AX84" s="97"/>
      <c r="AY84" s="97"/>
      <c r="AZ84" s="97"/>
      <c r="BA84" s="97"/>
    </row>
    <row r="85" spans="1:53" s="59" customFormat="1" ht="17.25" customHeight="1">
      <c r="A85" s="97"/>
      <c r="B85" s="97"/>
      <c r="C85" s="97"/>
      <c r="D85" s="97"/>
      <c r="E85" s="436"/>
      <c r="F85" s="97"/>
      <c r="G85" s="97"/>
      <c r="H85" s="97"/>
      <c r="I85" s="436"/>
      <c r="J85" s="97"/>
      <c r="K85" s="97"/>
      <c r="L85" s="97"/>
      <c r="M85" s="436"/>
      <c r="N85" s="97"/>
      <c r="O85" s="97"/>
      <c r="P85" s="97"/>
      <c r="Q85" s="436"/>
      <c r="R85" s="97"/>
      <c r="S85" s="97"/>
      <c r="T85" s="97"/>
      <c r="U85" s="436"/>
      <c r="V85" s="97"/>
      <c r="W85" s="97"/>
      <c r="X85" s="97"/>
      <c r="Y85" s="436"/>
      <c r="Z85" s="97"/>
      <c r="AA85" s="97"/>
      <c r="AB85" s="97"/>
      <c r="AC85" s="436"/>
      <c r="AD85" s="97"/>
      <c r="AE85" s="97"/>
      <c r="AF85" s="97"/>
      <c r="AG85" s="436"/>
      <c r="AH85" s="97"/>
      <c r="AI85" s="97"/>
      <c r="AJ85" s="97"/>
      <c r="AK85" s="436"/>
      <c r="AL85" s="97"/>
      <c r="AM85" s="97"/>
      <c r="AN85" s="97"/>
      <c r="AO85" s="436"/>
      <c r="AP85" s="97"/>
      <c r="AQ85" s="97"/>
      <c r="AR85" s="97"/>
      <c r="AS85" s="436"/>
      <c r="AT85" s="97"/>
      <c r="AU85" s="97"/>
      <c r="AV85" s="97"/>
      <c r="AW85" s="97"/>
      <c r="AX85" s="97"/>
      <c r="AY85" s="97"/>
      <c r="AZ85" s="97"/>
      <c r="BA85" s="97"/>
    </row>
    <row r="86" spans="1:53" s="59" customFormat="1" ht="12.75">
      <c r="A86" s="97"/>
      <c r="B86" s="97"/>
      <c r="C86" s="97"/>
      <c r="D86" s="97"/>
      <c r="E86" s="436"/>
      <c r="F86" s="97"/>
      <c r="G86" s="97"/>
      <c r="H86" s="97"/>
      <c r="I86" s="436"/>
      <c r="J86" s="97"/>
      <c r="K86" s="97"/>
      <c r="L86" s="97"/>
      <c r="M86" s="436"/>
      <c r="N86" s="97"/>
      <c r="O86" s="97"/>
      <c r="P86" s="97"/>
      <c r="Q86" s="436"/>
      <c r="R86" s="97"/>
      <c r="S86" s="97"/>
      <c r="T86" s="97"/>
      <c r="U86" s="436"/>
      <c r="V86" s="97"/>
      <c r="W86" s="97"/>
      <c r="X86" s="97"/>
      <c r="Y86" s="436"/>
      <c r="Z86" s="97"/>
      <c r="AA86" s="97"/>
      <c r="AB86" s="97"/>
      <c r="AC86" s="436"/>
      <c r="AD86" s="97"/>
      <c r="AE86" s="97"/>
      <c r="AF86" s="97"/>
      <c r="AG86" s="436"/>
      <c r="AH86" s="97"/>
      <c r="AI86" s="97"/>
      <c r="AJ86" s="97"/>
      <c r="AK86" s="436"/>
      <c r="AL86" s="97"/>
      <c r="AM86" s="97"/>
      <c r="AN86" s="97"/>
      <c r="AO86" s="436"/>
      <c r="AP86" s="97"/>
      <c r="AQ86" s="97"/>
      <c r="AR86" s="97"/>
      <c r="AS86" s="436"/>
      <c r="AT86" s="97"/>
      <c r="AU86" s="97"/>
      <c r="AV86" s="97"/>
      <c r="AW86" s="97"/>
      <c r="AX86" s="97"/>
      <c r="AY86" s="97"/>
      <c r="AZ86" s="97"/>
      <c r="BA86" s="97"/>
    </row>
    <row r="87" spans="1:53" s="59" customFormat="1" ht="17.25" customHeight="1">
      <c r="A87" s="97"/>
      <c r="B87" s="97"/>
      <c r="C87" s="97"/>
      <c r="D87" s="97"/>
      <c r="E87" s="436"/>
      <c r="F87" s="97"/>
      <c r="G87" s="97"/>
      <c r="H87" s="97"/>
      <c r="I87" s="436"/>
      <c r="J87" s="97"/>
      <c r="K87" s="97"/>
      <c r="L87" s="97"/>
      <c r="M87" s="436"/>
      <c r="N87" s="97"/>
      <c r="O87" s="97"/>
      <c r="P87" s="97"/>
      <c r="Q87" s="436"/>
      <c r="R87" s="97"/>
      <c r="S87" s="97"/>
      <c r="T87" s="97"/>
      <c r="U87" s="436"/>
      <c r="V87" s="97"/>
      <c r="W87" s="97"/>
      <c r="X87" s="97"/>
      <c r="Y87" s="436"/>
      <c r="Z87" s="97"/>
      <c r="AA87" s="97"/>
      <c r="AB87" s="97"/>
      <c r="AC87" s="436"/>
      <c r="AD87" s="97"/>
      <c r="AE87" s="97"/>
      <c r="AF87" s="97"/>
      <c r="AG87" s="436"/>
      <c r="AH87" s="97"/>
      <c r="AI87" s="97"/>
      <c r="AJ87" s="97"/>
      <c r="AK87" s="436"/>
      <c r="AL87" s="97"/>
      <c r="AM87" s="97"/>
      <c r="AN87" s="97"/>
      <c r="AO87" s="436"/>
      <c r="AP87" s="97"/>
      <c r="AQ87" s="97"/>
      <c r="AR87" s="97"/>
      <c r="AS87" s="436"/>
      <c r="AT87" s="97"/>
      <c r="AU87" s="97"/>
      <c r="AV87" s="97"/>
      <c r="AW87" s="97"/>
      <c r="AX87" s="97"/>
      <c r="AY87" s="97"/>
      <c r="AZ87" s="97"/>
      <c r="BA87" s="97"/>
    </row>
    <row r="88" spans="1:53" s="59" customFormat="1" ht="12.75">
      <c r="E88" s="431"/>
      <c r="I88" s="431"/>
      <c r="M88" s="431"/>
      <c r="Q88" s="431"/>
      <c r="U88" s="431"/>
      <c r="Y88" s="431"/>
      <c r="AC88" s="431"/>
      <c r="AG88" s="431"/>
      <c r="AK88" s="431"/>
      <c r="AO88" s="431"/>
      <c r="AS88" s="431"/>
    </row>
    <row r="89" spans="1:53" s="59" customFormat="1" ht="17.25" customHeight="1">
      <c r="E89" s="431"/>
      <c r="I89" s="431"/>
      <c r="M89" s="431"/>
      <c r="Q89" s="431"/>
      <c r="U89" s="431"/>
      <c r="Y89" s="431"/>
      <c r="AC89" s="431"/>
      <c r="AG89" s="431"/>
      <c r="AK89" s="431"/>
      <c r="AO89" s="431"/>
      <c r="AS89" s="431"/>
    </row>
    <row r="90" spans="1:53" s="59" customFormat="1" ht="12.75">
      <c r="E90" s="431"/>
      <c r="I90" s="431"/>
      <c r="M90" s="431"/>
      <c r="Q90" s="431"/>
      <c r="U90" s="431"/>
      <c r="Y90" s="431"/>
      <c r="AC90" s="431"/>
      <c r="AG90" s="431"/>
      <c r="AK90" s="431"/>
      <c r="AO90" s="431"/>
      <c r="AS90" s="431"/>
    </row>
    <row r="91" spans="1:53" s="59" customFormat="1" ht="17.25" customHeight="1">
      <c r="E91" s="431"/>
      <c r="I91" s="431"/>
      <c r="M91" s="431"/>
      <c r="Q91" s="431"/>
      <c r="U91" s="431"/>
      <c r="Y91" s="431"/>
      <c r="AC91" s="431"/>
      <c r="AG91" s="431"/>
      <c r="AK91" s="431"/>
      <c r="AO91" s="431"/>
      <c r="AS91" s="431"/>
    </row>
    <row r="92" spans="1:53" s="59" customFormat="1" ht="12.75">
      <c r="E92" s="431"/>
      <c r="I92" s="431"/>
      <c r="M92" s="431"/>
      <c r="Q92" s="431"/>
      <c r="U92" s="431"/>
      <c r="Y92" s="431"/>
      <c r="AC92" s="431"/>
      <c r="AG92" s="431"/>
      <c r="AK92" s="431"/>
      <c r="AO92" s="431"/>
      <c r="AS92" s="431"/>
    </row>
    <row r="93" spans="1:53" s="59" customFormat="1" ht="17.25" customHeight="1">
      <c r="E93" s="431"/>
      <c r="I93" s="431"/>
      <c r="M93" s="431"/>
      <c r="Q93" s="431"/>
      <c r="U93" s="431"/>
      <c r="Y93" s="431"/>
      <c r="AC93" s="431"/>
      <c r="AG93" s="431"/>
      <c r="AK93" s="431"/>
      <c r="AO93" s="431"/>
      <c r="AS93" s="431"/>
    </row>
    <row r="94" spans="1:53" s="59" customFormat="1" ht="12.75">
      <c r="E94" s="431"/>
      <c r="I94" s="431"/>
      <c r="M94" s="431"/>
      <c r="Q94" s="431"/>
      <c r="U94" s="431"/>
      <c r="Y94" s="431"/>
      <c r="AC94" s="431"/>
      <c r="AG94" s="431"/>
      <c r="AK94" s="431"/>
      <c r="AO94" s="431"/>
      <c r="AS94" s="431"/>
    </row>
    <row r="95" spans="1:53" s="59" customFormat="1" ht="17.25" customHeight="1">
      <c r="E95" s="431"/>
      <c r="I95" s="431"/>
      <c r="M95" s="431"/>
      <c r="Q95" s="431"/>
      <c r="U95" s="431"/>
      <c r="Y95" s="431"/>
      <c r="AC95" s="431"/>
      <c r="AG95" s="431"/>
      <c r="AK95" s="431"/>
      <c r="AO95" s="431"/>
      <c r="AS95" s="431"/>
    </row>
    <row r="96" spans="1:53" s="59" customFormat="1" ht="12.75">
      <c r="E96" s="431"/>
      <c r="I96" s="431"/>
      <c r="M96" s="431"/>
      <c r="Q96" s="431"/>
      <c r="U96" s="431"/>
      <c r="Y96" s="431"/>
      <c r="AC96" s="431"/>
      <c r="AG96" s="431"/>
      <c r="AK96" s="431"/>
      <c r="AO96" s="431"/>
      <c r="AS96" s="431"/>
    </row>
    <row r="97" spans="5:45" s="59" customFormat="1" ht="17.25" customHeight="1">
      <c r="E97" s="431"/>
      <c r="I97" s="431"/>
      <c r="M97" s="431"/>
      <c r="Q97" s="431"/>
      <c r="U97" s="431"/>
      <c r="Y97" s="431"/>
      <c r="AC97" s="431"/>
      <c r="AG97" s="431"/>
      <c r="AK97" s="431"/>
      <c r="AO97" s="431"/>
      <c r="AS97" s="431"/>
    </row>
    <row r="98" spans="5:45" s="59" customFormat="1" ht="12.75">
      <c r="E98" s="431"/>
      <c r="I98" s="431"/>
      <c r="M98" s="431"/>
      <c r="Q98" s="431"/>
      <c r="U98" s="431"/>
      <c r="Y98" s="431"/>
      <c r="AC98" s="431"/>
      <c r="AG98" s="431"/>
      <c r="AK98" s="431"/>
      <c r="AO98" s="431"/>
      <c r="AS98" s="431"/>
    </row>
    <row r="99" spans="5:45" s="59" customFormat="1" ht="17.25" customHeight="1">
      <c r="E99" s="431"/>
      <c r="I99" s="431"/>
      <c r="M99" s="431"/>
      <c r="Q99" s="431"/>
      <c r="U99" s="431"/>
      <c r="Y99" s="431"/>
      <c r="AC99" s="431"/>
      <c r="AG99" s="431"/>
      <c r="AK99" s="431"/>
      <c r="AO99" s="431"/>
      <c r="AS99" s="431"/>
    </row>
    <row r="100" spans="5:45" s="59" customFormat="1" ht="12.75">
      <c r="E100" s="431"/>
      <c r="I100" s="431"/>
      <c r="M100" s="431"/>
      <c r="Q100" s="431"/>
      <c r="U100" s="431"/>
      <c r="Y100" s="431"/>
      <c r="AC100" s="431"/>
      <c r="AG100" s="431"/>
      <c r="AK100" s="431"/>
      <c r="AO100" s="431"/>
      <c r="AS100" s="431"/>
    </row>
    <row r="101" spans="5:45" s="59" customFormat="1" ht="17.25" customHeight="1">
      <c r="E101" s="431"/>
      <c r="I101" s="431"/>
      <c r="M101" s="431"/>
      <c r="Q101" s="431"/>
      <c r="U101" s="431"/>
      <c r="Y101" s="431"/>
      <c r="AC101" s="431"/>
      <c r="AG101" s="431"/>
      <c r="AK101" s="431"/>
      <c r="AO101" s="431"/>
      <c r="AS101" s="431"/>
    </row>
    <row r="102" spans="5:45" s="59" customFormat="1" ht="12.75">
      <c r="E102" s="431"/>
      <c r="I102" s="431"/>
      <c r="M102" s="431"/>
      <c r="Q102" s="431"/>
      <c r="U102" s="431"/>
      <c r="Y102" s="431"/>
      <c r="AC102" s="431"/>
      <c r="AG102" s="431"/>
      <c r="AK102" s="431"/>
      <c r="AO102" s="431"/>
      <c r="AS102" s="431"/>
    </row>
    <row r="103" spans="5:45" s="59" customFormat="1" ht="17.25" customHeight="1">
      <c r="E103" s="431"/>
      <c r="I103" s="431"/>
      <c r="M103" s="431"/>
      <c r="Q103" s="431"/>
      <c r="U103" s="431"/>
      <c r="Y103" s="431"/>
      <c r="AC103" s="431"/>
      <c r="AG103" s="431"/>
      <c r="AK103" s="431"/>
      <c r="AO103" s="431"/>
      <c r="AS103" s="431"/>
    </row>
    <row r="104" spans="5:45" s="59" customFormat="1" ht="12.75">
      <c r="E104" s="431"/>
      <c r="I104" s="431"/>
      <c r="M104" s="431"/>
      <c r="Q104" s="431"/>
      <c r="U104" s="431"/>
      <c r="Y104" s="431"/>
      <c r="AC104" s="431"/>
      <c r="AG104" s="431"/>
      <c r="AK104" s="431"/>
      <c r="AO104" s="431"/>
      <c r="AS104" s="431"/>
    </row>
    <row r="105" spans="5:45" s="59" customFormat="1" ht="17.25" customHeight="1">
      <c r="E105" s="431"/>
      <c r="I105" s="431"/>
      <c r="M105" s="431"/>
      <c r="Q105" s="431"/>
      <c r="U105" s="431"/>
      <c r="Y105" s="431"/>
      <c r="AC105" s="431"/>
      <c r="AG105" s="431"/>
      <c r="AK105" s="431"/>
      <c r="AO105" s="431"/>
      <c r="AS105" s="431"/>
    </row>
    <row r="106" spans="5:45" s="59" customFormat="1" ht="12.75">
      <c r="E106" s="431"/>
      <c r="I106" s="431"/>
      <c r="M106" s="431"/>
      <c r="Q106" s="431"/>
      <c r="U106" s="431"/>
      <c r="Y106" s="431"/>
      <c r="AC106" s="431"/>
      <c r="AG106" s="431"/>
      <c r="AK106" s="431"/>
      <c r="AO106" s="431"/>
      <c r="AS106" s="431"/>
    </row>
    <row r="107" spans="5:45" s="59" customFormat="1" ht="17.25" customHeight="1">
      <c r="E107" s="431"/>
      <c r="I107" s="431"/>
      <c r="M107" s="431"/>
      <c r="Q107" s="431"/>
      <c r="U107" s="431"/>
      <c r="Y107" s="431"/>
      <c r="AC107" s="431"/>
      <c r="AG107" s="431"/>
      <c r="AK107" s="431"/>
      <c r="AO107" s="431"/>
      <c r="AS107" s="431"/>
    </row>
    <row r="108" spans="5:45" s="59" customFormat="1" ht="12.75">
      <c r="E108" s="431"/>
      <c r="I108" s="431"/>
      <c r="M108" s="431"/>
      <c r="Q108" s="431"/>
      <c r="U108" s="431"/>
      <c r="Y108" s="431"/>
      <c r="AC108" s="431"/>
      <c r="AG108" s="431"/>
      <c r="AK108" s="431"/>
      <c r="AO108" s="431"/>
      <c r="AS108" s="431"/>
    </row>
    <row r="109" spans="5:45" s="59" customFormat="1" ht="17.25" customHeight="1">
      <c r="E109" s="431"/>
      <c r="I109" s="431"/>
      <c r="M109" s="431"/>
      <c r="Q109" s="431"/>
      <c r="U109" s="431"/>
      <c r="Y109" s="431"/>
      <c r="AC109" s="431"/>
      <c r="AG109" s="431"/>
      <c r="AK109" s="431"/>
      <c r="AO109" s="431"/>
      <c r="AS109" s="431"/>
    </row>
    <row r="110" spans="5:45" s="59" customFormat="1" ht="12.75">
      <c r="E110" s="431"/>
      <c r="I110" s="431"/>
      <c r="M110" s="431"/>
      <c r="Q110" s="431"/>
      <c r="U110" s="431"/>
      <c r="Y110" s="431"/>
      <c r="AC110" s="431"/>
      <c r="AG110" s="431"/>
      <c r="AK110" s="431"/>
      <c r="AO110" s="431"/>
      <c r="AS110" s="431"/>
    </row>
    <row r="111" spans="5:45" s="59" customFormat="1" ht="17.25" customHeight="1">
      <c r="E111" s="431"/>
      <c r="I111" s="431"/>
      <c r="M111" s="431"/>
      <c r="Q111" s="431"/>
      <c r="U111" s="431"/>
      <c r="Y111" s="431"/>
      <c r="AC111" s="431"/>
      <c r="AG111" s="431"/>
      <c r="AK111" s="431"/>
      <c r="AO111" s="431"/>
      <c r="AS111" s="431"/>
    </row>
    <row r="112" spans="5:45" s="59" customFormat="1" ht="12.75">
      <c r="E112" s="431"/>
      <c r="I112" s="431"/>
      <c r="M112" s="431"/>
      <c r="Q112" s="431"/>
      <c r="U112" s="431"/>
      <c r="Y112" s="431"/>
      <c r="AC112" s="431"/>
      <c r="AG112" s="431"/>
      <c r="AK112" s="431"/>
      <c r="AO112" s="431"/>
      <c r="AS112" s="431"/>
    </row>
    <row r="113" spans="5:45" s="59" customFormat="1" ht="17.25" customHeight="1">
      <c r="E113" s="431"/>
      <c r="I113" s="431"/>
      <c r="M113" s="431"/>
      <c r="Q113" s="431"/>
      <c r="U113" s="431"/>
      <c r="Y113" s="431"/>
      <c r="AC113" s="431"/>
      <c r="AG113" s="431"/>
      <c r="AK113" s="431"/>
      <c r="AO113" s="431"/>
      <c r="AS113" s="431"/>
    </row>
    <row r="114" spans="5:45" s="59" customFormat="1" ht="12.75">
      <c r="E114" s="431"/>
      <c r="I114" s="431"/>
      <c r="M114" s="431"/>
      <c r="Q114" s="431"/>
      <c r="U114" s="431"/>
      <c r="Y114" s="431"/>
      <c r="AC114" s="431"/>
      <c r="AG114" s="431"/>
      <c r="AK114" s="431"/>
      <c r="AO114" s="431"/>
      <c r="AS114" s="431"/>
    </row>
    <row r="115" spans="5:45" s="59" customFormat="1" ht="17.25" customHeight="1">
      <c r="E115" s="431"/>
      <c r="I115" s="431"/>
      <c r="M115" s="431"/>
      <c r="Q115" s="431"/>
      <c r="U115" s="431"/>
      <c r="Y115" s="431"/>
      <c r="AC115" s="431"/>
      <c r="AG115" s="431"/>
      <c r="AK115" s="431"/>
      <c r="AO115" s="431"/>
      <c r="AS115" s="431"/>
    </row>
    <row r="116" spans="5:45" s="59" customFormat="1" ht="12.75">
      <c r="E116" s="431"/>
      <c r="I116" s="431"/>
      <c r="M116" s="431"/>
      <c r="Q116" s="431"/>
      <c r="U116" s="431"/>
      <c r="Y116" s="431"/>
      <c r="AC116" s="431"/>
      <c r="AG116" s="431"/>
      <c r="AK116" s="431"/>
      <c r="AO116" s="431"/>
      <c r="AS116" s="431"/>
    </row>
    <row r="117" spans="5:45" s="59" customFormat="1" ht="17.25" customHeight="1">
      <c r="E117" s="431"/>
      <c r="I117" s="431"/>
      <c r="M117" s="431"/>
      <c r="Q117" s="431"/>
      <c r="U117" s="431"/>
      <c r="Y117" s="431"/>
      <c r="AC117" s="431"/>
      <c r="AG117" s="431"/>
      <c r="AK117" s="431"/>
      <c r="AO117" s="431"/>
      <c r="AS117" s="431"/>
    </row>
    <row r="118" spans="5:45" s="59" customFormat="1" ht="12.75">
      <c r="E118" s="431"/>
      <c r="I118" s="431"/>
      <c r="M118" s="431"/>
      <c r="Q118" s="431"/>
      <c r="U118" s="431"/>
      <c r="Y118" s="431"/>
      <c r="AC118" s="431"/>
      <c r="AG118" s="431"/>
      <c r="AK118" s="431"/>
      <c r="AO118" s="431"/>
      <c r="AS118" s="431"/>
    </row>
    <row r="119" spans="5:45" s="59" customFormat="1" ht="17.25" customHeight="1">
      <c r="E119" s="431"/>
      <c r="I119" s="431"/>
      <c r="M119" s="431"/>
      <c r="Q119" s="431"/>
      <c r="U119" s="431"/>
      <c r="Y119" s="431"/>
      <c r="AC119" s="431"/>
      <c r="AG119" s="431"/>
      <c r="AK119" s="431"/>
      <c r="AO119" s="431"/>
      <c r="AS119" s="431"/>
    </row>
    <row r="120" spans="5:45" s="59" customFormat="1" ht="12.75">
      <c r="E120" s="431"/>
      <c r="I120" s="431"/>
      <c r="M120" s="431"/>
      <c r="Q120" s="431"/>
      <c r="U120" s="431"/>
      <c r="Y120" s="431"/>
      <c r="AC120" s="431"/>
      <c r="AG120" s="431"/>
      <c r="AK120" s="431"/>
      <c r="AO120" s="431"/>
      <c r="AS120" s="431"/>
    </row>
    <row r="121" spans="5:45" s="59" customFormat="1" ht="17.25" customHeight="1">
      <c r="E121" s="431"/>
      <c r="I121" s="431"/>
      <c r="M121" s="431"/>
      <c r="Q121" s="431"/>
      <c r="U121" s="431"/>
      <c r="Y121" s="431"/>
      <c r="AC121" s="431"/>
      <c r="AG121" s="431"/>
      <c r="AK121" s="431"/>
      <c r="AO121" s="431"/>
      <c r="AS121" s="431"/>
    </row>
    <row r="122" spans="5:45" s="59" customFormat="1" ht="12.75">
      <c r="E122" s="431"/>
      <c r="I122" s="431"/>
      <c r="M122" s="431"/>
      <c r="Q122" s="431"/>
      <c r="U122" s="431"/>
      <c r="Y122" s="431"/>
      <c r="AC122" s="431"/>
      <c r="AG122" s="431"/>
      <c r="AK122" s="431"/>
      <c r="AO122" s="431"/>
      <c r="AS122" s="431"/>
    </row>
    <row r="123" spans="5:45" s="59" customFormat="1" ht="17.25" customHeight="1">
      <c r="E123" s="431"/>
      <c r="I123" s="431"/>
      <c r="M123" s="431"/>
      <c r="Q123" s="431"/>
      <c r="U123" s="431"/>
      <c r="Y123" s="431"/>
      <c r="AC123" s="431"/>
      <c r="AG123" s="431"/>
      <c r="AK123" s="431"/>
      <c r="AO123" s="431"/>
      <c r="AS123" s="431"/>
    </row>
    <row r="124" spans="5:45" s="59" customFormat="1" ht="12.75">
      <c r="E124" s="431"/>
      <c r="I124" s="431"/>
      <c r="M124" s="431"/>
      <c r="Q124" s="431"/>
      <c r="U124" s="431"/>
      <c r="Y124" s="431"/>
      <c r="AC124" s="431"/>
      <c r="AG124" s="431"/>
      <c r="AK124" s="431"/>
      <c r="AO124" s="431"/>
      <c r="AS124" s="431"/>
    </row>
    <row r="125" spans="5:45" s="59" customFormat="1" ht="17.25" customHeight="1">
      <c r="E125" s="431"/>
      <c r="I125" s="431"/>
      <c r="M125" s="431"/>
      <c r="Q125" s="431"/>
      <c r="U125" s="431"/>
      <c r="Y125" s="431"/>
      <c r="AC125" s="431"/>
      <c r="AG125" s="431"/>
      <c r="AK125" s="431"/>
      <c r="AO125" s="431"/>
      <c r="AS125" s="431"/>
    </row>
    <row r="126" spans="5:45" s="59" customFormat="1" ht="12.75">
      <c r="E126" s="431"/>
      <c r="I126" s="431"/>
      <c r="M126" s="431"/>
      <c r="Q126" s="431"/>
      <c r="U126" s="431"/>
      <c r="Y126" s="431"/>
      <c r="AC126" s="431"/>
      <c r="AG126" s="431"/>
      <c r="AK126" s="431"/>
      <c r="AO126" s="431"/>
      <c r="AS126" s="431"/>
    </row>
    <row r="127" spans="5:45" s="59" customFormat="1" ht="17.25" customHeight="1">
      <c r="E127" s="431"/>
      <c r="I127" s="431"/>
      <c r="M127" s="431"/>
      <c r="Q127" s="431"/>
      <c r="U127" s="431"/>
      <c r="Y127" s="431"/>
      <c r="AC127" s="431"/>
      <c r="AG127" s="431"/>
      <c r="AK127" s="431"/>
      <c r="AO127" s="431"/>
      <c r="AS127" s="431"/>
    </row>
    <row r="128" spans="5:45" s="59" customFormat="1" ht="12.75">
      <c r="E128" s="431"/>
      <c r="I128" s="431"/>
      <c r="M128" s="431"/>
      <c r="Q128" s="431"/>
      <c r="U128" s="431"/>
      <c r="Y128" s="431"/>
      <c r="AC128" s="431"/>
      <c r="AG128" s="431"/>
      <c r="AK128" s="431"/>
      <c r="AO128" s="431"/>
      <c r="AS128" s="431"/>
    </row>
    <row r="129" spans="5:45" s="59" customFormat="1" ht="17.25" customHeight="1">
      <c r="E129" s="431"/>
      <c r="I129" s="431"/>
      <c r="M129" s="431"/>
      <c r="Q129" s="431"/>
      <c r="U129" s="431"/>
      <c r="Y129" s="431"/>
      <c r="AC129" s="431"/>
      <c r="AG129" s="431"/>
      <c r="AK129" s="431"/>
      <c r="AO129" s="431"/>
      <c r="AS129" s="431"/>
    </row>
    <row r="130" spans="5:45" s="59" customFormat="1" ht="12.75">
      <c r="E130" s="431"/>
      <c r="I130" s="431"/>
      <c r="M130" s="431"/>
      <c r="Q130" s="431"/>
      <c r="U130" s="431"/>
      <c r="Y130" s="431"/>
      <c r="AC130" s="431"/>
      <c r="AG130" s="431"/>
      <c r="AK130" s="431"/>
      <c r="AO130" s="431"/>
      <c r="AS130" s="431"/>
    </row>
    <row r="131" spans="5:45" s="59" customFormat="1" ht="17.25" customHeight="1">
      <c r="E131" s="431"/>
      <c r="I131" s="431"/>
      <c r="M131" s="431"/>
      <c r="Q131" s="431"/>
      <c r="U131" s="431"/>
      <c r="Y131" s="431"/>
      <c r="AC131" s="431"/>
      <c r="AG131" s="431"/>
      <c r="AK131" s="431"/>
      <c r="AO131" s="431"/>
      <c r="AS131" s="431"/>
    </row>
    <row r="132" spans="5:45" s="59" customFormat="1" ht="12.75">
      <c r="E132" s="431"/>
      <c r="I132" s="431"/>
      <c r="M132" s="431"/>
      <c r="Q132" s="431"/>
      <c r="U132" s="431"/>
      <c r="Y132" s="431"/>
      <c r="AC132" s="431"/>
      <c r="AG132" s="431"/>
      <c r="AK132" s="431"/>
      <c r="AO132" s="431"/>
      <c r="AS132" s="431"/>
    </row>
    <row r="133" spans="5:45" s="59" customFormat="1" ht="17.25" customHeight="1">
      <c r="E133" s="431"/>
      <c r="I133" s="431"/>
      <c r="M133" s="431"/>
      <c r="Q133" s="431"/>
      <c r="U133" s="431"/>
      <c r="Y133" s="431"/>
      <c r="AC133" s="431"/>
      <c r="AG133" s="431"/>
      <c r="AK133" s="431"/>
      <c r="AO133" s="431"/>
      <c r="AS133" s="431"/>
    </row>
    <row r="134" spans="5:45" s="59" customFormat="1" ht="12.75">
      <c r="E134" s="431"/>
      <c r="I134" s="431"/>
      <c r="M134" s="431"/>
      <c r="Q134" s="431"/>
      <c r="U134" s="431"/>
      <c r="Y134" s="431"/>
      <c r="AC134" s="431"/>
      <c r="AG134" s="431"/>
      <c r="AK134" s="431"/>
      <c r="AO134" s="431"/>
      <c r="AS134" s="431"/>
    </row>
    <row r="135" spans="5:45" s="59" customFormat="1" ht="17.25" customHeight="1">
      <c r="E135" s="431"/>
      <c r="I135" s="431"/>
      <c r="M135" s="431"/>
      <c r="Q135" s="431"/>
      <c r="U135" s="431"/>
      <c r="Y135" s="431"/>
      <c r="AC135" s="431"/>
      <c r="AG135" s="431"/>
      <c r="AK135" s="431"/>
      <c r="AO135" s="431"/>
      <c r="AS135" s="431"/>
    </row>
    <row r="136" spans="5:45" s="59" customFormat="1" ht="12.75">
      <c r="E136" s="431"/>
      <c r="I136" s="431"/>
      <c r="M136" s="431"/>
      <c r="Q136" s="431"/>
      <c r="U136" s="431"/>
      <c r="Y136" s="431"/>
      <c r="AC136" s="431"/>
      <c r="AG136" s="431"/>
      <c r="AK136" s="431"/>
      <c r="AO136" s="431"/>
      <c r="AS136" s="431"/>
    </row>
    <row r="137" spans="5:45" s="59" customFormat="1" ht="17.25" customHeight="1">
      <c r="E137" s="431"/>
      <c r="I137" s="431"/>
      <c r="M137" s="431"/>
      <c r="Q137" s="431"/>
      <c r="U137" s="431"/>
      <c r="Y137" s="431"/>
      <c r="AC137" s="431"/>
      <c r="AG137" s="431"/>
      <c r="AK137" s="431"/>
      <c r="AO137" s="431"/>
      <c r="AS137" s="431"/>
    </row>
    <row r="138" spans="5:45" s="59" customFormat="1" ht="12.75">
      <c r="E138" s="431"/>
      <c r="I138" s="431"/>
      <c r="M138" s="431"/>
      <c r="Q138" s="431"/>
      <c r="U138" s="431"/>
      <c r="Y138" s="431"/>
      <c r="AC138" s="431"/>
      <c r="AG138" s="431"/>
      <c r="AK138" s="431"/>
      <c r="AO138" s="431"/>
      <c r="AS138" s="431"/>
    </row>
    <row r="139" spans="5:45" s="59" customFormat="1" ht="17.25" customHeight="1">
      <c r="E139" s="431"/>
      <c r="I139" s="431"/>
      <c r="M139" s="431"/>
      <c r="Q139" s="431"/>
      <c r="U139" s="431"/>
      <c r="Y139" s="431"/>
      <c r="AC139" s="431"/>
      <c r="AG139" s="431"/>
      <c r="AK139" s="431"/>
      <c r="AO139" s="431"/>
      <c r="AS139" s="431"/>
    </row>
    <row r="140" spans="5:45" s="59" customFormat="1" ht="12.75">
      <c r="E140" s="431"/>
      <c r="I140" s="431"/>
      <c r="M140" s="431"/>
      <c r="Q140" s="431"/>
      <c r="U140" s="431"/>
      <c r="Y140" s="431"/>
      <c r="AC140" s="431"/>
      <c r="AG140" s="431"/>
      <c r="AK140" s="431"/>
      <c r="AO140" s="431"/>
      <c r="AS140" s="431"/>
    </row>
  </sheetData>
  <mergeCells count="25">
    <mergeCell ref="F7:I7"/>
    <mergeCell ref="F8:I10"/>
    <mergeCell ref="Z7:AC7"/>
    <mergeCell ref="AD7:AG7"/>
    <mergeCell ref="AH7:AS7"/>
    <mergeCell ref="AH8:AS9"/>
    <mergeCell ref="AH10:AK10"/>
    <mergeCell ref="AL10:AO10"/>
    <mergeCell ref="AP10:AS10"/>
    <mergeCell ref="A4:Y4"/>
    <mergeCell ref="Z4:AS4"/>
    <mergeCell ref="J8:M10"/>
    <mergeCell ref="N8:Q10"/>
    <mergeCell ref="R8:U10"/>
    <mergeCell ref="V8:Y10"/>
    <mergeCell ref="Z8:AC10"/>
    <mergeCell ref="AD8:AG10"/>
    <mergeCell ref="AL6:AP6"/>
    <mergeCell ref="A7:A11"/>
    <mergeCell ref="J7:M7"/>
    <mergeCell ref="N7:Q7"/>
    <mergeCell ref="R7:U7"/>
    <mergeCell ref="V7:Y7"/>
    <mergeCell ref="B7:E7"/>
    <mergeCell ref="B8:E10"/>
  </mergeCells>
  <phoneticPr fontId="18" type="noConversion"/>
  <pageMargins left="0.7" right="0.7" top="0.75" bottom="0.75" header="0.3" footer="0.3"/>
  <pageSetup paperSize="9" scale="38" orientation="landscape" horizontalDpi="300" verticalDpi="300" r:id="rId1"/>
  <colBreaks count="1" manualBreakCount="1">
    <brk id="2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11</vt:i4>
      </vt:variant>
    </vt:vector>
  </HeadingPairs>
  <TitlesOfParts>
    <vt:vector size="19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'1. sz. melléklet'!Nyomtatási_cím</vt:lpstr>
      <vt:lpstr>'6. sz. melléklet'!Nyomtatási_cím</vt:lpstr>
      <vt:lpstr>'7. sz. melléklet'!Nyomtatási_cím</vt:lpstr>
      <vt:lpstr>'1.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2016-12-07T15:21:23Z</cp:lastPrinted>
  <dcterms:created xsi:type="dcterms:W3CDTF">2016-01-13T14:03:35Z</dcterms:created>
  <dcterms:modified xsi:type="dcterms:W3CDTF">2016-12-07T15:31:06Z</dcterms:modified>
</cp:coreProperties>
</file>