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 firstSheet="2" activeTab="7"/>
  </bookViews>
  <sheets>
    <sheet name="1. sz. melléklet" sheetId="17" r:id="rId1"/>
    <sheet name="2. sz. melléklet" sheetId="1" r:id="rId2"/>
    <sheet name="3. sz. melléklet" sheetId="28" r:id="rId3"/>
    <sheet name="4. sz. melléklet" sheetId="15" r:id="rId4"/>
    <sheet name="5. sz. melléklet" sheetId="18" r:id="rId5"/>
    <sheet name="6. sz. melléklet" sheetId="10" r:id="rId6"/>
    <sheet name="7. sz. melléklet" sheetId="20" r:id="rId7"/>
    <sheet name="8. sz. melléklet" sheetId="16" r:id="rId8"/>
  </sheets>
  <definedNames>
    <definedName name="_xlnm.Print_Area" localSheetId="0">'1. sz. melléklet'!$A$1:$G$107</definedName>
    <definedName name="_xlnm.Print_Area" localSheetId="1">'2. sz. melléklet'!$A$1:$G$107</definedName>
    <definedName name="_xlnm.Print_Area" localSheetId="2">'3. sz. melléklet'!$A$1:$BC$48</definedName>
    <definedName name="_xlnm.Print_Area" localSheetId="3">'4. sz. melléklet'!$A$1:$AY$39</definedName>
    <definedName name="_xlnm.Print_Area" localSheetId="4">'5. sz. melléklet'!$A$1:$AX$19</definedName>
    <definedName name="_xlnm.Print_Area" localSheetId="5">'6. sz. melléklet'!$A$1:$F$168</definedName>
    <definedName name="_xlnm.Print_Area" localSheetId="6">'7. sz. melléklet'!$A$1:$F$233</definedName>
    <definedName name="_xlnm.Print_Area" localSheetId="7">'8. sz. melléklet'!$A$1:$AS$43</definedName>
  </definedNames>
  <calcPr calcId="124519"/>
</workbook>
</file>

<file path=xl/calcChain.xml><?xml version="1.0" encoding="utf-8"?>
<calcChain xmlns="http://schemas.openxmlformats.org/spreadsheetml/2006/main">
  <c r="F168" i="10"/>
  <c r="F153"/>
  <c r="F152"/>
  <c r="F151"/>
  <c r="G74" i="17"/>
  <c r="AK18" i="18" l="1"/>
  <c r="AI18"/>
  <c r="AI19" s="1"/>
  <c r="E16"/>
  <c r="AB16"/>
  <c r="AC16"/>
  <c r="AD16"/>
  <c r="AE16"/>
  <c r="AF16"/>
  <c r="AG16"/>
  <c r="AA16"/>
  <c r="Y16"/>
  <c r="U16"/>
  <c r="Q16"/>
  <c r="M16"/>
  <c r="I16"/>
  <c r="C16"/>
  <c r="D16"/>
  <c r="F16"/>
  <c r="G16"/>
  <c r="H16"/>
  <c r="J16"/>
  <c r="K16"/>
  <c r="L16"/>
  <c r="N16"/>
  <c r="O16"/>
  <c r="P16"/>
  <c r="R16"/>
  <c r="S16"/>
  <c r="T16"/>
  <c r="V16"/>
  <c r="AQ16" s="1"/>
  <c r="W16"/>
  <c r="AR16" s="1"/>
  <c r="X16"/>
  <c r="B16"/>
  <c r="AM16" s="1"/>
  <c r="AU16" s="1"/>
  <c r="AO16" l="1"/>
  <c r="AW16" s="1"/>
  <c r="AX16" s="1"/>
  <c r="AS16"/>
  <c r="AT16" s="1"/>
  <c r="AN16"/>
  <c r="AV16" s="1"/>
  <c r="AP16"/>
  <c r="AK19"/>
  <c r="E106" i="10" l="1"/>
  <c r="F136"/>
  <c r="E136"/>
  <c r="E172" i="20"/>
  <c r="T18" i="18" s="1"/>
  <c r="E102" i="20"/>
  <c r="E116" i="10"/>
  <c r="E29" i="20"/>
  <c r="E13"/>
  <c r="T19" i="18" l="1"/>
  <c r="F45" i="20"/>
  <c r="F14" i="10"/>
  <c r="E69" i="20"/>
  <c r="E58" i="10"/>
  <c r="E216" i="20"/>
  <c r="E86"/>
  <c r="E94" i="10"/>
  <c r="F198" i="20"/>
  <c r="F147" i="10"/>
  <c r="F89"/>
  <c r="E117"/>
  <c r="E30" i="20"/>
  <c r="F30" s="1"/>
  <c r="F196"/>
  <c r="F90" i="10"/>
  <c r="E91" i="20"/>
  <c r="E83" i="10"/>
  <c r="F93"/>
  <c r="F34"/>
  <c r="F96"/>
  <c r="F88" i="20"/>
  <c r="F11" i="10"/>
  <c r="F52"/>
  <c r="F225" i="20"/>
  <c r="F98"/>
  <c r="F105" i="10"/>
  <c r="F48"/>
  <c r="F142" i="20"/>
  <c r="F101" i="10"/>
  <c r="F136" i="20"/>
  <c r="F31" i="10"/>
  <c r="F32"/>
  <c r="F61" i="20"/>
  <c r="F40" i="10"/>
  <c r="F158" i="20"/>
  <c r="F157"/>
  <c r="E65" i="10"/>
  <c r="F65" s="1"/>
  <c r="F66"/>
  <c r="F224" i="20"/>
  <c r="F54" i="10"/>
  <c r="F55"/>
  <c r="C202" i="20"/>
  <c r="V18" i="18" s="1"/>
  <c r="F100" i="20"/>
  <c r="E36"/>
  <c r="F149" i="10"/>
  <c r="F29" i="20"/>
  <c r="F13"/>
  <c r="F116" i="10"/>
  <c r="E121" i="20"/>
  <c r="F121" s="1"/>
  <c r="E34" i="10"/>
  <c r="F154" i="20"/>
  <c r="F115" i="10"/>
  <c r="E57" i="20"/>
  <c r="F57" s="1"/>
  <c r="E26" i="10"/>
  <c r="F26" s="1"/>
  <c r="V19" i="18" l="1"/>
  <c r="AC18"/>
  <c r="F127" i="20"/>
  <c r="F99"/>
  <c r="F122" i="10"/>
  <c r="F230" i="20"/>
  <c r="F92"/>
  <c r="F100" i="10"/>
  <c r="F194" i="20"/>
  <c r="F89"/>
  <c r="F36"/>
  <c r="F20"/>
  <c r="B84"/>
  <c r="E77" s="1"/>
  <c r="F77" s="1"/>
  <c r="F86"/>
  <c r="B72" i="10"/>
  <c r="E70"/>
  <c r="F70" s="1"/>
  <c r="F97"/>
  <c r="F94"/>
  <c r="AC19" i="18" l="1"/>
  <c r="F134" i="20"/>
  <c r="F30" i="10"/>
  <c r="E97" i="20"/>
  <c r="F97" s="1"/>
  <c r="E120" i="10"/>
  <c r="E151" s="1"/>
  <c r="E119"/>
  <c r="F119" s="1"/>
  <c r="E33" i="20"/>
  <c r="F33" s="1"/>
  <c r="E16"/>
  <c r="F16" s="1"/>
  <c r="E133" i="10"/>
  <c r="F27" i="20"/>
  <c r="F11"/>
  <c r="F56" i="10"/>
  <c r="E231" i="20"/>
  <c r="F220"/>
  <c r="E220"/>
  <c r="E226" s="1"/>
  <c r="E131"/>
  <c r="E67" i="10"/>
  <c r="F67" s="1"/>
  <c r="Y19" i="16"/>
  <c r="Y17"/>
  <c r="AJ25"/>
  <c r="AR25"/>
  <c r="U26"/>
  <c r="U25"/>
  <c r="AN37"/>
  <c r="T28"/>
  <c r="U17"/>
  <c r="AH13"/>
  <c r="P18" i="18" l="1"/>
  <c r="AG18"/>
  <c r="E117" i="20"/>
  <c r="E21"/>
  <c r="E37"/>
  <c r="E152" i="10"/>
  <c r="E168" s="1"/>
  <c r="AR38" i="16"/>
  <c r="AL38"/>
  <c r="AF38"/>
  <c r="AE38"/>
  <c r="AD38"/>
  <c r="AB38"/>
  <c r="AA38"/>
  <c r="Z38"/>
  <c r="X38"/>
  <c r="W38"/>
  <c r="AM38" s="1"/>
  <c r="V38"/>
  <c r="T38"/>
  <c r="S38"/>
  <c r="R38"/>
  <c r="P38"/>
  <c r="O38"/>
  <c r="N38"/>
  <c r="L38"/>
  <c r="K38"/>
  <c r="J38"/>
  <c r="H38"/>
  <c r="G38"/>
  <c r="F38"/>
  <c r="D38"/>
  <c r="C38"/>
  <c r="B38"/>
  <c r="AF37"/>
  <c r="AA37"/>
  <c r="X37"/>
  <c r="W37"/>
  <c r="O37"/>
  <c r="N37"/>
  <c r="B37"/>
  <c r="N36"/>
  <c r="N39" s="1"/>
  <c r="AF35"/>
  <c r="AE35"/>
  <c r="AD35"/>
  <c r="AB35"/>
  <c r="AA35"/>
  <c r="Z35"/>
  <c r="X35"/>
  <c r="V35"/>
  <c r="T35"/>
  <c r="R35"/>
  <c r="P35"/>
  <c r="O35"/>
  <c r="N35"/>
  <c r="L35"/>
  <c r="J35"/>
  <c r="H35"/>
  <c r="G35"/>
  <c r="I35" s="1"/>
  <c r="F35"/>
  <c r="D35"/>
  <c r="B35"/>
  <c r="AN34"/>
  <c r="AN38" s="1"/>
  <c r="AM34"/>
  <c r="AL34"/>
  <c r="AJ34"/>
  <c r="AR34" s="1"/>
  <c r="AI34"/>
  <c r="AQ34" s="1"/>
  <c r="AH34"/>
  <c r="AP34" s="1"/>
  <c r="AN32"/>
  <c r="AL32"/>
  <c r="AL35" s="1"/>
  <c r="AJ32"/>
  <c r="Y32"/>
  <c r="U32"/>
  <c r="M32"/>
  <c r="I32"/>
  <c r="E32"/>
  <c r="AF30"/>
  <c r="O30"/>
  <c r="N30"/>
  <c r="AL29"/>
  <c r="AF29"/>
  <c r="AE29"/>
  <c r="AM29" s="1"/>
  <c r="AD29"/>
  <c r="AD37" s="1"/>
  <c r="AB29"/>
  <c r="AB37" s="1"/>
  <c r="AA29"/>
  <c r="Z29"/>
  <c r="Z37" s="1"/>
  <c r="X29"/>
  <c r="W29"/>
  <c r="V29"/>
  <c r="V37" s="1"/>
  <c r="T29"/>
  <c r="T37" s="1"/>
  <c r="R29"/>
  <c r="R37" s="1"/>
  <c r="P29"/>
  <c r="P37" s="1"/>
  <c r="O29"/>
  <c r="N29"/>
  <c r="L29"/>
  <c r="L37" s="1"/>
  <c r="H29"/>
  <c r="G29"/>
  <c r="G37" s="1"/>
  <c r="F29"/>
  <c r="F37" s="1"/>
  <c r="D29"/>
  <c r="C29"/>
  <c r="B29"/>
  <c r="AF28"/>
  <c r="AF36" s="1"/>
  <c r="AD28"/>
  <c r="AD30" s="1"/>
  <c r="AB28"/>
  <c r="Z28"/>
  <c r="Z36" s="1"/>
  <c r="X28"/>
  <c r="V28"/>
  <c r="V36" s="1"/>
  <c r="T36"/>
  <c r="R28"/>
  <c r="R36" s="1"/>
  <c r="P28"/>
  <c r="O28"/>
  <c r="O36" s="1"/>
  <c r="O39" s="1"/>
  <c r="N28"/>
  <c r="L28"/>
  <c r="H28"/>
  <c r="F28"/>
  <c r="D28"/>
  <c r="B28"/>
  <c r="B36" s="1"/>
  <c r="AF27"/>
  <c r="AE27"/>
  <c r="AD27"/>
  <c r="AB27"/>
  <c r="AA27"/>
  <c r="Z27"/>
  <c r="X27"/>
  <c r="V27"/>
  <c r="T27"/>
  <c r="R27"/>
  <c r="P27"/>
  <c r="O27"/>
  <c r="N27"/>
  <c r="L27"/>
  <c r="H27"/>
  <c r="G27"/>
  <c r="F27"/>
  <c r="D27"/>
  <c r="C27"/>
  <c r="B27"/>
  <c r="AN26"/>
  <c r="AM26"/>
  <c r="AL26"/>
  <c r="AJ26"/>
  <c r="AI26"/>
  <c r="AQ26" s="1"/>
  <c r="K27"/>
  <c r="AH26"/>
  <c r="AP26" s="1"/>
  <c r="I26"/>
  <c r="E26"/>
  <c r="AN25"/>
  <c r="AM25"/>
  <c r="AO25" s="1"/>
  <c r="AL25"/>
  <c r="AL27" s="1"/>
  <c r="AH25"/>
  <c r="Y25"/>
  <c r="W27"/>
  <c r="S27"/>
  <c r="M25"/>
  <c r="J27"/>
  <c r="I25"/>
  <c r="E25"/>
  <c r="AF23"/>
  <c r="AD23"/>
  <c r="AB23"/>
  <c r="Z23"/>
  <c r="X23"/>
  <c r="V23"/>
  <c r="T23"/>
  <c r="R23"/>
  <c r="P23"/>
  <c r="O23"/>
  <c r="N23"/>
  <c r="L23"/>
  <c r="H23"/>
  <c r="F23"/>
  <c r="D23"/>
  <c r="B23"/>
  <c r="AQ22"/>
  <c r="AN22"/>
  <c r="AM22"/>
  <c r="AL22"/>
  <c r="AJ22"/>
  <c r="AR22" s="1"/>
  <c r="AI22"/>
  <c r="AH22"/>
  <c r="AN21"/>
  <c r="AN23" s="1"/>
  <c r="AL21"/>
  <c r="AJ21"/>
  <c r="AC21"/>
  <c r="AA23"/>
  <c r="S23"/>
  <c r="I21"/>
  <c r="C23"/>
  <c r="AF19"/>
  <c r="AE19"/>
  <c r="AD19"/>
  <c r="AB19"/>
  <c r="AA19"/>
  <c r="Z19"/>
  <c r="X19"/>
  <c r="W19"/>
  <c r="V19"/>
  <c r="T19"/>
  <c r="S19"/>
  <c r="R19"/>
  <c r="P19"/>
  <c r="O19"/>
  <c r="N19"/>
  <c r="L19"/>
  <c r="H19"/>
  <c r="F19"/>
  <c r="D19"/>
  <c r="B19"/>
  <c r="AN18"/>
  <c r="AR18" s="1"/>
  <c r="AM18"/>
  <c r="AM19" s="1"/>
  <c r="AL18"/>
  <c r="AJ18"/>
  <c r="S29"/>
  <c r="S37" s="1"/>
  <c r="K29"/>
  <c r="K37" s="1"/>
  <c r="J29"/>
  <c r="AN17"/>
  <c r="AM17"/>
  <c r="AL17"/>
  <c r="AL19" s="1"/>
  <c r="AJ17"/>
  <c r="AH17"/>
  <c r="K19"/>
  <c r="I17"/>
  <c r="E17"/>
  <c r="AF15"/>
  <c r="AE15"/>
  <c r="AD15"/>
  <c r="AB15"/>
  <c r="AA15"/>
  <c r="Z15"/>
  <c r="X15"/>
  <c r="V15"/>
  <c r="T15"/>
  <c r="R15"/>
  <c r="P15"/>
  <c r="O15"/>
  <c r="N15"/>
  <c r="L15"/>
  <c r="H15"/>
  <c r="F15"/>
  <c r="D15"/>
  <c r="C15"/>
  <c r="B15"/>
  <c r="AR14"/>
  <c r="AQ14"/>
  <c r="AN14"/>
  <c r="AM14"/>
  <c r="AL14"/>
  <c r="AJ14"/>
  <c r="AI14"/>
  <c r="AH14"/>
  <c r="AP14" s="1"/>
  <c r="AN13"/>
  <c r="AL13"/>
  <c r="AL15" s="1"/>
  <c r="AJ13"/>
  <c r="AR13" s="1"/>
  <c r="AP13"/>
  <c r="AP15" s="1"/>
  <c r="K15"/>
  <c r="J15"/>
  <c r="E13"/>
  <c r="H18" i="18" l="1"/>
  <c r="AG19"/>
  <c r="D18"/>
  <c r="P19"/>
  <c r="L18"/>
  <c r="M15" i="16"/>
  <c r="Y27"/>
  <c r="AM27"/>
  <c r="AP25"/>
  <c r="AP27" s="1"/>
  <c r="M37"/>
  <c r="M27"/>
  <c r="H30"/>
  <c r="AJ27"/>
  <c r="AD36"/>
  <c r="AD39" s="1"/>
  <c r="AC23"/>
  <c r="AL23"/>
  <c r="U21"/>
  <c r="U23"/>
  <c r="G23"/>
  <c r="AL36"/>
  <c r="AL39" s="1"/>
  <c r="V39"/>
  <c r="AP17"/>
  <c r="T39"/>
  <c r="U19"/>
  <c r="U29"/>
  <c r="AI18"/>
  <c r="AQ18" s="1"/>
  <c r="M19"/>
  <c r="M29"/>
  <c r="H36"/>
  <c r="H39" s="1"/>
  <c r="G28"/>
  <c r="I28" s="1"/>
  <c r="T30"/>
  <c r="R39"/>
  <c r="M13"/>
  <c r="AR26"/>
  <c r="AS26" s="1"/>
  <c r="AI38"/>
  <c r="AQ38" s="1"/>
  <c r="AH38"/>
  <c r="AP38" s="1"/>
  <c r="E21"/>
  <c r="C28"/>
  <c r="C36" s="1"/>
  <c r="E15"/>
  <c r="AR15"/>
  <c r="AL37"/>
  <c r="U15"/>
  <c r="G36"/>
  <c r="G39" s="1"/>
  <c r="AN28"/>
  <c r="AN15"/>
  <c r="AH15"/>
  <c r="J37"/>
  <c r="AH37" s="1"/>
  <c r="AP37" s="1"/>
  <c r="AH29"/>
  <c r="AP29" s="1"/>
  <c r="J19"/>
  <c r="E28"/>
  <c r="AJ28"/>
  <c r="P36"/>
  <c r="P39" s="1"/>
  <c r="P30"/>
  <c r="AB36"/>
  <c r="AB30"/>
  <c r="D30"/>
  <c r="AI32"/>
  <c r="AK32" s="1"/>
  <c r="D36"/>
  <c r="I13"/>
  <c r="S28"/>
  <c r="U28" s="1"/>
  <c r="S15"/>
  <c r="U13"/>
  <c r="AJ19"/>
  <c r="AR17"/>
  <c r="AN19"/>
  <c r="AE23"/>
  <c r="AE28"/>
  <c r="AM21"/>
  <c r="AM23" s="1"/>
  <c r="AO23" s="1"/>
  <c r="U27"/>
  <c r="F36"/>
  <c r="F39" s="1"/>
  <c r="F30"/>
  <c r="X36"/>
  <c r="X30"/>
  <c r="AR32"/>
  <c r="C35"/>
  <c r="E35" s="1"/>
  <c r="S35"/>
  <c r="U35" s="1"/>
  <c r="W28"/>
  <c r="Y28" s="1"/>
  <c r="W15"/>
  <c r="Y15" s="1"/>
  <c r="AM13"/>
  <c r="AM15" s="1"/>
  <c r="AN29"/>
  <c r="AJ15"/>
  <c r="J23"/>
  <c r="AH21"/>
  <c r="W23"/>
  <c r="Y23" s="1"/>
  <c r="Y21"/>
  <c r="I23"/>
  <c r="AI25"/>
  <c r="I27"/>
  <c r="AH27"/>
  <c r="AI29"/>
  <c r="AQ29" s="1"/>
  <c r="H37"/>
  <c r="I37" s="1"/>
  <c r="I29"/>
  <c r="Z39"/>
  <c r="C37"/>
  <c r="AI37" s="1"/>
  <c r="U37"/>
  <c r="Y13"/>
  <c r="G15"/>
  <c r="I15" s="1"/>
  <c r="AI17"/>
  <c r="C19"/>
  <c r="E19" s="1"/>
  <c r="M17"/>
  <c r="AH18"/>
  <c r="AJ23"/>
  <c r="AR21"/>
  <c r="AP22"/>
  <c r="E23"/>
  <c r="E27"/>
  <c r="J28"/>
  <c r="AH28" s="1"/>
  <c r="AF39"/>
  <c r="D37"/>
  <c r="E29"/>
  <c r="AJ29"/>
  <c r="AN35"/>
  <c r="K35"/>
  <c r="M35" s="1"/>
  <c r="AJ35"/>
  <c r="B39"/>
  <c r="AE37"/>
  <c r="AJ38"/>
  <c r="G19"/>
  <c r="I19" s="1"/>
  <c r="AN27"/>
  <c r="R30"/>
  <c r="V30"/>
  <c r="Z30"/>
  <c r="AI13"/>
  <c r="M26"/>
  <c r="AK26"/>
  <c r="AA28"/>
  <c r="B30"/>
  <c r="L30"/>
  <c r="AH32"/>
  <c r="AM32"/>
  <c r="AM35" s="1"/>
  <c r="W35"/>
  <c r="Y35" s="1"/>
  <c r="L36"/>
  <c r="AM37"/>
  <c r="AL28"/>
  <c r="AL30" s="1"/>
  <c r="L19" i="18" l="1"/>
  <c r="AO18"/>
  <c r="D19"/>
  <c r="H19"/>
  <c r="AQ37" i="16"/>
  <c r="AO27"/>
  <c r="AR27"/>
  <c r="G30"/>
  <c r="I30" s="1"/>
  <c r="AO13"/>
  <c r="AO15"/>
  <c r="C30"/>
  <c r="E30" s="1"/>
  <c r="AA36"/>
  <c r="AA39" s="1"/>
  <c r="AA30"/>
  <c r="AC30" s="1"/>
  <c r="AQ13"/>
  <c r="AI15"/>
  <c r="AK15" s="1"/>
  <c r="AO35"/>
  <c r="AR23"/>
  <c r="AP18"/>
  <c r="AP19" s="1"/>
  <c r="AH19"/>
  <c r="AR35"/>
  <c r="AH35"/>
  <c r="AP32"/>
  <c r="AP35" s="1"/>
  <c r="AH30"/>
  <c r="AP28"/>
  <c r="AP30" s="1"/>
  <c r="AO32"/>
  <c r="AJ37"/>
  <c r="AK37" s="1"/>
  <c r="E37"/>
  <c r="J36"/>
  <c r="J30"/>
  <c r="AP21"/>
  <c r="AP23" s="1"/>
  <c r="AH23"/>
  <c r="W36"/>
  <c r="Y36" s="1"/>
  <c r="W30"/>
  <c r="Y30" s="1"/>
  <c r="AM28"/>
  <c r="AM30" s="1"/>
  <c r="I39"/>
  <c r="AN36"/>
  <c r="X39"/>
  <c r="AJ36"/>
  <c r="D39"/>
  <c r="E36"/>
  <c r="AJ30"/>
  <c r="AR28"/>
  <c r="L39"/>
  <c r="I36"/>
  <c r="AO21"/>
  <c r="AK13"/>
  <c r="AR19"/>
  <c r="AB39"/>
  <c r="AN30"/>
  <c r="AK29"/>
  <c r="AR29"/>
  <c r="K23"/>
  <c r="M23" s="1"/>
  <c r="M21"/>
  <c r="AI21"/>
  <c r="K28"/>
  <c r="AI19"/>
  <c r="AK19" s="1"/>
  <c r="AQ17"/>
  <c r="AQ19" s="1"/>
  <c r="AK25"/>
  <c r="AI27"/>
  <c r="AK27" s="1"/>
  <c r="AQ25"/>
  <c r="AK17"/>
  <c r="C39"/>
  <c r="AC28"/>
  <c r="AE30"/>
  <c r="AE36"/>
  <c r="S30"/>
  <c r="U30" s="1"/>
  <c r="S36"/>
  <c r="AI35"/>
  <c r="AK35" s="1"/>
  <c r="AQ32"/>
  <c r="AQ35" s="1"/>
  <c r="AO19" i="18" l="1"/>
  <c r="AO30" i="16"/>
  <c r="AC39"/>
  <c r="AS19"/>
  <c r="S39"/>
  <c r="U39" s="1"/>
  <c r="U36"/>
  <c r="AE39"/>
  <c r="K36"/>
  <c r="K30"/>
  <c r="M30" s="1"/>
  <c r="AI28"/>
  <c r="M28"/>
  <c r="AJ39"/>
  <c r="AI23"/>
  <c r="AK23" s="1"/>
  <c r="AQ21"/>
  <c r="AK21"/>
  <c r="AS29"/>
  <c r="AR37"/>
  <c r="AS37" s="1"/>
  <c r="J39"/>
  <c r="AH36"/>
  <c r="AQ27"/>
  <c r="AS27" s="1"/>
  <c r="AS25"/>
  <c r="AC36"/>
  <c r="AR36"/>
  <c r="AR30"/>
  <c r="AS35"/>
  <c r="AO28"/>
  <c r="AS17"/>
  <c r="E39"/>
  <c r="AN39"/>
  <c r="W39"/>
  <c r="Y39" s="1"/>
  <c r="AM36"/>
  <c r="AM39" s="1"/>
  <c r="AS32"/>
  <c r="AQ15"/>
  <c r="AS15" s="1"/>
  <c r="AS13"/>
  <c r="AO36" l="1"/>
  <c r="AO39"/>
  <c r="AQ23"/>
  <c r="AS23" s="1"/>
  <c r="AS21"/>
  <c r="K39"/>
  <c r="M39" s="1"/>
  <c r="AI36"/>
  <c r="M36"/>
  <c r="AR39"/>
  <c r="AH39"/>
  <c r="AP36"/>
  <c r="AP39" s="1"/>
  <c r="AI30"/>
  <c r="AK30" s="1"/>
  <c r="AQ28"/>
  <c r="AK28"/>
  <c r="AQ30" l="1"/>
  <c r="AS30" s="1"/>
  <c r="AS28"/>
  <c r="AI39"/>
  <c r="AK39" s="1"/>
  <c r="AQ36"/>
  <c r="AK36"/>
  <c r="AQ39" l="1"/>
  <c r="AS39" s="1"/>
  <c r="AS36"/>
  <c r="AO37" i="15" l="1"/>
  <c r="AW37"/>
  <c r="AW39" s="1"/>
  <c r="AN37"/>
  <c r="AN17"/>
  <c r="AN18"/>
  <c r="AO17"/>
  <c r="AO18"/>
  <c r="AO26"/>
  <c r="AO25"/>
  <c r="AW25" s="1"/>
  <c r="AR25"/>
  <c r="AV25" s="1"/>
  <c r="AV27" s="1"/>
  <c r="AR21" l="1"/>
  <c r="AN21"/>
  <c r="AE28" l="1"/>
  <c r="AR26" i="28"/>
  <c r="AS26"/>
  <c r="AT26"/>
  <c r="AR27"/>
  <c r="AS27"/>
  <c r="AT27"/>
  <c r="AV14"/>
  <c r="AW14"/>
  <c r="AX14"/>
  <c r="AV15"/>
  <c r="AW15"/>
  <c r="AX15"/>
  <c r="AV16"/>
  <c r="AW16"/>
  <c r="AX16"/>
  <c r="AV17"/>
  <c r="AW17"/>
  <c r="AX17"/>
  <c r="AV18"/>
  <c r="AW18"/>
  <c r="AX18"/>
  <c r="AV19"/>
  <c r="AW19"/>
  <c r="AX19"/>
  <c r="AV20"/>
  <c r="AW20"/>
  <c r="AX20"/>
  <c r="AV21"/>
  <c r="AW21"/>
  <c r="AX21"/>
  <c r="AV22"/>
  <c r="AW22"/>
  <c r="AX22"/>
  <c r="AV23"/>
  <c r="AW23"/>
  <c r="AX23"/>
  <c r="AV24"/>
  <c r="AW24"/>
  <c r="AX24"/>
  <c r="AV25"/>
  <c r="AW25"/>
  <c r="AX25"/>
  <c r="Z40"/>
  <c r="Q35" l="1"/>
  <c r="Q34"/>
  <c r="Q33"/>
  <c r="Q32"/>
  <c r="Q31"/>
  <c r="Q30"/>
  <c r="Q19"/>
  <c r="L20"/>
  <c r="L28" s="1"/>
  <c r="M24"/>
  <c r="M23"/>
  <c r="M22"/>
  <c r="M21"/>
  <c r="M18"/>
  <c r="I43"/>
  <c r="I42"/>
  <c r="I41"/>
  <c r="I27"/>
  <c r="I26"/>
  <c r="E25"/>
  <c r="E15"/>
  <c r="E16"/>
  <c r="E17"/>
  <c r="E14"/>
  <c r="AO47"/>
  <c r="AN47"/>
  <c r="AM47"/>
  <c r="AK47"/>
  <c r="AJ47"/>
  <c r="AG47"/>
  <c r="AF47"/>
  <c r="AE47"/>
  <c r="AC47"/>
  <c r="AA47"/>
  <c r="Y47"/>
  <c r="W47"/>
  <c r="AM28"/>
  <c r="AO28"/>
  <c r="AN28"/>
  <c r="AK28"/>
  <c r="AJ28"/>
  <c r="AI28"/>
  <c r="AG28"/>
  <c r="AF28"/>
  <c r="AE28"/>
  <c r="AC28"/>
  <c r="AB28"/>
  <c r="AA28"/>
  <c r="X28"/>
  <c r="Y28"/>
  <c r="W28"/>
  <c r="J47"/>
  <c r="R47"/>
  <c r="N47"/>
  <c r="F47"/>
  <c r="T47"/>
  <c r="S47"/>
  <c r="P47"/>
  <c r="O47"/>
  <c r="L47"/>
  <c r="K47"/>
  <c r="H47"/>
  <c r="G47"/>
  <c r="C47"/>
  <c r="D47"/>
  <c r="B47"/>
  <c r="T28"/>
  <c r="S28"/>
  <c r="R28"/>
  <c r="P28"/>
  <c r="O28"/>
  <c r="N28"/>
  <c r="K28"/>
  <c r="J28"/>
  <c r="H28"/>
  <c r="G28"/>
  <c r="F28"/>
  <c r="F48" s="1"/>
  <c r="C28"/>
  <c r="D28"/>
  <c r="B28"/>
  <c r="AV39"/>
  <c r="E28" l="1"/>
  <c r="Q28"/>
  <c r="M28"/>
  <c r="I47"/>
  <c r="Q47"/>
  <c r="U47"/>
  <c r="M20"/>
  <c r="AI44"/>
  <c r="AI47" s="1"/>
  <c r="AB39"/>
  <c r="AB47" s="1"/>
  <c r="X39"/>
  <c r="BA39" s="1"/>
  <c r="BB46"/>
  <c r="BA46"/>
  <c r="AZ46"/>
  <c r="AX46"/>
  <c r="AW46"/>
  <c r="AV46"/>
  <c r="AT46"/>
  <c r="AS46"/>
  <c r="AR46"/>
  <c r="BB45"/>
  <c r="BA45"/>
  <c r="AZ45"/>
  <c r="AX45"/>
  <c r="AW45"/>
  <c r="AV45"/>
  <c r="AT45"/>
  <c r="AS45"/>
  <c r="AR45"/>
  <c r="BB44"/>
  <c r="BA44"/>
  <c r="AX44"/>
  <c r="AW44"/>
  <c r="AT44"/>
  <c r="AS44"/>
  <c r="AR44"/>
  <c r="BB43"/>
  <c r="BA43"/>
  <c r="AZ43"/>
  <c r="AX43"/>
  <c r="AW43"/>
  <c r="AV43"/>
  <c r="AT43"/>
  <c r="AS43"/>
  <c r="AR43"/>
  <c r="BB42"/>
  <c r="BA42"/>
  <c r="AZ42"/>
  <c r="AX42"/>
  <c r="AW42"/>
  <c r="AV42"/>
  <c r="AT42"/>
  <c r="AS42"/>
  <c r="AR42"/>
  <c r="BB41"/>
  <c r="BA41"/>
  <c r="AZ41"/>
  <c r="AX41"/>
  <c r="AW41"/>
  <c r="AV41"/>
  <c r="AT41"/>
  <c r="AS41"/>
  <c r="AR41"/>
  <c r="BB40"/>
  <c r="BA40"/>
  <c r="AZ40"/>
  <c r="AX40"/>
  <c r="AW40"/>
  <c r="AV40"/>
  <c r="AT40"/>
  <c r="AS40"/>
  <c r="AR40"/>
  <c r="BB39"/>
  <c r="AZ39"/>
  <c r="AX39"/>
  <c r="AW39"/>
  <c r="AT39"/>
  <c r="AR39"/>
  <c r="BB38"/>
  <c r="BA38"/>
  <c r="AZ38"/>
  <c r="AX38"/>
  <c r="AW38"/>
  <c r="AV38"/>
  <c r="AT38"/>
  <c r="AS38"/>
  <c r="AR38"/>
  <c r="BB37"/>
  <c r="BA37"/>
  <c r="AZ37"/>
  <c r="AX37"/>
  <c r="AW37"/>
  <c r="AV37"/>
  <c r="AT37"/>
  <c r="AS37"/>
  <c r="AR37"/>
  <c r="BB36"/>
  <c r="BA36"/>
  <c r="AZ36"/>
  <c r="AX36"/>
  <c r="AW36"/>
  <c r="AV36"/>
  <c r="AT36"/>
  <c r="AS36"/>
  <c r="AR36"/>
  <c r="BB35"/>
  <c r="BA35"/>
  <c r="AZ35"/>
  <c r="AX35"/>
  <c r="AW35"/>
  <c r="AV35"/>
  <c r="AT35"/>
  <c r="AS35"/>
  <c r="AR35"/>
  <c r="BB34"/>
  <c r="BA34"/>
  <c r="AZ34"/>
  <c r="AX34"/>
  <c r="AW34"/>
  <c r="AV34"/>
  <c r="AT34"/>
  <c r="AS34"/>
  <c r="AR34"/>
  <c r="BB33"/>
  <c r="BA33"/>
  <c r="AZ33"/>
  <c r="AX33"/>
  <c r="AW33"/>
  <c r="AV33"/>
  <c r="AT33"/>
  <c r="AS33"/>
  <c r="AR33"/>
  <c r="BB32"/>
  <c r="BA32"/>
  <c r="AZ32"/>
  <c r="AX32"/>
  <c r="AW32"/>
  <c r="AV32"/>
  <c r="AT32"/>
  <c r="AS32"/>
  <c r="AR32"/>
  <c r="BB31"/>
  <c r="BA31"/>
  <c r="AZ31"/>
  <c r="AX31"/>
  <c r="AW31"/>
  <c r="AV31"/>
  <c r="AT31"/>
  <c r="AS31"/>
  <c r="AR31"/>
  <c r="BB30"/>
  <c r="BA30"/>
  <c r="AZ30"/>
  <c r="AX30"/>
  <c r="AW30"/>
  <c r="AV30"/>
  <c r="AT30"/>
  <c r="AS30"/>
  <c r="AR30"/>
  <c r="BB24"/>
  <c r="BA24"/>
  <c r="AZ24"/>
  <c r="AT24"/>
  <c r="AS24"/>
  <c r="AR24"/>
  <c r="BB23"/>
  <c r="BA23"/>
  <c r="AZ23"/>
  <c r="AT23"/>
  <c r="AS23"/>
  <c r="AR23"/>
  <c r="BB22"/>
  <c r="BA22"/>
  <c r="AZ22"/>
  <c r="AT22"/>
  <c r="AS22"/>
  <c r="AR22"/>
  <c r="BB21"/>
  <c r="BA21"/>
  <c r="AZ21"/>
  <c r="AT21"/>
  <c r="AS21"/>
  <c r="AR21"/>
  <c r="BB20"/>
  <c r="BA20"/>
  <c r="AZ20"/>
  <c r="AT20"/>
  <c r="AS20"/>
  <c r="AR20"/>
  <c r="BB19"/>
  <c r="BA19"/>
  <c r="AZ19"/>
  <c r="AT19"/>
  <c r="AS19"/>
  <c r="AR19"/>
  <c r="BB18"/>
  <c r="BA18"/>
  <c r="AZ18"/>
  <c r="AT18"/>
  <c r="AS18"/>
  <c r="AR18"/>
  <c r="BB17"/>
  <c r="BA17"/>
  <c r="AZ17"/>
  <c r="AT17"/>
  <c r="AS17"/>
  <c r="AR17"/>
  <c r="BB16"/>
  <c r="BA16"/>
  <c r="AZ16"/>
  <c r="AT16"/>
  <c r="AS16"/>
  <c r="AR16"/>
  <c r="BB15"/>
  <c r="BA15"/>
  <c r="AZ15"/>
  <c r="AT15"/>
  <c r="AS15"/>
  <c r="AR15"/>
  <c r="BB14"/>
  <c r="BA14"/>
  <c r="AZ14"/>
  <c r="AT14"/>
  <c r="AS14"/>
  <c r="AR14"/>
  <c r="AV27"/>
  <c r="AW27"/>
  <c r="AX27"/>
  <c r="AY27" s="1"/>
  <c r="AZ27"/>
  <c r="BA27"/>
  <c r="BB27"/>
  <c r="AO48"/>
  <c r="W48"/>
  <c r="BB26"/>
  <c r="BA26"/>
  <c r="AZ26"/>
  <c r="AX26"/>
  <c r="AW26"/>
  <c r="AV26"/>
  <c r="BB25"/>
  <c r="BA25"/>
  <c r="AZ25"/>
  <c r="AT25"/>
  <c r="AS25"/>
  <c r="AR25"/>
  <c r="F106" i="1"/>
  <c r="F100"/>
  <c r="G98"/>
  <c r="F95"/>
  <c r="G94"/>
  <c r="G91"/>
  <c r="G88"/>
  <c r="G83"/>
  <c r="G79"/>
  <c r="G77"/>
  <c r="F74"/>
  <c r="G71"/>
  <c r="F70"/>
  <c r="G69"/>
  <c r="G67"/>
  <c r="G65"/>
  <c r="F60"/>
  <c r="G60" s="1"/>
  <c r="G59"/>
  <c r="G57"/>
  <c r="G56"/>
  <c r="G53"/>
  <c r="G49"/>
  <c r="G37"/>
  <c r="G36"/>
  <c r="F33"/>
  <c r="G31"/>
  <c r="F31"/>
  <c r="G29"/>
  <c r="G27"/>
  <c r="F25"/>
  <c r="G24"/>
  <c r="G21"/>
  <c r="G16"/>
  <c r="G13"/>
  <c r="G10"/>
  <c r="D33"/>
  <c r="E33"/>
  <c r="C33"/>
  <c r="G98" i="17"/>
  <c r="AY43" i="28" l="1"/>
  <c r="F62" i="1"/>
  <c r="AU18" i="28"/>
  <c r="AY44"/>
  <c r="AZ28"/>
  <c r="AY41"/>
  <c r="AY26"/>
  <c r="AY42"/>
  <c r="AV44"/>
  <c r="AV47" s="1"/>
  <c r="AS28"/>
  <c r="AW28"/>
  <c r="AV28"/>
  <c r="BA28"/>
  <c r="AR47"/>
  <c r="AZ44"/>
  <c r="AS39"/>
  <c r="AU39" s="1"/>
  <c r="X47"/>
  <c r="X48" s="1"/>
  <c r="AX28"/>
  <c r="AR28"/>
  <c r="AZ47"/>
  <c r="AW47"/>
  <c r="AX47"/>
  <c r="AT47"/>
  <c r="BB47"/>
  <c r="AT28"/>
  <c r="BB28"/>
  <c r="BA47"/>
  <c r="BC34"/>
  <c r="AU36"/>
  <c r="BC42"/>
  <c r="AU44"/>
  <c r="AU33"/>
  <c r="BC32"/>
  <c r="BC36"/>
  <c r="BC40"/>
  <c r="BC44"/>
  <c r="AU31"/>
  <c r="BC35"/>
  <c r="BC37"/>
  <c r="BC43"/>
  <c r="C48"/>
  <c r="S48"/>
  <c r="Y48"/>
  <c r="AE48"/>
  <c r="BC30"/>
  <c r="AU32"/>
  <c r="AU34"/>
  <c r="BC38"/>
  <c r="AU40"/>
  <c r="J48"/>
  <c r="AU30"/>
  <c r="BC31"/>
  <c r="BC33"/>
  <c r="AU35"/>
  <c r="BC39"/>
  <c r="BC41"/>
  <c r="AU24"/>
  <c r="AU20"/>
  <c r="BC27"/>
  <c r="BC22"/>
  <c r="BC15"/>
  <c r="AU14"/>
  <c r="AU21"/>
  <c r="AU15"/>
  <c r="AU19"/>
  <c r="AU22"/>
  <c r="AU16"/>
  <c r="BC18"/>
  <c r="AU23"/>
  <c r="BC14"/>
  <c r="BC17"/>
  <c r="BC21"/>
  <c r="BC20"/>
  <c r="BC24"/>
  <c r="BC16"/>
  <c r="BC19"/>
  <c r="BC23"/>
  <c r="O48"/>
  <c r="T48"/>
  <c r="AA48"/>
  <c r="AF48"/>
  <c r="K48"/>
  <c r="P48"/>
  <c r="AB48"/>
  <c r="AK48"/>
  <c r="R48"/>
  <c r="AC48"/>
  <c r="AI48"/>
  <c r="BC26"/>
  <c r="N48"/>
  <c r="AM48"/>
  <c r="B48"/>
  <c r="G48"/>
  <c r="L48"/>
  <c r="AN48"/>
  <c r="BC25"/>
  <c r="AJ48"/>
  <c r="AU25"/>
  <c r="H48"/>
  <c r="D48"/>
  <c r="AG48"/>
  <c r="I28"/>
  <c r="G33" i="1"/>
  <c r="F75" l="1"/>
  <c r="AU28" i="28"/>
  <c r="BC28"/>
  <c r="AY47"/>
  <c r="AY28"/>
  <c r="AS47"/>
  <c r="BC47"/>
  <c r="E48"/>
  <c r="AZ48"/>
  <c r="AR48"/>
  <c r="Q48"/>
  <c r="U48"/>
  <c r="BA48"/>
  <c r="AV48"/>
  <c r="I48"/>
  <c r="M48"/>
  <c r="AH48"/>
  <c r="AU47"/>
  <c r="AS48"/>
  <c r="AX48"/>
  <c r="AT48"/>
  <c r="BB48"/>
  <c r="F78" i="1" l="1"/>
  <c r="BC48" i="28"/>
  <c r="AU48"/>
  <c r="AW48"/>
  <c r="AY48" s="1"/>
  <c r="F103" i="1" l="1"/>
  <c r="G94" i="17"/>
  <c r="G91"/>
  <c r="G88"/>
  <c r="G83"/>
  <c r="G79"/>
  <c r="G77"/>
  <c r="F74"/>
  <c r="E74"/>
  <c r="G71"/>
  <c r="G69"/>
  <c r="G67"/>
  <c r="G65"/>
  <c r="G59"/>
  <c r="G57"/>
  <c r="G56"/>
  <c r="G53"/>
  <c r="G49"/>
  <c r="G37"/>
  <c r="G36"/>
  <c r="F60"/>
  <c r="F62" s="1"/>
  <c r="C37"/>
  <c r="F31"/>
  <c r="F33"/>
  <c r="G33" s="1"/>
  <c r="E33"/>
  <c r="D33"/>
  <c r="C33"/>
  <c r="F107" i="1" l="1"/>
  <c r="G60" i="17"/>
  <c r="D35" i="15" l="1"/>
  <c r="AO38"/>
  <c r="AK38"/>
  <c r="AJ38"/>
  <c r="AI38"/>
  <c r="AG38"/>
  <c r="AF38"/>
  <c r="AE38"/>
  <c r="AC38"/>
  <c r="AB38"/>
  <c r="AA38"/>
  <c r="Y38"/>
  <c r="X38"/>
  <c r="W38"/>
  <c r="T38"/>
  <c r="S38"/>
  <c r="R38"/>
  <c r="P38"/>
  <c r="O38"/>
  <c r="N38"/>
  <c r="L38"/>
  <c r="K38"/>
  <c r="J38"/>
  <c r="H38"/>
  <c r="G38"/>
  <c r="F38"/>
  <c r="D38"/>
  <c r="C38"/>
  <c r="B38"/>
  <c r="AI37"/>
  <c r="AG37"/>
  <c r="AA37"/>
  <c r="AA39" s="1"/>
  <c r="X37"/>
  <c r="T37"/>
  <c r="R37"/>
  <c r="R39" s="1"/>
  <c r="K37"/>
  <c r="G37"/>
  <c r="AS37" s="1"/>
  <c r="F37"/>
  <c r="C37"/>
  <c r="AC36"/>
  <c r="AC39" s="1"/>
  <c r="X36"/>
  <c r="X39" s="1"/>
  <c r="T36"/>
  <c r="T39" s="1"/>
  <c r="R36"/>
  <c r="K36"/>
  <c r="K39" s="1"/>
  <c r="AK35"/>
  <c r="AI35"/>
  <c r="AG35"/>
  <c r="AF35"/>
  <c r="AE35"/>
  <c r="AC35"/>
  <c r="AB35"/>
  <c r="AA35"/>
  <c r="Y35"/>
  <c r="X35"/>
  <c r="W35"/>
  <c r="T35"/>
  <c r="S35"/>
  <c r="R35"/>
  <c r="P35"/>
  <c r="O35"/>
  <c r="N35"/>
  <c r="L35"/>
  <c r="K35"/>
  <c r="J35"/>
  <c r="H35"/>
  <c r="G35"/>
  <c r="F35"/>
  <c r="C35"/>
  <c r="B35"/>
  <c r="AT34"/>
  <c r="AT38" s="1"/>
  <c r="AS34"/>
  <c r="AS38" s="1"/>
  <c r="AR34"/>
  <c r="AP34"/>
  <c r="AP38" s="1"/>
  <c r="AO34"/>
  <c r="AN34"/>
  <c r="AV33"/>
  <c r="AT33"/>
  <c r="AS33"/>
  <c r="AR33"/>
  <c r="AP33"/>
  <c r="AO33"/>
  <c r="AN33"/>
  <c r="AT32"/>
  <c r="AS32"/>
  <c r="AR32"/>
  <c r="AP32"/>
  <c r="AN32"/>
  <c r="AN35" s="1"/>
  <c r="AO32"/>
  <c r="AH32"/>
  <c r="AC30"/>
  <c r="AA30"/>
  <c r="X30"/>
  <c r="R30"/>
  <c r="K30"/>
  <c r="AS29"/>
  <c r="AR29"/>
  <c r="AK29"/>
  <c r="AK37" s="1"/>
  <c r="AJ29"/>
  <c r="AI29"/>
  <c r="AG29"/>
  <c r="AF29"/>
  <c r="AF37" s="1"/>
  <c r="AE29"/>
  <c r="AE37" s="1"/>
  <c r="AC29"/>
  <c r="AC37" s="1"/>
  <c r="AB29"/>
  <c r="AB37" s="1"/>
  <c r="AB39" s="1"/>
  <c r="AA29"/>
  <c r="Y29"/>
  <c r="Y37" s="1"/>
  <c r="X29"/>
  <c r="W29"/>
  <c r="W37" s="1"/>
  <c r="T29"/>
  <c r="S29"/>
  <c r="S37" s="1"/>
  <c r="R29"/>
  <c r="P29"/>
  <c r="P37" s="1"/>
  <c r="O29"/>
  <c r="N29"/>
  <c r="N30" s="1"/>
  <c r="L29"/>
  <c r="L37" s="1"/>
  <c r="K29"/>
  <c r="J29"/>
  <c r="J37" s="1"/>
  <c r="H29"/>
  <c r="H37" s="1"/>
  <c r="G29"/>
  <c r="F29"/>
  <c r="D29"/>
  <c r="D37" s="1"/>
  <c r="C29"/>
  <c r="B29"/>
  <c r="B37" s="1"/>
  <c r="AK28"/>
  <c r="AI28"/>
  <c r="AG28"/>
  <c r="AF28"/>
  <c r="AF36" s="1"/>
  <c r="AE36"/>
  <c r="AE39" s="1"/>
  <c r="AC28"/>
  <c r="AB28"/>
  <c r="AB30" s="1"/>
  <c r="AA28"/>
  <c r="Y28"/>
  <c r="X28"/>
  <c r="W28"/>
  <c r="T28"/>
  <c r="T30" s="1"/>
  <c r="S28"/>
  <c r="R28"/>
  <c r="P28"/>
  <c r="P36" s="1"/>
  <c r="O28"/>
  <c r="N28"/>
  <c r="N36" s="1"/>
  <c r="L28"/>
  <c r="K28"/>
  <c r="J28"/>
  <c r="H28"/>
  <c r="G28"/>
  <c r="F28"/>
  <c r="D28"/>
  <c r="D36" s="1"/>
  <c r="B28"/>
  <c r="AS27"/>
  <c r="AR27"/>
  <c r="AK27"/>
  <c r="AJ27"/>
  <c r="AL27" s="1"/>
  <c r="AI27"/>
  <c r="AG27"/>
  <c r="AF27"/>
  <c r="AH27" s="1"/>
  <c r="AE27"/>
  <c r="AC27"/>
  <c r="AB27"/>
  <c r="AA27"/>
  <c r="Y27"/>
  <c r="X27"/>
  <c r="W27"/>
  <c r="T27"/>
  <c r="S27"/>
  <c r="R27"/>
  <c r="P27"/>
  <c r="O27"/>
  <c r="N27"/>
  <c r="L27"/>
  <c r="K27"/>
  <c r="J27"/>
  <c r="H27"/>
  <c r="G27"/>
  <c r="F27"/>
  <c r="D27"/>
  <c r="C27"/>
  <c r="B27"/>
  <c r="AT26"/>
  <c r="AS26"/>
  <c r="AR26"/>
  <c r="AP26"/>
  <c r="AX26" s="1"/>
  <c r="AN26"/>
  <c r="AV26" s="1"/>
  <c r="Q26"/>
  <c r="AT25"/>
  <c r="AT27" s="1"/>
  <c r="AS25"/>
  <c r="AP25"/>
  <c r="AN25"/>
  <c r="AL25"/>
  <c r="AH25"/>
  <c r="Q25"/>
  <c r="E25"/>
  <c r="AS23"/>
  <c r="AK23"/>
  <c r="AI23"/>
  <c r="AG23"/>
  <c r="AF23"/>
  <c r="AE23"/>
  <c r="AC23"/>
  <c r="AB23"/>
  <c r="AA23"/>
  <c r="Y23"/>
  <c r="X23"/>
  <c r="W23"/>
  <c r="T23"/>
  <c r="S23"/>
  <c r="R23"/>
  <c r="P23"/>
  <c r="O23"/>
  <c r="N23"/>
  <c r="L23"/>
  <c r="K23"/>
  <c r="J23"/>
  <c r="H23"/>
  <c r="G23"/>
  <c r="F23"/>
  <c r="D23"/>
  <c r="B23"/>
  <c r="AW22"/>
  <c r="AV22"/>
  <c r="AT22"/>
  <c r="AS22"/>
  <c r="AR22"/>
  <c r="AR23" s="1"/>
  <c r="AP22"/>
  <c r="AX22" s="1"/>
  <c r="AO22"/>
  <c r="AN22"/>
  <c r="AT21"/>
  <c r="AT23" s="1"/>
  <c r="AS21"/>
  <c r="AP21"/>
  <c r="AN23"/>
  <c r="AH21"/>
  <c r="Q21"/>
  <c r="C28"/>
  <c r="C30" s="1"/>
  <c r="AT19"/>
  <c r="AK19"/>
  <c r="AI19"/>
  <c r="AG19"/>
  <c r="AF19"/>
  <c r="AE19"/>
  <c r="AC19"/>
  <c r="AB19"/>
  <c r="AA19"/>
  <c r="Y19"/>
  <c r="X19"/>
  <c r="W19"/>
  <c r="T19"/>
  <c r="S19"/>
  <c r="R19"/>
  <c r="P19"/>
  <c r="O19"/>
  <c r="N19"/>
  <c r="L19"/>
  <c r="K19"/>
  <c r="J19"/>
  <c r="H19"/>
  <c r="G19"/>
  <c r="F19"/>
  <c r="D19"/>
  <c r="E19" s="1"/>
  <c r="C19"/>
  <c r="B19"/>
  <c r="AX18"/>
  <c r="AT18"/>
  <c r="AS18"/>
  <c r="AR18"/>
  <c r="AP18"/>
  <c r="AV18"/>
  <c r="AT17"/>
  <c r="AS17"/>
  <c r="AR17"/>
  <c r="AR19" s="1"/>
  <c r="AP17"/>
  <c r="AP19" s="1"/>
  <c r="AL17"/>
  <c r="AJ19"/>
  <c r="AH17"/>
  <c r="Q17"/>
  <c r="E17"/>
  <c r="AK15"/>
  <c r="AJ15"/>
  <c r="AL15" s="1"/>
  <c r="AI15"/>
  <c r="AH15"/>
  <c r="AG15"/>
  <c r="AF15"/>
  <c r="AE15"/>
  <c r="AC15"/>
  <c r="AB15"/>
  <c r="AA15"/>
  <c r="Y15"/>
  <c r="X15"/>
  <c r="W15"/>
  <c r="T15"/>
  <c r="S15"/>
  <c r="R15"/>
  <c r="P15"/>
  <c r="Q15" s="1"/>
  <c r="O15"/>
  <c r="N15"/>
  <c r="L15"/>
  <c r="K15"/>
  <c r="J15"/>
  <c r="H15"/>
  <c r="G15"/>
  <c r="F15"/>
  <c r="D15"/>
  <c r="C15"/>
  <c r="E15" s="1"/>
  <c r="B15"/>
  <c r="AV14"/>
  <c r="AT14"/>
  <c r="AS14"/>
  <c r="AR14"/>
  <c r="AP14"/>
  <c r="AO14"/>
  <c r="AN14"/>
  <c r="AT13"/>
  <c r="AS13"/>
  <c r="AR13"/>
  <c r="AR28" s="1"/>
  <c r="AP13"/>
  <c r="AX13" s="1"/>
  <c r="AO13"/>
  <c r="AW13" s="1"/>
  <c r="AN13"/>
  <c r="AL13"/>
  <c r="AH13"/>
  <c r="Q13"/>
  <c r="E13"/>
  <c r="Q28" l="1"/>
  <c r="AL32"/>
  <c r="AV32"/>
  <c r="AJ35"/>
  <c r="AL35" s="1"/>
  <c r="AK30"/>
  <c r="AO27"/>
  <c r="AL19"/>
  <c r="AF39"/>
  <c r="AF30"/>
  <c r="AQ32"/>
  <c r="AX32" s="1"/>
  <c r="P39"/>
  <c r="AV29"/>
  <c r="AQ17"/>
  <c r="Q23"/>
  <c r="N37"/>
  <c r="AX34"/>
  <c r="M38"/>
  <c r="AO35"/>
  <c r="AQ38"/>
  <c r="AR38"/>
  <c r="AR35"/>
  <c r="AS35"/>
  <c r="AW34"/>
  <c r="AW38" s="1"/>
  <c r="AT35"/>
  <c r="E27"/>
  <c r="AV21"/>
  <c r="AV23" s="1"/>
  <c r="E21"/>
  <c r="C23"/>
  <c r="AX17"/>
  <c r="AX19" s="1"/>
  <c r="AO19"/>
  <c r="AQ19" s="1"/>
  <c r="AQ13"/>
  <c r="AR30"/>
  <c r="AR36"/>
  <c r="AN15"/>
  <c r="AN28"/>
  <c r="AP29"/>
  <c r="AP37" s="1"/>
  <c r="AX14"/>
  <c r="AX29" s="1"/>
  <c r="H30"/>
  <c r="H36"/>
  <c r="AI30"/>
  <c r="AI36"/>
  <c r="AI39" s="1"/>
  <c r="O37"/>
  <c r="Q37" s="1"/>
  <c r="Q29"/>
  <c r="D30"/>
  <c r="E30" s="1"/>
  <c r="AX33"/>
  <c r="AP35"/>
  <c r="AX38"/>
  <c r="AN19"/>
  <c r="AV17"/>
  <c r="AV19" s="1"/>
  <c r="AS19"/>
  <c r="AS28"/>
  <c r="AL21"/>
  <c r="AO21"/>
  <c r="AQ21" s="1"/>
  <c r="AJ23"/>
  <c r="AL23" s="1"/>
  <c r="C36"/>
  <c r="C39" s="1"/>
  <c r="AJ28"/>
  <c r="AN29"/>
  <c r="AR15"/>
  <c r="E23"/>
  <c r="AP27"/>
  <c r="AQ25"/>
  <c r="AX25"/>
  <c r="D39"/>
  <c r="AR37"/>
  <c r="AV13"/>
  <c r="AW14"/>
  <c r="AO29"/>
  <c r="AO15"/>
  <c r="Q19"/>
  <c r="AX21"/>
  <c r="AH23"/>
  <c r="AP23"/>
  <c r="B36"/>
  <c r="B39" s="1"/>
  <c r="B30"/>
  <c r="G36"/>
  <c r="G39" s="1"/>
  <c r="G30"/>
  <c r="L36"/>
  <c r="L39" s="1"/>
  <c r="M39" s="1"/>
  <c r="L30"/>
  <c r="W36"/>
  <c r="W39" s="1"/>
  <c r="W30"/>
  <c r="AG36"/>
  <c r="AH28"/>
  <c r="AG30"/>
  <c r="AJ37"/>
  <c r="AL37" s="1"/>
  <c r="AL29"/>
  <c r="AW33"/>
  <c r="AN27"/>
  <c r="AK36"/>
  <c r="Q35"/>
  <c r="AS15"/>
  <c r="AY13"/>
  <c r="AX15"/>
  <c r="AW17"/>
  <c r="F36"/>
  <c r="F39" s="1"/>
  <c r="F30"/>
  <c r="AT28"/>
  <c r="P30"/>
  <c r="Q32"/>
  <c r="AV34"/>
  <c r="M35"/>
  <c r="AN38"/>
  <c r="AV38" s="1"/>
  <c r="AP15"/>
  <c r="AT15"/>
  <c r="AW18"/>
  <c r="AH19"/>
  <c r="AW26"/>
  <c r="Q27"/>
  <c r="E28"/>
  <c r="J36"/>
  <c r="J39" s="1"/>
  <c r="J30"/>
  <c r="O36"/>
  <c r="O30"/>
  <c r="S36"/>
  <c r="S39" s="1"/>
  <c r="S30"/>
  <c r="Y36"/>
  <c r="Y39" s="1"/>
  <c r="Y30"/>
  <c r="AE30"/>
  <c r="AP28"/>
  <c r="AT29"/>
  <c r="AT37" s="1"/>
  <c r="AH35"/>
  <c r="AQ27" l="1"/>
  <c r="AV35"/>
  <c r="AW32"/>
  <c r="AW35" s="1"/>
  <c r="AX35"/>
  <c r="AH30"/>
  <c r="AQ35"/>
  <c r="O39"/>
  <c r="Q39" s="1"/>
  <c r="AV37"/>
  <c r="N39"/>
  <c r="AY34"/>
  <c r="AY38"/>
  <c r="AW27"/>
  <c r="E36"/>
  <c r="E39"/>
  <c r="AT36"/>
  <c r="AT30"/>
  <c r="AW19"/>
  <c r="AY19" s="1"/>
  <c r="AK39"/>
  <c r="AG39"/>
  <c r="AH36"/>
  <c r="AX23"/>
  <c r="AX28"/>
  <c r="AY17"/>
  <c r="AV28"/>
  <c r="AV30" s="1"/>
  <c r="AV15"/>
  <c r="AN30"/>
  <c r="AN36"/>
  <c r="AP36"/>
  <c r="AP30"/>
  <c r="AY26"/>
  <c r="AW21"/>
  <c r="AW23" s="1"/>
  <c r="AO23"/>
  <c r="AO28"/>
  <c r="AQ28" s="1"/>
  <c r="Q36"/>
  <c r="AQ15"/>
  <c r="AQ23"/>
  <c r="AJ36"/>
  <c r="AJ39" s="1"/>
  <c r="AJ30"/>
  <c r="AL30" s="1"/>
  <c r="AY32"/>
  <c r="H39"/>
  <c r="AX37"/>
  <c r="Q30"/>
  <c r="AL28"/>
  <c r="AW29"/>
  <c r="AY29" s="1"/>
  <c r="AX27"/>
  <c r="AY25"/>
  <c r="AS36"/>
  <c r="AS39" s="1"/>
  <c r="AS30"/>
  <c r="AW15"/>
  <c r="AY15" s="1"/>
  <c r="AR39"/>
  <c r="AY35" l="1"/>
  <c r="AY37"/>
  <c r="AL36"/>
  <c r="AQ37"/>
  <c r="AY27"/>
  <c r="AY23"/>
  <c r="AW28"/>
  <c r="AW30" s="1"/>
  <c r="AX36"/>
  <c r="AP39"/>
  <c r="AY21"/>
  <c r="AL39"/>
  <c r="AT39"/>
  <c r="AO36"/>
  <c r="AQ36" s="1"/>
  <c r="AO30"/>
  <c r="AQ30" s="1"/>
  <c r="AV36"/>
  <c r="AV39" s="1"/>
  <c r="AN39"/>
  <c r="AX30"/>
  <c r="AY30" l="1"/>
  <c r="AY28"/>
  <c r="AX39"/>
  <c r="AO39"/>
  <c r="AQ39" s="1"/>
  <c r="AW36"/>
  <c r="AY36" l="1"/>
  <c r="AY39"/>
  <c r="G27" i="17" l="1"/>
  <c r="G29"/>
  <c r="G31"/>
  <c r="G24"/>
  <c r="G21"/>
  <c r="G16"/>
  <c r="G13"/>
  <c r="G10"/>
  <c r="F106" l="1"/>
  <c r="F100"/>
  <c r="F95"/>
  <c r="F70"/>
  <c r="F25"/>
  <c r="F75" s="1"/>
  <c r="F78" l="1"/>
  <c r="F103" l="1"/>
  <c r="C231" i="20"/>
  <c r="D229"/>
  <c r="AJ18" i="18" s="1"/>
  <c r="C226" i="20"/>
  <c r="AE18" i="18" s="1"/>
  <c r="AE19" s="1"/>
  <c r="B221" i="20"/>
  <c r="D220" s="1"/>
  <c r="D226" s="1"/>
  <c r="C216"/>
  <c r="AA18" i="18" s="1"/>
  <c r="B215" i="20"/>
  <c r="D214"/>
  <c r="B211"/>
  <c r="B210"/>
  <c r="D208"/>
  <c r="F208" s="1"/>
  <c r="B207"/>
  <c r="B206"/>
  <c r="D189"/>
  <c r="F189" s="1"/>
  <c r="B188"/>
  <c r="D187" s="1"/>
  <c r="D186"/>
  <c r="F186" s="1"/>
  <c r="B185"/>
  <c r="B184"/>
  <c r="B180"/>
  <c r="B179"/>
  <c r="B178"/>
  <c r="C172"/>
  <c r="R18" i="18" s="1"/>
  <c r="R19" s="1"/>
  <c r="B168" i="20"/>
  <c r="B165" s="1"/>
  <c r="B164"/>
  <c r="B162"/>
  <c r="D160"/>
  <c r="D145"/>
  <c r="F145" s="1"/>
  <c r="B140"/>
  <c r="D138" s="1"/>
  <c r="F138" s="1"/>
  <c r="D135"/>
  <c r="F135" s="1"/>
  <c r="D131"/>
  <c r="C127"/>
  <c r="C121"/>
  <c r="C117"/>
  <c r="J18" i="18" s="1"/>
  <c r="J19" s="1"/>
  <c r="D115" i="20"/>
  <c r="F115" s="1"/>
  <c r="B104"/>
  <c r="D93"/>
  <c r="D76"/>
  <c r="F76" s="1"/>
  <c r="B75"/>
  <c r="B72"/>
  <c r="D66"/>
  <c r="F66" s="1"/>
  <c r="B44"/>
  <c r="D42" s="1"/>
  <c r="F42" s="1"/>
  <c r="C37"/>
  <c r="F18" i="18" s="1"/>
  <c r="F19" s="1"/>
  <c r="D31" i="20"/>
  <c r="C21"/>
  <c r="B18" i="18" s="1"/>
  <c r="D15" i="20"/>
  <c r="F15" s="1"/>
  <c r="D14"/>
  <c r="F14" s="1"/>
  <c r="B167" i="10"/>
  <c r="D166"/>
  <c r="F166" s="1"/>
  <c r="B162"/>
  <c r="B159" s="1"/>
  <c r="B158"/>
  <c r="B156"/>
  <c r="D154"/>
  <c r="C151"/>
  <c r="B138"/>
  <c r="D136"/>
  <c r="D133"/>
  <c r="F133" s="1"/>
  <c r="D131"/>
  <c r="F131" s="1"/>
  <c r="D123"/>
  <c r="F123" s="1"/>
  <c r="D121"/>
  <c r="F121" s="1"/>
  <c r="D120"/>
  <c r="F120" s="1"/>
  <c r="D117"/>
  <c r="F117" s="1"/>
  <c r="D111"/>
  <c r="D106"/>
  <c r="F106" s="1"/>
  <c r="B103"/>
  <c r="D101" s="1"/>
  <c r="D93"/>
  <c r="B91"/>
  <c r="D90" s="1"/>
  <c r="D89"/>
  <c r="B88"/>
  <c r="B87"/>
  <c r="D86" s="1"/>
  <c r="B85"/>
  <c r="B84"/>
  <c r="D83" s="1"/>
  <c r="B64"/>
  <c r="B61"/>
  <c r="D58" s="1"/>
  <c r="F58" s="1"/>
  <c r="C56"/>
  <c r="D48"/>
  <c r="C48"/>
  <c r="B47"/>
  <c r="D45" s="1"/>
  <c r="F45" s="1"/>
  <c r="B43"/>
  <c r="C40"/>
  <c r="C34"/>
  <c r="D31"/>
  <c r="C26"/>
  <c r="C22"/>
  <c r="C18"/>
  <c r="B16"/>
  <c r="D14"/>
  <c r="B13"/>
  <c r="D11"/>
  <c r="C9"/>
  <c r="D106" i="1"/>
  <c r="E105"/>
  <c r="E102"/>
  <c r="G102" s="1"/>
  <c r="E101"/>
  <c r="G101" s="1"/>
  <c r="E100"/>
  <c r="G100" s="1"/>
  <c r="D100"/>
  <c r="E96"/>
  <c r="G96" s="1"/>
  <c r="E95"/>
  <c r="G95" s="1"/>
  <c r="D95"/>
  <c r="C84"/>
  <c r="E76"/>
  <c r="G76" s="1"/>
  <c r="E74"/>
  <c r="G74" s="1"/>
  <c r="C74"/>
  <c r="E70"/>
  <c r="G70" s="1"/>
  <c r="D70"/>
  <c r="C70"/>
  <c r="E62"/>
  <c r="G62" s="1"/>
  <c r="D62"/>
  <c r="C56"/>
  <c r="C53"/>
  <c r="C49"/>
  <c r="C37"/>
  <c r="E25"/>
  <c r="G25" s="1"/>
  <c r="D25"/>
  <c r="C25"/>
  <c r="B23"/>
  <c r="B23" i="17"/>
  <c r="C25"/>
  <c r="D25"/>
  <c r="E25"/>
  <c r="C49"/>
  <c r="C53"/>
  <c r="C56"/>
  <c r="D62"/>
  <c r="E62"/>
  <c r="G62" s="1"/>
  <c r="C70"/>
  <c r="D70"/>
  <c r="E70"/>
  <c r="G70" s="1"/>
  <c r="C74"/>
  <c r="D76"/>
  <c r="E76"/>
  <c r="G76" s="1"/>
  <c r="C84"/>
  <c r="D95"/>
  <c r="E95"/>
  <c r="G95" s="1"/>
  <c r="D96"/>
  <c r="E96"/>
  <c r="G96" s="1"/>
  <c r="D100"/>
  <c r="E100"/>
  <c r="G100" s="1"/>
  <c r="D101"/>
  <c r="E101"/>
  <c r="G101" s="1"/>
  <c r="D102"/>
  <c r="E102"/>
  <c r="G102" s="1"/>
  <c r="D105"/>
  <c r="D106" s="1"/>
  <c r="E105"/>
  <c r="G105" s="1"/>
  <c r="E106"/>
  <c r="G106" s="1"/>
  <c r="B19" i="18" l="1"/>
  <c r="D102" i="20"/>
  <c r="F102" s="1"/>
  <c r="O18" i="18"/>
  <c r="F131" i="20"/>
  <c r="AA19" i="18"/>
  <c r="AQ18"/>
  <c r="AQ19" s="1"/>
  <c r="AJ19"/>
  <c r="AL19" s="1"/>
  <c r="AL18"/>
  <c r="E177" i="20"/>
  <c r="AF18" i="18"/>
  <c r="F226" i="20"/>
  <c r="E106" i="1"/>
  <c r="G106" s="1"/>
  <c r="G105"/>
  <c r="D75"/>
  <c r="D78" s="1"/>
  <c r="D103" s="1"/>
  <c r="D107" s="1"/>
  <c r="G25" i="17"/>
  <c r="E75"/>
  <c r="G75" s="1"/>
  <c r="F107"/>
  <c r="D231" i="20"/>
  <c r="F231" s="1"/>
  <c r="F229"/>
  <c r="D209"/>
  <c r="F209" s="1"/>
  <c r="F83" i="10"/>
  <c r="D151"/>
  <c r="D155"/>
  <c r="C67"/>
  <c r="C152" s="1"/>
  <c r="C168" s="1"/>
  <c r="C131" i="20"/>
  <c r="N18" i="18" s="1"/>
  <c r="N19" s="1"/>
  <c r="D161" i="20"/>
  <c r="D172" s="1"/>
  <c r="D183"/>
  <c r="D37"/>
  <c r="F31"/>
  <c r="D21"/>
  <c r="D69"/>
  <c r="F69" s="1"/>
  <c r="D205"/>
  <c r="C62" i="1"/>
  <c r="C62" i="17"/>
  <c r="D75"/>
  <c r="D78" s="1"/>
  <c r="D103" s="1"/>
  <c r="D107" s="1"/>
  <c r="D67" i="10"/>
  <c r="E75" i="1"/>
  <c r="AM18" i="18" l="1"/>
  <c r="AM19" s="1"/>
  <c r="D202" i="20"/>
  <c r="W18" i="18" s="1"/>
  <c r="F183" i="20"/>
  <c r="C18" i="18"/>
  <c r="F21" i="20"/>
  <c r="E18" i="18" s="1"/>
  <c r="S18"/>
  <c r="F172" i="20"/>
  <c r="AF19" i="18"/>
  <c r="AH19" s="1"/>
  <c r="AH18"/>
  <c r="G18"/>
  <c r="F37" i="20"/>
  <c r="O19" i="18"/>
  <c r="Q19" s="1"/>
  <c r="Q18"/>
  <c r="E78" i="1"/>
  <c r="G75"/>
  <c r="E78" i="17"/>
  <c r="D216" i="20"/>
  <c r="E202"/>
  <c r="D152" i="10"/>
  <c r="D168" s="1"/>
  <c r="D117" i="20"/>
  <c r="AU18" i="18" l="1"/>
  <c r="AU19" s="1"/>
  <c r="AB18"/>
  <c r="AR18" s="1"/>
  <c r="AR19" s="1"/>
  <c r="F216" i="20"/>
  <c r="K18" i="18"/>
  <c r="F117" i="20"/>
  <c r="X18" i="18"/>
  <c r="F202" i="20"/>
  <c r="AN18" i="18"/>
  <c r="C19"/>
  <c r="E19" s="1"/>
  <c r="G19"/>
  <c r="I19" s="1"/>
  <c r="I18"/>
  <c r="S19"/>
  <c r="U19" s="1"/>
  <c r="U18"/>
  <c r="W19"/>
  <c r="E103" i="1"/>
  <c r="G78"/>
  <c r="E103" i="17"/>
  <c r="G78"/>
  <c r="E233" i="20"/>
  <c r="D233"/>
  <c r="C233"/>
  <c r="E169" i="10" l="1"/>
  <c r="F233" i="20"/>
  <c r="AV18" i="18"/>
  <c r="AV19" s="1"/>
  <c r="AN19"/>
  <c r="AP19" s="1"/>
  <c r="AP18"/>
  <c r="K19"/>
  <c r="M19" s="1"/>
  <c r="M18"/>
  <c r="Y18"/>
  <c r="AS18"/>
  <c r="X19"/>
  <c r="Y19" s="1"/>
  <c r="AB19"/>
  <c r="AD19" s="1"/>
  <c r="AD18"/>
  <c r="E107" i="1"/>
  <c r="G107" s="1"/>
  <c r="G103"/>
  <c r="E107" i="17"/>
  <c r="G107" s="1"/>
  <c r="G103"/>
  <c r="AT18" i="18" l="1"/>
  <c r="AS19"/>
  <c r="AT19" s="1"/>
  <c r="AW18"/>
  <c r="AX18" l="1"/>
  <c r="AW19"/>
  <c r="AX19" s="1"/>
</calcChain>
</file>

<file path=xl/sharedStrings.xml><?xml version="1.0" encoding="utf-8"?>
<sst xmlns="http://schemas.openxmlformats.org/spreadsheetml/2006/main" count="1212" uniqueCount="425">
  <si>
    <t>Kiemelt előirányzat megnevezése</t>
  </si>
  <si>
    <t>Eredeti 
előirányzat</t>
  </si>
  <si>
    <t>B1. Működési célú támogatások államháztartáson belülről</t>
  </si>
  <si>
    <t xml:space="preserve">   1. Helyi önkormányzatok működésének támogatása</t>
  </si>
  <si>
    <t>Adatok Ft-ban</t>
  </si>
  <si>
    <t xml:space="preserve">    Beszámítás összesen</t>
  </si>
  <si>
    <t xml:space="preserve">    feladatainak támogatása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</si>
  <si>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</si>
  <si>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</si>
  <si>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</si>
  <si>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</si>
  <si>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</si>
  <si>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</si>
  <si>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</si>
  <si>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</si>
  <si>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</si>
  <si>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</si>
  <si>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</si>
  <si>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</si>
  <si>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</si>
  <si>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</si>
  <si>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</si>
  <si>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</si>
  <si>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</si>
  <si>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Egyéb közhatalmi bevétel</t>
  </si>
  <si>
    <t>B3. Közhatalmi bevétel összesen:</t>
  </si>
  <si>
    <t>B4. Működési bevétel</t>
  </si>
  <si>
    <t>B5. Felhalmozási bevételek</t>
  </si>
  <si>
    <t xml:space="preserve"> 1. Ingatlanok értékesítése </t>
  </si>
  <si>
    <t xml:space="preserve"> 2. Részvény értékesítés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</si>
  <si>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</si>
  <si>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</si>
  <si>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</si>
  <si>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</si>
  <si>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</si>
  <si>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>B8. Finanszírozási bevételek összesen:</t>
  </si>
  <si>
    <t>Bevételek mindösszesen (B1-B8.):</t>
  </si>
  <si>
    <t>B8.</t>
  </si>
  <si>
    <t>Működési célú átvett pénzeszközök</t>
  </si>
  <si>
    <t>Felhalmozási célú átvett pénzeszközök</t>
  </si>
  <si>
    <t>Finanszírozási bevételek</t>
  </si>
  <si>
    <t>Személyi juttatások</t>
  </si>
  <si>
    <t>Munkaadót terhelő járulékok és szociális hozzájárulási adó</t>
  </si>
  <si>
    <t>Dologi kiadások</t>
  </si>
  <si>
    <t>Egyéb működési célú kiadások</t>
  </si>
  <si>
    <t>Felújítások</t>
  </si>
  <si>
    <t>Beruházások</t>
  </si>
  <si>
    <t>Egyéb felhalmozási célú kiadások</t>
  </si>
  <si>
    <t>Megnevezés</t>
  </si>
  <si>
    <t>Bevételek összesen</t>
  </si>
  <si>
    <t>Kiadások összesen</t>
  </si>
  <si>
    <t>Madarász Imre Egyesített Óvoda</t>
  </si>
  <si>
    <t>Ellátottak pénzbeli juttatásai</t>
  </si>
  <si>
    <t>ebből: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</si>
  <si>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</si>
  <si>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</si>
  <si>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</si>
  <si>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</si>
  <si>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</si>
  <si>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</si>
  <si>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</si>
  <si>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</si>
  <si>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</si>
  <si>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</si>
  <si>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</si>
  <si>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</si>
  <si>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</si>
  <si>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</si>
  <si>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</si>
  <si>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</si>
  <si>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</si>
  <si>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</si>
  <si>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</si>
  <si>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</si>
  <si>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>Finanszírozási kiadások</t>
  </si>
  <si>
    <t>Működési célú</t>
  </si>
  <si>
    <t>Felhalmozási célú</t>
  </si>
  <si>
    <t>Kötelező feladat</t>
  </si>
  <si>
    <t>Városi közvilágítás</t>
  </si>
  <si>
    <t>Építési és településfejlesztési feladatok</t>
  </si>
  <si>
    <t>Polgárvédelem</t>
  </si>
  <si>
    <t>Közbiztonsági feladatok</t>
  </si>
  <si>
    <t>Térfigyelő kamerák karbantartása (4 db: HEMO, Református Templom torony, Csillag Csemege, KÖTIVIZIG székház)</t>
  </si>
  <si>
    <t>Kamera elhelyezés bérleti díja (KÖTIVIZIG székház)</t>
  </si>
  <si>
    <t xml:space="preserve">Mezőgazdaság és környezetvédelem </t>
  </si>
  <si>
    <t>Környezetvédelmi alap</t>
  </si>
  <si>
    <t>Egészségügyi feladatok</t>
  </si>
  <si>
    <t>Karcagi Többcélú Kistérségi Társulás részére támogatás (állami hozzájárulás összege) működtetéséhez</t>
  </si>
  <si>
    <t>Rendszerfüggő elemek bérleti díjának elkülönítése vizkiközmű feljesztés finanszírozására</t>
  </si>
  <si>
    <t>Egyéb szociális ellátás</t>
  </si>
  <si>
    <t xml:space="preserve">ebből: 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</si>
  <si>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</si>
  <si>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</si>
  <si>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</si>
  <si>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Vagyonbiztosítás díja</t>
  </si>
  <si>
    <t>Áramdíjak</t>
  </si>
  <si>
    <t>Kötelező feladatok összesen:</t>
  </si>
  <si>
    <t>Önként vállalt feladat</t>
  </si>
  <si>
    <t xml:space="preserve">Ifjúságpolitikai feladatok </t>
  </si>
  <si>
    <t>Tehetséges és szociálisan hátrányos helyzetű tanulók ösztöndíja</t>
  </si>
  <si>
    <t>Székelykeresztúrért Alapítvány támogatása 149/2005. (IV.26.) kt.sz.határozat alapján</t>
  </si>
  <si>
    <t xml:space="preserve">Tagdíjak, támogatások </t>
  </si>
  <si>
    <t>Nagykunságért díjra eső hozzájárulás 20/1996. (V.29.) önk.r.</t>
  </si>
  <si>
    <t>Világ Királynője Engesztelő Mozgalom tagságára 200/2013. (IX.26.) kt.sz.határozat</t>
  </si>
  <si>
    <t xml:space="preserve">Kunszövetség tagdíj </t>
  </si>
  <si>
    <t>JNSZ Megyei Kormányhivatal részére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</si>
  <si>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</si>
  <si>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</si>
  <si>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</si>
  <si>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</si>
  <si>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</si>
  <si>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</si>
  <si>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</si>
  <si>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</si>
  <si>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</si>
  <si>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</si>
  <si>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Finanszírozási kiadás</t>
  </si>
  <si>
    <t>M i n d ö s s z e s e n:</t>
  </si>
  <si>
    <t>Helyi autóbusz közlekedés közszolgáltatás támogatása</t>
  </si>
  <si>
    <t>Orvosi ügyelet ellátására kiegészítés 287/2015.(XII.17.)"kt"sz.határozat alapján</t>
  </si>
  <si>
    <t>Tüdőszűrés</t>
  </si>
  <si>
    <t>2013. évi állami támogatás visszafizetése és kamata</t>
  </si>
  <si>
    <t>Pályázati előkészítési alap</t>
  </si>
  <si>
    <t>Akácliget fürdő üzemeltetési támogatás</t>
  </si>
  <si>
    <t>lakhatási támogatás</t>
  </si>
  <si>
    <t>gyógyszertámogatás</t>
  </si>
  <si>
    <t>közköltséges temetés</t>
  </si>
  <si>
    <t>Tilalmasi ivóvíz biztosítása</t>
  </si>
  <si>
    <t>Városi Önkormányzat Városgondnokságától átvett, hullakékgazdálkodás bevételéből rekultivációs célra elkülönített összeg és kamatai (céltartalék)</t>
  </si>
  <si>
    <t>Általános tartalék</t>
  </si>
  <si>
    <t>Céltartalék:</t>
  </si>
  <si>
    <t>Rekultivációs célú elkülönítés hulladéklerakó üzemeltetés miatt</t>
  </si>
  <si>
    <t>Főtéri internet szolgáltatás díja</t>
  </si>
  <si>
    <t>Földgáz energia megtakarítástól függő díjazása</t>
  </si>
  <si>
    <t>Városháza lift karbantartás</t>
  </si>
  <si>
    <t>Folyószámlák költségei, postautalványok, postai közreműködési díj</t>
  </si>
  <si>
    <t>Vizdíjak, közkifolyók</t>
  </si>
  <si>
    <t xml:space="preserve">Karcagi „Erőforrás” Kft. részére üzemeltetésre
(Laktanya ingatlan)  39/2015. (II.26.)…) "kt." sz. határozat alapján </t>
  </si>
  <si>
    <t>Önkormányzati reprezentációs és ajándékozási kiadások, kiemelt városi események, nemzeti ünnepek</t>
  </si>
  <si>
    <t>Nemzetközi kapcsolatok</t>
  </si>
  <si>
    <t>Előző évi maradvány igénybevétele működésre</t>
  </si>
  <si>
    <t>Előző évi maradvány igénybevétele felhalmozásra</t>
  </si>
  <si>
    <t>Likviditási célú hitel felvétele</t>
  </si>
  <si>
    <t>Kötelező feladatok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</si>
  <si>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</si>
  <si>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</si>
  <si>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</si>
  <si>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</si>
  <si>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</si>
  <si>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</si>
  <si>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</si>
  <si>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</si>
  <si>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</si>
  <si>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</si>
  <si>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Kötelező feladatok összesen</t>
  </si>
  <si>
    <t>Önként vállalt feladatok</t>
  </si>
  <si>
    <t>Földhaszonbérlet</t>
  </si>
  <si>
    <t>Közterület-használati díj</t>
  </si>
  <si>
    <t>Továbbszámlázott kiadások bevételei</t>
  </si>
  <si>
    <t xml:space="preserve">Előző évi maradvány igénybevétele </t>
  </si>
  <si>
    <t>Önként válallt feladatok összesen</t>
  </si>
  <si>
    <t>Mindösszesen:</t>
  </si>
  <si>
    <t>B1-B8.</t>
  </si>
  <si>
    <t>Bérleti díj (TRV)</t>
  </si>
  <si>
    <t>Bérleti díj (egyéb)</t>
  </si>
  <si>
    <t>Költségvetési szerv megnevezése</t>
  </si>
  <si>
    <t>Előző évi maradvány igénybevétele</t>
  </si>
  <si>
    <t>Irányító szervi támogatás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</si>
  <si>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</si>
  <si>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</si>
  <si>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</si>
  <si>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</si>
  <si>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</si>
  <si>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</si>
  <si>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</si>
  <si>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</si>
  <si>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</si>
  <si>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</si>
  <si>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</si>
  <si>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</si>
  <si>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</si>
  <si>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</si>
  <si>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</si>
  <si>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</si>
  <si>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</si>
  <si>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Déryné Kulturális,Turisztikai,Sport Központ és Könyvtár</t>
  </si>
  <si>
    <t xml:space="preserve">   1. Előző évi költségvetési maradvány igénybevétele</t>
  </si>
  <si>
    <t xml:space="preserve"> </t>
  </si>
  <si>
    <t xml:space="preserve">                 </t>
  </si>
  <si>
    <t xml:space="preserve">K9.  </t>
  </si>
  <si>
    <t>Költségvetési szervek kiadásai</t>
  </si>
  <si>
    <t>Önkormányzat kiadása költségvetési szervek támogatása nélkül</t>
  </si>
  <si>
    <t>Ö S S Z E S E N :</t>
  </si>
  <si>
    <t>Kötelező feladat, önként vállalt, államigazgatási feladatok</t>
  </si>
  <si>
    <t>Kötelező, önként vállalt feladat</t>
  </si>
  <si>
    <t>kiemelt előirányzatonkénti bontásban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</si>
  <si>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</si>
  <si>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</si>
  <si>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</si>
  <si>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</si>
  <si>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</si>
  <si>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</si>
  <si>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</si>
  <si>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</si>
  <si>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</si>
  <si>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</si>
  <si>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1.1.9.    A 2016. évről áthúzódó bérkompenzáció támogatása</t>
  </si>
  <si>
    <t xml:space="preserve">      1.1.  Települési önkormányzatok működésének támogatása beszámítás után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</si>
  <si>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</si>
  <si>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</si>
  <si>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</si>
  <si>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</si>
  <si>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</si>
  <si>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</si>
  <si>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</si>
  <si>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</si>
  <si>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</si>
  <si>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</si>
  <si>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</si>
  <si>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1.3.4. Gyermekétkeztetés támogatása</t>
  </si>
  <si>
    <t xml:space="preserve">    1.3.5. A rászoruló gyermekek intézményen kívüli szünidei étkeztetésének támogatása</t>
  </si>
  <si>
    <t xml:space="preserve">    1.3.6. Kiegészítő támogatás a bölcsődében foglalkoztatott, felsőfokúvégzettségű kisgyermeknevelők </t>
  </si>
  <si>
    <t xml:space="preserve">              béréhez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</si>
  <si>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</si>
  <si>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</si>
  <si>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</si>
  <si>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</si>
  <si>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</si>
  <si>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</si>
  <si>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</si>
  <si>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</si>
  <si>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</si>
  <si>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</si>
  <si>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</si>
  <si>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</si>
  <si>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</si>
  <si>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</si>
  <si>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</si>
  <si>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   1.3.2.11. Bölcsődei ellátás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</si>
  <si>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</si>
  <si>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</si>
  <si>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   1.3.4.1. A finanszírozás szempontjából elismert dolgozók bértámogatása</t>
  </si>
  <si>
    <t xml:space="preserve">       1.3.4.2. Gyermekétkeztetés üzemeltetési támogatása</t>
  </si>
  <si>
    <t>79/2016. (III.31.) kt. határozat alapán "Európa a polgárokért" című pályázat utófinanszírozása</t>
  </si>
  <si>
    <t xml:space="preserve">                       M e g n e v e z é s</t>
  </si>
  <si>
    <t>Karcagi Többcélú Kistérségi Társulás részére kiegészítő támogatás a karcagi székhellyel, telephellyel rendelkező intézmények működtetéséhez</t>
  </si>
  <si>
    <t xml:space="preserve">Önként vállalt feladatok </t>
  </si>
  <si>
    <t>Pályázati támogatás</t>
  </si>
  <si>
    <t>Megvalósításhoz szükséges önerő</t>
  </si>
  <si>
    <t>K127 termálkút hőellátási rendszerének javítása</t>
  </si>
  <si>
    <t>Hulladéklerakó kapacitás fejlesztés kötött támogatás átadása</t>
  </si>
  <si>
    <t xml:space="preserve">Nagykun Víz- és Csatornamű Kft. </t>
  </si>
  <si>
    <t>Továbbszámlázott működési kiadások</t>
  </si>
  <si>
    <t>Orvosi ösztöndíjrendszerre alap képzése</t>
  </si>
  <si>
    <t>Közvilágítás karbantartás, javítás</t>
  </si>
  <si>
    <t>Karácsonyi díszkivilágítás</t>
  </si>
  <si>
    <t>Belterületi körforgalmak díszkivilágítása</t>
  </si>
  <si>
    <t>Díszkivilágítás felszerelése és leszerelése</t>
  </si>
  <si>
    <t>Közvilágítás karbantartás, javítás, bővítés</t>
  </si>
  <si>
    <t>Vagyonkezelésbe adás bevétele</t>
  </si>
  <si>
    <t xml:space="preserve">Lakossági szennyvíz rákötések és új gerincvezeték (Erdei u., Tisza u., Soós I. u., Kacsóh u.) támogatása  </t>
  </si>
  <si>
    <t>KÖZVIL részvény értékesítés 312/2016. (XII.15.) kt. határozat alapján  11.004 ezer Ft, 2017. évre tervezett további értékesítés 8.996 ezer Ft</t>
  </si>
  <si>
    <t>Választókörzetek településüzemeltetési és telpülésfejlesztési kiadásai</t>
  </si>
  <si>
    <t>Karcag Városi TV-vel együttműködési szerződés hirdetésre és támogatásra 306/2016. (XII.15.) "kt." sz. határozat alapján</t>
  </si>
  <si>
    <t>Karcagi Sport Egyesület 2017. évi működési támogatása</t>
  </si>
  <si>
    <t>Karcag Városi Cigány Nemzetiségi Önkormányzat támogatása
 -1 fő adminisztrátor 4 órás foglalkoztatásához (305/2016. (XII.15.) "kt." sz. határozat alapján 1.200 e Ft keretösszeg)
- Kulturális és és egyéb rendezvényekhez támogatás nyújtása 200 e Ft</t>
  </si>
  <si>
    <t>311/2016.  (XII.15&gt;) kt. sz. határozat alapján 2017. évre vállalt kötelezettség</t>
  </si>
  <si>
    <t xml:space="preserve">Rágcsálóirtás (Északi és Déli külváros, városközpont) </t>
  </si>
  <si>
    <t>2016. decemberi áfa befizetés</t>
  </si>
  <si>
    <t>2017. évi áfa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</si>
  <si>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</si>
  <si>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</si>
  <si>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</si>
  <si>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</si>
  <si>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>Arany János ösztöndíj 291/2012. (XI.29.) kt. sz.  határozat alapján</t>
  </si>
  <si>
    <t xml:space="preserve">Karcag Városi Önkormányzat által adományozható kitüntetésekhez járó pénzdíj </t>
  </si>
  <si>
    <t>Emlékplakettek, díjak, oklevelek</t>
  </si>
  <si>
    <t>Bursa Hungarica Felsőoktatási Önkormányzati Ösztöndíj pályázat  234/2016. (IX.29.) kt. sz. határozat alapján</t>
  </si>
  <si>
    <t>Kulturális és közművelődési feladatok</t>
  </si>
  <si>
    <t>Könyvtári érdekeltségnövelő pályázathoz önerő</t>
  </si>
  <si>
    <t>Közművelődséi érdekeltségnövelő pályázathoz önerő</t>
  </si>
  <si>
    <t>2016-2017. évre vonatkozó általános forgalmi adó befizetési kötelezettség</t>
  </si>
  <si>
    <t>rendkívüli települési támogatás (pénzbeni)</t>
  </si>
  <si>
    <t>rendkívüli települési támogatás (természetbeni)</t>
  </si>
  <si>
    <t>Települési támogatások a 7/2015. (II.27.) önkormányzati rendelet alapján (állami támogatás terhére)</t>
  </si>
  <si>
    <t>Karcag-Tilalmasi Mezőgazdasági Korlátolt Felelősségű Társasággal kötendő a Társaság tulajdonában lévő kutak és vízhálózat bérletéről szóló megállapodásról szóló 285/2015. (XII.17.) kt. sz. és 179/2016. (VI.23.) kt. sz. határozat alapján bérleti díj 2017.04.30-ig</t>
  </si>
  <si>
    <t xml:space="preserve">73/2016. (III.31.) kt. határozat alapján „Az első világháború történelmi emlékeit őrző emlékművek rendbetételének, helyreállításának pályázati támogatása (2016. évről áthozott)
</t>
  </si>
  <si>
    <t xml:space="preserve">148/2016. (V.26.) kt. határozat alapján az „Önkormányzati étkeztetési fejlesztések támogatása”pályázat támogatása (Kinizsi Óvoda) (2016. évről áthozott)
</t>
  </si>
  <si>
    <t xml:space="preserve">149/2016. (V.26.) kt. határozat alapján az „Óvodai kapacitásbővítést célzó beruházások támogatása”pályázat támogatása (SZIM Óvoda) (2016. évről áthozott)
</t>
  </si>
  <si>
    <t>Karcag Város feladatainak támogatása (2016. évről áthozott)</t>
  </si>
  <si>
    <t xml:space="preserve">Ingatlanok értékbecslése </t>
  </si>
  <si>
    <t>TOP-4.2.1-15 pályzathoz (Idősek Otthona konyha felújítása) megalapozó tanulmány készítése</t>
  </si>
  <si>
    <t>TOP-1.4.1-15 pályzathoz (Zöldfa úti óvoda felújítása) pályázati és kivitelezési tervdokumentáció készítése</t>
  </si>
  <si>
    <t>TOP-2.1.2-15 pályázathoz (Zöld város kialakítása) projekt előkészítési feladatok</t>
  </si>
  <si>
    <t>TOP-1.1.3-15 pályázathoz (Helyi gazdaságfejlesztés) projekt előkészítési feladatok</t>
  </si>
  <si>
    <t>TOP-1.2.1-15 pályázathoz (Turiszmusfejlesztés) projekt előkészítési feladatok</t>
  </si>
  <si>
    <t>TOP-3.1.1-15 pályázathoz (Kerékpárút hálózat kiépítése) pályázat összeállítása és hálózati terv elkészítése</t>
  </si>
  <si>
    <t>VP6.7.2.1-7.4.1.2-16 pályázathoz (Zádor hídhoz vezető út fejlesztése) kivitelu tervdokumentásció készítése</t>
  </si>
  <si>
    <t>Tisza-menti LEADER Közhasznú Egyesület 2017. évi tagdíja</t>
  </si>
  <si>
    <t>TRT módosítás és vázrajz készítés</t>
  </si>
  <si>
    <t>Egyéb működési kiadások</t>
  </si>
  <si>
    <t>2017. évi bérleti díj elkülönítése</t>
  </si>
  <si>
    <t>2013-2016.években befolyt, viziközmű fejlesztés céljára fel nem használt összeg</t>
  </si>
  <si>
    <r>
      <t xml:space="preserve">2017. évi támogatás megelőlegezés </t>
    </r>
    <r>
      <rPr>
        <sz val="14"/>
        <rFont val="Times New Roman"/>
        <family val="1"/>
        <charset val="238"/>
      </rPr>
      <t>(2016. évről áthozott)</t>
    </r>
  </si>
  <si>
    <t>TOP és VP pályázatok bevétele</t>
  </si>
  <si>
    <t>Karcagi Többcélú Kistérségi Tárulás 2017. évi tagdíja</t>
  </si>
  <si>
    <t>Eladásra kijelölt ingatlanok értékesítése</t>
  </si>
  <si>
    <t>Hatósági kényszerintézkedések, utcanévtáblák elhelyezése, szakhatósági díjak, egyéb építési és településfejlesztési feladatok</t>
  </si>
  <si>
    <t>Tilamasi ivóvíz ellátási rendszer tervezése I. ütem</t>
  </si>
  <si>
    <t>120/2016. (V.02.) kt. határozat és a Magyar Labdírúgó Szövetséggel kötött együttműködési megállapodás alapján műfüves labdarúgó pálya építtetéséhez önerő biztosítása</t>
  </si>
  <si>
    <t>SZEMÉLYI JUTTATÁSOK</t>
  </si>
  <si>
    <t>Eredeti előirányzat</t>
  </si>
  <si>
    <t>SZEMÉLYI JUTTATÁSOK ÖSSZESEN:</t>
  </si>
  <si>
    <t>MUNKAADÓT TERHELŐ JÁRULÉKOK</t>
  </si>
  <si>
    <t>Tüdőszűrés (asszisztens megbízási díj)</t>
  </si>
  <si>
    <t>MUNKAADÓT TERHELŐ JÁRULÉKOK ÖSSZESEN:</t>
  </si>
  <si>
    <t>DOLOGI KIADÁSOK</t>
  </si>
  <si>
    <t>DOLOGI KIADÁSOK ÖSSZESEN:</t>
  </si>
  <si>
    <t>ELLÁTOTTAK JUTTATÁSAI</t>
  </si>
  <si>
    <t>Bursa Hungarica Felsőoktatási Önkormányzati Ösztöndíj pályázat  219/2015. (IX.24.) kt. sz. határozat alapján</t>
  </si>
  <si>
    <t>ELLÁTOTTAK JUTTATÁSAI ÖSSZESEN:</t>
  </si>
  <si>
    <t>EGYÉB MŰKÖDÉSI CÉLÚ KIADÁSOK</t>
  </si>
  <si>
    <t>EGYÉB MŰKÖDÉSI CÉLÚ KIADÁSOK ÖSSZESEN:</t>
  </si>
  <si>
    <t>BERUHÁZÁSOK</t>
  </si>
  <si>
    <t>BERUHÁZÁSOK ÖSSZESEN:</t>
  </si>
  <si>
    <t>FELÚJÍTÁSOK</t>
  </si>
  <si>
    <t>Karcag Város feladatainak támogatása</t>
  </si>
  <si>
    <t>FELÚJÍTÁSOK ÖSSZESEN:</t>
  </si>
  <si>
    <t>EGYÉB FELHALMOZÁSI CÉLÚ KIADÁSOK</t>
  </si>
  <si>
    <t>EGYÉB FELHALMOZÁSI CÉLÚ KIADÁSOK ÖSSZESEN:</t>
  </si>
  <si>
    <t>FINANSZÍROZÁSI KIADÁSOK</t>
  </si>
  <si>
    <t>FINANSZÍROZÁSI KIADÁSOK ÖSSZESEN:</t>
  </si>
  <si>
    <t>KARCAG VÁROSI ÖNKORMÁNYZAT KIADÁSAI ÖSSZESEN:</t>
  </si>
  <si>
    <t>2016. évről áthúzódó kötelezettség</t>
  </si>
  <si>
    <t xml:space="preserve">Karcagi „Erőforrás” Kft. részére üzemeltetésre
(Laktanya ingatlan)  39/2015. (II.26.) "kt." sz. határozat alapján </t>
  </si>
  <si>
    <t>Lakossági szennyvíz rákötések és új gerincvezeték építése</t>
  </si>
  <si>
    <t>Arany János ösztöndíj 291/2012. (XI.29.) kt. sz. határozat alapján</t>
  </si>
  <si>
    <t>Muzeális intézmányek szakmai támogatása pályázathoz önerő</t>
  </si>
  <si>
    <t>Közművelődési érdekeltségnövelő pályázathoz önerő</t>
  </si>
  <si>
    <r>
      <t xml:space="preserve">2017. évi támogatás megelőlegezés </t>
    </r>
    <r>
      <rPr>
        <sz val="12"/>
        <rFont val="Times New Roman"/>
        <family val="1"/>
        <charset val="238"/>
      </rPr>
      <t>(2016. évről áthozott)</t>
    </r>
  </si>
  <si>
    <t>Működési célú támogatások államháztartáson belülről</t>
  </si>
  <si>
    <t>Felhalmozási célú támogatások államháztartáson belülről</t>
  </si>
  <si>
    <t>Módosított
előirányzat</t>
  </si>
  <si>
    <t xml:space="preserve">    1.3.6. Kiegészítő támogatás a bölcsődében foglalkoztatott, felsőfokúvégzettségű  </t>
  </si>
  <si>
    <t xml:space="preserve">              kisgyermeknevelők béréhez</t>
  </si>
  <si>
    <t xml:space="preserve">    1.3.7. Szociális ágazati összevont pótlék</t>
  </si>
  <si>
    <t xml:space="preserve">    1.3.8. Középfokú végzettséggel rendelkező kisgyermeknevelőt megillető</t>
  </si>
  <si>
    <t xml:space="preserve">              bölcsődei pótlék</t>
  </si>
  <si>
    <t xml:space="preserve">    1.4.4. Kulturális illetménypótlék</t>
  </si>
  <si>
    <t xml:space="preserve">    1.5.1. 2017. évi bérkompenzáció</t>
  </si>
  <si>
    <t xml:space="preserve">    1.5. Működési célú költségvetési támogatások és kiegészítő támogatások</t>
  </si>
  <si>
    <t xml:space="preserve">    3. Elvonások és befizetések</t>
  </si>
  <si>
    <t>Módosított előirányzat</t>
  </si>
  <si>
    <t>TOP-5.1.2-15 Helyi foglalkoztatási együttműködések megvalósítása a Karcagi Járásban pályázat támogatása</t>
  </si>
  <si>
    <t>Elvonások és befizetések</t>
  </si>
  <si>
    <t xml:space="preserve">KÖFOP-1.2.1-VEKOP-16 Csatlakozási konstrukció az önkormányzati ASP rendszer országos kiépítéséhez </t>
  </si>
  <si>
    <t>Közműfejlesztési támogatás (*)</t>
  </si>
  <si>
    <t xml:space="preserve">Az első világháborúval kapcsolatos társadalom- és történettudományi munkák megjelentetésének támogatása   
</t>
  </si>
  <si>
    <t>A 2015. évi Milánói Világkiállítás magyar pavilonjának elhelyezésére a 1130/2017. (III.20.) Korm.határozat alapján kapott támogatás</t>
  </si>
  <si>
    <t>TOP-2.1.2-15 Zöld város kialakítása pályázat támogatása</t>
  </si>
  <si>
    <t>TOP-3.1.1-15 Kerékpárút hálózat kiépítése pályázat támogatása</t>
  </si>
  <si>
    <t xml:space="preserve">K1-K9.  </t>
  </si>
  <si>
    <t>72/2017. (III.30.) kt. sz. határozat alapján  2017.12.31-ig</t>
  </si>
  <si>
    <t>120/2017. (IV.27.) „kt.” sz. határozat alapján a JNSZ Megyei Katasztrófavédelmi  Igazgatóság Karcagi Hivatásos Tűzoltóparancsnokság támogatása</t>
  </si>
  <si>
    <t xml:space="preserve">KÖFOP-1.2.1-VEKOP-16 Csatlakozási konstrukció az önkormányzati ASP rendszer országos kiépítéséhez 
</t>
  </si>
  <si>
    <t>Közműfejlesztési támogatás lakosság részére</t>
  </si>
  <si>
    <t>Rendszerfüggő víziközmű elemek fejlesztése, felújítása elkülönített bérleti díj terhére</t>
  </si>
  <si>
    <t>2016. évi állami támogatás visszafizetése beszámolóban történt tényleges elszámolás és felhasználás alapján</t>
  </si>
  <si>
    <t xml:space="preserve">73/2016. (III.31.) kt. határozat alapján „Az első világháború történelmi emlékeit őrző emlékművek rendbetételének, helyreállításának pályázati támogatása (2016. évről áthozott) és többletköltségek felmerülése 16/2017. (I.26.) kt. Sz. határozat alapján
</t>
  </si>
  <si>
    <t xml:space="preserve">A 2015. évi Milánói Világkiállítás magyar pavilonjának elhelyezése Karcag Városában, a 1130/2017. (III.20.) Korm.határozat alapján kapott támogatás
</t>
  </si>
  <si>
    <t>TOP-2.1.2-15 pályázathoz (Zöld város kialakítása) projekt  feladatai</t>
  </si>
  <si>
    <t>TOP-3.1.1-15 pályázathoz (Kerékpárút hálózat kiépítése) pályázat feladatai</t>
  </si>
  <si>
    <t xml:space="preserve">TOP-5.1.2-15 Helyi foglalkoztatási együttműködések megvalósítása a Karcagi Járásban pályázat feladatai
</t>
  </si>
  <si>
    <t xml:space="preserve">A 309/2016. (XII.15.) „kt.” sz. határozat alapján az első világháborúval kapcsolatos társadalom- és történettudományi munkák megjelentetésének
</t>
  </si>
  <si>
    <t>Akácliget fürdő felhalmozási célú támogatás (E-ON lakások, gépjármű)</t>
  </si>
  <si>
    <t xml:space="preserve">Karcagi civil szervezetek támogatása 18/2017. (I.26.) „kt.” sz. határozat alapján
</t>
  </si>
  <si>
    <t>Temetési költség</t>
  </si>
  <si>
    <t>Egyég kiadások</t>
  </si>
  <si>
    <t>Kamerarendszer kialakítása</t>
  </si>
  <si>
    <r>
      <t xml:space="preserve">Munkáltatói lakáscélú támogatás </t>
    </r>
    <r>
      <rPr>
        <sz val="14"/>
        <rFont val="Times New Roman"/>
        <family val="1"/>
        <charset val="238"/>
      </rPr>
      <t>(2016.12.31. egyenleg, céllal kötött maradvány Önkormányzat és VG)</t>
    </r>
  </si>
  <si>
    <t>TOP-2.1.2-15 Zöld város kialakítása pályázat megvalósítása</t>
  </si>
  <si>
    <t xml:space="preserve">TOP-5.1.2-15 Helyi foglalkoztatási együttműködések megvalósítása
a Karcagi Járásban pályázat támogatása 
</t>
  </si>
  <si>
    <t>Karcag Városi Önkormányzat által adományozható kitüntetésekhez járó pénzdíj és plakettek</t>
  </si>
  <si>
    <t>TOP-5.1.2-15 Helyi foglalkoztatási együttműködések megvalósítása a Karcagi Járásban pályázat feladatai</t>
  </si>
  <si>
    <t>Egyéb kiadások</t>
  </si>
  <si>
    <r>
      <t xml:space="preserve">Munkáltatói lakáscélú támogatás </t>
    </r>
    <r>
      <rPr>
        <sz val="12"/>
        <rFont val="Times New Roman"/>
        <family val="1"/>
        <charset val="238"/>
      </rPr>
      <t>(2016.12.31. egyenleg, céllal kötött maradvány Önkormányzat és VG)</t>
    </r>
  </si>
  <si>
    <t xml:space="preserve">TRT módosítás </t>
  </si>
  <si>
    <t>1. sz. melléklet a Karcag Városi Önkormányzat Képviselő-testületének .../2017. (IX.27.) "kt." sz. határozatához</t>
  </si>
  <si>
    <t>A Karcag Városi Önkormányzat és intézményei 2017. évi költségvetés tervezett bevételi főösszegének I. félévi teljesítése
kiemelt előirányzatonkénti bontásban</t>
  </si>
  <si>
    <t>Teljesítés</t>
  </si>
  <si>
    <t>%</t>
  </si>
  <si>
    <t>1/3. oldal</t>
  </si>
  <si>
    <t>2/3. oldal</t>
  </si>
  <si>
    <t>3/3. oldal</t>
  </si>
  <si>
    <t>A Karcag Városi Önkormányzat 2016. évi költségvetési tervezett bevételi főösszegén belül 
a költségvetési szervek bevételeinek I. félévi teljesítése kiemelt előirányzatonkénti bontásban</t>
  </si>
  <si>
    <t>A Karcag Városi Önkormányzat 2017. évi költségvetési tervezett bevételi főösszegén belül 
a költségvetési szervek bevételeinek I. félévi teljesítése kiemelt előirányzatonkénti bontásban</t>
  </si>
  <si>
    <t xml:space="preserve">    1.2.4.  Óvodapedagógusok munkáját segítők  kiegészítő támogatása</t>
  </si>
  <si>
    <t xml:space="preserve">    1.5.2. Polgármesteri béremelés különbözetének támogatása</t>
  </si>
  <si>
    <t xml:space="preserve">    1.5.3. Minimálbér és garantált bérminimum emeléseének támogatása</t>
  </si>
  <si>
    <t>A Karcag Városi Önkormányzat 2017. évi költségvetésén belül az Önkormányzat tervezett bevételi főösszegének I. félévi teljesítése 
kiemelt előirányzatonkénti bontásban</t>
  </si>
  <si>
    <t>kiemel telőirányzatonkénti bontásban</t>
  </si>
  <si>
    <t>Adatok e Ft-ban</t>
  </si>
  <si>
    <t>A Karcag Városi Önkormányzat 2017. évi tervezett bevételi főösszegén belül az önkormányzat működési és felhalmozási bevételeinek I. félévi teljesítése</t>
  </si>
  <si>
    <t>Önkormányzati lakások értékesítésének részletfizetése</t>
  </si>
  <si>
    <t>Lakossági szennyvízbekötésekre befizetés</t>
  </si>
  <si>
    <t>1/2. oldal</t>
  </si>
  <si>
    <t>2/2. oldal</t>
  </si>
  <si>
    <t>A Karcag Városi Önkormányzat 2017. évi tervezett költségvetési kiadási főösszegén belül 
a költségvetési szervek kiadásainak I. félévi teljesítése kiemelt előirányzatonkénti bontásban</t>
  </si>
  <si>
    <t>A Karcag Városi Önkormányzat 2017. évi költségvetés kiadási főösszegén belül az Önkormányzat I. félévi kiadásai feladatonként, kiemelt előirányzatonkénti bontásban</t>
  </si>
  <si>
    <t xml:space="preserve">A Karcag Városi Önkormányzat 2017. évi tervezett költségvetés kiadási főösszegén belül az önkormányzat                                                                                    I. félévi kiadásai feladatonként, kiemelt előirányzatonkénti bontásban </t>
  </si>
  <si>
    <t>Akácliget fürdő felhalmozási célú támogatás =E-ON lakások, gépjármű)</t>
  </si>
  <si>
    <t>LIFE Levegőminőség-védelmi Integrált Projekt előkészítési feladatok</t>
  </si>
  <si>
    <t>Kedvezményes Pályépítési Program, Karcag Varró u. 8. sz alatti futballpálya kialakítása</t>
  </si>
  <si>
    <t>VP6-7.2.1-7.4.1.3-17  a vidéki térségek kisméretű infrastruktúrájának és alapvető szolgáltatásainak fejlesztése projekt előkészítési feladatok</t>
  </si>
  <si>
    <t>VP6.7.2.1-7.4.1.2-16 pályázathoz (Zádor hídhoz vezető út fejlesztése) kiviteli tervdokumentásció készítése</t>
  </si>
  <si>
    <t>TOP-1.2.1-15 pályázathoz (Turizmusfejlesztés) projekt előkészítési feladatok</t>
  </si>
  <si>
    <t>2016-ban térítésmentesen átvett lelátó székek áfája</t>
  </si>
  <si>
    <t>A Karcag Városi Önkormányzat 2017. évi tervezett költségvetési kiadás főösszegének I. félévi teljesítése kiemelt előirányzatonkénti bontásban</t>
  </si>
  <si>
    <t>6. sz. melléklet a Karcag Városi Önkormányzat Képviselő-testületének 229/2017. (IX.27.) "kt." sz. határozatához</t>
  </si>
  <si>
    <t>2. sz. melléklet a Karcag Városi Önkormányzat Képviselő-testületének 229/2017. (IX.27.) "kt." sz. határozatához</t>
  </si>
  <si>
    <t>3. sz. melléklet a Karcag Városi Önkormányzat Képviselő-testületének 229/2017. (IX.27.) "kt." sz. határozatához</t>
  </si>
  <si>
    <t>4. sz. melléklet a Karcag Városi Önkormányzat Képviselő-testületének   229/2017. (IX.27.) "kt." sz. határozatához</t>
  </si>
  <si>
    <t>5. sz. melléklet a Karcag Városi Önkormányzat Képviselő-testületének 229/2017. (IX.27.) "kt." sz. határozatához</t>
  </si>
  <si>
    <t>7. sz. melléklet a Karcag Városi Önkormányzat Képviselő-testületének 229/2017. (IX.27.) "kt." sz. határozatához</t>
  </si>
  <si>
    <t>8. sz. melléklet a Karcag Városi Önkormányzat Képviselő-testületének 229/2017. (IX.27.) "kt." sz. határozatához</t>
  </si>
</sst>
</file>

<file path=xl/styles.xml><?xml version="1.0" encoding="utf-8"?>
<styleSheet xmlns="http://schemas.openxmlformats.org/spreadsheetml/2006/main">
  <numFmts count="1">
    <numFmt numFmtId="164" formatCode="#,##0\ _F_t"/>
  </numFmts>
  <fonts count="41">
    <font>
      <sz val="11"/>
      <color theme="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</font>
    <font>
      <b/>
      <i/>
      <sz val="16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3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i/>
      <u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73">
    <xf numFmtId="0" fontId="0" fillId="0" borderId="0" xfId="0"/>
    <xf numFmtId="164" fontId="0" fillId="0" borderId="0" xfId="0" applyNumberFormat="1"/>
    <xf numFmtId="0" fontId="7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indent="15"/>
    </xf>
    <xf numFmtId="0" fontId="8" fillId="0" borderId="0" xfId="0" applyFont="1" applyBorder="1" applyAlignment="1"/>
    <xf numFmtId="164" fontId="9" fillId="0" borderId="4" xfId="0" applyNumberFormat="1" applyFont="1" applyBorder="1" applyAlignment="1">
      <alignment horizontal="right" vertical="center" wrapText="1" indent="1"/>
    </xf>
    <xf numFmtId="164" fontId="8" fillId="0" borderId="4" xfId="0" applyNumberFormat="1" applyFont="1" applyBorder="1" applyAlignment="1">
      <alignment horizontal="right" vertical="center" wrapText="1" indent="1"/>
    </xf>
    <xf numFmtId="164" fontId="8" fillId="0" borderId="5" xfId="0" applyNumberFormat="1" applyFont="1" applyBorder="1" applyAlignment="1">
      <alignment horizontal="right" vertical="center" wrapText="1" indent="1"/>
    </xf>
    <xf numFmtId="0" fontId="8" fillId="0" borderId="0" xfId="0" applyFont="1"/>
    <xf numFmtId="164" fontId="8" fillId="0" borderId="4" xfId="0" applyNumberFormat="1" applyFont="1" applyBorder="1" applyAlignment="1">
      <alignment horizontal="right" vertical="top" wrapText="1"/>
    </xf>
    <xf numFmtId="164" fontId="8" fillId="0" borderId="9" xfId="0" applyNumberFormat="1" applyFont="1" applyBorder="1" applyAlignment="1">
      <alignment horizontal="right" vertical="center" wrapText="1" indent="1"/>
    </xf>
    <xf numFmtId="164" fontId="8" fillId="0" borderId="0" xfId="0" applyNumberFormat="1" applyFont="1" applyBorder="1" applyAlignment="1">
      <alignment horizontal="right" vertical="center" wrapText="1" indent="1"/>
    </xf>
    <xf numFmtId="0" fontId="0" fillId="0" borderId="0" xfId="0" applyBorder="1"/>
    <xf numFmtId="164" fontId="5" fillId="0" borderId="0" xfId="0" applyNumberFormat="1" applyFont="1"/>
    <xf numFmtId="0" fontId="6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0" fillId="0" borderId="15" xfId="0" applyBorder="1"/>
    <xf numFmtId="0" fontId="5" fillId="0" borderId="15" xfId="0" applyFont="1" applyBorder="1"/>
    <xf numFmtId="3" fontId="17" fillId="0" borderId="6" xfId="0" applyNumberFormat="1" applyFont="1" applyFill="1" applyBorder="1" applyAlignment="1">
      <alignment horizontal="right" vertical="center" wrapText="1" indent="1"/>
    </xf>
    <xf numFmtId="3" fontId="17" fillId="0" borderId="18" xfId="0" applyNumberFormat="1" applyFont="1" applyFill="1" applyBorder="1" applyAlignment="1">
      <alignment horizontal="right" vertical="center" indent="1"/>
    </xf>
    <xf numFmtId="3" fontId="17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right" vertical="center" wrapText="1" indent="1"/>
    </xf>
    <xf numFmtId="3" fontId="16" fillId="0" borderId="18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5" fillId="0" borderId="7" xfId="0" applyFont="1" applyBorder="1"/>
    <xf numFmtId="0" fontId="17" fillId="0" borderId="2" xfId="0" applyFont="1" applyFill="1" applyBorder="1"/>
    <xf numFmtId="3" fontId="16" fillId="0" borderId="3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2" xfId="0" applyFont="1" applyFill="1" applyBorder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0" xfId="0" applyFont="1"/>
    <xf numFmtId="0" fontId="0" fillId="0" borderId="0" xfId="0" applyFill="1"/>
    <xf numFmtId="0" fontId="12" fillId="0" borderId="0" xfId="0" applyFont="1"/>
    <xf numFmtId="0" fontId="20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1" fillId="0" borderId="0" xfId="0" applyFont="1" applyBorder="1"/>
    <xf numFmtId="0" fontId="21" fillId="0" borderId="0" xfId="0" applyFont="1"/>
    <xf numFmtId="0" fontId="10" fillId="0" borderId="5" xfId="0" applyFont="1" applyBorder="1" applyAlignment="1">
      <alignment horizontal="left" vertical="center" wrapText="1" indent="1"/>
    </xf>
    <xf numFmtId="0" fontId="22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8" fillId="0" borderId="17" xfId="0" applyFont="1" applyBorder="1" applyAlignment="1">
      <alignment horizontal="left" vertical="center" wrapText="1" indent="1"/>
    </xf>
    <xf numFmtId="3" fontId="8" fillId="0" borderId="17" xfId="0" applyNumberFormat="1" applyFont="1" applyBorder="1" applyAlignment="1">
      <alignment vertical="center" wrapText="1"/>
    </xf>
    <xf numFmtId="3" fontId="9" fillId="0" borderId="17" xfId="0" applyNumberFormat="1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/>
    </xf>
    <xf numFmtId="0" fontId="8" fillId="0" borderId="22" xfId="0" applyFont="1" applyBorder="1" applyAlignment="1">
      <alignment horizontal="left" vertical="center" wrapText="1" indent="1"/>
    </xf>
    <xf numFmtId="3" fontId="8" fillId="0" borderId="22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22" xfId="0" applyFont="1" applyFill="1" applyBorder="1" applyAlignment="1">
      <alignment horizontal="left" vertical="center" wrapText="1" indent="1"/>
    </xf>
    <xf numFmtId="3" fontId="8" fillId="0" borderId="22" xfId="0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9" fillId="0" borderId="5" xfId="0" applyFont="1" applyBorder="1" applyAlignment="1">
      <alignment horizontal="left" vertical="center" wrapText="1" indent="1"/>
    </xf>
    <xf numFmtId="3" fontId="9" fillId="0" borderId="2" xfId="0" applyNumberFormat="1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 wrapText="1"/>
    </xf>
    <xf numFmtId="0" fontId="26" fillId="0" borderId="0" xfId="0" applyFont="1"/>
    <xf numFmtId="0" fontId="26" fillId="0" borderId="0" xfId="0" applyFont="1" applyBorder="1"/>
    <xf numFmtId="3" fontId="24" fillId="0" borderId="0" xfId="0" applyNumberFormat="1" applyFont="1" applyAlignment="1">
      <alignment vertical="center"/>
    </xf>
    <xf numFmtId="0" fontId="8" fillId="0" borderId="17" xfId="0" applyFont="1" applyFill="1" applyBorder="1" applyAlignment="1">
      <alignment horizontal="left" vertical="center" wrapText="1" indent="1"/>
    </xf>
    <xf numFmtId="3" fontId="8" fillId="0" borderId="1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3" fontId="12" fillId="0" borderId="0" xfId="0" applyNumberFormat="1" applyFont="1" applyFill="1"/>
    <xf numFmtId="0" fontId="12" fillId="0" borderId="0" xfId="0" applyFont="1" applyFill="1"/>
    <xf numFmtId="0" fontId="7" fillId="0" borderId="0" xfId="0" applyFont="1" applyFill="1" applyAlignment="1">
      <alignment horizontal="center"/>
    </xf>
    <xf numFmtId="3" fontId="0" fillId="0" borderId="0" xfId="0" applyNumberFormat="1" applyFill="1"/>
    <xf numFmtId="0" fontId="7" fillId="0" borderId="0" xfId="0" applyFont="1" applyFill="1" applyAlignment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164" fontId="9" fillId="0" borderId="4" xfId="0" applyNumberFormat="1" applyFont="1" applyBorder="1" applyAlignment="1">
      <alignment horizontal="center" vertical="center" wrapText="1"/>
    </xf>
    <xf numFmtId="0" fontId="28" fillId="0" borderId="0" xfId="0" applyFont="1"/>
    <xf numFmtId="0" fontId="9" fillId="0" borderId="0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right" vertical="center" wrapText="1" indent="1"/>
    </xf>
    <xf numFmtId="164" fontId="9" fillId="0" borderId="6" xfId="0" applyNumberFormat="1" applyFont="1" applyBorder="1" applyAlignment="1">
      <alignment horizontal="right" vertical="center" wrapText="1" indent="1"/>
    </xf>
    <xf numFmtId="164" fontId="8" fillId="0" borderId="4" xfId="0" applyNumberFormat="1" applyFont="1" applyFill="1" applyBorder="1" applyAlignment="1">
      <alignment horizontal="right" vertical="center" wrapText="1" indent="1"/>
    </xf>
    <xf numFmtId="164" fontId="8" fillId="0" borderId="5" xfId="0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left"/>
    </xf>
    <xf numFmtId="164" fontId="28" fillId="0" borderId="0" xfId="0" applyNumberFormat="1" applyFont="1"/>
    <xf numFmtId="0" fontId="29" fillId="0" borderId="0" xfId="0" applyFont="1"/>
    <xf numFmtId="164" fontId="29" fillId="0" borderId="0" xfId="0" applyNumberFormat="1" applyFont="1"/>
    <xf numFmtId="0" fontId="8" fillId="0" borderId="25" xfId="0" applyFont="1" applyBorder="1" applyAlignment="1">
      <alignment vertical="top" wrapText="1"/>
    </xf>
    <xf numFmtId="0" fontId="8" fillId="0" borderId="29" xfId="0" applyFont="1" applyBorder="1" applyAlignment="1">
      <alignment horizontal="center" vertical="top" wrapText="1"/>
    </xf>
    <xf numFmtId="164" fontId="8" fillId="0" borderId="26" xfId="0" applyNumberFormat="1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right" vertical="center" wrapText="1" indent="1"/>
    </xf>
    <xf numFmtId="164" fontId="8" fillId="0" borderId="24" xfId="0" applyNumberFormat="1" applyFont="1" applyBorder="1" applyAlignment="1">
      <alignment horizontal="left" vertical="top" wrapText="1" indent="1"/>
    </xf>
    <xf numFmtId="164" fontId="8" fillId="0" borderId="24" xfId="0" applyNumberFormat="1" applyFont="1" applyBorder="1" applyAlignment="1">
      <alignment horizontal="right" vertical="center" wrapText="1" indent="1"/>
    </xf>
    <xf numFmtId="3" fontId="8" fillId="0" borderId="24" xfId="0" applyNumberFormat="1" applyFont="1" applyBorder="1" applyAlignment="1">
      <alignment horizontal="right" vertical="top" wrapText="1" indent="1"/>
    </xf>
    <xf numFmtId="0" fontId="8" fillId="0" borderId="13" xfId="0" applyFont="1" applyFill="1" applyBorder="1" applyAlignment="1">
      <alignment horizontal="left" vertical="top" wrapText="1" indent="1"/>
    </xf>
    <xf numFmtId="3" fontId="8" fillId="0" borderId="24" xfId="0" applyNumberFormat="1" applyFont="1" applyFill="1" applyBorder="1" applyAlignment="1">
      <alignment horizontal="right" vertical="top" wrapText="1" indent="1"/>
    </xf>
    <xf numFmtId="3" fontId="8" fillId="0" borderId="6" xfId="0" applyNumberFormat="1" applyFont="1" applyFill="1" applyBorder="1" applyAlignment="1">
      <alignment horizontal="right" vertical="top" wrapText="1" indent="1"/>
    </xf>
    <xf numFmtId="164" fontId="8" fillId="0" borderId="6" xfId="0" applyNumberFormat="1" applyFont="1" applyBorder="1" applyAlignment="1">
      <alignment horizontal="right" vertical="top" wrapText="1"/>
    </xf>
    <xf numFmtId="3" fontId="8" fillId="0" borderId="24" xfId="0" applyNumberFormat="1" applyFont="1" applyBorder="1" applyAlignment="1">
      <alignment horizontal="right" vertical="center" wrapText="1" indent="1"/>
    </xf>
    <xf numFmtId="164" fontId="8" fillId="0" borderId="24" xfId="0" applyNumberFormat="1" applyFont="1" applyBorder="1" applyAlignment="1">
      <alignment vertical="top" wrapText="1"/>
    </xf>
    <xf numFmtId="164" fontId="8" fillId="0" borderId="18" xfId="0" applyNumberFormat="1" applyFont="1" applyBorder="1" applyAlignment="1">
      <alignment horizontal="right" vertical="center" wrapText="1" indent="1"/>
    </xf>
    <xf numFmtId="164" fontId="8" fillId="0" borderId="29" xfId="0" applyNumberFormat="1" applyFont="1" applyBorder="1" applyAlignment="1">
      <alignment horizontal="right" vertical="center" wrapText="1" indent="1"/>
    </xf>
    <xf numFmtId="3" fontId="8" fillId="0" borderId="24" xfId="0" applyNumberFormat="1" applyFont="1" applyBorder="1" applyAlignment="1">
      <alignment horizontal="left" vertical="top" wrapText="1" indent="1"/>
    </xf>
    <xf numFmtId="3" fontId="8" fillId="0" borderId="24" xfId="0" applyNumberFormat="1" applyFont="1" applyFill="1" applyBorder="1" applyAlignment="1">
      <alignment horizontal="left" vertical="top" wrapText="1" indent="1"/>
    </xf>
    <xf numFmtId="0" fontId="30" fillId="0" borderId="0" xfId="0" applyFont="1" applyBorder="1" applyAlignment="1">
      <alignment vertical="center"/>
    </xf>
    <xf numFmtId="164" fontId="31" fillId="0" borderId="0" xfId="0" applyNumberFormat="1" applyFont="1"/>
    <xf numFmtId="0" fontId="31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4" fillId="0" borderId="12" xfId="0" applyFont="1" applyBorder="1" applyAlignment="1">
      <alignment horizontal="left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31" fillId="0" borderId="18" xfId="0" applyFont="1" applyBorder="1" applyAlignment="1">
      <alignment horizontal="left" vertical="center" wrapText="1"/>
    </xf>
    <xf numFmtId="3" fontId="31" fillId="0" borderId="18" xfId="0" applyNumberFormat="1" applyFont="1" applyBorder="1" applyAlignment="1">
      <alignment vertical="center" wrapText="1"/>
    </xf>
    <xf numFmtId="3" fontId="14" fillId="0" borderId="18" xfId="0" applyNumberFormat="1" applyFont="1" applyBorder="1" applyAlignment="1">
      <alignment vertical="center" wrapText="1"/>
    </xf>
    <xf numFmtId="3" fontId="31" fillId="0" borderId="0" xfId="0" applyNumberFormat="1" applyFont="1"/>
    <xf numFmtId="3" fontId="31" fillId="0" borderId="18" xfId="0" applyNumberFormat="1" applyFont="1" applyBorder="1" applyAlignment="1"/>
    <xf numFmtId="3" fontId="31" fillId="0" borderId="18" xfId="0" applyNumberFormat="1" applyFont="1" applyBorder="1" applyAlignment="1">
      <alignment vertical="center"/>
    </xf>
    <xf numFmtId="0" fontId="31" fillId="0" borderId="22" xfId="0" applyFont="1" applyFill="1" applyBorder="1" applyAlignment="1">
      <alignment horizontal="left" vertical="center" wrapText="1"/>
    </xf>
    <xf numFmtId="3" fontId="31" fillId="0" borderId="22" xfId="0" applyNumberFormat="1" applyFont="1" applyFill="1" applyBorder="1" applyAlignment="1">
      <alignment vertical="center" wrapText="1"/>
    </xf>
    <xf numFmtId="3" fontId="31" fillId="0" borderId="22" xfId="0" applyNumberFormat="1" applyFont="1" applyFill="1" applyBorder="1" applyAlignment="1">
      <alignment vertical="center"/>
    </xf>
    <xf numFmtId="3" fontId="31" fillId="0" borderId="22" xfId="0" applyNumberFormat="1" applyFont="1" applyFill="1" applyBorder="1" applyAlignment="1"/>
    <xf numFmtId="3" fontId="31" fillId="0" borderId="0" xfId="0" applyNumberFormat="1" applyFont="1" applyFill="1"/>
    <xf numFmtId="0" fontId="31" fillId="0" borderId="0" xfId="0" applyFont="1" applyFill="1"/>
    <xf numFmtId="0" fontId="14" fillId="0" borderId="27" xfId="0" applyFont="1" applyBorder="1" applyAlignment="1">
      <alignment horizontal="left" vertical="center" wrapText="1"/>
    </xf>
    <xf numFmtId="3" fontId="31" fillId="0" borderId="17" xfId="0" applyNumberFormat="1" applyFont="1" applyBorder="1" applyAlignment="1">
      <alignment vertical="center" wrapText="1"/>
    </xf>
    <xf numFmtId="3" fontId="31" fillId="0" borderId="17" xfId="0" applyNumberFormat="1" applyFont="1" applyBorder="1" applyAlignment="1">
      <alignment vertical="center"/>
    </xf>
    <xf numFmtId="3" fontId="31" fillId="0" borderId="17" xfId="0" applyNumberFormat="1" applyFont="1" applyBorder="1" applyAlignment="1"/>
    <xf numFmtId="0" fontId="31" fillId="0" borderId="18" xfId="0" applyFont="1" applyFill="1" applyBorder="1" applyAlignment="1">
      <alignment vertical="center" wrapText="1"/>
    </xf>
    <xf numFmtId="0" fontId="8" fillId="0" borderId="25" xfId="0" applyFont="1" applyBorder="1" applyAlignment="1">
      <alignment horizontal="left" vertical="top" wrapText="1" indent="1"/>
    </xf>
    <xf numFmtId="3" fontId="8" fillId="0" borderId="29" xfId="0" applyNumberFormat="1" applyFont="1" applyBorder="1" applyAlignment="1">
      <alignment horizontal="left" vertical="top" wrapText="1" indent="1"/>
    </xf>
    <xf numFmtId="164" fontId="8" fillId="0" borderId="26" xfId="0" applyNumberFormat="1" applyFont="1" applyBorder="1" applyAlignment="1">
      <alignment horizontal="right" vertical="center" wrapText="1" indent="1"/>
    </xf>
    <xf numFmtId="3" fontId="15" fillId="3" borderId="16" xfId="0" applyNumberFormat="1" applyFont="1" applyFill="1" applyBorder="1" applyAlignment="1">
      <alignment horizontal="left" vertical="center" wrapText="1"/>
    </xf>
    <xf numFmtId="3" fontId="15" fillId="3" borderId="19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right" vertical="center" wrapText="1" indent="1"/>
    </xf>
    <xf numFmtId="3" fontId="16" fillId="0" borderId="8" xfId="0" applyNumberFormat="1" applyFont="1" applyFill="1" applyBorder="1" applyAlignment="1">
      <alignment horizontal="right" vertical="center" indent="1"/>
    </xf>
    <xf numFmtId="3" fontId="15" fillId="3" borderId="7" xfId="0" applyNumberFormat="1" applyFont="1" applyFill="1" applyBorder="1" applyAlignment="1">
      <alignment horizontal="left" vertical="center" wrapText="1"/>
    </xf>
    <xf numFmtId="3" fontId="15" fillId="3" borderId="1" xfId="0" applyNumberFormat="1" applyFont="1" applyFill="1" applyBorder="1" applyAlignment="1">
      <alignment horizontal="right" vertical="center" wrapText="1" indent="1"/>
    </xf>
    <xf numFmtId="3" fontId="16" fillId="3" borderId="8" xfId="0" applyNumberFormat="1" applyFont="1" applyFill="1" applyBorder="1" applyAlignment="1">
      <alignment horizontal="right" vertical="center" indent="1"/>
    </xf>
    <xf numFmtId="0" fontId="16" fillId="2" borderId="0" xfId="0" applyFont="1" applyFill="1" applyBorder="1"/>
    <xf numFmtId="0" fontId="16" fillId="2" borderId="2" xfId="0" applyFont="1" applyFill="1" applyBorder="1"/>
    <xf numFmtId="0" fontId="16" fillId="2" borderId="12" xfId="0" applyFont="1" applyFill="1" applyBorder="1"/>
    <xf numFmtId="0" fontId="32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/>
    <xf numFmtId="0" fontId="8" fillId="0" borderId="7" xfId="0" applyFont="1" applyFill="1" applyBorder="1"/>
    <xf numFmtId="0" fontId="9" fillId="0" borderId="7" xfId="0" applyFont="1" applyFill="1" applyBorder="1"/>
    <xf numFmtId="3" fontId="16" fillId="3" borderId="19" xfId="0" applyNumberFormat="1" applyFont="1" applyFill="1" applyBorder="1" applyAlignment="1">
      <alignment vertical="center"/>
    </xf>
    <xf numFmtId="3" fontId="15" fillId="0" borderId="6" xfId="0" applyNumberFormat="1" applyFont="1" applyFill="1" applyBorder="1" applyAlignment="1">
      <alignment horizontal="right" vertical="center" wrapText="1" indent="1"/>
    </xf>
    <xf numFmtId="0" fontId="31" fillId="0" borderId="18" xfId="0" applyFont="1" applyFill="1" applyBorder="1" applyAlignment="1">
      <alignment horizontal="left" vertical="center" wrapText="1"/>
    </xf>
    <xf numFmtId="3" fontId="17" fillId="0" borderId="6" xfId="0" applyNumberFormat="1" applyFont="1" applyFill="1" applyBorder="1" applyAlignment="1">
      <alignment horizontal="right" vertical="center" indent="1"/>
    </xf>
    <xf numFmtId="3" fontId="16" fillId="0" borderId="25" xfId="0" applyNumberFormat="1" applyFont="1" applyFill="1" applyBorder="1" applyAlignment="1">
      <alignment horizontal="left" vertical="center" wrapText="1"/>
    </xf>
    <xf numFmtId="3" fontId="16" fillId="0" borderId="26" xfId="0" applyNumberFormat="1" applyFont="1" applyFill="1" applyBorder="1" applyAlignment="1">
      <alignment horizontal="right" vertical="center" wrapText="1" indent="1"/>
    </xf>
    <xf numFmtId="3" fontId="16" fillId="0" borderId="17" xfId="0" applyNumberFormat="1" applyFont="1" applyFill="1" applyBorder="1" applyAlignment="1">
      <alignment horizontal="right" vertical="center" indent="1"/>
    </xf>
    <xf numFmtId="3" fontId="17" fillId="0" borderId="6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3" fontId="16" fillId="0" borderId="18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3" fontId="16" fillId="0" borderId="36" xfId="0" applyNumberFormat="1" applyFont="1" applyFill="1" applyBorder="1" applyAlignment="1">
      <alignment horizontal="left" vertical="center" wrapText="1"/>
    </xf>
    <xf numFmtId="3" fontId="16" fillId="0" borderId="22" xfId="0" applyNumberFormat="1" applyFont="1" applyFill="1" applyBorder="1" applyAlignment="1">
      <alignment horizontal="right" vertical="center" indent="1"/>
    </xf>
    <xf numFmtId="0" fontId="17" fillId="0" borderId="24" xfId="0" applyFont="1" applyFill="1" applyBorder="1"/>
    <xf numFmtId="0" fontId="17" fillId="0" borderId="18" xfId="0" applyFont="1" applyFill="1" applyBorder="1"/>
    <xf numFmtId="0" fontId="9" fillId="0" borderId="21" xfId="0" applyFont="1" applyFill="1" applyBorder="1"/>
    <xf numFmtId="0" fontId="9" fillId="0" borderId="11" xfId="0" applyFont="1" applyFill="1" applyBorder="1"/>
    <xf numFmtId="0" fontId="9" fillId="0" borderId="20" xfId="0" applyFont="1" applyFill="1" applyBorder="1"/>
    <xf numFmtId="3" fontId="16" fillId="0" borderId="7" xfId="0" applyNumberFormat="1" applyFont="1" applyFill="1" applyBorder="1" applyAlignment="1">
      <alignment horizontal="left" vertical="center" wrapText="1"/>
    </xf>
    <xf numFmtId="3" fontId="16" fillId="0" borderId="38" xfId="0" applyNumberFormat="1" applyFont="1" applyFill="1" applyBorder="1" applyAlignment="1">
      <alignment horizontal="right" vertical="center" wrapText="1" indent="1"/>
    </xf>
    <xf numFmtId="3" fontId="16" fillId="0" borderId="39" xfId="0" applyNumberFormat="1" applyFont="1" applyFill="1" applyBorder="1" applyAlignment="1">
      <alignment horizontal="right" vertical="center" indent="1"/>
    </xf>
    <xf numFmtId="3" fontId="16" fillId="0" borderId="8" xfId="0" applyNumberFormat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right" vertical="center" indent="1"/>
    </xf>
    <xf numFmtId="0" fontId="16" fillId="0" borderId="12" xfId="0" applyFont="1" applyFill="1" applyBorder="1"/>
    <xf numFmtId="3" fontId="16" fillId="0" borderId="8" xfId="0" applyNumberFormat="1" applyFont="1" applyFill="1" applyBorder="1" applyAlignment="1">
      <alignment horizontal="right" vertical="center" wrapText="1"/>
    </xf>
    <xf numFmtId="3" fontId="16" fillId="0" borderId="4" xfId="0" applyNumberFormat="1" applyFont="1" applyFill="1" applyBorder="1" applyAlignment="1">
      <alignment horizontal="left" vertical="center" wrapText="1"/>
    </xf>
    <xf numFmtId="3" fontId="16" fillId="0" borderId="5" xfId="0" applyNumberFormat="1" applyFont="1" applyFill="1" applyBorder="1" applyAlignment="1">
      <alignment horizontal="right" vertical="center" indent="1"/>
    </xf>
    <xf numFmtId="164" fontId="8" fillId="0" borderId="17" xfId="0" applyNumberFormat="1" applyFont="1" applyFill="1" applyBorder="1" applyAlignment="1">
      <alignment horizontal="right" vertical="center" wrapText="1" indent="1"/>
    </xf>
    <xf numFmtId="3" fontId="17" fillId="0" borderId="37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/>
    <xf numFmtId="0" fontId="8" fillId="0" borderId="8" xfId="0" applyFont="1" applyFill="1" applyBorder="1"/>
    <xf numFmtId="0" fontId="8" fillId="0" borderId="2" xfId="0" applyFont="1" applyFill="1" applyBorder="1"/>
    <xf numFmtId="0" fontId="9" fillId="0" borderId="0" xfId="0" applyFont="1" applyFill="1" applyBorder="1"/>
    <xf numFmtId="0" fontId="9" fillId="0" borderId="8" xfId="0" applyFont="1" applyFill="1" applyBorder="1"/>
    <xf numFmtId="0" fontId="9" fillId="0" borderId="2" xfId="0" applyFont="1" applyFill="1" applyBorder="1"/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8" xfId="0" applyFont="1" applyFill="1" applyBorder="1"/>
    <xf numFmtId="0" fontId="16" fillId="0" borderId="2" xfId="0" applyFont="1" applyFill="1" applyBorder="1"/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/>
    <xf numFmtId="0" fontId="34" fillId="0" borderId="0" xfId="0" applyFont="1" applyFill="1" applyBorder="1"/>
    <xf numFmtId="0" fontId="34" fillId="0" borderId="8" xfId="0" applyFont="1" applyFill="1" applyBorder="1"/>
    <xf numFmtId="0" fontId="34" fillId="0" borderId="2" xfId="0" applyFont="1" applyFill="1" applyBorder="1"/>
    <xf numFmtId="0" fontId="9" fillId="0" borderId="9" xfId="0" applyFont="1" applyFill="1" applyBorder="1"/>
    <xf numFmtId="0" fontId="9" fillId="0" borderId="12" xfId="0" applyFont="1" applyFill="1" applyBorder="1"/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/>
    <xf numFmtId="0" fontId="26" fillId="0" borderId="0" xfId="0" applyFont="1" applyFill="1" applyBorder="1"/>
    <xf numFmtId="0" fontId="37" fillId="0" borderId="0" xfId="0" applyFont="1" applyFill="1" applyBorder="1"/>
    <xf numFmtId="0" fontId="37" fillId="0" borderId="15" xfId="0" applyFont="1" applyFill="1" applyBorder="1"/>
    <xf numFmtId="0" fontId="17" fillId="2" borderId="0" xfId="0" applyFont="1" applyFill="1" applyBorder="1"/>
    <xf numFmtId="0" fontId="17" fillId="2" borderId="8" xfId="0" applyFont="1" applyFill="1" applyBorder="1"/>
    <xf numFmtId="0" fontId="17" fillId="2" borderId="2" xfId="0" applyFont="1" applyFill="1" applyBorder="1"/>
    <xf numFmtId="0" fontId="37" fillId="0" borderId="8" xfId="0" applyFont="1" applyFill="1" applyBorder="1"/>
    <xf numFmtId="0" fontId="37" fillId="0" borderId="2" xfId="0" applyFont="1" applyFill="1" applyBorder="1"/>
    <xf numFmtId="0" fontId="37" fillId="0" borderId="0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/>
    </xf>
    <xf numFmtId="0" fontId="36" fillId="0" borderId="7" xfId="0" applyFont="1" applyFill="1" applyBorder="1"/>
    <xf numFmtId="3" fontId="16" fillId="0" borderId="34" xfId="0" applyNumberFormat="1" applyFont="1" applyFill="1" applyBorder="1" applyAlignment="1">
      <alignment horizontal="left" vertical="center" wrapText="1"/>
    </xf>
    <xf numFmtId="3" fontId="16" fillId="0" borderId="41" xfId="0" applyNumberFormat="1" applyFont="1" applyFill="1" applyBorder="1" applyAlignment="1">
      <alignment horizontal="right" vertical="center" indent="1"/>
    </xf>
    <xf numFmtId="3" fontId="16" fillId="0" borderId="24" xfId="0" applyNumberFormat="1" applyFont="1" applyFill="1" applyBorder="1" applyAlignment="1">
      <alignment horizontal="left" vertical="center" wrapText="1"/>
    </xf>
    <xf numFmtId="0" fontId="37" fillId="0" borderId="34" xfId="0" applyFont="1" applyFill="1" applyBorder="1" applyAlignment="1">
      <alignment vertical="center"/>
    </xf>
    <xf numFmtId="3" fontId="9" fillId="0" borderId="34" xfId="0" applyNumberFormat="1" applyFont="1" applyFill="1" applyBorder="1" applyAlignment="1">
      <alignment horizontal="left" vertical="center" wrapText="1"/>
    </xf>
    <xf numFmtId="3" fontId="8" fillId="0" borderId="41" xfId="0" applyNumberFormat="1" applyFont="1" applyFill="1" applyBorder="1" applyAlignment="1">
      <alignment horizontal="right" vertical="center" wrapText="1" indent="1"/>
    </xf>
    <xf numFmtId="3" fontId="9" fillId="0" borderId="40" xfId="0" applyNumberFormat="1" applyFont="1" applyFill="1" applyBorder="1" applyAlignment="1">
      <alignment horizontal="right" vertical="center" indent="1"/>
    </xf>
    <xf numFmtId="3" fontId="8" fillId="0" borderId="34" xfId="0" applyNumberFormat="1" applyFont="1" applyFill="1" applyBorder="1" applyAlignment="1">
      <alignment horizontal="left" vertical="center" wrapText="1"/>
    </xf>
    <xf numFmtId="3" fontId="9" fillId="0" borderId="41" xfId="0" applyNumberFormat="1" applyFont="1" applyFill="1" applyBorder="1" applyAlignment="1">
      <alignment horizontal="right" vertical="center" wrapText="1" indent="1"/>
    </xf>
    <xf numFmtId="3" fontId="8" fillId="0" borderId="40" xfId="0" applyNumberFormat="1" applyFont="1" applyFill="1" applyBorder="1" applyAlignment="1">
      <alignment horizontal="right" vertical="center" indent="1"/>
    </xf>
    <xf numFmtId="3" fontId="8" fillId="0" borderId="24" xfId="0" applyNumberFormat="1" applyFont="1" applyFill="1" applyBorder="1" applyAlignment="1">
      <alignment horizontal="right" vertical="center" wrapText="1"/>
    </xf>
    <xf numFmtId="3" fontId="16" fillId="0" borderId="24" xfId="0" applyNumberFormat="1" applyFont="1" applyFill="1" applyBorder="1" applyAlignment="1">
      <alignment horizontal="right" vertical="center" indent="1"/>
    </xf>
    <xf numFmtId="0" fontId="37" fillId="0" borderId="24" xfId="0" applyFont="1" applyFill="1" applyBorder="1" applyAlignment="1">
      <alignment vertical="center"/>
    </xf>
    <xf numFmtId="0" fontId="36" fillId="0" borderId="24" xfId="0" applyFont="1" applyFill="1" applyBorder="1"/>
    <xf numFmtId="3" fontId="9" fillId="0" borderId="24" xfId="0" applyNumberFormat="1" applyFont="1" applyFill="1" applyBorder="1" applyAlignment="1">
      <alignment horizontal="right" vertical="center" wrapText="1" indent="1"/>
    </xf>
    <xf numFmtId="3" fontId="9" fillId="0" borderId="24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/>
    <xf numFmtId="3" fontId="8" fillId="0" borderId="24" xfId="0" applyNumberFormat="1" applyFont="1" applyFill="1" applyBorder="1" applyAlignment="1">
      <alignment horizontal="right" vertical="center" wrapText="1" indent="1"/>
    </xf>
    <xf numFmtId="0" fontId="9" fillId="0" borderId="8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indent="1"/>
    </xf>
    <xf numFmtId="3" fontId="8" fillId="0" borderId="42" xfId="0" applyNumberFormat="1" applyFont="1" applyFill="1" applyBorder="1" applyAlignment="1">
      <alignment horizontal="right" vertical="center" wrapText="1" indent="1"/>
    </xf>
    <xf numFmtId="0" fontId="8" fillId="0" borderId="24" xfId="0" applyFont="1" applyFill="1" applyBorder="1"/>
    <xf numFmtId="0" fontId="8" fillId="0" borderId="18" xfId="0" applyFont="1" applyFill="1" applyBorder="1"/>
    <xf numFmtId="3" fontId="10" fillId="0" borderId="24" xfId="0" applyNumberFormat="1" applyFont="1" applyFill="1" applyBorder="1" applyAlignment="1">
      <alignment horizontal="right" vertical="center" wrapText="1" indent="1"/>
    </xf>
    <xf numFmtId="3" fontId="9" fillId="0" borderId="29" xfId="0" applyNumberFormat="1" applyFont="1" applyFill="1" applyBorder="1" applyAlignment="1">
      <alignment horizontal="right" vertical="center" wrapText="1" indent="1"/>
    </xf>
    <xf numFmtId="0" fontId="9" fillId="0" borderId="16" xfId="0" applyFont="1" applyFill="1" applyBorder="1"/>
    <xf numFmtId="3" fontId="9" fillId="0" borderId="43" xfId="0" applyNumberFormat="1" applyFont="1" applyFill="1" applyBorder="1" applyAlignment="1">
      <alignment horizontal="left" vertical="center" wrapText="1"/>
    </xf>
    <xf numFmtId="3" fontId="9" fillId="0" borderId="44" xfId="0" applyNumberFormat="1" applyFont="1" applyFill="1" applyBorder="1" applyAlignment="1">
      <alignment horizontal="left" vertical="center" wrapText="1"/>
    </xf>
    <xf numFmtId="3" fontId="9" fillId="0" borderId="45" xfId="0" applyNumberFormat="1" applyFont="1" applyFill="1" applyBorder="1" applyAlignment="1">
      <alignment horizontal="right" vertical="center" indent="1"/>
    </xf>
    <xf numFmtId="3" fontId="8" fillId="0" borderId="5" xfId="0" applyNumberFormat="1" applyFont="1" applyFill="1" applyBorder="1" applyAlignment="1">
      <alignment vertical="center" wrapText="1"/>
    </xf>
    <xf numFmtId="0" fontId="0" fillId="2" borderId="0" xfId="0" applyFill="1"/>
    <xf numFmtId="0" fontId="0" fillId="5" borderId="0" xfId="0" applyFill="1"/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top" wrapText="1" indent="1"/>
    </xf>
    <xf numFmtId="164" fontId="8" fillId="0" borderId="42" xfId="0" applyNumberFormat="1" applyFont="1" applyBorder="1" applyAlignment="1">
      <alignment horizontal="left" vertical="top" wrapText="1" indent="1"/>
    </xf>
    <xf numFmtId="164" fontId="8" fillId="0" borderId="37" xfId="0" applyNumberFormat="1" applyFont="1" applyBorder="1" applyAlignment="1">
      <alignment horizontal="right" vertical="center" wrapText="1" indent="1"/>
    </xf>
    <xf numFmtId="0" fontId="8" fillId="0" borderId="42" xfId="0" applyFont="1" applyBorder="1" applyAlignment="1">
      <alignment horizontal="left" vertical="top" wrapText="1" indent="1"/>
    </xf>
    <xf numFmtId="0" fontId="8" fillId="0" borderId="36" xfId="0" applyFont="1" applyFill="1" applyBorder="1" applyAlignment="1">
      <alignment horizontal="left" vertical="top" wrapText="1" indent="1"/>
    </xf>
    <xf numFmtId="3" fontId="8" fillId="0" borderId="42" xfId="0" applyNumberFormat="1" applyFont="1" applyFill="1" applyBorder="1" applyAlignment="1">
      <alignment horizontal="right" vertical="top" wrapText="1" indent="1"/>
    </xf>
    <xf numFmtId="3" fontId="8" fillId="0" borderId="37" xfId="0" applyNumberFormat="1" applyFont="1" applyFill="1" applyBorder="1" applyAlignment="1">
      <alignment horizontal="right" vertical="top" wrapText="1" indent="1"/>
    </xf>
    <xf numFmtId="3" fontId="8" fillId="0" borderId="42" xfId="0" applyNumberFormat="1" applyFont="1" applyFill="1" applyBorder="1" applyAlignment="1">
      <alignment horizontal="left" vertical="top" wrapText="1" indent="1"/>
    </xf>
    <xf numFmtId="164" fontId="9" fillId="4" borderId="8" xfId="0" applyNumberFormat="1" applyFont="1" applyFill="1" applyBorder="1" applyAlignment="1">
      <alignment horizontal="right" vertical="center" wrapText="1" indent="1"/>
    </xf>
    <xf numFmtId="164" fontId="9" fillId="4" borderId="31" xfId="0" applyNumberFormat="1" applyFont="1" applyFill="1" applyBorder="1" applyAlignment="1">
      <alignment horizontal="right" vertical="center" wrapText="1" indent="1"/>
    </xf>
    <xf numFmtId="0" fontId="9" fillId="4" borderId="14" xfId="0" applyFont="1" applyFill="1" applyBorder="1" applyAlignment="1">
      <alignment horizontal="left" vertical="top" wrapText="1" indent="1"/>
    </xf>
    <xf numFmtId="3" fontId="8" fillId="4" borderId="32" xfId="0" applyNumberFormat="1" applyFont="1" applyFill="1" applyBorder="1" applyAlignment="1">
      <alignment horizontal="right" vertical="top" wrapText="1" indent="1"/>
    </xf>
    <xf numFmtId="164" fontId="8" fillId="4" borderId="33" xfId="0" applyNumberFormat="1" applyFont="1" applyFill="1" applyBorder="1" applyAlignment="1">
      <alignment horizontal="right" vertical="center" wrapText="1" indent="1"/>
    </xf>
    <xf numFmtId="164" fontId="8" fillId="4" borderId="26" xfId="0" applyNumberFormat="1" applyFont="1" applyFill="1" applyBorder="1" applyAlignment="1">
      <alignment horizontal="right" vertical="center" wrapText="1" indent="1"/>
    </xf>
    <xf numFmtId="164" fontId="9" fillId="4" borderId="26" xfId="0" applyNumberFormat="1" applyFont="1" applyFill="1" applyBorder="1" applyAlignment="1">
      <alignment horizontal="right" vertical="center" wrapText="1" indent="1"/>
    </xf>
    <xf numFmtId="164" fontId="8" fillId="4" borderId="4" xfId="0" applyNumberFormat="1" applyFont="1" applyFill="1" applyBorder="1" applyAlignment="1">
      <alignment horizontal="right" vertical="center" wrapText="1" indent="1"/>
    </xf>
    <xf numFmtId="164" fontId="9" fillId="4" borderId="4" xfId="0" applyNumberFormat="1" applyFont="1" applyFill="1" applyBorder="1" applyAlignment="1">
      <alignment horizontal="right" vertical="center" wrapText="1" indent="1"/>
    </xf>
    <xf numFmtId="0" fontId="8" fillId="4" borderId="1" xfId="0" applyFont="1" applyFill="1" applyBorder="1" applyAlignment="1">
      <alignment horizontal="left" vertical="center" wrapText="1" indent="1"/>
    </xf>
    <xf numFmtId="164" fontId="8" fillId="4" borderId="1" xfId="0" applyNumberFormat="1" applyFont="1" applyFill="1" applyBorder="1" applyAlignment="1">
      <alignment horizontal="right" vertical="center" wrapText="1" indent="1"/>
    </xf>
    <xf numFmtId="164" fontId="9" fillId="4" borderId="2" xfId="0" applyNumberFormat="1" applyFont="1" applyFill="1" applyBorder="1" applyAlignment="1">
      <alignment horizontal="right" vertical="center" wrapText="1" indent="1"/>
    </xf>
    <xf numFmtId="164" fontId="8" fillId="4" borderId="8" xfId="0" applyNumberFormat="1" applyFont="1" applyFill="1" applyBorder="1" applyAlignment="1">
      <alignment horizontal="right" vertical="center" wrapText="1" indent="1"/>
    </xf>
    <xf numFmtId="164" fontId="9" fillId="4" borderId="1" xfId="0" applyNumberFormat="1" applyFont="1" applyFill="1" applyBorder="1" applyAlignment="1">
      <alignment horizontal="right" vertical="center" wrapText="1" indent="1"/>
    </xf>
    <xf numFmtId="164" fontId="9" fillId="4" borderId="31" xfId="0" applyNumberFormat="1" applyFont="1" applyFill="1" applyBorder="1" applyAlignment="1">
      <alignment horizontal="left" vertical="center" wrapText="1"/>
    </xf>
    <xf numFmtId="164" fontId="9" fillId="4" borderId="33" xfId="0" applyNumberFormat="1" applyFont="1" applyFill="1" applyBorder="1" applyAlignment="1">
      <alignment horizontal="left" vertical="center" wrapText="1"/>
    </xf>
    <xf numFmtId="164" fontId="9" fillId="4" borderId="33" xfId="0" applyNumberFormat="1" applyFont="1" applyFill="1" applyBorder="1" applyAlignment="1">
      <alignment horizontal="right" vertical="center" wrapText="1" indent="1"/>
    </xf>
    <xf numFmtId="164" fontId="9" fillId="4" borderId="27" xfId="0" applyNumberFormat="1" applyFont="1" applyFill="1" applyBorder="1" applyAlignment="1">
      <alignment horizontal="right" vertical="center" wrapText="1" indent="1"/>
    </xf>
    <xf numFmtId="164" fontId="9" fillId="4" borderId="5" xfId="0" applyNumberFormat="1" applyFont="1" applyFill="1" applyBorder="1" applyAlignment="1">
      <alignment horizontal="right" vertical="center" wrapText="1" indent="1"/>
    </xf>
    <xf numFmtId="3" fontId="8" fillId="0" borderId="11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 indent="1"/>
    </xf>
    <xf numFmtId="3" fontId="9" fillId="0" borderId="5" xfId="0" applyNumberFormat="1" applyFont="1" applyFill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 indent="1"/>
    </xf>
    <xf numFmtId="3" fontId="9" fillId="0" borderId="11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 indent="1"/>
    </xf>
    <xf numFmtId="0" fontId="8" fillId="0" borderId="0" xfId="0" applyFont="1" applyBorder="1"/>
    <xf numFmtId="0" fontId="16" fillId="4" borderId="34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/>
    <xf numFmtId="0" fontId="17" fillId="4" borderId="2" xfId="0" applyFont="1" applyFill="1" applyBorder="1"/>
    <xf numFmtId="3" fontId="16" fillId="4" borderId="7" xfId="0" applyNumberFormat="1" applyFont="1" applyFill="1" applyBorder="1" applyAlignment="1">
      <alignment horizontal="left" vertical="center" wrapText="1"/>
    </xf>
    <xf numFmtId="3" fontId="16" fillId="4" borderId="8" xfId="0" applyNumberFormat="1" applyFont="1" applyFill="1" applyBorder="1" applyAlignment="1">
      <alignment horizontal="left" vertical="center" wrapText="1"/>
    </xf>
    <xf numFmtId="3" fontId="16" fillId="4" borderId="2" xfId="0" applyNumberFormat="1" applyFont="1" applyFill="1" applyBorder="1" applyAlignment="1">
      <alignment horizontal="right" vertical="center" indent="1"/>
    </xf>
    <xf numFmtId="3" fontId="16" fillId="4" borderId="7" xfId="0" applyNumberFormat="1" applyFont="1" applyFill="1" applyBorder="1" applyAlignment="1">
      <alignment horizontal="left" vertical="center"/>
    </xf>
    <xf numFmtId="3" fontId="16" fillId="4" borderId="8" xfId="0" applyNumberFormat="1" applyFont="1" applyFill="1" applyBorder="1" applyAlignment="1">
      <alignment horizontal="left" vertical="center"/>
    </xf>
    <xf numFmtId="3" fontId="17" fillId="0" borderId="36" xfId="0" applyNumberFormat="1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3" fontId="17" fillId="0" borderId="37" xfId="0" applyNumberFormat="1" applyFont="1" applyFill="1" applyBorder="1" applyAlignment="1">
      <alignment horizontal="right" vertical="center" wrapText="1"/>
    </xf>
    <xf numFmtId="3" fontId="16" fillId="0" borderId="26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/>
    <xf numFmtId="0" fontId="8" fillId="0" borderId="12" xfId="0" applyFont="1" applyFill="1" applyBorder="1"/>
    <xf numFmtId="0" fontId="8" fillId="0" borderId="16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3" xfId="0" applyFont="1" applyFill="1" applyBorder="1"/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/>
    <xf numFmtId="0" fontId="9" fillId="0" borderId="5" xfId="0" applyFont="1" applyFill="1" applyBorder="1"/>
    <xf numFmtId="0" fontId="9" fillId="0" borderId="3" xfId="0" applyFont="1" applyFill="1" applyBorder="1"/>
    <xf numFmtId="0" fontId="16" fillId="4" borderId="35" xfId="0" applyFont="1" applyFill="1" applyBorder="1" applyAlignment="1">
      <alignment horizontal="center" vertical="center" wrapText="1"/>
    </xf>
    <xf numFmtId="164" fontId="16" fillId="4" borderId="40" xfId="0" applyNumberFormat="1" applyFont="1" applyFill="1" applyBorder="1" applyAlignment="1">
      <alignment horizontal="center" vertical="center" wrapText="1"/>
    </xf>
    <xf numFmtId="3" fontId="16" fillId="4" borderId="34" xfId="0" applyNumberFormat="1" applyFont="1" applyFill="1" applyBorder="1" applyAlignment="1">
      <alignment horizontal="left" vertical="center" wrapText="1"/>
    </xf>
    <xf numFmtId="3" fontId="16" fillId="4" borderId="41" xfId="0" applyNumberFormat="1" applyFont="1" applyFill="1" applyBorder="1" applyAlignment="1">
      <alignment horizontal="left" vertical="center" wrapText="1"/>
    </xf>
    <xf numFmtId="3" fontId="16" fillId="4" borderId="40" xfId="0" applyNumberFormat="1" applyFont="1" applyFill="1" applyBorder="1" applyAlignment="1">
      <alignment horizontal="right" vertical="center" indent="1"/>
    </xf>
    <xf numFmtId="3" fontId="16" fillId="4" borderId="41" xfId="0" applyNumberFormat="1" applyFont="1" applyFill="1" applyBorder="1" applyAlignment="1">
      <alignment horizontal="right" vertical="center" indent="1"/>
    </xf>
    <xf numFmtId="3" fontId="16" fillId="4" borderId="24" xfId="0" applyNumberFormat="1" applyFont="1" applyFill="1" applyBorder="1" applyAlignment="1">
      <alignment horizontal="left" vertical="center" wrapText="1"/>
    </xf>
    <xf numFmtId="3" fontId="9" fillId="0" borderId="44" xfId="0" applyNumberFormat="1" applyFont="1" applyFill="1" applyBorder="1" applyAlignment="1">
      <alignment horizontal="right" vertical="center" wrapText="1"/>
    </xf>
    <xf numFmtId="3" fontId="9" fillId="0" borderId="44" xfId="0" applyNumberFormat="1" applyFont="1" applyFill="1" applyBorder="1" applyAlignment="1">
      <alignment horizontal="right" vertical="center" indent="1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0" fontId="9" fillId="4" borderId="7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24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8" fillId="0" borderId="0" xfId="0" applyFont="1" applyFill="1" applyBorder="1" applyAlignment="1">
      <alignment horizontal="right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right"/>
    </xf>
    <xf numFmtId="3" fontId="9" fillId="0" borderId="24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64" fontId="8" fillId="4" borderId="6" xfId="0" applyNumberFormat="1" applyFont="1" applyFill="1" applyBorder="1" applyAlignment="1">
      <alignment horizontal="right" vertical="center" wrapText="1" indent="1"/>
    </xf>
    <xf numFmtId="164" fontId="9" fillId="4" borderId="6" xfId="0" applyNumberFormat="1" applyFont="1" applyFill="1" applyBorder="1" applyAlignment="1">
      <alignment horizontal="right" vertical="center" wrapText="1" indent="1"/>
    </xf>
    <xf numFmtId="16" fontId="31" fillId="0" borderId="0" xfId="0" applyNumberFormat="1" applyFont="1"/>
    <xf numFmtId="0" fontId="38" fillId="0" borderId="0" xfId="0" applyFont="1" applyAlignment="1">
      <alignment horizontal="left"/>
    </xf>
    <xf numFmtId="164" fontId="38" fillId="0" borderId="0" xfId="0" applyNumberFormat="1" applyFont="1"/>
    <xf numFmtId="0" fontId="38" fillId="0" borderId="0" xfId="0" applyFont="1"/>
    <xf numFmtId="0" fontId="39" fillId="0" borderId="0" xfId="0" applyFont="1" applyAlignment="1">
      <alignment horizontal="center"/>
    </xf>
    <xf numFmtId="0" fontId="31" fillId="2" borderId="0" xfId="0" applyFont="1" applyFill="1"/>
    <xf numFmtId="0" fontId="14" fillId="2" borderId="12" xfId="0" applyFont="1" applyFill="1" applyBorder="1" applyAlignment="1">
      <alignment horizontal="left" vertical="center" wrapText="1"/>
    </xf>
    <xf numFmtId="3" fontId="14" fillId="2" borderId="2" xfId="0" applyNumberFormat="1" applyFont="1" applyFill="1" applyBorder="1" applyAlignment="1">
      <alignment vertical="center" wrapText="1"/>
    </xf>
    <xf numFmtId="3" fontId="14" fillId="2" borderId="0" xfId="0" applyNumberFormat="1" applyFont="1" applyFill="1"/>
    <xf numFmtId="0" fontId="14" fillId="2" borderId="0" xfId="0" applyFont="1" applyFill="1"/>
    <xf numFmtId="3" fontId="31" fillId="0" borderId="5" xfId="0" applyNumberFormat="1" applyFont="1" applyBorder="1" applyAlignment="1">
      <alignment vertical="center" wrapText="1"/>
    </xf>
    <xf numFmtId="3" fontId="31" fillId="0" borderId="5" xfId="0" applyNumberFormat="1" applyFont="1" applyBorder="1" applyAlignment="1"/>
    <xf numFmtId="0" fontId="14" fillId="2" borderId="27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164" fontId="3" fillId="2" borderId="1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 indent="1"/>
    </xf>
    <xf numFmtId="3" fontId="9" fillId="2" borderId="2" xfId="0" applyNumberFormat="1" applyFont="1" applyFill="1" applyBorder="1" applyAlignment="1">
      <alignment vertical="center" wrapText="1"/>
    </xf>
    <xf numFmtId="3" fontId="24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3" fontId="40" fillId="2" borderId="0" xfId="0" applyNumberFormat="1" applyFont="1" applyFill="1" applyBorder="1" applyAlignment="1">
      <alignment vertical="center"/>
    </xf>
    <xf numFmtId="0" fontId="40" fillId="2" borderId="0" xfId="0" applyFont="1" applyFill="1" applyBorder="1" applyAlignment="1">
      <alignment vertical="center"/>
    </xf>
    <xf numFmtId="0" fontId="40" fillId="2" borderId="0" xfId="0" applyFont="1" applyFill="1" applyAlignment="1">
      <alignment vertical="center"/>
    </xf>
    <xf numFmtId="0" fontId="9" fillId="2" borderId="49" xfId="0" applyFont="1" applyFill="1" applyBorder="1" applyAlignment="1">
      <alignment horizontal="left" vertical="center" wrapText="1" indent="1"/>
    </xf>
    <xf numFmtId="3" fontId="9" fillId="2" borderId="49" xfId="0" applyNumberFormat="1" applyFont="1" applyFill="1" applyBorder="1" applyAlignment="1">
      <alignment vertical="center" wrapText="1"/>
    </xf>
    <xf numFmtId="3" fontId="0" fillId="2" borderId="0" xfId="0" applyNumberFormat="1" applyFill="1" applyBorder="1"/>
    <xf numFmtId="0" fontId="5" fillId="2" borderId="3" xfId="0" applyFont="1" applyFill="1" applyBorder="1" applyAlignment="1">
      <alignment horizontal="center"/>
    </xf>
    <xf numFmtId="0" fontId="0" fillId="2" borderId="3" xfId="0" applyFill="1" applyBorder="1"/>
    <xf numFmtId="0" fontId="9" fillId="2" borderId="28" xfId="0" applyFont="1" applyFill="1" applyBorder="1" applyAlignment="1">
      <alignment horizontal="left" vertical="center" wrapText="1" indent="1"/>
    </xf>
    <xf numFmtId="3" fontId="9" fillId="2" borderId="28" xfId="0" applyNumberFormat="1" applyFont="1" applyFill="1" applyBorder="1" applyAlignment="1">
      <alignment vertical="center" wrapText="1"/>
    </xf>
    <xf numFmtId="0" fontId="0" fillId="0" borderId="15" xfId="0" applyBorder="1" applyAlignment="1">
      <alignment horizontal="right"/>
    </xf>
    <xf numFmtId="3" fontId="16" fillId="0" borderId="14" xfId="0" applyNumberFormat="1" applyFont="1" applyFill="1" applyBorder="1" applyAlignment="1">
      <alignment horizontal="left" vertical="center" wrapText="1"/>
    </xf>
    <xf numFmtId="3" fontId="17" fillId="0" borderId="33" xfId="0" applyNumberFormat="1" applyFont="1" applyFill="1" applyBorder="1" applyAlignment="1">
      <alignment horizontal="right" vertical="center" wrapText="1" indent="1"/>
    </xf>
    <xf numFmtId="3" fontId="16" fillId="0" borderId="10" xfId="0" applyNumberFormat="1" applyFont="1" applyFill="1" applyBorder="1" applyAlignment="1">
      <alignment horizontal="right" vertical="center" indent="1"/>
    </xf>
    <xf numFmtId="0" fontId="16" fillId="4" borderId="41" xfId="0" applyFont="1" applyFill="1" applyBorder="1" applyAlignment="1">
      <alignment horizontal="center" vertical="center" wrapText="1"/>
    </xf>
    <xf numFmtId="3" fontId="8" fillId="0" borderId="46" xfId="0" applyNumberFormat="1" applyFont="1" applyFill="1" applyBorder="1"/>
    <xf numFmtId="3" fontId="9" fillId="0" borderId="41" xfId="0" applyNumberFormat="1" applyFont="1" applyFill="1" applyBorder="1" applyAlignment="1">
      <alignment horizontal="right" vertical="center" indent="1"/>
    </xf>
    <xf numFmtId="164" fontId="16" fillId="4" borderId="41" xfId="0" applyNumberFormat="1" applyFont="1" applyFill="1" applyBorder="1" applyAlignment="1">
      <alignment horizontal="center" vertical="center" wrapText="1"/>
    </xf>
    <xf numFmtId="3" fontId="9" fillId="0" borderId="50" xfId="0" applyNumberFormat="1" applyFont="1" applyFill="1" applyBorder="1" applyAlignment="1">
      <alignment horizontal="right" vertical="center" indent="1"/>
    </xf>
    <xf numFmtId="3" fontId="9" fillId="0" borderId="48" xfId="0" applyNumberFormat="1" applyFont="1" applyFill="1" applyBorder="1" applyAlignment="1">
      <alignment horizontal="left" vertical="center" wrapText="1"/>
    </xf>
    <xf numFmtId="3" fontId="9" fillId="0" borderId="29" xfId="0" applyNumberFormat="1" applyFont="1" applyFill="1" applyBorder="1" applyAlignment="1">
      <alignment horizontal="right" vertical="center" wrapText="1"/>
    </xf>
    <xf numFmtId="3" fontId="9" fillId="0" borderId="47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left" vertical="center" wrapText="1"/>
    </xf>
    <xf numFmtId="3" fontId="9" fillId="0" borderId="51" xfId="0" applyNumberFormat="1" applyFont="1" applyFill="1" applyBorder="1" applyAlignment="1">
      <alignment horizontal="right" vertical="center" indent="1"/>
    </xf>
    <xf numFmtId="3" fontId="9" fillId="0" borderId="40" xfId="0" applyNumberFormat="1" applyFont="1" applyFill="1" applyBorder="1" applyAlignment="1">
      <alignment horizontal="right" vertical="center"/>
    </xf>
    <xf numFmtId="3" fontId="9" fillId="0" borderId="51" xfId="0" applyNumberFormat="1" applyFont="1" applyFill="1" applyBorder="1"/>
    <xf numFmtId="0" fontId="36" fillId="0" borderId="41" xfId="0" applyFont="1" applyFill="1" applyBorder="1"/>
    <xf numFmtId="0" fontId="9" fillId="5" borderId="2" xfId="0" applyFont="1" applyFill="1" applyBorder="1" applyAlignment="1">
      <alignment horizontal="left" vertical="center" wrapText="1" indent="1"/>
    </xf>
    <xf numFmtId="3" fontId="9" fillId="5" borderId="2" xfId="0" applyNumberFormat="1" applyFont="1" applyFill="1" applyBorder="1" applyAlignment="1">
      <alignment vertical="center" wrapText="1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3" fontId="8" fillId="0" borderId="2" xfId="0" applyNumberFormat="1" applyFont="1" applyBorder="1" applyAlignment="1">
      <alignment vertical="center" wrapText="1"/>
    </xf>
    <xf numFmtId="0" fontId="0" fillId="5" borderId="0" xfId="0" applyFill="1" applyBorder="1"/>
    <xf numFmtId="0" fontId="8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10" fontId="9" fillId="4" borderId="2" xfId="0" applyNumberFormat="1" applyFont="1" applyFill="1" applyBorder="1" applyAlignment="1">
      <alignment horizontal="center" vertical="center" wrapText="1"/>
    </xf>
    <xf numFmtId="10" fontId="9" fillId="0" borderId="4" xfId="0" applyNumberFormat="1" applyFont="1" applyBorder="1" applyAlignment="1">
      <alignment horizontal="center" vertical="center" wrapText="1"/>
    </xf>
    <xf numFmtId="10" fontId="9" fillId="0" borderId="26" xfId="0" applyNumberFormat="1" applyFont="1" applyBorder="1" applyAlignment="1">
      <alignment horizontal="right" vertical="center" wrapText="1" indent="1"/>
    </xf>
    <xf numFmtId="10" fontId="8" fillId="0" borderId="6" xfId="0" applyNumberFormat="1" applyFont="1" applyBorder="1" applyAlignment="1">
      <alignment horizontal="right" vertical="center" wrapText="1" indent="1"/>
    </xf>
    <xf numFmtId="10" fontId="8" fillId="0" borderId="37" xfId="0" applyNumberFormat="1" applyFont="1" applyBorder="1" applyAlignment="1">
      <alignment horizontal="right" vertical="center" wrapText="1" indent="1"/>
    </xf>
    <xf numFmtId="10" fontId="9" fillId="4" borderId="8" xfId="0" applyNumberFormat="1" applyFont="1" applyFill="1" applyBorder="1" applyAlignment="1">
      <alignment horizontal="right" vertical="center" wrapText="1" indent="1"/>
    </xf>
    <xf numFmtId="10" fontId="9" fillId="0" borderId="6" xfId="0" applyNumberFormat="1" applyFont="1" applyBorder="1" applyAlignment="1">
      <alignment horizontal="right" vertical="center" wrapText="1" indent="1"/>
    </xf>
    <xf numFmtId="10" fontId="8" fillId="0" borderId="18" xfId="0" applyNumberFormat="1" applyFont="1" applyBorder="1" applyAlignment="1">
      <alignment horizontal="right" vertical="center" wrapText="1" indent="1"/>
    </xf>
    <xf numFmtId="10" fontId="8" fillId="0" borderId="4" xfId="0" applyNumberFormat="1" applyFont="1" applyBorder="1" applyAlignment="1">
      <alignment horizontal="right" vertical="center" wrapText="1" indent="1"/>
    </xf>
    <xf numFmtId="10" fontId="9" fillId="4" borderId="31" xfId="0" applyNumberFormat="1" applyFont="1" applyFill="1" applyBorder="1" applyAlignment="1">
      <alignment horizontal="right" vertical="center" wrapText="1" indent="1"/>
    </xf>
    <xf numFmtId="10" fontId="9" fillId="4" borderId="6" xfId="0" applyNumberFormat="1" applyFont="1" applyFill="1" applyBorder="1" applyAlignment="1">
      <alignment horizontal="right" vertical="center" wrapText="1" indent="1"/>
    </xf>
    <xf numFmtId="10" fontId="9" fillId="4" borderId="4" xfId="0" applyNumberFormat="1" applyFont="1" applyFill="1" applyBorder="1" applyAlignment="1">
      <alignment horizontal="right" vertical="center" wrapText="1" indent="1"/>
    </xf>
    <xf numFmtId="10" fontId="9" fillId="4" borderId="2" xfId="0" applyNumberFormat="1" applyFont="1" applyFill="1" applyBorder="1" applyAlignment="1">
      <alignment horizontal="right" vertical="center" wrapText="1" indent="1"/>
    </xf>
    <xf numFmtId="10" fontId="8" fillId="0" borderId="4" xfId="0" applyNumberFormat="1" applyFont="1" applyFill="1" applyBorder="1" applyAlignment="1">
      <alignment horizontal="right" vertical="center" wrapText="1" indent="1"/>
    </xf>
    <xf numFmtId="10" fontId="8" fillId="0" borderId="5" xfId="0" applyNumberFormat="1" applyFont="1" applyBorder="1" applyAlignment="1">
      <alignment horizontal="right" vertical="center" wrapText="1" indent="1"/>
    </xf>
    <xf numFmtId="10" fontId="8" fillId="0" borderId="17" xfId="0" applyNumberFormat="1" applyFont="1" applyFill="1" applyBorder="1" applyAlignment="1">
      <alignment horizontal="right" vertical="center" wrapText="1" indent="1"/>
    </xf>
    <xf numFmtId="10" fontId="8" fillId="0" borderId="5" xfId="0" applyNumberFormat="1" applyFont="1" applyFill="1" applyBorder="1" applyAlignment="1">
      <alignment horizontal="right" vertical="center" wrapText="1" indent="1"/>
    </xf>
    <xf numFmtId="10" fontId="9" fillId="4" borderId="33" xfId="0" applyNumberFormat="1" applyFont="1" applyFill="1" applyBorder="1" applyAlignment="1">
      <alignment horizontal="right" vertical="center" wrapText="1" indent="1"/>
    </xf>
    <xf numFmtId="10" fontId="9" fillId="0" borderId="4" xfId="0" applyNumberFormat="1" applyFont="1" applyBorder="1" applyAlignment="1">
      <alignment horizontal="right" vertical="center" wrapText="1" indent="1"/>
    </xf>
    <xf numFmtId="10" fontId="8" fillId="0" borderId="17" xfId="0" applyNumberFormat="1" applyFont="1" applyBorder="1" applyAlignment="1">
      <alignment vertical="center" wrapText="1"/>
    </xf>
    <xf numFmtId="10" fontId="9" fillId="2" borderId="2" xfId="0" applyNumberFormat="1" applyFont="1" applyFill="1" applyBorder="1" applyAlignment="1">
      <alignment vertical="center" wrapText="1"/>
    </xf>
    <xf numFmtId="10" fontId="8" fillId="0" borderId="5" xfId="0" applyNumberFormat="1" applyFont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 indent="1"/>
    </xf>
    <xf numFmtId="10" fontId="8" fillId="0" borderId="17" xfId="0" applyNumberFormat="1" applyFont="1" applyFill="1" applyBorder="1" applyAlignment="1">
      <alignment vertical="center" wrapText="1"/>
    </xf>
    <xf numFmtId="3" fontId="9" fillId="0" borderId="17" xfId="0" applyNumberFormat="1" applyFont="1" applyFill="1" applyBorder="1" applyAlignment="1">
      <alignment vertical="center" wrapText="1"/>
    </xf>
    <xf numFmtId="10" fontId="8" fillId="0" borderId="2" xfId="0" applyNumberFormat="1" applyFont="1" applyBorder="1" applyAlignment="1">
      <alignment vertical="center" wrapText="1"/>
    </xf>
    <xf numFmtId="10" fontId="9" fillId="0" borderId="2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10" fontId="8" fillId="0" borderId="22" xfId="0" applyNumberFormat="1" applyFont="1" applyBorder="1" applyAlignment="1">
      <alignment vertical="center" wrapText="1"/>
    </xf>
    <xf numFmtId="10" fontId="8" fillId="0" borderId="22" xfId="0" applyNumberFormat="1" applyFont="1" applyFill="1" applyBorder="1" applyAlignment="1">
      <alignment vertical="center" wrapText="1"/>
    </xf>
    <xf numFmtId="10" fontId="8" fillId="0" borderId="10" xfId="0" applyNumberFormat="1" applyFont="1" applyBorder="1" applyAlignment="1">
      <alignment vertical="center" wrapText="1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31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0" fontId="9" fillId="4" borderId="0" xfId="0" applyNumberFormat="1" applyFont="1" applyFill="1" applyBorder="1" applyAlignment="1">
      <alignment horizontal="right" vertical="center" wrapText="1" indent="1"/>
    </xf>
    <xf numFmtId="10" fontId="8" fillId="4" borderId="21" xfId="0" applyNumberFormat="1" applyFont="1" applyFill="1" applyBorder="1" applyAlignment="1">
      <alignment horizontal="right" vertical="center" wrapText="1" indent="1"/>
    </xf>
    <xf numFmtId="10" fontId="9" fillId="4" borderId="27" xfId="0" applyNumberFormat="1" applyFont="1" applyFill="1" applyBorder="1" applyAlignment="1">
      <alignment horizontal="right" vertical="center" wrapText="1" indent="1"/>
    </xf>
    <xf numFmtId="3" fontId="8" fillId="0" borderId="0" xfId="0" applyNumberFormat="1" applyFont="1" applyFill="1" applyBorder="1" applyAlignment="1">
      <alignment horizontal="left" vertical="top" wrapText="1" indent="1"/>
    </xf>
    <xf numFmtId="10" fontId="8" fillId="0" borderId="10" xfId="0" applyNumberFormat="1" applyFont="1" applyBorder="1" applyAlignment="1">
      <alignment horizontal="right" vertical="center" wrapText="1" indent="1"/>
    </xf>
    <xf numFmtId="10" fontId="31" fillId="0" borderId="0" xfId="0" applyNumberFormat="1" applyFont="1"/>
    <xf numFmtId="10" fontId="38" fillId="0" borderId="0" xfId="0" applyNumberFormat="1" applyFont="1"/>
    <xf numFmtId="10" fontId="38" fillId="0" borderId="0" xfId="0" applyNumberFormat="1" applyFont="1" applyAlignment="1">
      <alignment horizontal="right"/>
    </xf>
    <xf numFmtId="0" fontId="39" fillId="0" borderId="0" xfId="0" applyFont="1" applyAlignment="1">
      <alignment vertical="center"/>
    </xf>
    <xf numFmtId="10" fontId="19" fillId="0" borderId="0" xfId="0" applyNumberFormat="1" applyFont="1" applyAlignment="1">
      <alignment horizontal="center"/>
    </xf>
    <xf numFmtId="10" fontId="14" fillId="2" borderId="2" xfId="0" applyNumberFormat="1" applyFont="1" applyFill="1" applyBorder="1" applyAlignment="1">
      <alignment horizontal="center" vertical="center" wrapText="1"/>
    </xf>
    <xf numFmtId="10" fontId="14" fillId="0" borderId="12" xfId="0" applyNumberFormat="1" applyFont="1" applyBorder="1" applyAlignment="1">
      <alignment horizontal="center" vertical="center" wrapText="1"/>
    </xf>
    <xf numFmtId="10" fontId="31" fillId="0" borderId="18" xfId="0" applyNumberFormat="1" applyFont="1" applyBorder="1" applyAlignment="1">
      <alignment vertical="center" wrapText="1"/>
    </xf>
    <xf numFmtId="10" fontId="14" fillId="0" borderId="18" xfId="0" applyNumberFormat="1" applyFont="1" applyBorder="1" applyAlignment="1">
      <alignment vertical="center" wrapText="1"/>
    </xf>
    <xf numFmtId="10" fontId="31" fillId="0" borderId="18" xfId="0" applyNumberFormat="1" applyFont="1" applyBorder="1" applyAlignment="1"/>
    <xf numFmtId="10" fontId="14" fillId="2" borderId="2" xfId="0" applyNumberFormat="1" applyFont="1" applyFill="1" applyBorder="1" applyAlignment="1">
      <alignment vertical="center" wrapText="1"/>
    </xf>
    <xf numFmtId="10" fontId="31" fillId="0" borderId="17" xfId="0" applyNumberFormat="1" applyFont="1" applyBorder="1" applyAlignment="1">
      <alignment vertical="center" wrapText="1"/>
    </xf>
    <xf numFmtId="3" fontId="31" fillId="0" borderId="5" xfId="0" applyNumberFormat="1" applyFont="1" applyFill="1" applyBorder="1" applyAlignment="1">
      <alignment vertical="center" wrapText="1"/>
    </xf>
    <xf numFmtId="10" fontId="31" fillId="0" borderId="5" xfId="0" applyNumberFormat="1" applyFont="1" applyFill="1" applyBorder="1" applyAlignment="1">
      <alignment vertical="center" wrapText="1"/>
    </xf>
    <xf numFmtId="3" fontId="31" fillId="0" borderId="5" xfId="0" applyNumberFormat="1" applyFont="1" applyFill="1" applyBorder="1" applyAlignment="1">
      <alignment vertical="center"/>
    </xf>
    <xf numFmtId="3" fontId="31" fillId="0" borderId="5" xfId="0" applyNumberFormat="1" applyFont="1" applyFill="1" applyBorder="1" applyAlignment="1"/>
    <xf numFmtId="3" fontId="8" fillId="0" borderId="30" xfId="0" applyNumberFormat="1" applyFont="1" applyFill="1" applyBorder="1" applyAlignment="1">
      <alignment horizontal="left" vertical="top" wrapText="1" indent="1"/>
    </xf>
    <xf numFmtId="164" fontId="8" fillId="0" borderId="30" xfId="0" applyNumberFormat="1" applyFont="1" applyBorder="1" applyAlignment="1">
      <alignment horizontal="right" vertical="center" wrapText="1" indent="1"/>
    </xf>
    <xf numFmtId="164" fontId="8" fillId="0" borderId="31" xfId="0" applyNumberFormat="1" applyFont="1" applyBorder="1" applyAlignment="1">
      <alignment horizontal="right" vertical="center" wrapText="1" indent="1"/>
    </xf>
    <xf numFmtId="3" fontId="8" fillId="0" borderId="32" xfId="0" applyNumberFormat="1" applyFont="1" applyFill="1" applyBorder="1" applyAlignment="1">
      <alignment horizontal="left" vertical="top" wrapText="1" indent="1"/>
    </xf>
    <xf numFmtId="164" fontId="8" fillId="0" borderId="32" xfId="0" applyNumberFormat="1" applyFont="1" applyBorder="1" applyAlignment="1">
      <alignment horizontal="right" vertical="center" wrapText="1" indent="1"/>
    </xf>
    <xf numFmtId="164" fontId="8" fillId="0" borderId="33" xfId="0" applyNumberFormat="1" applyFont="1" applyBorder="1" applyAlignment="1">
      <alignment horizontal="right" vertical="center" wrapText="1" indent="1"/>
    </xf>
    <xf numFmtId="164" fontId="8" fillId="0" borderId="52" xfId="0" applyNumberFormat="1" applyFont="1" applyBorder="1" applyAlignment="1">
      <alignment horizontal="right" vertical="center" wrapText="1" indent="1"/>
    </xf>
    <xf numFmtId="164" fontId="8" fillId="0" borderId="53" xfId="0" applyNumberFormat="1" applyFont="1" applyBorder="1" applyAlignment="1">
      <alignment horizontal="right" vertical="center" wrapText="1" indent="1"/>
    </xf>
    <xf numFmtId="164" fontId="8" fillId="0" borderId="54" xfId="0" applyNumberFormat="1" applyFont="1" applyBorder="1" applyAlignment="1">
      <alignment horizontal="right" vertical="center" wrapText="1" inden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0" fontId="8" fillId="0" borderId="0" xfId="0" applyNumberFormat="1" applyFont="1"/>
    <xf numFmtId="10" fontId="2" fillId="0" borderId="0" xfId="0" applyNumberFormat="1" applyFont="1"/>
    <xf numFmtId="10" fontId="7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right"/>
    </xf>
    <xf numFmtId="10" fontId="3" fillId="2" borderId="2" xfId="0" applyNumberFormat="1" applyFont="1" applyFill="1" applyBorder="1" applyAlignment="1">
      <alignment horizontal="center" vertical="center" wrapText="1"/>
    </xf>
    <xf numFmtId="10" fontId="22" fillId="0" borderId="5" xfId="0" applyNumberFormat="1" applyFont="1" applyBorder="1" applyAlignment="1">
      <alignment vertical="center" wrapText="1"/>
    </xf>
    <xf numFmtId="10" fontId="9" fillId="5" borderId="2" xfId="0" applyNumberFormat="1" applyFont="1" applyFill="1" applyBorder="1" applyAlignment="1">
      <alignment vertical="center" wrapText="1"/>
    </xf>
    <xf numFmtId="3" fontId="24" fillId="5" borderId="0" xfId="0" applyNumberFormat="1" applyFont="1" applyFill="1" applyAlignment="1">
      <alignment vertical="center"/>
    </xf>
    <xf numFmtId="10" fontId="9" fillId="0" borderId="11" xfId="0" applyNumberFormat="1" applyFont="1" applyBorder="1" applyAlignment="1">
      <alignment vertical="center" wrapText="1"/>
    </xf>
    <xf numFmtId="3" fontId="0" fillId="5" borderId="0" xfId="0" applyNumberFormat="1" applyFill="1" applyBorder="1"/>
    <xf numFmtId="10" fontId="27" fillId="0" borderId="0" xfId="0" applyNumberFormat="1" applyFont="1"/>
    <xf numFmtId="3" fontId="27" fillId="0" borderId="0" xfId="0" applyNumberFormat="1" applyFont="1"/>
    <xf numFmtId="10" fontId="0" fillId="0" borderId="0" xfId="0" applyNumberFormat="1"/>
    <xf numFmtId="3" fontId="8" fillId="0" borderId="40" xfId="0" applyNumberFormat="1" applyFont="1" applyFill="1" applyBorder="1"/>
    <xf numFmtId="10" fontId="12" fillId="0" borderId="0" xfId="0" applyNumberFormat="1" applyFont="1" applyBorder="1"/>
    <xf numFmtId="10" fontId="0" fillId="0" borderId="0" xfId="0" applyNumberFormat="1" applyBorder="1"/>
    <xf numFmtId="10" fontId="0" fillId="0" borderId="15" xfId="0" applyNumberFormat="1" applyBorder="1" applyAlignment="1">
      <alignment horizontal="right"/>
    </xf>
    <xf numFmtId="10" fontId="16" fillId="4" borderId="2" xfId="0" applyNumberFormat="1" applyFont="1" applyFill="1" applyBorder="1" applyAlignment="1">
      <alignment horizontal="center" vertical="center" wrapText="1"/>
    </xf>
    <xf numFmtId="10" fontId="16" fillId="3" borderId="19" xfId="0" applyNumberFormat="1" applyFont="1" applyFill="1" applyBorder="1" applyAlignment="1">
      <alignment vertical="center"/>
    </xf>
    <xf numFmtId="10" fontId="16" fillId="0" borderId="18" xfId="0" applyNumberFormat="1" applyFont="1" applyFill="1" applyBorder="1" applyAlignment="1">
      <alignment horizontal="right" vertical="center" indent="1"/>
    </xf>
    <xf numFmtId="10" fontId="17" fillId="0" borderId="18" xfId="0" applyNumberFormat="1" applyFont="1" applyFill="1" applyBorder="1" applyAlignment="1">
      <alignment horizontal="right" vertical="center" indent="1"/>
    </xf>
    <xf numFmtId="10" fontId="16" fillId="0" borderId="22" xfId="0" applyNumberFormat="1" applyFont="1" applyFill="1" applyBorder="1" applyAlignment="1">
      <alignment horizontal="right" vertical="center" indent="1"/>
    </xf>
    <xf numFmtId="10" fontId="16" fillId="0" borderId="39" xfId="0" applyNumberFormat="1" applyFont="1" applyFill="1" applyBorder="1" applyAlignment="1">
      <alignment horizontal="right" vertical="center" indent="1"/>
    </xf>
    <xf numFmtId="10" fontId="16" fillId="0" borderId="8" xfId="0" applyNumberFormat="1" applyFont="1" applyFill="1" applyBorder="1" applyAlignment="1">
      <alignment horizontal="right" vertical="center" indent="1"/>
    </xf>
    <xf numFmtId="10" fontId="16" fillId="3" borderId="8" xfId="0" applyNumberFormat="1" applyFont="1" applyFill="1" applyBorder="1" applyAlignment="1">
      <alignment horizontal="right" vertical="center" indent="1"/>
    </xf>
    <xf numFmtId="10" fontId="16" fillId="0" borderId="18" xfId="0" applyNumberFormat="1" applyFont="1" applyFill="1" applyBorder="1" applyAlignment="1">
      <alignment horizontal="right" vertical="center"/>
    </xf>
    <xf numFmtId="10" fontId="16" fillId="0" borderId="2" xfId="0" applyNumberFormat="1" applyFont="1" applyFill="1" applyBorder="1" applyAlignment="1">
      <alignment horizontal="right" vertical="center" indent="1"/>
    </xf>
    <xf numFmtId="10" fontId="16" fillId="4" borderId="2" xfId="0" applyNumberFormat="1" applyFont="1" applyFill="1" applyBorder="1" applyAlignment="1">
      <alignment horizontal="right" vertical="center" indent="1"/>
    </xf>
    <xf numFmtId="10" fontId="16" fillId="0" borderId="5" xfId="0" applyNumberFormat="1" applyFont="1" applyFill="1" applyBorder="1" applyAlignment="1">
      <alignment horizontal="right" vertical="center" indent="1"/>
    </xf>
    <xf numFmtId="10" fontId="16" fillId="0" borderId="1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10" fontId="4" fillId="0" borderId="0" xfId="0" applyNumberFormat="1" applyFont="1" applyFill="1" applyBorder="1"/>
    <xf numFmtId="10" fontId="5" fillId="0" borderId="0" xfId="0" applyNumberFormat="1" applyFont="1" applyFill="1" applyBorder="1"/>
    <xf numFmtId="10" fontId="5" fillId="0" borderId="0" xfId="0" applyNumberFormat="1" applyFont="1" applyBorder="1"/>
    <xf numFmtId="10" fontId="0" fillId="0" borderId="2" xfId="0" applyNumberFormat="1" applyBorder="1"/>
    <xf numFmtId="10" fontId="26" fillId="0" borderId="0" xfId="0" applyNumberFormat="1" applyFont="1" applyFill="1" applyBorder="1"/>
    <xf numFmtId="10" fontId="37" fillId="0" borderId="0" xfId="0" applyNumberFormat="1" applyFont="1" applyFill="1" applyBorder="1"/>
    <xf numFmtId="10" fontId="8" fillId="0" borderId="0" xfId="0" applyNumberFormat="1" applyFont="1" applyFill="1" applyBorder="1" applyAlignment="1">
      <alignment horizontal="right"/>
    </xf>
    <xf numFmtId="10" fontId="9" fillId="0" borderId="40" xfId="0" applyNumberFormat="1" applyFont="1" applyFill="1" applyBorder="1" applyAlignment="1">
      <alignment horizontal="right" vertical="center" indent="1"/>
    </xf>
    <xf numFmtId="10" fontId="16" fillId="4" borderId="40" xfId="0" applyNumberFormat="1" applyFont="1" applyFill="1" applyBorder="1" applyAlignment="1">
      <alignment horizontal="right" vertical="center" indent="1"/>
    </xf>
    <xf numFmtId="10" fontId="8" fillId="0" borderId="46" xfId="0" applyNumberFormat="1" applyFont="1" applyFill="1" applyBorder="1"/>
    <xf numFmtId="10" fontId="9" fillId="0" borderId="41" xfId="0" applyNumberFormat="1" applyFont="1" applyFill="1" applyBorder="1" applyAlignment="1">
      <alignment horizontal="right" vertical="center" indent="1"/>
    </xf>
    <xf numFmtId="10" fontId="16" fillId="4" borderId="41" xfId="0" applyNumberFormat="1" applyFont="1" applyFill="1" applyBorder="1" applyAlignment="1">
      <alignment horizontal="center" vertical="center" wrapText="1"/>
    </xf>
    <xf numFmtId="10" fontId="8" fillId="0" borderId="40" xfId="0" applyNumberFormat="1" applyFont="1" applyFill="1" applyBorder="1" applyAlignment="1">
      <alignment horizontal="right" vertical="center" indent="1"/>
    </xf>
    <xf numFmtId="10" fontId="9" fillId="0" borderId="50" xfId="0" applyNumberFormat="1" applyFont="1" applyFill="1" applyBorder="1" applyAlignment="1">
      <alignment horizontal="right" vertical="center" indent="1"/>
    </xf>
    <xf numFmtId="10" fontId="9" fillId="0" borderId="51" xfId="0" applyNumberFormat="1" applyFont="1" applyFill="1" applyBorder="1" applyAlignment="1">
      <alignment horizontal="right" vertical="center" indent="1"/>
    </xf>
    <xf numFmtId="10" fontId="9" fillId="0" borderId="40" xfId="0" applyNumberFormat="1" applyFont="1" applyFill="1" applyBorder="1" applyAlignment="1">
      <alignment horizontal="right" vertical="center"/>
    </xf>
    <xf numFmtId="10" fontId="8" fillId="0" borderId="40" xfId="0" applyNumberFormat="1" applyFont="1" applyFill="1" applyBorder="1"/>
    <xf numFmtId="10" fontId="9" fillId="0" borderId="45" xfId="0" applyNumberFormat="1" applyFont="1" applyFill="1" applyBorder="1" applyAlignment="1">
      <alignment horizontal="right" vertical="center" indent="1"/>
    </xf>
    <xf numFmtId="10" fontId="36" fillId="0" borderId="41" xfId="0" applyNumberFormat="1" applyFont="1" applyFill="1" applyBorder="1"/>
    <xf numFmtId="10" fontId="8" fillId="0" borderId="0" xfId="0" applyNumberFormat="1" applyFont="1" applyFill="1" applyBorder="1"/>
    <xf numFmtId="3" fontId="9" fillId="0" borderId="18" xfId="0" applyNumberFormat="1" applyFont="1" applyFill="1" applyBorder="1" applyAlignment="1">
      <alignment horizontal="right" vertical="center" indent="1"/>
    </xf>
    <xf numFmtId="10" fontId="9" fillId="0" borderId="18" xfId="0" applyNumberFormat="1" applyFont="1" applyFill="1" applyBorder="1" applyAlignment="1">
      <alignment horizontal="right" vertical="center" indent="1"/>
    </xf>
    <xf numFmtId="3" fontId="15" fillId="4" borderId="34" xfId="0" applyNumberFormat="1" applyFont="1" applyFill="1" applyBorder="1" applyAlignment="1">
      <alignment vertical="center" wrapText="1"/>
    </xf>
    <xf numFmtId="3" fontId="15" fillId="4" borderId="24" xfId="0" applyNumberFormat="1" applyFont="1" applyFill="1" applyBorder="1" applyAlignment="1">
      <alignment vertical="center" wrapText="1"/>
    </xf>
    <xf numFmtId="3" fontId="15" fillId="4" borderId="41" xfId="0" applyNumberFormat="1" applyFont="1" applyFill="1" applyBorder="1" applyAlignment="1">
      <alignment vertical="center" wrapText="1"/>
    </xf>
    <xf numFmtId="3" fontId="9" fillId="0" borderId="34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left" vertical="center" wrapText="1"/>
    </xf>
    <xf numFmtId="10" fontId="8" fillId="0" borderId="6" xfId="0" applyNumberFormat="1" applyFont="1" applyFill="1" applyBorder="1" applyAlignment="1">
      <alignment horizontal="right" vertical="center" indent="1"/>
    </xf>
    <xf numFmtId="3" fontId="9" fillId="0" borderId="34" xfId="0" applyNumberFormat="1" applyFont="1" applyFill="1" applyBorder="1" applyAlignment="1">
      <alignment horizontal="left" vertical="center" wrapText="1"/>
    </xf>
    <xf numFmtId="3" fontId="9" fillId="0" borderId="34" xfId="0" applyNumberFormat="1" applyFont="1" applyFill="1" applyBorder="1" applyAlignment="1">
      <alignment horizontal="right" vertical="center" indent="1"/>
    </xf>
    <xf numFmtId="10" fontId="9" fillId="0" borderId="6" xfId="0" applyNumberFormat="1" applyFont="1" applyFill="1" applyBorder="1" applyAlignment="1">
      <alignment horizontal="right" vertical="center" inden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25" fillId="0" borderId="0" xfId="0" applyFont="1" applyFill="1" applyAlignment="1">
      <alignment horizontal="center"/>
    </xf>
    <xf numFmtId="3" fontId="16" fillId="0" borderId="24" xfId="0" applyNumberFormat="1" applyFont="1" applyFill="1" applyBorder="1" applyAlignment="1">
      <alignment horizontal="right" vertical="center" wrapText="1" indent="1"/>
    </xf>
    <xf numFmtId="3" fontId="16" fillId="0" borderId="40" xfId="0" applyNumberFormat="1" applyFont="1" applyFill="1" applyBorder="1" applyAlignment="1">
      <alignment horizontal="right" vertical="center" indent="1"/>
    </xf>
    <xf numFmtId="10" fontId="16" fillId="0" borderId="40" xfId="0" applyNumberFormat="1" applyFont="1" applyFill="1" applyBorder="1" applyAlignment="1">
      <alignment horizontal="right" vertical="center" indent="1"/>
    </xf>
    <xf numFmtId="10" fontId="12" fillId="0" borderId="0" xfId="0" applyNumberFormat="1" applyFont="1" applyFill="1"/>
    <xf numFmtId="10" fontId="12" fillId="0" borderId="0" xfId="0" applyNumberFormat="1" applyFont="1" applyFill="1" applyAlignment="1">
      <alignment horizontal="right"/>
    </xf>
    <xf numFmtId="10" fontId="0" fillId="0" borderId="0" xfId="0" applyNumberFormat="1" applyFill="1"/>
    <xf numFmtId="10" fontId="8" fillId="0" borderId="5" xfId="0" applyNumberFormat="1" applyFont="1" applyFill="1" applyBorder="1" applyAlignment="1">
      <alignment vertical="center" wrapText="1"/>
    </xf>
    <xf numFmtId="10" fontId="9" fillId="2" borderId="28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9" fillId="4" borderId="23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13" xfId="0" applyFont="1" applyFill="1" applyBorder="1" applyAlignment="1">
      <alignment vertical="top" wrapText="1"/>
    </xf>
    <xf numFmtId="0" fontId="9" fillId="4" borderId="24" xfId="0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top" wrapText="1" indent="2"/>
    </xf>
    <xf numFmtId="0" fontId="8" fillId="0" borderId="24" xfId="0" applyFont="1" applyBorder="1" applyAlignment="1">
      <alignment horizontal="left" vertical="top" wrapText="1" indent="2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0" fontId="8" fillId="0" borderId="1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9" fillId="4" borderId="7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0" fontId="9" fillId="4" borderId="14" xfId="0" applyFont="1" applyFill="1" applyBorder="1" applyAlignment="1">
      <alignment vertical="top" wrapText="1"/>
    </xf>
    <xf numFmtId="0" fontId="9" fillId="4" borderId="32" xfId="0" applyFont="1" applyFill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9" fillId="4" borderId="7" xfId="0" applyFont="1" applyFill="1" applyBorder="1" applyAlignment="1">
      <alignment horizontal="left" vertical="top" wrapText="1" indent="1"/>
    </xf>
    <xf numFmtId="0" fontId="9" fillId="4" borderId="1" xfId="0" applyFont="1" applyFill="1" applyBorder="1" applyAlignment="1">
      <alignment horizontal="left" vertical="top" wrapText="1" indent="1"/>
    </xf>
    <xf numFmtId="0" fontId="9" fillId="4" borderId="23" xfId="0" applyFont="1" applyFill="1" applyBorder="1" applyAlignment="1">
      <alignment vertical="top" wrapText="1"/>
    </xf>
    <xf numFmtId="0" fontId="9" fillId="4" borderId="30" xfId="0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top" wrapText="1" indent="1"/>
    </xf>
    <xf numFmtId="0" fontId="8" fillId="0" borderId="19" xfId="0" applyFont="1" applyFill="1" applyBorder="1" applyAlignment="1">
      <alignment horizontal="left" vertical="top" wrapText="1" indent="1"/>
    </xf>
    <xf numFmtId="0" fontId="9" fillId="4" borderId="7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9" fillId="4" borderId="23" xfId="0" applyFont="1" applyFill="1" applyBorder="1" applyAlignment="1">
      <alignment horizontal="left" vertical="top" wrapText="1"/>
    </xf>
    <xf numFmtId="0" fontId="9" fillId="4" borderId="3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9" fillId="0" borderId="19" xfId="0" applyFont="1" applyBorder="1" applyAlignment="1">
      <alignment horizontal="left" vertical="top" wrapText="1"/>
    </xf>
    <xf numFmtId="0" fontId="9" fillId="4" borderId="25" xfId="0" applyFont="1" applyFill="1" applyBorder="1" applyAlignment="1">
      <alignment vertical="top" wrapText="1"/>
    </xf>
    <xf numFmtId="0" fontId="9" fillId="4" borderId="29" xfId="0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1"/>
    </xf>
    <xf numFmtId="0" fontId="8" fillId="0" borderId="25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64" fontId="14" fillId="2" borderId="16" xfId="0" applyNumberFormat="1" applyFont="1" applyFill="1" applyBorder="1" applyAlignment="1">
      <alignment horizontal="center" vertical="center" wrapText="1"/>
    </xf>
    <xf numFmtId="164" fontId="14" fillId="2" borderId="19" xfId="0" applyNumberFormat="1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164" fontId="14" fillId="2" borderId="20" xfId="0" applyNumberFormat="1" applyFont="1" applyFill="1" applyBorder="1" applyAlignment="1">
      <alignment horizontal="center" vertical="center" wrapText="1"/>
    </xf>
    <xf numFmtId="164" fontId="14" fillId="2" borderId="15" xfId="0" applyNumberFormat="1" applyFont="1" applyFill="1" applyBorder="1" applyAlignment="1">
      <alignment horizontal="center" vertical="center" wrapText="1"/>
    </xf>
    <xf numFmtId="164" fontId="14" fillId="2" borderId="21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right"/>
    </xf>
    <xf numFmtId="0" fontId="14" fillId="2" borderId="1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4" fillId="2" borderId="8" xfId="0" applyNumberFormat="1" applyFont="1" applyFill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/>
    </xf>
    <xf numFmtId="164" fontId="14" fillId="2" borderId="19" xfId="0" applyNumberFormat="1" applyFont="1" applyFill="1" applyBorder="1" applyAlignment="1">
      <alignment horizontal="center"/>
    </xf>
    <xf numFmtId="164" fontId="14" fillId="2" borderId="9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2" borderId="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3" fontId="15" fillId="4" borderId="43" xfId="0" applyNumberFormat="1" applyFont="1" applyFill="1" applyBorder="1" applyAlignment="1">
      <alignment horizontal="left" vertical="center" wrapText="1"/>
    </xf>
    <xf numFmtId="3" fontId="15" fillId="4" borderId="29" xfId="0" applyNumberFormat="1" applyFont="1" applyFill="1" applyBorder="1" applyAlignment="1">
      <alignment horizontal="left" vertical="center" wrapText="1"/>
    </xf>
    <xf numFmtId="3" fontId="15" fillId="4" borderId="44" xfId="0" applyNumberFormat="1" applyFont="1" applyFill="1" applyBorder="1" applyAlignment="1">
      <alignment horizontal="left" vertical="center" wrapText="1"/>
    </xf>
    <xf numFmtId="3" fontId="15" fillId="4" borderId="34" xfId="0" applyNumberFormat="1" applyFont="1" applyFill="1" applyBorder="1" applyAlignment="1">
      <alignment horizontal="left" vertical="center" wrapText="1"/>
    </xf>
    <xf numFmtId="3" fontId="15" fillId="4" borderId="24" xfId="0" applyNumberFormat="1" applyFont="1" applyFill="1" applyBorder="1" applyAlignment="1">
      <alignment horizontal="left" vertical="center" wrapText="1"/>
    </xf>
    <xf numFmtId="3" fontId="15" fillId="4" borderId="41" xfId="0" applyNumberFormat="1" applyFont="1" applyFill="1" applyBorder="1" applyAlignment="1">
      <alignment horizontal="left" vertical="center" wrapText="1"/>
    </xf>
    <xf numFmtId="3" fontId="9" fillId="0" borderId="34" xfId="0" applyNumberFormat="1" applyFont="1" applyFill="1" applyBorder="1" applyAlignment="1">
      <alignment horizontal="left" vertical="center" wrapText="1"/>
    </xf>
    <xf numFmtId="3" fontId="9" fillId="0" borderId="41" xfId="0" applyNumberFormat="1" applyFont="1" applyFill="1" applyBorder="1" applyAlignment="1">
      <alignment horizontal="left" vertical="center" wrapText="1"/>
    </xf>
    <xf numFmtId="3" fontId="9" fillId="0" borderId="24" xfId="0" applyNumberFormat="1" applyFont="1" applyFill="1" applyBorder="1" applyAlignment="1">
      <alignment horizontal="left" vertical="center" wrapText="1"/>
    </xf>
    <xf numFmtId="3" fontId="9" fillId="0" borderId="34" xfId="0" applyNumberFormat="1" applyFont="1" applyFill="1" applyBorder="1" applyAlignment="1">
      <alignment vertical="center" wrapText="1"/>
    </xf>
    <xf numFmtId="3" fontId="9" fillId="0" borderId="24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2"/>
  <sheetViews>
    <sheetView view="pageBreakPreview" zoomScale="98" zoomScaleSheetLayoutView="98" workbookViewId="0">
      <selection sqref="A1:D1"/>
    </sheetView>
  </sheetViews>
  <sheetFormatPr defaultRowHeight="15.75"/>
  <cols>
    <col min="1" max="1" width="74.5703125" style="89" customWidth="1"/>
    <col min="2" max="2" width="16.28515625" style="89" customWidth="1"/>
    <col min="3" max="3" width="19" style="96" customWidth="1"/>
    <col min="4" max="7" width="19.42578125" style="96" customWidth="1"/>
    <col min="8" max="16384" width="9.140625" style="89"/>
  </cols>
  <sheetData>
    <row r="1" spans="1:7" ht="20.100000000000001" customHeight="1">
      <c r="A1" s="595" t="s">
        <v>387</v>
      </c>
      <c r="B1" s="595"/>
      <c r="C1" s="595"/>
      <c r="D1" s="595"/>
      <c r="E1" s="339"/>
      <c r="F1" s="89"/>
      <c r="G1" s="339"/>
    </row>
    <row r="2" spans="1:7" ht="20.100000000000001" customHeight="1">
      <c r="A2" s="2"/>
      <c r="B2" s="35"/>
      <c r="C2" s="3"/>
      <c r="D2" s="3"/>
      <c r="E2" s="3"/>
      <c r="F2" s="3"/>
      <c r="G2" s="3"/>
    </row>
    <row r="3" spans="1:7" ht="38.25" customHeight="1">
      <c r="A3" s="596" t="s">
        <v>388</v>
      </c>
      <c r="B3" s="596"/>
      <c r="C3" s="596"/>
      <c r="D3" s="596"/>
      <c r="E3" s="596"/>
      <c r="F3" s="596"/>
      <c r="G3" s="596"/>
    </row>
    <row r="4" spans="1:7" ht="20.100000000000001" customHeight="1">
      <c r="A4" s="2" t="s">
        <v>187</v>
      </c>
      <c r="B4" s="35"/>
      <c r="C4" s="3"/>
      <c r="D4" s="3"/>
      <c r="E4" s="3"/>
      <c r="F4" s="3"/>
      <c r="G4" s="3"/>
    </row>
    <row r="5" spans="1:7" ht="20.100000000000001" customHeight="1" thickBot="1">
      <c r="A5" s="4"/>
      <c r="B5" s="5"/>
      <c r="C5" s="5"/>
      <c r="D5" s="343"/>
      <c r="E5" s="343"/>
      <c r="F5" s="406"/>
      <c r="G5" s="406" t="s">
        <v>4</v>
      </c>
    </row>
    <row r="6" spans="1:7" ht="31.5" customHeight="1" thickBot="1">
      <c r="A6" s="583" t="s">
        <v>0</v>
      </c>
      <c r="B6" s="584"/>
      <c r="C6" s="257"/>
      <c r="D6" s="258" t="s">
        <v>1</v>
      </c>
      <c r="E6" s="258" t="s">
        <v>342</v>
      </c>
      <c r="F6" s="258" t="s">
        <v>389</v>
      </c>
      <c r="G6" s="409" t="s">
        <v>390</v>
      </c>
    </row>
    <row r="7" spans="1:7" ht="20.100000000000001" customHeight="1">
      <c r="A7" s="83" t="s">
        <v>2</v>
      </c>
      <c r="B7" s="90"/>
      <c r="C7" s="88"/>
      <c r="D7" s="88"/>
      <c r="E7" s="88"/>
      <c r="F7" s="88"/>
      <c r="G7" s="410"/>
    </row>
    <row r="8" spans="1:7" ht="20.100000000000001" customHeight="1">
      <c r="A8" s="99" t="s">
        <v>3</v>
      </c>
      <c r="B8" s="100" t="s">
        <v>4</v>
      </c>
      <c r="C8" s="101" t="s">
        <v>4</v>
      </c>
      <c r="D8" s="102"/>
      <c r="E8" s="102"/>
      <c r="F8" s="102"/>
      <c r="G8" s="411"/>
    </row>
    <row r="9" spans="1:7" ht="20.100000000000001" customHeight="1">
      <c r="A9" s="99" t="s">
        <v>196</v>
      </c>
      <c r="B9" s="100"/>
      <c r="C9" s="101"/>
      <c r="D9" s="102"/>
      <c r="E9" s="102"/>
      <c r="F9" s="102"/>
      <c r="G9" s="411"/>
    </row>
    <row r="10" spans="1:7" ht="20.100000000000001" customHeight="1">
      <c r="A10" s="565" t="s">
        <v>197</v>
      </c>
      <c r="B10" s="566"/>
      <c r="C10" s="91">
        <v>195337000</v>
      </c>
      <c r="D10" s="91">
        <v>195337000</v>
      </c>
      <c r="E10" s="91">
        <v>195337000</v>
      </c>
      <c r="F10" s="91">
        <v>101575188</v>
      </c>
      <c r="G10" s="412">
        <f>SUM(F10/E10)</f>
        <v>0.51999973379339293</v>
      </c>
    </row>
    <row r="11" spans="1:7" ht="20.100000000000001" customHeight="1">
      <c r="A11" s="565" t="s">
        <v>198</v>
      </c>
      <c r="B11" s="566"/>
      <c r="C11" s="91">
        <v>29491750</v>
      </c>
      <c r="D11" s="91">
        <v>0</v>
      </c>
      <c r="E11" s="91">
        <v>0</v>
      </c>
      <c r="F11" s="91"/>
      <c r="G11" s="412"/>
    </row>
    <row r="12" spans="1:7" ht="20.100000000000001" customHeight="1">
      <c r="A12" s="565" t="s">
        <v>199</v>
      </c>
      <c r="B12" s="566"/>
      <c r="C12" s="91">
        <v>0</v>
      </c>
      <c r="D12" s="91"/>
      <c r="E12" s="91"/>
      <c r="F12" s="91"/>
      <c r="G12" s="412"/>
    </row>
    <row r="13" spans="1:7" ht="20.100000000000001" customHeight="1">
      <c r="A13" s="329" t="s">
        <v>200</v>
      </c>
      <c r="B13" s="330"/>
      <c r="C13" s="91">
        <v>54560000</v>
      </c>
      <c r="D13" s="91">
        <v>50339000</v>
      </c>
      <c r="E13" s="91">
        <v>50339000</v>
      </c>
      <c r="F13" s="91">
        <v>26176280</v>
      </c>
      <c r="G13" s="412">
        <f>SUM(F13/E13)</f>
        <v>0.52</v>
      </c>
    </row>
    <row r="14" spans="1:7" ht="20.100000000000001" customHeight="1">
      <c r="A14" s="565" t="s">
        <v>199</v>
      </c>
      <c r="B14" s="566"/>
      <c r="C14" s="91">
        <v>50338698</v>
      </c>
      <c r="D14" s="91"/>
      <c r="E14" s="91"/>
      <c r="F14" s="91"/>
      <c r="G14" s="412"/>
    </row>
    <row r="15" spans="1:7" ht="20.100000000000001" customHeight="1">
      <c r="A15" s="329" t="s">
        <v>201</v>
      </c>
      <c r="B15" s="330"/>
      <c r="C15" s="91">
        <v>0</v>
      </c>
      <c r="D15" s="91">
        <v>0</v>
      </c>
      <c r="E15" s="91">
        <v>0</v>
      </c>
      <c r="F15" s="91"/>
      <c r="G15" s="412"/>
    </row>
    <row r="16" spans="1:7" ht="20.100000000000001" customHeight="1">
      <c r="A16" s="329" t="s">
        <v>202</v>
      </c>
      <c r="B16" s="330"/>
      <c r="C16" s="91">
        <v>32733200</v>
      </c>
      <c r="D16" s="91">
        <v>32733000</v>
      </c>
      <c r="E16" s="91">
        <v>32733000</v>
      </c>
      <c r="F16" s="91">
        <v>17021160</v>
      </c>
      <c r="G16" s="412">
        <f>SUM(F16/E16)</f>
        <v>0.52</v>
      </c>
    </row>
    <row r="17" spans="1:7" ht="20.100000000000001" customHeight="1">
      <c r="A17" s="329" t="s">
        <v>203</v>
      </c>
      <c r="B17" s="330"/>
      <c r="C17" s="91">
        <v>55444500</v>
      </c>
      <c r="D17" s="91">
        <v>0</v>
      </c>
      <c r="E17" s="91">
        <v>0</v>
      </c>
      <c r="F17" s="91"/>
      <c r="G17" s="412"/>
    </row>
    <row r="18" spans="1:7" ht="20.100000000000001" customHeight="1">
      <c r="A18" s="565" t="s">
        <v>199</v>
      </c>
      <c r="B18" s="566"/>
      <c r="C18" s="91">
        <v>0</v>
      </c>
      <c r="D18" s="91"/>
      <c r="E18" s="91"/>
      <c r="F18" s="91"/>
      <c r="G18" s="412"/>
    </row>
    <row r="19" spans="1:7" ht="20.100000000000001" customHeight="1">
      <c r="A19" s="329" t="s">
        <v>204</v>
      </c>
      <c r="B19" s="330"/>
      <c r="C19" s="91">
        <v>1384650</v>
      </c>
      <c r="D19" s="91">
        <v>0</v>
      </c>
      <c r="E19" s="91">
        <v>0</v>
      </c>
      <c r="F19" s="91"/>
      <c r="G19" s="412"/>
    </row>
    <row r="20" spans="1:7" ht="20.100000000000001" customHeight="1">
      <c r="A20" s="565" t="s">
        <v>199</v>
      </c>
      <c r="B20" s="566"/>
      <c r="C20" s="91">
        <v>0</v>
      </c>
      <c r="D20" s="91"/>
      <c r="E20" s="91"/>
      <c r="F20" s="91"/>
      <c r="G20" s="412"/>
    </row>
    <row r="21" spans="1:7" ht="20.100000000000001" customHeight="1">
      <c r="A21" s="329" t="s">
        <v>205</v>
      </c>
      <c r="B21" s="330"/>
      <c r="C21" s="91">
        <v>3503000</v>
      </c>
      <c r="D21" s="91">
        <v>3503000</v>
      </c>
      <c r="E21" s="91">
        <v>3503000</v>
      </c>
      <c r="F21" s="91">
        <v>1821560</v>
      </c>
      <c r="G21" s="412">
        <f>SUM(F21/E21)</f>
        <v>0.52</v>
      </c>
    </row>
    <row r="22" spans="1:7" ht="20.100000000000001" customHeight="1">
      <c r="A22" s="565" t="s">
        <v>199</v>
      </c>
      <c r="B22" s="566"/>
      <c r="C22" s="91">
        <v>3503000</v>
      </c>
      <c r="D22" s="91"/>
      <c r="E22" s="91"/>
      <c r="F22" s="91"/>
      <c r="G22" s="412"/>
    </row>
    <row r="23" spans="1:7" ht="20.100000000000001" customHeight="1">
      <c r="A23" s="329" t="s">
        <v>5</v>
      </c>
      <c r="B23" s="103">
        <f>C11+C13-C14+C17+C19</f>
        <v>90542202</v>
      </c>
      <c r="C23" s="91"/>
      <c r="D23" s="91"/>
      <c r="E23" s="91"/>
      <c r="F23" s="91"/>
      <c r="G23" s="412"/>
    </row>
    <row r="24" spans="1:7" ht="20.100000000000001" customHeight="1" thickBot="1">
      <c r="A24" s="259" t="s">
        <v>206</v>
      </c>
      <c r="B24" s="260"/>
      <c r="C24" s="261">
        <v>1448308</v>
      </c>
      <c r="D24" s="261"/>
      <c r="E24" s="261">
        <v>1448308</v>
      </c>
      <c r="F24" s="261">
        <v>1448308</v>
      </c>
      <c r="G24" s="412">
        <f>SUM(F24/E24)</f>
        <v>1</v>
      </c>
    </row>
    <row r="25" spans="1:7" ht="19.5" customHeight="1" thickBot="1">
      <c r="A25" s="587" t="s">
        <v>207</v>
      </c>
      <c r="B25" s="588"/>
      <c r="C25" s="267">
        <f>C10+C12+C14+C15+C16+C18+C20+C22+C24</f>
        <v>283360206</v>
      </c>
      <c r="D25" s="267">
        <f>SUM(D10:D24)</f>
        <v>281912000</v>
      </c>
      <c r="E25" s="267">
        <f>SUM(E10:E24)</f>
        <v>283360308</v>
      </c>
      <c r="F25" s="267">
        <f>SUM(F10:F24)</f>
        <v>148042496</v>
      </c>
      <c r="G25" s="414">
        <f>SUM(F25/E25)</f>
        <v>0.52245318705681254</v>
      </c>
    </row>
    <row r="26" spans="1:7" ht="19.5" customHeight="1">
      <c r="A26" s="589" t="s">
        <v>208</v>
      </c>
      <c r="B26" s="590"/>
      <c r="C26" s="102"/>
      <c r="D26" s="102"/>
      <c r="E26" s="102"/>
      <c r="F26" s="102"/>
      <c r="G26" s="411"/>
    </row>
    <row r="27" spans="1:7" s="38" customFormat="1" ht="20.100000000000001" customHeight="1">
      <c r="A27" s="329" t="s">
        <v>209</v>
      </c>
      <c r="B27" s="330"/>
      <c r="C27" s="91">
        <v>350135263</v>
      </c>
      <c r="D27" s="91">
        <v>350135000</v>
      </c>
      <c r="E27" s="91">
        <v>350135000</v>
      </c>
      <c r="F27" s="91">
        <v>176221134</v>
      </c>
      <c r="G27" s="412">
        <f>SUM(F27/E27)</f>
        <v>0.50329482628129152</v>
      </c>
    </row>
    <row r="28" spans="1:7" s="38" customFormat="1" ht="20.100000000000001" customHeight="1">
      <c r="A28" s="329" t="s">
        <v>210</v>
      </c>
      <c r="B28" s="330"/>
      <c r="C28" s="91"/>
      <c r="D28" s="91"/>
      <c r="E28" s="91"/>
      <c r="F28" s="91"/>
      <c r="G28" s="412"/>
    </row>
    <row r="29" spans="1:7" s="38" customFormat="1" ht="20.100000000000001" customHeight="1">
      <c r="A29" s="329" t="s">
        <v>211</v>
      </c>
      <c r="B29" s="330"/>
      <c r="C29" s="91">
        <v>68254367</v>
      </c>
      <c r="D29" s="91">
        <v>68255000</v>
      </c>
      <c r="E29" s="91">
        <v>68255000</v>
      </c>
      <c r="F29" s="91">
        <v>29224635</v>
      </c>
      <c r="G29" s="412">
        <f>SUM(F29/E29)</f>
        <v>0.42816841257050764</v>
      </c>
    </row>
    <row r="30" spans="1:7" s="38" customFormat="1" ht="20.100000000000001" customHeight="1">
      <c r="A30" s="329" t="s">
        <v>212</v>
      </c>
      <c r="B30" s="330"/>
      <c r="C30" s="91"/>
      <c r="D30" s="91"/>
      <c r="E30" s="91"/>
      <c r="F30" s="91"/>
      <c r="G30" s="412"/>
    </row>
    <row r="31" spans="1:7" s="38" customFormat="1" ht="20.100000000000001" customHeight="1">
      <c r="A31" s="259" t="s">
        <v>213</v>
      </c>
      <c r="B31" s="262"/>
      <c r="C31" s="261">
        <v>13673336</v>
      </c>
      <c r="D31" s="261"/>
      <c r="E31" s="261">
        <v>13673336</v>
      </c>
      <c r="F31" s="261">
        <f>6836669+4</f>
        <v>6836673</v>
      </c>
      <c r="G31" s="412">
        <f>SUM(F31/E31)</f>
        <v>0.500000365675209</v>
      </c>
    </row>
    <row r="32" spans="1:7" s="38" customFormat="1" ht="20.100000000000001" customHeight="1" thickBot="1">
      <c r="A32" s="440" t="s">
        <v>396</v>
      </c>
      <c r="B32" s="441"/>
      <c r="C32" s="261"/>
      <c r="D32" s="261"/>
      <c r="E32" s="261"/>
      <c r="F32" s="261">
        <v>8207455</v>
      </c>
      <c r="G32" s="412">
        <v>0</v>
      </c>
    </row>
    <row r="33" spans="1:14" s="38" customFormat="1" ht="20.100000000000001" customHeight="1" thickBot="1">
      <c r="A33" s="587" t="s">
        <v>208</v>
      </c>
      <c r="B33" s="588"/>
      <c r="C33" s="267">
        <f>SUM(C27:C32)</f>
        <v>432062966</v>
      </c>
      <c r="D33" s="267">
        <f>SUM(D27:D32)</f>
        <v>418390000</v>
      </c>
      <c r="E33" s="267">
        <f>SUM(E27:E32)</f>
        <v>432063336</v>
      </c>
      <c r="F33" s="267">
        <f>SUM(F27:F32)</f>
        <v>220489897</v>
      </c>
      <c r="G33" s="414">
        <f>SUM(F33/E33)</f>
        <v>0.51031846173589701</v>
      </c>
    </row>
    <row r="34" spans="1:14" s="38" customFormat="1" ht="20.100000000000001" customHeight="1">
      <c r="A34" s="589" t="s">
        <v>214</v>
      </c>
      <c r="B34" s="590"/>
      <c r="C34" s="102"/>
      <c r="D34" s="102"/>
      <c r="E34" s="102"/>
      <c r="F34" s="102"/>
      <c r="G34" s="411"/>
    </row>
    <row r="35" spans="1:14" s="38" customFormat="1" ht="20.100000000000001" customHeight="1">
      <c r="A35" s="84" t="s">
        <v>6</v>
      </c>
      <c r="B35" s="338"/>
      <c r="C35" s="92"/>
      <c r="D35" s="92"/>
      <c r="E35" s="92"/>
      <c r="F35" s="92"/>
      <c r="G35" s="415"/>
    </row>
    <row r="36" spans="1:14" s="38" customFormat="1" ht="20.100000000000001" customHeight="1">
      <c r="A36" s="591" t="s">
        <v>215</v>
      </c>
      <c r="B36" s="592"/>
      <c r="C36" s="91">
        <v>80804000</v>
      </c>
      <c r="D36" s="91">
        <v>80804000</v>
      </c>
      <c r="E36" s="91">
        <v>80804000</v>
      </c>
      <c r="F36" s="91">
        <v>42018080</v>
      </c>
      <c r="G36" s="412">
        <f>SUM(F36/E36)</f>
        <v>0.52</v>
      </c>
      <c r="N36" s="446"/>
    </row>
    <row r="37" spans="1:14" s="38" customFormat="1" ht="20.100000000000001" customHeight="1">
      <c r="A37" s="329" t="s">
        <v>216</v>
      </c>
      <c r="B37" s="330"/>
      <c r="C37" s="91">
        <f>SUM(B38:B48)</f>
        <v>154052876</v>
      </c>
      <c r="D37" s="91">
        <v>154053000</v>
      </c>
      <c r="E37" s="91">
        <v>154053000</v>
      </c>
      <c r="F37" s="91">
        <v>80107496</v>
      </c>
      <c r="G37" s="412">
        <f>SUM(F37/E37)</f>
        <v>0.51999958455856099</v>
      </c>
    </row>
    <row r="38" spans="1:14" s="38" customFormat="1" ht="20.100000000000001" customHeight="1">
      <c r="A38" s="329" t="s">
        <v>228</v>
      </c>
      <c r="B38" s="104">
        <v>14700000</v>
      </c>
      <c r="C38" s="91"/>
      <c r="D38" s="91"/>
      <c r="E38" s="91"/>
      <c r="F38" s="91"/>
      <c r="G38" s="412"/>
    </row>
    <row r="39" spans="1:14" s="38" customFormat="1" ht="20.100000000000001" customHeight="1">
      <c r="A39" s="329" t="s">
        <v>229</v>
      </c>
      <c r="B39" s="104">
        <v>22500000</v>
      </c>
      <c r="C39" s="91"/>
      <c r="D39" s="91"/>
      <c r="E39" s="91"/>
      <c r="F39" s="91"/>
      <c r="G39" s="412"/>
    </row>
    <row r="40" spans="1:14" s="38" customFormat="1" ht="20.100000000000001" customHeight="1">
      <c r="A40" s="329" t="s">
        <v>230</v>
      </c>
      <c r="B40" s="104">
        <v>31117856</v>
      </c>
      <c r="C40" s="91"/>
      <c r="D40" s="91"/>
      <c r="E40" s="91"/>
      <c r="F40" s="91"/>
      <c r="G40" s="412"/>
    </row>
    <row r="41" spans="1:14" s="38" customFormat="1" ht="20.100000000000001" customHeight="1">
      <c r="A41" s="329" t="s">
        <v>231</v>
      </c>
      <c r="B41" s="104">
        <v>775000</v>
      </c>
      <c r="C41" s="91"/>
      <c r="D41" s="91"/>
      <c r="E41" s="91"/>
      <c r="F41" s="91"/>
      <c r="G41" s="412"/>
    </row>
    <row r="42" spans="1:14" s="38" customFormat="1" ht="20.100000000000001" customHeight="1">
      <c r="A42" s="329" t="s">
        <v>232</v>
      </c>
      <c r="B42" s="104">
        <v>15015000</v>
      </c>
      <c r="C42" s="91"/>
      <c r="D42" s="91"/>
      <c r="E42" s="91"/>
      <c r="F42" s="91"/>
      <c r="G42" s="412"/>
    </row>
    <row r="43" spans="1:14" s="38" customFormat="1" ht="20.100000000000001" customHeight="1">
      <c r="A43" s="329" t="s">
        <v>233</v>
      </c>
      <c r="B43" s="104">
        <v>2500000</v>
      </c>
      <c r="C43" s="91"/>
      <c r="D43" s="91"/>
      <c r="E43" s="91"/>
      <c r="F43" s="91"/>
      <c r="G43" s="412"/>
    </row>
    <row r="44" spans="1:14" s="38" customFormat="1" ht="20.100000000000001" customHeight="1">
      <c r="A44" s="329" t="s">
        <v>234</v>
      </c>
      <c r="B44" s="104">
        <v>8338500</v>
      </c>
      <c r="C44" s="91"/>
      <c r="D44" s="91"/>
      <c r="E44" s="91"/>
      <c r="F44" s="91"/>
      <c r="G44" s="412"/>
    </row>
    <row r="45" spans="1:14" s="38" customFormat="1" ht="20.100000000000001" customHeight="1">
      <c r="A45" s="329" t="s">
        <v>235</v>
      </c>
      <c r="B45" s="104">
        <v>5500000</v>
      </c>
      <c r="C45" s="91"/>
      <c r="D45" s="91"/>
      <c r="E45" s="91"/>
      <c r="F45" s="91"/>
      <c r="G45" s="412"/>
    </row>
    <row r="46" spans="1:14" s="38" customFormat="1" ht="20.100000000000001" customHeight="1">
      <c r="A46" s="329" t="s">
        <v>236</v>
      </c>
      <c r="B46" s="104">
        <v>2976000</v>
      </c>
      <c r="C46" s="91"/>
      <c r="D46" s="91"/>
      <c r="E46" s="91"/>
      <c r="F46" s="91"/>
      <c r="G46" s="412"/>
    </row>
    <row r="47" spans="1:14" s="38" customFormat="1" ht="20.100000000000001" customHeight="1">
      <c r="A47" s="329" t="s">
        <v>237</v>
      </c>
      <c r="B47" s="104">
        <v>2604000</v>
      </c>
      <c r="C47" s="91"/>
      <c r="D47" s="91"/>
      <c r="E47" s="91"/>
      <c r="F47" s="91"/>
      <c r="G47" s="412"/>
    </row>
    <row r="48" spans="1:14" s="38" customFormat="1" ht="20.100000000000001" customHeight="1">
      <c r="A48" s="329" t="s">
        <v>238</v>
      </c>
      <c r="B48" s="104">
        <v>48026520</v>
      </c>
      <c r="C48" s="91"/>
      <c r="D48" s="91"/>
      <c r="E48" s="91"/>
      <c r="F48" s="91"/>
      <c r="G48" s="412"/>
    </row>
    <row r="49" spans="1:7" s="38" customFormat="1" ht="20.100000000000001" customHeight="1">
      <c r="A49" s="329" t="s">
        <v>217</v>
      </c>
      <c r="B49" s="330"/>
      <c r="C49" s="91">
        <f>SUM(B51:B52)</f>
        <v>305409160</v>
      </c>
      <c r="D49" s="91">
        <v>305409000</v>
      </c>
      <c r="E49" s="91">
        <v>305409000</v>
      </c>
      <c r="F49" s="91">
        <v>158812763</v>
      </c>
      <c r="G49" s="412">
        <f>SUM(F49/E49)</f>
        <v>0.52000027176671282</v>
      </c>
    </row>
    <row r="50" spans="1:7" s="38" customFormat="1" ht="20.100000000000001" customHeight="1">
      <c r="A50" s="591" t="s">
        <v>218</v>
      </c>
      <c r="B50" s="592"/>
      <c r="C50" s="91"/>
      <c r="D50" s="91"/>
      <c r="E50" s="91"/>
      <c r="F50" s="91"/>
      <c r="G50" s="412"/>
    </row>
    <row r="51" spans="1:7" s="38" customFormat="1" ht="20.100000000000001" customHeight="1">
      <c r="A51" s="329" t="s">
        <v>239</v>
      </c>
      <c r="B51" s="105">
        <v>205877160</v>
      </c>
      <c r="C51" s="91"/>
      <c r="D51" s="91"/>
      <c r="E51" s="91"/>
      <c r="F51" s="91"/>
      <c r="G51" s="412"/>
    </row>
    <row r="52" spans="1:7" s="38" customFormat="1" ht="20.100000000000001" customHeight="1">
      <c r="A52" s="329" t="s">
        <v>240</v>
      </c>
      <c r="B52" s="105">
        <v>99532000</v>
      </c>
      <c r="C52" s="91"/>
      <c r="D52" s="91"/>
      <c r="E52" s="91"/>
      <c r="F52" s="91"/>
      <c r="G52" s="412"/>
    </row>
    <row r="53" spans="1:7" s="38" customFormat="1" ht="20.100000000000001" customHeight="1">
      <c r="A53" s="329" t="s">
        <v>219</v>
      </c>
      <c r="B53" s="105"/>
      <c r="C53" s="91">
        <f>SUM(B54:B55)</f>
        <v>165390496</v>
      </c>
      <c r="D53" s="91">
        <v>165391000</v>
      </c>
      <c r="E53" s="91">
        <v>165391000</v>
      </c>
      <c r="F53" s="91">
        <v>86003062</v>
      </c>
      <c r="G53" s="412">
        <f>SUM(F53/E53)</f>
        <v>0.51999844006022089</v>
      </c>
    </row>
    <row r="54" spans="1:7" s="38" customFormat="1" ht="20.100000000000001" customHeight="1">
      <c r="A54" s="329" t="s">
        <v>241</v>
      </c>
      <c r="B54" s="105">
        <v>44831040</v>
      </c>
      <c r="C54" s="91"/>
      <c r="D54" s="91"/>
      <c r="E54" s="91"/>
      <c r="F54" s="91"/>
      <c r="G54" s="412"/>
    </row>
    <row r="55" spans="1:7" s="38" customFormat="1" ht="20.100000000000001" customHeight="1">
      <c r="A55" s="329" t="s">
        <v>242</v>
      </c>
      <c r="B55" s="105">
        <v>120559456</v>
      </c>
      <c r="C55" s="91"/>
      <c r="D55" s="91"/>
      <c r="E55" s="91"/>
      <c r="F55" s="91"/>
      <c r="G55" s="412"/>
    </row>
    <row r="56" spans="1:7" s="38" customFormat="1" ht="20.100000000000001" customHeight="1">
      <c r="A56" s="329" t="s">
        <v>220</v>
      </c>
      <c r="B56" s="105">
        <v>19807390</v>
      </c>
      <c r="C56" s="91">
        <f>SUM(B56)</f>
        <v>19807390</v>
      </c>
      <c r="D56" s="91">
        <v>19807000</v>
      </c>
      <c r="E56" s="91">
        <v>19807000</v>
      </c>
      <c r="F56" s="91">
        <v>10299843</v>
      </c>
      <c r="G56" s="412">
        <f>SUM(F56/E56)</f>
        <v>0.52001024890190339</v>
      </c>
    </row>
    <row r="57" spans="1:7" s="38" customFormat="1" ht="20.100000000000001" customHeight="1">
      <c r="A57" s="106" t="s">
        <v>343</v>
      </c>
      <c r="B57" s="107"/>
      <c r="C57" s="108">
        <v>4526280</v>
      </c>
      <c r="D57" s="91">
        <v>4526000</v>
      </c>
      <c r="E57" s="91">
        <v>4526000</v>
      </c>
      <c r="F57" s="91">
        <v>2263140</v>
      </c>
      <c r="G57" s="412">
        <f>SUM(F57/E57)</f>
        <v>0.5000309323906319</v>
      </c>
    </row>
    <row r="58" spans="1:7" s="38" customFormat="1" ht="20.100000000000001" customHeight="1">
      <c r="A58" s="263" t="s">
        <v>344</v>
      </c>
      <c r="B58" s="264"/>
      <c r="C58" s="265"/>
      <c r="D58" s="261"/>
      <c r="E58" s="261"/>
      <c r="F58" s="261"/>
      <c r="G58" s="413"/>
    </row>
    <row r="59" spans="1:7" s="38" customFormat="1" ht="20.100000000000001" customHeight="1">
      <c r="A59" s="106" t="s">
        <v>345</v>
      </c>
      <c r="B59" s="264"/>
      <c r="C59" s="265">
        <v>34645518</v>
      </c>
      <c r="D59" s="261"/>
      <c r="E59" s="261">
        <v>34645518</v>
      </c>
      <c r="F59" s="261">
        <v>41376069</v>
      </c>
      <c r="G59" s="412">
        <f>SUM(F59/E59)</f>
        <v>1.1942690249284194</v>
      </c>
    </row>
    <row r="60" spans="1:7" s="38" customFormat="1" ht="20.100000000000001" customHeight="1">
      <c r="A60" s="106" t="s">
        <v>346</v>
      </c>
      <c r="B60" s="264"/>
      <c r="C60" s="265">
        <v>4240465</v>
      </c>
      <c r="D60" s="112"/>
      <c r="E60" s="112">
        <v>4240465</v>
      </c>
      <c r="F60" s="112">
        <f>5317728-9</f>
        <v>5317719</v>
      </c>
      <c r="G60" s="412">
        <f>SUM(F60/E60)</f>
        <v>1.2540414789415784</v>
      </c>
    </row>
    <row r="61" spans="1:7" s="38" customFormat="1" ht="20.100000000000001" customHeight="1" thickBot="1">
      <c r="A61" s="263" t="s">
        <v>347</v>
      </c>
      <c r="B61" s="264"/>
      <c r="C61" s="265"/>
      <c r="D61" s="7"/>
      <c r="E61" s="7"/>
      <c r="F61" s="7"/>
      <c r="G61" s="417"/>
    </row>
    <row r="62" spans="1:7" s="38" customFormat="1" ht="21" customHeight="1">
      <c r="A62" s="593" t="s">
        <v>214</v>
      </c>
      <c r="B62" s="594"/>
      <c r="C62" s="268">
        <f>SUM(C36:C60)</f>
        <v>768876185</v>
      </c>
      <c r="D62" s="268">
        <f>SUM(D36:D57)</f>
        <v>729990000</v>
      </c>
      <c r="E62" s="268">
        <f>SUM(E36:E60)</f>
        <v>768875983</v>
      </c>
      <c r="F62" s="268">
        <f>SUM(F36:F60)</f>
        <v>426198172</v>
      </c>
      <c r="G62" s="448">
        <f>SUM(F62/E62)</f>
        <v>0.55431328513742895</v>
      </c>
    </row>
    <row r="63" spans="1:7" s="38" customFormat="1" ht="20.100000000000001" customHeight="1" thickBot="1">
      <c r="A63" s="269" t="s">
        <v>6</v>
      </c>
      <c r="B63" s="270"/>
      <c r="C63" s="271"/>
      <c r="D63" s="271"/>
      <c r="E63" s="271"/>
      <c r="F63" s="271"/>
      <c r="G63" s="447"/>
    </row>
    <row r="64" spans="1:7" s="38" customFormat="1" ht="20.100000000000001" customHeight="1">
      <c r="A64" s="585" t="s">
        <v>223</v>
      </c>
      <c r="B64" s="586"/>
      <c r="C64" s="7"/>
      <c r="D64" s="7"/>
      <c r="E64" s="7"/>
      <c r="F64" s="7"/>
      <c r="G64" s="417"/>
    </row>
    <row r="65" spans="1:7" ht="20.100000000000001" customHeight="1">
      <c r="A65" s="140" t="s">
        <v>224</v>
      </c>
      <c r="B65" s="141">
        <v>23409900</v>
      </c>
      <c r="C65" s="142"/>
      <c r="D65" s="142">
        <v>23410000</v>
      </c>
      <c r="E65" s="142">
        <v>23410000</v>
      </c>
      <c r="F65" s="142">
        <v>12173148</v>
      </c>
      <c r="G65" s="412">
        <f>SUM(F65/E65)</f>
        <v>0.51999777872703967</v>
      </c>
    </row>
    <row r="66" spans="1:7" ht="20.100000000000001" customHeight="1">
      <c r="A66" s="329" t="s">
        <v>225</v>
      </c>
      <c r="B66" s="114"/>
      <c r="C66" s="91"/>
      <c r="D66" s="91"/>
      <c r="E66" s="91"/>
      <c r="F66" s="91"/>
      <c r="G66" s="412"/>
    </row>
    <row r="67" spans="1:7" ht="20.100000000000001" customHeight="1">
      <c r="A67" s="329" t="s">
        <v>226</v>
      </c>
      <c r="B67" s="115">
        <v>15369000</v>
      </c>
      <c r="C67" s="91"/>
      <c r="D67" s="91">
        <v>15369000</v>
      </c>
      <c r="E67" s="91">
        <v>15369000</v>
      </c>
      <c r="F67" s="91">
        <v>15369000</v>
      </c>
      <c r="G67" s="412">
        <f>SUM(F67/E67)</f>
        <v>1</v>
      </c>
    </row>
    <row r="68" spans="1:7" ht="20.100000000000001" customHeight="1">
      <c r="A68" s="259" t="s">
        <v>227</v>
      </c>
      <c r="B68" s="266"/>
      <c r="C68" s="261"/>
      <c r="D68" s="261"/>
      <c r="E68" s="261"/>
      <c r="F68" s="261"/>
      <c r="G68" s="412"/>
    </row>
    <row r="69" spans="1:7" ht="20.100000000000001" customHeight="1" thickBot="1">
      <c r="A69" s="259" t="s">
        <v>348</v>
      </c>
      <c r="B69" s="266">
        <v>1938735</v>
      </c>
      <c r="C69" s="261"/>
      <c r="D69" s="261"/>
      <c r="E69" s="261">
        <v>1938735</v>
      </c>
      <c r="F69" s="261">
        <v>2439362</v>
      </c>
      <c r="G69" s="412">
        <f>SUM(F69/E69)</f>
        <v>1.2582235323548603</v>
      </c>
    </row>
    <row r="70" spans="1:7" ht="20.100000000000001" customHeight="1" thickBot="1">
      <c r="A70" s="579" t="s">
        <v>223</v>
      </c>
      <c r="B70" s="580"/>
      <c r="C70" s="267">
        <f>SUM(B65:B69)</f>
        <v>40717635</v>
      </c>
      <c r="D70" s="267">
        <f>SUM(D65:D69)</f>
        <v>38779000</v>
      </c>
      <c r="E70" s="267">
        <f>SUM(E65:E69)</f>
        <v>40717735</v>
      </c>
      <c r="F70" s="267">
        <f>SUM(F65:F69)</f>
        <v>29981510</v>
      </c>
      <c r="G70" s="414">
        <f>SUM(F70/E70)</f>
        <v>0.73632558392553027</v>
      </c>
    </row>
    <row r="71" spans="1:7" ht="20.100000000000001" customHeight="1">
      <c r="A71" s="259" t="s">
        <v>349</v>
      </c>
      <c r="B71" s="266">
        <v>5036008</v>
      </c>
      <c r="C71" s="261"/>
      <c r="D71" s="261"/>
      <c r="E71" s="261">
        <v>5036008</v>
      </c>
      <c r="F71" s="261">
        <v>6084964</v>
      </c>
      <c r="G71" s="413">
        <f>SUM(F71/E71)</f>
        <v>1.2082911703079104</v>
      </c>
    </row>
    <row r="72" spans="1:7" ht="20.100000000000001" customHeight="1">
      <c r="A72" s="259" t="s">
        <v>397</v>
      </c>
      <c r="B72" s="115"/>
      <c r="C72" s="91"/>
      <c r="D72" s="91"/>
      <c r="E72" s="91"/>
      <c r="F72" s="91">
        <v>941350</v>
      </c>
      <c r="G72" s="413">
        <v>0</v>
      </c>
    </row>
    <row r="73" spans="1:7" ht="20.100000000000001" customHeight="1" thickBot="1">
      <c r="A73" s="259" t="s">
        <v>398</v>
      </c>
      <c r="B73" s="449"/>
      <c r="C73" s="7"/>
      <c r="D73" s="7"/>
      <c r="E73" s="7"/>
      <c r="F73" s="7">
        <v>22659067</v>
      </c>
      <c r="G73" s="450">
        <v>0</v>
      </c>
    </row>
    <row r="74" spans="1:7" ht="20.100000000000001" customHeight="1" thickBot="1">
      <c r="A74" s="579" t="s">
        <v>350</v>
      </c>
      <c r="B74" s="580"/>
      <c r="C74" s="267">
        <f>SUM(B71)</f>
        <v>5036008</v>
      </c>
      <c r="D74" s="267">
        <v>0</v>
      </c>
      <c r="E74" s="267">
        <f>SUM(E71:E73)</f>
        <v>5036008</v>
      </c>
      <c r="F74" s="267">
        <f>SUM(F71:F73)</f>
        <v>29685381</v>
      </c>
      <c r="G74" s="414">
        <f>SUM(F74/E74)</f>
        <v>5.8946254652494599</v>
      </c>
    </row>
    <row r="75" spans="1:7" ht="20.100000000000001" customHeight="1">
      <c r="A75" s="581" t="s">
        <v>7</v>
      </c>
      <c r="B75" s="582"/>
      <c r="C75" s="272"/>
      <c r="D75" s="273">
        <f>D25+D33+D62+D70+D74</f>
        <v>1469071000</v>
      </c>
      <c r="E75" s="273">
        <f>E25+E33+E62+E70+E74</f>
        <v>1530053370</v>
      </c>
      <c r="F75" s="273">
        <f>F25+F33+F62+F70+F74</f>
        <v>854397456</v>
      </c>
      <c r="G75" s="448">
        <f t="shared" ref="G75:G79" si="0">SUM(F75/E75)</f>
        <v>0.55841023114115296</v>
      </c>
    </row>
    <row r="76" spans="1:7" ht="20.100000000000001" customHeight="1">
      <c r="A76" s="559" t="s">
        <v>8</v>
      </c>
      <c r="B76" s="560"/>
      <c r="C76" s="346"/>
      <c r="D76" s="347">
        <f>7800000+4000000</f>
        <v>11800000</v>
      </c>
      <c r="E76" s="347">
        <f>7800000+4000000+279181021</f>
        <v>290981021</v>
      </c>
      <c r="F76" s="347">
        <v>328677805</v>
      </c>
      <c r="G76" s="419">
        <f t="shared" si="0"/>
        <v>1.1295506623437135</v>
      </c>
    </row>
    <row r="77" spans="1:7" ht="20.100000000000001" customHeight="1" thickBot="1">
      <c r="A77" s="571" t="s">
        <v>351</v>
      </c>
      <c r="B77" s="572"/>
      <c r="C77" s="274"/>
      <c r="D77" s="275">
        <v>0</v>
      </c>
      <c r="E77" s="275">
        <v>11119721</v>
      </c>
      <c r="F77" s="275">
        <v>11119721</v>
      </c>
      <c r="G77" s="420">
        <f t="shared" si="0"/>
        <v>1</v>
      </c>
    </row>
    <row r="78" spans="1:7" ht="20.100000000000001" customHeight="1" thickBot="1">
      <c r="A78" s="335" t="s">
        <v>9</v>
      </c>
      <c r="B78" s="276"/>
      <c r="C78" s="277"/>
      <c r="D78" s="278">
        <f>SUM(D75:D77)</f>
        <v>1480871000</v>
      </c>
      <c r="E78" s="278">
        <f>SUM(E75:E77)</f>
        <v>1832154112</v>
      </c>
      <c r="F78" s="278">
        <f>SUM(F75:F77)</f>
        <v>1194194982</v>
      </c>
      <c r="G78" s="414">
        <f t="shared" si="0"/>
        <v>0.65179832535834192</v>
      </c>
    </row>
    <row r="79" spans="1:7" ht="20.100000000000001" customHeight="1" thickBot="1">
      <c r="A79" s="561" t="s">
        <v>10</v>
      </c>
      <c r="B79" s="562"/>
      <c r="C79" s="279"/>
      <c r="D79" s="267">
        <v>0</v>
      </c>
      <c r="E79" s="267">
        <v>963356861</v>
      </c>
      <c r="F79" s="267">
        <v>963356861</v>
      </c>
      <c r="G79" s="414">
        <f t="shared" si="0"/>
        <v>1</v>
      </c>
    </row>
    <row r="80" spans="1:7" ht="31.5" customHeight="1" thickBot="1">
      <c r="A80" s="583" t="s">
        <v>0</v>
      </c>
      <c r="B80" s="584"/>
      <c r="C80" s="257"/>
      <c r="D80" s="258" t="s">
        <v>1</v>
      </c>
      <c r="E80" s="258" t="s">
        <v>342</v>
      </c>
      <c r="F80" s="258" t="s">
        <v>1</v>
      </c>
      <c r="G80" s="409" t="s">
        <v>342</v>
      </c>
    </row>
    <row r="81" spans="1:7" ht="20.100000000000001" customHeight="1">
      <c r="A81" s="573" t="s">
        <v>11</v>
      </c>
      <c r="B81" s="574"/>
      <c r="C81" s="10"/>
      <c r="D81" s="7"/>
      <c r="E81" s="7"/>
      <c r="F81" s="7"/>
      <c r="G81" s="417"/>
    </row>
    <row r="82" spans="1:7" ht="20.100000000000001" customHeight="1">
      <c r="A82" s="563" t="s">
        <v>12</v>
      </c>
      <c r="B82" s="564"/>
      <c r="C82" s="109"/>
      <c r="D82" s="91"/>
      <c r="E82" s="91"/>
      <c r="F82" s="91"/>
      <c r="G82" s="412"/>
    </row>
    <row r="83" spans="1:7" ht="20.100000000000001" customHeight="1">
      <c r="A83" s="565" t="s">
        <v>13</v>
      </c>
      <c r="B83" s="566"/>
      <c r="C83" s="91"/>
      <c r="D83" s="91">
        <v>564500000</v>
      </c>
      <c r="E83" s="91">
        <v>564500000</v>
      </c>
      <c r="F83" s="91">
        <v>261984630</v>
      </c>
      <c r="G83" s="413">
        <f>SUM(F83/E83)</f>
        <v>0.4641003188662533</v>
      </c>
    </row>
    <row r="84" spans="1:7" ht="20.100000000000001" customHeight="1">
      <c r="A84" s="565" t="s">
        <v>14</v>
      </c>
      <c r="B84" s="566"/>
      <c r="C84" s="91">
        <f>B85+B86</f>
        <v>560500000</v>
      </c>
      <c r="D84" s="91"/>
      <c r="E84" s="91"/>
      <c r="F84" s="91"/>
      <c r="G84" s="412"/>
    </row>
    <row r="85" spans="1:7" ht="20.100000000000001" customHeight="1">
      <c r="A85" s="329" t="s">
        <v>15</v>
      </c>
      <c r="B85" s="110">
        <v>560000000</v>
      </c>
      <c r="C85" s="91"/>
      <c r="D85" s="91"/>
      <c r="E85" s="91"/>
      <c r="F85" s="91"/>
      <c r="G85" s="412"/>
    </row>
    <row r="86" spans="1:7" ht="20.100000000000001" customHeight="1">
      <c r="A86" s="329" t="s">
        <v>16</v>
      </c>
      <c r="B86" s="110">
        <v>500000</v>
      </c>
      <c r="C86" s="91"/>
      <c r="D86" s="91"/>
      <c r="E86" s="91"/>
      <c r="F86" s="91"/>
      <c r="G86" s="412"/>
    </row>
    <row r="87" spans="1:7" ht="20.100000000000001" customHeight="1">
      <c r="A87" s="565" t="s">
        <v>17</v>
      </c>
      <c r="B87" s="566"/>
      <c r="C87" s="91">
        <v>4000000</v>
      </c>
      <c r="D87" s="91"/>
      <c r="E87" s="91"/>
      <c r="F87" s="91"/>
      <c r="G87" s="412"/>
    </row>
    <row r="88" spans="1:7" ht="20.100000000000001" customHeight="1">
      <c r="A88" s="329" t="s">
        <v>18</v>
      </c>
      <c r="B88" s="111"/>
      <c r="C88" s="91"/>
      <c r="D88" s="91">
        <v>40200000</v>
      </c>
      <c r="E88" s="91">
        <v>40200000</v>
      </c>
      <c r="F88" s="91">
        <v>27300998</v>
      </c>
      <c r="G88" s="413">
        <f>SUM(F88/E88)</f>
        <v>0.67912930348258704</v>
      </c>
    </row>
    <row r="89" spans="1:7" ht="20.100000000000001" customHeight="1">
      <c r="A89" s="567" t="s">
        <v>19</v>
      </c>
      <c r="B89" s="568"/>
      <c r="C89" s="91">
        <v>40000000</v>
      </c>
      <c r="D89" s="112"/>
      <c r="E89" s="112"/>
      <c r="F89" s="112"/>
      <c r="G89" s="416"/>
    </row>
    <row r="90" spans="1:7" ht="20.100000000000001" customHeight="1">
      <c r="A90" s="567" t="s">
        <v>20</v>
      </c>
      <c r="B90" s="568"/>
      <c r="C90" s="91">
        <v>200000</v>
      </c>
      <c r="D90" s="112"/>
      <c r="E90" s="112"/>
      <c r="F90" s="112"/>
      <c r="G90" s="416"/>
    </row>
    <row r="91" spans="1:7" ht="20.100000000000001" customHeight="1">
      <c r="A91" s="565" t="s">
        <v>21</v>
      </c>
      <c r="B91" s="566"/>
      <c r="C91" s="91"/>
      <c r="D91" s="91">
        <v>3000000</v>
      </c>
      <c r="E91" s="91">
        <v>3000000</v>
      </c>
      <c r="F91" s="91">
        <v>1348170</v>
      </c>
      <c r="G91" s="413">
        <f>SUM(F91/E91)</f>
        <v>0.44939000000000001</v>
      </c>
    </row>
    <row r="92" spans="1:7" ht="20.100000000000001" customHeight="1">
      <c r="A92" s="329" t="s">
        <v>22</v>
      </c>
      <c r="B92" s="330"/>
      <c r="C92" s="91">
        <v>2000000</v>
      </c>
      <c r="D92" s="91"/>
      <c r="E92" s="91"/>
      <c r="F92" s="91"/>
      <c r="G92" s="412"/>
    </row>
    <row r="93" spans="1:7" ht="20.100000000000001" customHeight="1">
      <c r="A93" s="329" t="s">
        <v>23</v>
      </c>
      <c r="B93" s="330"/>
      <c r="C93" s="91">
        <v>1000000</v>
      </c>
      <c r="D93" s="91"/>
      <c r="E93" s="91"/>
      <c r="F93" s="91"/>
      <c r="G93" s="412"/>
    </row>
    <row r="94" spans="1:7" ht="20.100000000000001" customHeight="1" thickBot="1">
      <c r="A94" s="84" t="s">
        <v>24</v>
      </c>
      <c r="B94" s="85"/>
      <c r="C94" s="93">
        <v>9040000</v>
      </c>
      <c r="D94" s="93">
        <v>9040000</v>
      </c>
      <c r="E94" s="93">
        <v>9040000</v>
      </c>
      <c r="F94" s="93">
        <v>11033287</v>
      </c>
      <c r="G94" s="422">
        <f>SUM(F94/E94)</f>
        <v>1.2204963495575221</v>
      </c>
    </row>
    <row r="95" spans="1:7" ht="20.100000000000001" customHeight="1" thickBot="1">
      <c r="A95" s="569" t="s">
        <v>25</v>
      </c>
      <c r="B95" s="570"/>
      <c r="C95" s="267"/>
      <c r="D95" s="267">
        <f>SUM(D82:D94)</f>
        <v>616740000</v>
      </c>
      <c r="E95" s="267">
        <f>SUM(E82:E94)</f>
        <v>616740000</v>
      </c>
      <c r="F95" s="267">
        <f>SUM(F82:F94)</f>
        <v>301667085</v>
      </c>
      <c r="G95" s="414">
        <f>SUM(F95/E95)</f>
        <v>0.48913170055452865</v>
      </c>
    </row>
    <row r="96" spans="1:7" ht="20.100000000000001" customHeight="1" thickBot="1">
      <c r="A96" s="333" t="s">
        <v>26</v>
      </c>
      <c r="B96" s="334"/>
      <c r="C96" s="267"/>
      <c r="D96" s="267">
        <f>309247000+164845000</f>
        <v>474092000</v>
      </c>
      <c r="E96" s="267">
        <f>309247000+164845000</f>
        <v>474092000</v>
      </c>
      <c r="F96" s="267">
        <v>168586802</v>
      </c>
      <c r="G96" s="414">
        <f>SUM(F96/E96)</f>
        <v>0.35559933936873012</v>
      </c>
    </row>
    <row r="97" spans="1:7" ht="20.100000000000001" customHeight="1">
      <c r="A97" s="575" t="s">
        <v>27</v>
      </c>
      <c r="B97" s="576"/>
      <c r="C97" s="11"/>
      <c r="D97" s="8"/>
      <c r="E97" s="8"/>
      <c r="F97" s="8"/>
      <c r="G97" s="423"/>
    </row>
    <row r="98" spans="1:7" ht="20.100000000000001" customHeight="1">
      <c r="A98" s="577" t="s">
        <v>28</v>
      </c>
      <c r="B98" s="578"/>
      <c r="C98" s="113"/>
      <c r="D98" s="192">
        <v>95543000</v>
      </c>
      <c r="E98" s="192">
        <v>95543000</v>
      </c>
      <c r="F98" s="192">
        <v>564476</v>
      </c>
      <c r="G98" s="424">
        <f>SUM(F98/E98)</f>
        <v>5.9080832714065914E-3</v>
      </c>
    </row>
    <row r="99" spans="1:7" ht="20.100000000000001" customHeight="1" thickBot="1">
      <c r="A99" s="81" t="s">
        <v>29</v>
      </c>
      <c r="B99" s="82"/>
      <c r="C99" s="12"/>
      <c r="D99" s="94">
        <v>20000000</v>
      </c>
      <c r="E99" s="94">
        <v>20000000</v>
      </c>
      <c r="F99" s="94"/>
      <c r="G99" s="425"/>
    </row>
    <row r="100" spans="1:7" ht="20.100000000000001" customHeight="1" thickBot="1">
      <c r="A100" s="557" t="s">
        <v>30</v>
      </c>
      <c r="B100" s="558"/>
      <c r="C100" s="280"/>
      <c r="D100" s="278">
        <f>SUM(D98:D99)</f>
        <v>115543000</v>
      </c>
      <c r="E100" s="278">
        <f>SUM(E98:E99)</f>
        <v>115543000</v>
      </c>
      <c r="F100" s="278">
        <f>SUM(F98:F99)</f>
        <v>564476</v>
      </c>
      <c r="G100" s="421">
        <f>SUM(F100/E100)</f>
        <v>4.885419281133431E-3</v>
      </c>
    </row>
    <row r="101" spans="1:7" s="95" customFormat="1" ht="20.100000000000001" customHeight="1">
      <c r="A101" s="553" t="s">
        <v>31</v>
      </c>
      <c r="B101" s="554"/>
      <c r="C101" s="281"/>
      <c r="D101" s="268">
        <f>25328000</f>
        <v>25328000</v>
      </c>
      <c r="E101" s="268">
        <f>25328000-6050000</f>
        <v>19278000</v>
      </c>
      <c r="F101" s="268">
        <v>1240000</v>
      </c>
      <c r="G101" s="418">
        <f>SUM(F101/E101)</f>
        <v>6.4322025106338832E-2</v>
      </c>
    </row>
    <row r="102" spans="1:7" s="95" customFormat="1" ht="20.100000000000001" customHeight="1" thickBot="1">
      <c r="A102" s="555" t="s">
        <v>32</v>
      </c>
      <c r="B102" s="556"/>
      <c r="C102" s="282"/>
      <c r="D102" s="283">
        <f>16096000</f>
        <v>16096000</v>
      </c>
      <c r="E102" s="283">
        <f>16096000-7366000</f>
        <v>8730000</v>
      </c>
      <c r="F102" s="283">
        <v>3827699</v>
      </c>
      <c r="G102" s="426">
        <f>SUM(F102/E102)</f>
        <v>0.43845349369988545</v>
      </c>
    </row>
    <row r="103" spans="1:7" ht="20.100000000000001" customHeight="1" thickBot="1">
      <c r="A103" s="557" t="s">
        <v>33</v>
      </c>
      <c r="B103" s="558"/>
      <c r="C103" s="280"/>
      <c r="D103" s="278">
        <f>SUM(D78+D79+D95+D96+D100+D101+D102)</f>
        <v>2728670000</v>
      </c>
      <c r="E103" s="278">
        <f>SUM(E78+E79+E95+E96+E100+E101+E102)</f>
        <v>4029893973</v>
      </c>
      <c r="F103" s="278">
        <f>SUM(F78+F79+F95+F96+F100+F101+F102)</f>
        <v>2633437905</v>
      </c>
      <c r="G103" s="414">
        <f>SUM(F103/E103)</f>
        <v>0.65347572979434321</v>
      </c>
    </row>
    <row r="104" spans="1:7" ht="20.100000000000001" customHeight="1">
      <c r="A104" s="336" t="s">
        <v>34</v>
      </c>
      <c r="B104" s="337"/>
      <c r="C104" s="6"/>
      <c r="D104" s="6"/>
      <c r="E104" s="6"/>
      <c r="F104" s="6"/>
      <c r="G104" s="427"/>
    </row>
    <row r="105" spans="1:7" ht="20.100000000000001" customHeight="1" thickBot="1">
      <c r="A105" s="86" t="s">
        <v>186</v>
      </c>
      <c r="B105" s="87"/>
      <c r="C105" s="7"/>
      <c r="D105" s="93">
        <f>273553000+53540000</f>
        <v>327093000</v>
      </c>
      <c r="E105" s="93">
        <f>273553000+53540000+95846411</f>
        <v>422939411</v>
      </c>
      <c r="F105" s="93">
        <v>422939411</v>
      </c>
      <c r="G105" s="422">
        <f>SUM(F105/E105)</f>
        <v>1</v>
      </c>
    </row>
    <row r="106" spans="1:7" ht="20.100000000000001" customHeight="1" thickBot="1">
      <c r="A106" s="331" t="s">
        <v>35</v>
      </c>
      <c r="B106" s="332"/>
      <c r="C106" s="280"/>
      <c r="D106" s="278">
        <f>SUM(D105:D105)</f>
        <v>327093000</v>
      </c>
      <c r="E106" s="278">
        <f>SUM(E105:E105)</f>
        <v>422939411</v>
      </c>
      <c r="F106" s="278">
        <f>SUM(F105:F105)</f>
        <v>422939411</v>
      </c>
      <c r="G106" s="414">
        <f>SUM(F106/E106)</f>
        <v>1</v>
      </c>
    </row>
    <row r="107" spans="1:7" ht="20.100000000000001" customHeight="1" thickBot="1">
      <c r="A107" s="557" t="s">
        <v>36</v>
      </c>
      <c r="B107" s="558"/>
      <c r="C107" s="280"/>
      <c r="D107" s="278">
        <f>D103+D106</f>
        <v>3055763000</v>
      </c>
      <c r="E107" s="278">
        <f>E103+E106</f>
        <v>4452833384</v>
      </c>
      <c r="F107" s="278">
        <f>F103+F106</f>
        <v>3056377316</v>
      </c>
      <c r="G107" s="414">
        <f>SUM(F107/E107)</f>
        <v>0.68638932841777311</v>
      </c>
    </row>
    <row r="108" spans="1:7" ht="20.100000000000001" customHeight="1"/>
    <row r="109" spans="1:7" ht="20.100000000000001" customHeight="1"/>
    <row r="110" spans="1:7" ht="20.100000000000001" customHeight="1"/>
    <row r="111" spans="1:7" ht="20.100000000000001" customHeight="1"/>
    <row r="112" spans="1:7" ht="20.25" customHeight="1">
      <c r="B112" s="97"/>
      <c r="C112" s="98"/>
      <c r="D112" s="98"/>
      <c r="E112" s="98"/>
      <c r="F112" s="98"/>
      <c r="G112" s="98"/>
    </row>
  </sheetData>
  <mergeCells count="41">
    <mergeCell ref="A1:D1"/>
    <mergeCell ref="A6:B6"/>
    <mergeCell ref="A10:B10"/>
    <mergeCell ref="A11:B11"/>
    <mergeCell ref="A3:G3"/>
    <mergeCell ref="A64:B64"/>
    <mergeCell ref="A12:B12"/>
    <mergeCell ref="A25:B25"/>
    <mergeCell ref="A33:B33"/>
    <mergeCell ref="A14:B14"/>
    <mergeCell ref="A18:B18"/>
    <mergeCell ref="A20:B20"/>
    <mergeCell ref="A22:B22"/>
    <mergeCell ref="A26:B26"/>
    <mergeCell ref="A34:B34"/>
    <mergeCell ref="A36:B36"/>
    <mergeCell ref="A50:B50"/>
    <mergeCell ref="A62:B62"/>
    <mergeCell ref="A89:B89"/>
    <mergeCell ref="A97:B97"/>
    <mergeCell ref="A98:B98"/>
    <mergeCell ref="A70:B70"/>
    <mergeCell ref="A74:B74"/>
    <mergeCell ref="A75:B75"/>
    <mergeCell ref="A80:B80"/>
    <mergeCell ref="A101:B101"/>
    <mergeCell ref="A102:B102"/>
    <mergeCell ref="A103:B103"/>
    <mergeCell ref="A107:B107"/>
    <mergeCell ref="A76:B76"/>
    <mergeCell ref="A100:B100"/>
    <mergeCell ref="A79:B79"/>
    <mergeCell ref="A82:B82"/>
    <mergeCell ref="A83:B83"/>
    <mergeCell ref="A84:B84"/>
    <mergeCell ref="A90:B90"/>
    <mergeCell ref="A91:B91"/>
    <mergeCell ref="A95:B95"/>
    <mergeCell ref="A77:B77"/>
    <mergeCell ref="A81:B81"/>
    <mergeCell ref="A87:B87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 r:id="rId1"/>
  <rowBreaks count="1" manualBreakCount="1"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85"/>
  <sheetViews>
    <sheetView view="pageBreakPreview" topLeftCell="A31" zoomScale="106" zoomScaleSheetLayoutView="106" workbookViewId="0">
      <selection sqref="A1:D1"/>
    </sheetView>
  </sheetViews>
  <sheetFormatPr defaultRowHeight="15.75"/>
  <cols>
    <col min="1" max="1" width="74.5703125" style="89" customWidth="1"/>
    <col min="2" max="2" width="17.85546875" style="89" customWidth="1"/>
    <col min="3" max="3" width="18.42578125" style="96" customWidth="1"/>
    <col min="4" max="4" width="18.7109375" style="96" customWidth="1"/>
    <col min="5" max="5" width="19.5703125" style="89" customWidth="1"/>
    <col min="6" max="7" width="19.42578125" style="96" customWidth="1"/>
    <col min="8" max="16384" width="9.140625" style="89"/>
  </cols>
  <sheetData>
    <row r="1" spans="1:7" ht="20.100000000000001" customHeight="1">
      <c r="A1" s="595" t="s">
        <v>419</v>
      </c>
      <c r="B1" s="595"/>
      <c r="C1" s="595"/>
      <c r="D1" s="595"/>
      <c r="E1" s="339"/>
      <c r="F1" s="89"/>
      <c r="G1" s="339"/>
    </row>
    <row r="2" spans="1:7" ht="20.100000000000001" customHeight="1">
      <c r="A2" s="2"/>
      <c r="B2" s="35"/>
      <c r="C2" s="3"/>
      <c r="D2" s="3"/>
      <c r="F2" s="3"/>
      <c r="G2" s="3"/>
    </row>
    <row r="3" spans="1:7" ht="38.25" customHeight="1">
      <c r="A3" s="596" t="s">
        <v>399</v>
      </c>
      <c r="B3" s="596"/>
      <c r="C3" s="596"/>
      <c r="D3" s="596"/>
      <c r="E3" s="596"/>
      <c r="F3" s="596"/>
      <c r="G3" s="596"/>
    </row>
    <row r="4" spans="1:7" ht="20.100000000000001" customHeight="1">
      <c r="A4" s="2"/>
      <c r="B4" s="35"/>
      <c r="C4" s="3"/>
      <c r="D4" s="3"/>
      <c r="F4" s="3"/>
      <c r="G4" s="3"/>
    </row>
    <row r="5" spans="1:7" ht="20.100000000000001" customHeight="1" thickBot="1">
      <c r="A5" s="4"/>
      <c r="B5" s="5"/>
      <c r="C5" s="5"/>
      <c r="D5" s="343"/>
      <c r="E5" s="343"/>
      <c r="F5" s="445"/>
      <c r="G5" s="445" t="s">
        <v>4</v>
      </c>
    </row>
    <row r="6" spans="1:7" ht="31.5" customHeight="1" thickBot="1">
      <c r="A6" s="583" t="s">
        <v>0</v>
      </c>
      <c r="B6" s="584"/>
      <c r="C6" s="257"/>
      <c r="D6" s="258" t="s">
        <v>1</v>
      </c>
      <c r="E6" s="258" t="s">
        <v>342</v>
      </c>
      <c r="F6" s="258" t="s">
        <v>389</v>
      </c>
      <c r="G6" s="409" t="s">
        <v>390</v>
      </c>
    </row>
    <row r="7" spans="1:7" ht="20.100000000000001" customHeight="1">
      <c r="A7" s="83" t="s">
        <v>2</v>
      </c>
      <c r="B7" s="90"/>
      <c r="C7" s="88"/>
      <c r="D7" s="88"/>
      <c r="E7" s="88"/>
      <c r="F7" s="88"/>
      <c r="G7" s="410"/>
    </row>
    <row r="8" spans="1:7" ht="20.100000000000001" customHeight="1">
      <c r="A8" s="99" t="s">
        <v>3</v>
      </c>
      <c r="B8" s="100" t="s">
        <v>4</v>
      </c>
      <c r="C8" s="101" t="s">
        <v>4</v>
      </c>
      <c r="D8" s="102"/>
      <c r="E8" s="102"/>
      <c r="F8" s="102"/>
      <c r="G8" s="411"/>
    </row>
    <row r="9" spans="1:7" ht="20.100000000000001" customHeight="1">
      <c r="A9" s="99" t="s">
        <v>196</v>
      </c>
      <c r="B9" s="100"/>
      <c r="C9" s="101"/>
      <c r="D9" s="102"/>
      <c r="E9" s="102"/>
      <c r="F9" s="102"/>
      <c r="G9" s="411"/>
    </row>
    <row r="10" spans="1:7" ht="20.100000000000001" customHeight="1">
      <c r="A10" s="565" t="s">
        <v>197</v>
      </c>
      <c r="B10" s="566"/>
      <c r="C10" s="91">
        <v>195337000</v>
      </c>
      <c r="D10" s="91">
        <v>195337000</v>
      </c>
      <c r="E10" s="91">
        <v>195337000</v>
      </c>
      <c r="F10" s="91">
        <v>101575188</v>
      </c>
      <c r="G10" s="412">
        <f>SUM(F10/E10)</f>
        <v>0.51999973379339293</v>
      </c>
    </row>
    <row r="11" spans="1:7" ht="20.100000000000001" customHeight="1">
      <c r="A11" s="565" t="s">
        <v>198</v>
      </c>
      <c r="B11" s="566"/>
      <c r="C11" s="91">
        <v>29491750</v>
      </c>
      <c r="D11" s="91">
        <v>0</v>
      </c>
      <c r="E11" s="91">
        <v>0</v>
      </c>
      <c r="F11" s="91"/>
      <c r="G11" s="412"/>
    </row>
    <row r="12" spans="1:7" ht="20.100000000000001" customHeight="1">
      <c r="A12" s="565" t="s">
        <v>199</v>
      </c>
      <c r="B12" s="566"/>
      <c r="C12" s="91">
        <v>0</v>
      </c>
      <c r="D12" s="91"/>
      <c r="E12" s="91"/>
      <c r="F12" s="91"/>
      <c r="G12" s="412"/>
    </row>
    <row r="13" spans="1:7" ht="20.100000000000001" customHeight="1">
      <c r="A13" s="329" t="s">
        <v>200</v>
      </c>
      <c r="B13" s="330"/>
      <c r="C13" s="91">
        <v>54560000</v>
      </c>
      <c r="D13" s="91">
        <v>50339000</v>
      </c>
      <c r="E13" s="91">
        <v>50339000</v>
      </c>
      <c r="F13" s="91">
        <v>26176280</v>
      </c>
      <c r="G13" s="412">
        <f>SUM(F13/E13)</f>
        <v>0.52</v>
      </c>
    </row>
    <row r="14" spans="1:7" ht="20.100000000000001" customHeight="1">
      <c r="A14" s="565" t="s">
        <v>199</v>
      </c>
      <c r="B14" s="566"/>
      <c r="C14" s="91">
        <v>50338698</v>
      </c>
      <c r="D14" s="91"/>
      <c r="E14" s="91"/>
      <c r="F14" s="91"/>
      <c r="G14" s="412"/>
    </row>
    <row r="15" spans="1:7" ht="20.100000000000001" customHeight="1">
      <c r="A15" s="329" t="s">
        <v>201</v>
      </c>
      <c r="B15" s="330"/>
      <c r="C15" s="91">
        <v>0</v>
      </c>
      <c r="D15" s="91">
        <v>0</v>
      </c>
      <c r="E15" s="91">
        <v>0</v>
      </c>
      <c r="F15" s="91"/>
      <c r="G15" s="412"/>
    </row>
    <row r="16" spans="1:7" ht="20.100000000000001" customHeight="1">
      <c r="A16" s="329" t="s">
        <v>202</v>
      </c>
      <c r="B16" s="330"/>
      <c r="C16" s="91">
        <v>32733200</v>
      </c>
      <c r="D16" s="91">
        <v>32733000</v>
      </c>
      <c r="E16" s="91">
        <v>32733000</v>
      </c>
      <c r="F16" s="91">
        <v>17021160</v>
      </c>
      <c r="G16" s="412">
        <f>SUM(F16/E16)</f>
        <v>0.52</v>
      </c>
    </row>
    <row r="17" spans="1:7" ht="20.100000000000001" customHeight="1">
      <c r="A17" s="329" t="s">
        <v>203</v>
      </c>
      <c r="B17" s="330"/>
      <c r="C17" s="91">
        <v>55444500</v>
      </c>
      <c r="D17" s="91">
        <v>0</v>
      </c>
      <c r="E17" s="91">
        <v>0</v>
      </c>
      <c r="F17" s="91"/>
      <c r="G17" s="412"/>
    </row>
    <row r="18" spans="1:7" ht="20.100000000000001" customHeight="1">
      <c r="A18" s="565" t="s">
        <v>199</v>
      </c>
      <c r="B18" s="566"/>
      <c r="C18" s="91">
        <v>0</v>
      </c>
      <c r="D18" s="91"/>
      <c r="E18" s="91"/>
      <c r="F18" s="91"/>
      <c r="G18" s="412"/>
    </row>
    <row r="19" spans="1:7" ht="20.100000000000001" customHeight="1">
      <c r="A19" s="329" t="s">
        <v>204</v>
      </c>
      <c r="B19" s="330"/>
      <c r="C19" s="91">
        <v>1384650</v>
      </c>
      <c r="D19" s="91">
        <v>0</v>
      </c>
      <c r="E19" s="91">
        <v>0</v>
      </c>
      <c r="F19" s="91"/>
      <c r="G19" s="412"/>
    </row>
    <row r="20" spans="1:7" ht="20.100000000000001" customHeight="1">
      <c r="A20" s="565" t="s">
        <v>199</v>
      </c>
      <c r="B20" s="566"/>
      <c r="C20" s="91">
        <v>0</v>
      </c>
      <c r="D20" s="91"/>
      <c r="E20" s="91"/>
      <c r="F20" s="91"/>
      <c r="G20" s="412"/>
    </row>
    <row r="21" spans="1:7" ht="20.100000000000001" customHeight="1">
      <c r="A21" s="329" t="s">
        <v>205</v>
      </c>
      <c r="B21" s="330"/>
      <c r="C21" s="91">
        <v>3503000</v>
      </c>
      <c r="D21" s="91">
        <v>3503000</v>
      </c>
      <c r="E21" s="91">
        <v>3503000</v>
      </c>
      <c r="F21" s="91">
        <v>1821560</v>
      </c>
      <c r="G21" s="412">
        <f>SUM(F21/E21)</f>
        <v>0.52</v>
      </c>
    </row>
    <row r="22" spans="1:7" ht="20.100000000000001" customHeight="1">
      <c r="A22" s="565" t="s">
        <v>199</v>
      </c>
      <c r="B22" s="566"/>
      <c r="C22" s="91">
        <v>3503000</v>
      </c>
      <c r="D22" s="91"/>
      <c r="E22" s="91"/>
      <c r="F22" s="91"/>
      <c r="G22" s="412"/>
    </row>
    <row r="23" spans="1:7" ht="20.100000000000001" customHeight="1">
      <c r="A23" s="329" t="s">
        <v>5</v>
      </c>
      <c r="B23" s="103">
        <f>C11+C13-C14+C17+C19</f>
        <v>90542202</v>
      </c>
      <c r="C23" s="91"/>
      <c r="D23" s="91"/>
      <c r="E23" s="91"/>
      <c r="F23" s="91"/>
      <c r="G23" s="412"/>
    </row>
    <row r="24" spans="1:7" ht="20.100000000000001" customHeight="1" thickBot="1">
      <c r="A24" s="259" t="s">
        <v>206</v>
      </c>
      <c r="B24" s="260"/>
      <c r="C24" s="261">
        <v>1448308</v>
      </c>
      <c r="D24" s="261"/>
      <c r="E24" s="261">
        <v>1448308</v>
      </c>
      <c r="F24" s="261">
        <v>1448308</v>
      </c>
      <c r="G24" s="412">
        <f>SUM(F24/E24)</f>
        <v>1</v>
      </c>
    </row>
    <row r="25" spans="1:7" ht="19.5" customHeight="1" thickBot="1">
      <c r="A25" s="587" t="s">
        <v>207</v>
      </c>
      <c r="B25" s="588"/>
      <c r="C25" s="267">
        <f>C10+C12+C14+C15+C16+C18+C20+C22+C24</f>
        <v>283360206</v>
      </c>
      <c r="D25" s="267">
        <f>SUM(D10:D24)</f>
        <v>281912000</v>
      </c>
      <c r="E25" s="267">
        <f>SUM(E10:E24)</f>
        <v>283360308</v>
      </c>
      <c r="F25" s="267">
        <f>SUM(F10:F24)</f>
        <v>148042496</v>
      </c>
      <c r="G25" s="414">
        <f>SUM(F25/E25)</f>
        <v>0.52245318705681254</v>
      </c>
    </row>
    <row r="26" spans="1:7" ht="19.5" customHeight="1">
      <c r="A26" s="604" t="s">
        <v>208</v>
      </c>
      <c r="B26" s="605"/>
      <c r="C26" s="102"/>
      <c r="D26" s="102"/>
      <c r="E26" s="102"/>
      <c r="F26" s="102"/>
      <c r="G26" s="411"/>
    </row>
    <row r="27" spans="1:7" s="38" customFormat="1" ht="20.100000000000001" customHeight="1">
      <c r="A27" s="329" t="s">
        <v>209</v>
      </c>
      <c r="B27" s="330"/>
      <c r="C27" s="91">
        <v>350135263</v>
      </c>
      <c r="D27" s="91">
        <v>350135000</v>
      </c>
      <c r="E27" s="91">
        <v>350135000</v>
      </c>
      <c r="F27" s="91">
        <v>176221134</v>
      </c>
      <c r="G27" s="412">
        <f>SUM(F27/E27)</f>
        <v>0.50329482628129152</v>
      </c>
    </row>
    <row r="28" spans="1:7" s="38" customFormat="1" ht="20.100000000000001" customHeight="1">
      <c r="A28" s="329" t="s">
        <v>210</v>
      </c>
      <c r="B28" s="330"/>
      <c r="C28" s="91"/>
      <c r="D28" s="91"/>
      <c r="E28" s="91"/>
      <c r="F28" s="91"/>
      <c r="G28" s="412"/>
    </row>
    <row r="29" spans="1:7" s="38" customFormat="1" ht="20.100000000000001" customHeight="1">
      <c r="A29" s="329" t="s">
        <v>211</v>
      </c>
      <c r="B29" s="330"/>
      <c r="C29" s="91">
        <v>68254367</v>
      </c>
      <c r="D29" s="91">
        <v>68255000</v>
      </c>
      <c r="E29" s="91">
        <v>68255000</v>
      </c>
      <c r="F29" s="91">
        <v>29224635</v>
      </c>
      <c r="G29" s="412">
        <f>SUM(F29/E29)</f>
        <v>0.42816841257050764</v>
      </c>
    </row>
    <row r="30" spans="1:7" s="38" customFormat="1" ht="20.100000000000001" customHeight="1">
      <c r="A30" s="329" t="s">
        <v>212</v>
      </c>
      <c r="B30" s="330"/>
      <c r="C30" s="91"/>
      <c r="D30" s="91"/>
      <c r="E30" s="91"/>
      <c r="F30" s="91"/>
      <c r="G30" s="412"/>
    </row>
    <row r="31" spans="1:7" s="38" customFormat="1" ht="20.100000000000001" customHeight="1">
      <c r="A31" s="259" t="s">
        <v>213</v>
      </c>
      <c r="B31" s="262"/>
      <c r="C31" s="261">
        <v>13673336</v>
      </c>
      <c r="D31" s="261"/>
      <c r="E31" s="261">
        <v>13673336</v>
      </c>
      <c r="F31" s="261">
        <f>6836669+4</f>
        <v>6836673</v>
      </c>
      <c r="G31" s="412">
        <f>SUM(F31/E31)</f>
        <v>0.500000365675209</v>
      </c>
    </row>
    <row r="32" spans="1:7" s="38" customFormat="1" ht="20.100000000000001" customHeight="1" thickBot="1">
      <c r="A32" s="84" t="s">
        <v>396</v>
      </c>
      <c r="B32" s="85"/>
      <c r="C32" s="7"/>
      <c r="D32" s="7"/>
      <c r="E32" s="7"/>
      <c r="F32" s="261">
        <v>8207455</v>
      </c>
      <c r="G32" s="412">
        <v>0</v>
      </c>
    </row>
    <row r="33" spans="1:7" s="38" customFormat="1" ht="20.100000000000001" customHeight="1" thickBot="1">
      <c r="A33" s="587" t="s">
        <v>208</v>
      </c>
      <c r="B33" s="588"/>
      <c r="C33" s="267">
        <f>SUM(C27:C32)</f>
        <v>432062966</v>
      </c>
      <c r="D33" s="267">
        <f>SUM(D27:D32)</f>
        <v>418390000</v>
      </c>
      <c r="E33" s="267">
        <f>SUM(E27:E32)</f>
        <v>432063336</v>
      </c>
      <c r="F33" s="267">
        <f>SUM(F27:F32)</f>
        <v>220489897</v>
      </c>
      <c r="G33" s="414">
        <f>SUM(F33/E33)</f>
        <v>0.51031846173589701</v>
      </c>
    </row>
    <row r="34" spans="1:7" s="38" customFormat="1" ht="20.100000000000001" customHeight="1">
      <c r="A34" s="604" t="s">
        <v>214</v>
      </c>
      <c r="B34" s="605"/>
      <c r="C34" s="102"/>
      <c r="D34" s="102"/>
      <c r="E34" s="102"/>
      <c r="F34" s="102"/>
      <c r="G34" s="411"/>
    </row>
    <row r="35" spans="1:7" s="38" customFormat="1" ht="20.100000000000001" customHeight="1">
      <c r="A35" s="84" t="s">
        <v>6</v>
      </c>
      <c r="B35" s="338"/>
      <c r="C35" s="92"/>
      <c r="D35" s="92"/>
      <c r="E35" s="92"/>
      <c r="F35" s="92"/>
      <c r="G35" s="415"/>
    </row>
    <row r="36" spans="1:7" s="38" customFormat="1" ht="20.100000000000001" customHeight="1">
      <c r="A36" s="591" t="s">
        <v>215</v>
      </c>
      <c r="B36" s="592"/>
      <c r="C36" s="91">
        <v>80804000</v>
      </c>
      <c r="D36" s="91">
        <v>80804000</v>
      </c>
      <c r="E36" s="91">
        <v>80804000</v>
      </c>
      <c r="F36" s="91">
        <v>42018080</v>
      </c>
      <c r="G36" s="412">
        <f>SUM(F36/E36)</f>
        <v>0.52</v>
      </c>
    </row>
    <row r="37" spans="1:7" s="38" customFormat="1" ht="20.100000000000001" customHeight="1">
      <c r="A37" s="329" t="s">
        <v>216</v>
      </c>
      <c r="B37" s="330"/>
      <c r="C37" s="91">
        <f>SUM(B38:B48)</f>
        <v>154052876</v>
      </c>
      <c r="D37" s="91">
        <v>154053000</v>
      </c>
      <c r="E37" s="91">
        <v>154053000</v>
      </c>
      <c r="F37" s="91">
        <v>80107496</v>
      </c>
      <c r="G37" s="412">
        <f>SUM(F37/E37)</f>
        <v>0.51999958455856099</v>
      </c>
    </row>
    <row r="38" spans="1:7" s="38" customFormat="1" ht="20.100000000000001" customHeight="1">
      <c r="A38" s="329" t="s">
        <v>228</v>
      </c>
      <c r="B38" s="104">
        <v>14700000</v>
      </c>
      <c r="C38" s="91"/>
      <c r="D38" s="91"/>
      <c r="E38" s="91"/>
      <c r="F38" s="91"/>
      <c r="G38" s="412"/>
    </row>
    <row r="39" spans="1:7" s="38" customFormat="1" ht="20.100000000000001" customHeight="1">
      <c r="A39" s="329" t="s">
        <v>229</v>
      </c>
      <c r="B39" s="104">
        <v>22500000</v>
      </c>
      <c r="C39" s="91"/>
      <c r="D39" s="91"/>
      <c r="E39" s="91"/>
      <c r="F39" s="91"/>
      <c r="G39" s="412"/>
    </row>
    <row r="40" spans="1:7" s="38" customFormat="1" ht="20.100000000000001" customHeight="1">
      <c r="A40" s="329" t="s">
        <v>230</v>
      </c>
      <c r="B40" s="104">
        <v>31117856</v>
      </c>
      <c r="C40" s="91"/>
      <c r="D40" s="91"/>
      <c r="E40" s="91"/>
      <c r="F40" s="91"/>
      <c r="G40" s="412"/>
    </row>
    <row r="41" spans="1:7" s="38" customFormat="1" ht="20.100000000000001" customHeight="1">
      <c r="A41" s="329" t="s">
        <v>231</v>
      </c>
      <c r="B41" s="104">
        <v>775000</v>
      </c>
      <c r="C41" s="91"/>
      <c r="D41" s="91"/>
      <c r="E41" s="91"/>
      <c r="F41" s="91"/>
      <c r="G41" s="412"/>
    </row>
    <row r="42" spans="1:7" s="38" customFormat="1" ht="20.100000000000001" customHeight="1">
      <c r="A42" s="329" t="s">
        <v>232</v>
      </c>
      <c r="B42" s="104">
        <v>15015000</v>
      </c>
      <c r="C42" s="91"/>
      <c r="D42" s="91"/>
      <c r="E42" s="91"/>
      <c r="F42" s="91"/>
      <c r="G42" s="412"/>
    </row>
    <row r="43" spans="1:7" s="38" customFormat="1" ht="20.100000000000001" customHeight="1">
      <c r="A43" s="329" t="s">
        <v>233</v>
      </c>
      <c r="B43" s="104">
        <v>2500000</v>
      </c>
      <c r="C43" s="91"/>
      <c r="D43" s="91"/>
      <c r="E43" s="91"/>
      <c r="F43" s="91"/>
      <c r="G43" s="412"/>
    </row>
    <row r="44" spans="1:7" s="38" customFormat="1" ht="20.100000000000001" customHeight="1">
      <c r="A44" s="329" t="s">
        <v>234</v>
      </c>
      <c r="B44" s="104">
        <v>8338500</v>
      </c>
      <c r="C44" s="91"/>
      <c r="D44" s="91"/>
      <c r="E44" s="91"/>
      <c r="F44" s="91"/>
      <c r="G44" s="412"/>
    </row>
    <row r="45" spans="1:7" s="38" customFormat="1" ht="20.100000000000001" customHeight="1">
      <c r="A45" s="329" t="s">
        <v>235</v>
      </c>
      <c r="B45" s="104">
        <v>5500000</v>
      </c>
      <c r="C45" s="91"/>
      <c r="D45" s="91"/>
      <c r="E45" s="91"/>
      <c r="F45" s="91"/>
      <c r="G45" s="412"/>
    </row>
    <row r="46" spans="1:7" s="38" customFormat="1" ht="20.100000000000001" customHeight="1">
      <c r="A46" s="329" t="s">
        <v>236</v>
      </c>
      <c r="B46" s="104">
        <v>2976000</v>
      </c>
      <c r="C46" s="91"/>
      <c r="D46" s="91"/>
      <c r="E46" s="91"/>
      <c r="F46" s="91"/>
      <c r="G46" s="412"/>
    </row>
    <row r="47" spans="1:7" s="38" customFormat="1" ht="20.100000000000001" customHeight="1">
      <c r="A47" s="329" t="s">
        <v>237</v>
      </c>
      <c r="B47" s="104">
        <v>2604000</v>
      </c>
      <c r="C47" s="91"/>
      <c r="D47" s="91"/>
      <c r="E47" s="91"/>
      <c r="F47" s="91"/>
      <c r="G47" s="412"/>
    </row>
    <row r="48" spans="1:7" s="38" customFormat="1" ht="20.100000000000001" customHeight="1">
      <c r="A48" s="329" t="s">
        <v>238</v>
      </c>
      <c r="B48" s="104">
        <v>48026520</v>
      </c>
      <c r="C48" s="91"/>
      <c r="D48" s="91"/>
      <c r="E48" s="91"/>
      <c r="F48" s="91"/>
      <c r="G48" s="412"/>
    </row>
    <row r="49" spans="1:7" s="38" customFormat="1" ht="20.100000000000001" customHeight="1">
      <c r="A49" s="329" t="s">
        <v>217</v>
      </c>
      <c r="B49" s="330"/>
      <c r="C49" s="91">
        <f>SUM(B51:B52)</f>
        <v>305409160</v>
      </c>
      <c r="D49" s="91">
        <v>305409000</v>
      </c>
      <c r="E49" s="91">
        <v>305409000</v>
      </c>
      <c r="F49" s="91">
        <v>158812763</v>
      </c>
      <c r="G49" s="412">
        <f>SUM(F49/E49)</f>
        <v>0.52000027176671282</v>
      </c>
    </row>
    <row r="50" spans="1:7" s="38" customFormat="1" ht="20.100000000000001" customHeight="1">
      <c r="A50" s="591" t="s">
        <v>218</v>
      </c>
      <c r="B50" s="592"/>
      <c r="C50" s="91"/>
      <c r="D50" s="91"/>
      <c r="E50" s="91"/>
      <c r="F50" s="91"/>
      <c r="G50" s="412"/>
    </row>
    <row r="51" spans="1:7" s="38" customFormat="1" ht="20.100000000000001" customHeight="1">
      <c r="A51" s="329" t="s">
        <v>239</v>
      </c>
      <c r="B51" s="105">
        <v>205877160</v>
      </c>
      <c r="C51" s="91"/>
      <c r="D51" s="91"/>
      <c r="E51" s="91"/>
      <c r="F51" s="91"/>
      <c r="G51" s="412"/>
    </row>
    <row r="52" spans="1:7" s="38" customFormat="1" ht="20.100000000000001" customHeight="1">
      <c r="A52" s="329" t="s">
        <v>240</v>
      </c>
      <c r="B52" s="105">
        <v>99532000</v>
      </c>
      <c r="C52" s="91"/>
      <c r="D52" s="91"/>
      <c r="E52" s="91"/>
      <c r="F52" s="91"/>
      <c r="G52" s="412"/>
    </row>
    <row r="53" spans="1:7" s="38" customFormat="1" ht="20.100000000000001" customHeight="1">
      <c r="A53" s="329" t="s">
        <v>219</v>
      </c>
      <c r="B53" s="105"/>
      <c r="C53" s="91">
        <f>SUM(B54:B55)</f>
        <v>165390496</v>
      </c>
      <c r="D53" s="91">
        <v>165391000</v>
      </c>
      <c r="E53" s="91">
        <v>165391000</v>
      </c>
      <c r="F53" s="91">
        <v>86003062</v>
      </c>
      <c r="G53" s="412">
        <f>SUM(F53/E53)</f>
        <v>0.51999844006022089</v>
      </c>
    </row>
    <row r="54" spans="1:7" s="38" customFormat="1" ht="20.100000000000001" customHeight="1">
      <c r="A54" s="329" t="s">
        <v>241</v>
      </c>
      <c r="B54" s="105">
        <v>44831040</v>
      </c>
      <c r="C54" s="91"/>
      <c r="D54" s="91"/>
      <c r="E54" s="91"/>
      <c r="F54" s="91"/>
      <c r="G54" s="412"/>
    </row>
    <row r="55" spans="1:7" s="38" customFormat="1" ht="20.100000000000001" customHeight="1">
      <c r="A55" s="329" t="s">
        <v>242</v>
      </c>
      <c r="B55" s="105">
        <v>120559456</v>
      </c>
      <c r="C55" s="91"/>
      <c r="D55" s="91"/>
      <c r="E55" s="91"/>
      <c r="F55" s="91"/>
      <c r="G55" s="412"/>
    </row>
    <row r="56" spans="1:7" s="38" customFormat="1" ht="20.100000000000001" customHeight="1">
      <c r="A56" s="329" t="s">
        <v>220</v>
      </c>
      <c r="B56" s="105">
        <v>19807390</v>
      </c>
      <c r="C56" s="91">
        <f>SUM(B56)</f>
        <v>19807390</v>
      </c>
      <c r="D56" s="91">
        <v>19807000</v>
      </c>
      <c r="E56" s="91">
        <v>19807000</v>
      </c>
      <c r="F56" s="91">
        <v>10299843</v>
      </c>
      <c r="G56" s="412">
        <f>SUM(F56/E56)</f>
        <v>0.52001024890190339</v>
      </c>
    </row>
    <row r="57" spans="1:7" s="38" customFormat="1" ht="20.100000000000001" customHeight="1">
      <c r="A57" s="106" t="s">
        <v>221</v>
      </c>
      <c r="B57" s="107"/>
      <c r="C57" s="108">
        <v>4526280</v>
      </c>
      <c r="D57" s="91">
        <v>4526000</v>
      </c>
      <c r="E57" s="91">
        <v>4526000</v>
      </c>
      <c r="F57" s="91">
        <v>2263140</v>
      </c>
      <c r="G57" s="412">
        <f>SUM(F57/E57)</f>
        <v>0.5000309323906319</v>
      </c>
    </row>
    <row r="58" spans="1:7" s="38" customFormat="1" ht="20.100000000000001" customHeight="1">
      <c r="A58" s="263" t="s">
        <v>222</v>
      </c>
      <c r="B58" s="264"/>
      <c r="C58" s="265"/>
      <c r="D58" s="261"/>
      <c r="E58" s="261"/>
      <c r="F58" s="261"/>
      <c r="G58" s="413"/>
    </row>
    <row r="59" spans="1:7" s="38" customFormat="1" ht="20.100000000000001" customHeight="1">
      <c r="A59" s="106" t="s">
        <v>345</v>
      </c>
      <c r="B59" s="264"/>
      <c r="C59" s="265">
        <v>34645518</v>
      </c>
      <c r="D59" s="261"/>
      <c r="E59" s="261">
        <v>34645518</v>
      </c>
      <c r="F59" s="261">
        <v>41376069</v>
      </c>
      <c r="G59" s="412">
        <f>SUM(F59/E59)</f>
        <v>1.1942690249284194</v>
      </c>
    </row>
    <row r="60" spans="1:7" s="38" customFormat="1" ht="20.100000000000001" customHeight="1">
      <c r="A60" s="106" t="s">
        <v>346</v>
      </c>
      <c r="B60" s="264"/>
      <c r="C60" s="265">
        <v>4240465</v>
      </c>
      <c r="D60" s="112"/>
      <c r="E60" s="112">
        <v>4240465</v>
      </c>
      <c r="F60" s="112">
        <f>5317728-9</f>
        <v>5317719</v>
      </c>
      <c r="G60" s="412">
        <f>SUM(F60/E60)</f>
        <v>1.2540414789415784</v>
      </c>
    </row>
    <row r="61" spans="1:7" s="38" customFormat="1" ht="20.100000000000001" customHeight="1" thickBot="1">
      <c r="A61" s="263" t="s">
        <v>347</v>
      </c>
      <c r="B61" s="264"/>
      <c r="C61" s="265"/>
      <c r="D61" s="7"/>
      <c r="E61" s="7"/>
      <c r="F61" s="7"/>
      <c r="G61" s="417"/>
    </row>
    <row r="62" spans="1:7" s="38" customFormat="1" ht="21" customHeight="1">
      <c r="A62" s="593" t="s">
        <v>214</v>
      </c>
      <c r="B62" s="594"/>
      <c r="C62" s="268">
        <f>SUM(C36:C57)</f>
        <v>729990202</v>
      </c>
      <c r="D62" s="268">
        <f>SUM(D36:D57)</f>
        <v>729990000</v>
      </c>
      <c r="E62" s="268">
        <f>SUM(E34:E60)</f>
        <v>768875983</v>
      </c>
      <c r="F62" s="268">
        <f>SUM(F36:F60)</f>
        <v>426198172</v>
      </c>
      <c r="G62" s="448">
        <f>SUM(F62/E62)</f>
        <v>0.55431328513742895</v>
      </c>
    </row>
    <row r="63" spans="1:7" s="38" customFormat="1" ht="20.100000000000001" customHeight="1" thickBot="1">
      <c r="A63" s="269" t="s">
        <v>6</v>
      </c>
      <c r="B63" s="270"/>
      <c r="C63" s="271"/>
      <c r="D63" s="271"/>
      <c r="E63" s="271"/>
      <c r="F63" s="271"/>
      <c r="G63" s="447"/>
    </row>
    <row r="64" spans="1:7" s="38" customFormat="1" ht="20.100000000000001" customHeight="1">
      <c r="A64" s="602" t="s">
        <v>223</v>
      </c>
      <c r="B64" s="603"/>
      <c r="C64" s="7"/>
      <c r="D64" s="7"/>
      <c r="E64" s="7"/>
      <c r="F64" s="7"/>
      <c r="G64" s="417"/>
    </row>
    <row r="65" spans="1:7" ht="20.100000000000001" customHeight="1">
      <c r="A65" s="140" t="s">
        <v>224</v>
      </c>
      <c r="B65" s="141">
        <v>23409900</v>
      </c>
      <c r="C65" s="142"/>
      <c r="D65" s="142">
        <v>23410000</v>
      </c>
      <c r="E65" s="142">
        <v>23410000</v>
      </c>
      <c r="F65" s="142">
        <v>12173148</v>
      </c>
      <c r="G65" s="412">
        <f>SUM(F65/E65)</f>
        <v>0.51999777872703967</v>
      </c>
    </row>
    <row r="66" spans="1:7" ht="20.100000000000001" customHeight="1">
      <c r="A66" s="329" t="s">
        <v>225</v>
      </c>
      <c r="B66" s="114"/>
      <c r="C66" s="91"/>
      <c r="D66" s="91"/>
      <c r="E66" s="91"/>
      <c r="F66" s="91"/>
      <c r="G66" s="412"/>
    </row>
    <row r="67" spans="1:7" ht="20.100000000000001" customHeight="1">
      <c r="A67" s="329" t="s">
        <v>226</v>
      </c>
      <c r="B67" s="115">
        <v>15369000</v>
      </c>
      <c r="C67" s="91"/>
      <c r="D67" s="91">
        <v>15369000</v>
      </c>
      <c r="E67" s="91">
        <v>15369000</v>
      </c>
      <c r="F67" s="91">
        <v>15369000</v>
      </c>
      <c r="G67" s="412">
        <f>SUM(F67/E67)</f>
        <v>1</v>
      </c>
    </row>
    <row r="68" spans="1:7" ht="20.100000000000001" customHeight="1">
      <c r="A68" s="259" t="s">
        <v>227</v>
      </c>
      <c r="B68" s="266"/>
      <c r="C68" s="261"/>
      <c r="D68" s="261"/>
      <c r="E68" s="261"/>
      <c r="F68" s="261"/>
      <c r="G68" s="412"/>
    </row>
    <row r="69" spans="1:7" ht="20.100000000000001" customHeight="1" thickBot="1">
      <c r="A69" s="259" t="s">
        <v>348</v>
      </c>
      <c r="B69" s="266">
        <v>1938735</v>
      </c>
      <c r="C69" s="261"/>
      <c r="D69" s="261"/>
      <c r="E69" s="261">
        <v>1938735</v>
      </c>
      <c r="F69" s="261">
        <v>2439362</v>
      </c>
      <c r="G69" s="412">
        <f>SUM(F69/E69)</f>
        <v>1.2582235323548603</v>
      </c>
    </row>
    <row r="70" spans="1:7" ht="20.100000000000001" customHeight="1" thickBot="1">
      <c r="A70" s="579" t="s">
        <v>223</v>
      </c>
      <c r="B70" s="580"/>
      <c r="C70" s="267">
        <f>SUM(B65:B67)</f>
        <v>38778900</v>
      </c>
      <c r="D70" s="267">
        <f>SUM(D65:D68)</f>
        <v>38779000</v>
      </c>
      <c r="E70" s="267">
        <f>SUM(E65:E69)</f>
        <v>40717735</v>
      </c>
      <c r="F70" s="267">
        <f>SUM(F65:F69)</f>
        <v>29981510</v>
      </c>
      <c r="G70" s="414">
        <f>SUM(F70/E70)</f>
        <v>0.73632558392553027</v>
      </c>
    </row>
    <row r="71" spans="1:7" ht="20.100000000000001" customHeight="1">
      <c r="A71" s="259" t="s">
        <v>349</v>
      </c>
      <c r="B71" s="467">
        <v>5036008</v>
      </c>
      <c r="C71" s="468"/>
      <c r="D71" s="473"/>
      <c r="E71" s="469">
        <v>5036008</v>
      </c>
      <c r="F71" s="261">
        <v>6084964</v>
      </c>
      <c r="G71" s="413">
        <f>SUM(F71/E71)</f>
        <v>1.2082911703079104</v>
      </c>
    </row>
    <row r="72" spans="1:7" ht="20.100000000000001" customHeight="1">
      <c r="A72" s="259" t="s">
        <v>397</v>
      </c>
      <c r="B72" s="115"/>
      <c r="C72" s="104"/>
      <c r="D72" s="474"/>
      <c r="E72" s="91"/>
      <c r="F72" s="91">
        <v>941350</v>
      </c>
      <c r="G72" s="413">
        <v>0</v>
      </c>
    </row>
    <row r="73" spans="1:7" ht="20.100000000000001" customHeight="1" thickBot="1">
      <c r="A73" s="259" t="s">
        <v>398</v>
      </c>
      <c r="B73" s="470"/>
      <c r="C73" s="471"/>
      <c r="D73" s="475"/>
      <c r="E73" s="472"/>
      <c r="F73" s="7">
        <v>22659067</v>
      </c>
      <c r="G73" s="450">
        <v>0</v>
      </c>
    </row>
    <row r="74" spans="1:7" ht="20.100000000000001" customHeight="1" thickBot="1">
      <c r="A74" s="579" t="s">
        <v>350</v>
      </c>
      <c r="B74" s="580"/>
      <c r="C74" s="267">
        <f>SUM(B71)</f>
        <v>5036008</v>
      </c>
      <c r="D74" s="267">
        <v>0</v>
      </c>
      <c r="E74" s="267">
        <f>SUM(E71)</f>
        <v>5036008</v>
      </c>
      <c r="F74" s="267">
        <f>SUM(F71:F73)</f>
        <v>29685381</v>
      </c>
      <c r="G74" s="414">
        <f t="shared" ref="G74:G79" si="0">SUM(F74/E74)</f>
        <v>5.8946254652494599</v>
      </c>
    </row>
    <row r="75" spans="1:7" ht="20.100000000000001" customHeight="1">
      <c r="A75" s="598" t="s">
        <v>7</v>
      </c>
      <c r="B75" s="599"/>
      <c r="C75" s="272"/>
      <c r="D75" s="273">
        <f>D25+D33+D62+D70</f>
        <v>1469071000</v>
      </c>
      <c r="E75" s="273">
        <f>E25+E33+E62+E70+E74</f>
        <v>1530053370</v>
      </c>
      <c r="F75" s="273">
        <f>F25+F33+F62+F70+F74</f>
        <v>854397456</v>
      </c>
      <c r="G75" s="448">
        <f t="shared" si="0"/>
        <v>0.55841023114115296</v>
      </c>
    </row>
    <row r="76" spans="1:7" ht="20.100000000000001" customHeight="1">
      <c r="A76" s="559" t="s">
        <v>8</v>
      </c>
      <c r="B76" s="560"/>
      <c r="C76" s="274"/>
      <c r="D76" s="275">
        <v>7800000</v>
      </c>
      <c r="E76" s="347">
        <f>7800000+85015021</f>
        <v>92815021</v>
      </c>
      <c r="F76" s="347">
        <v>88240424</v>
      </c>
      <c r="G76" s="419">
        <f t="shared" si="0"/>
        <v>0.95071275154912693</v>
      </c>
    </row>
    <row r="77" spans="1:7" ht="20.100000000000001" customHeight="1" thickBot="1">
      <c r="A77" s="559" t="s">
        <v>351</v>
      </c>
      <c r="B77" s="560"/>
      <c r="C77" s="271"/>
      <c r="D77" s="283">
        <v>0</v>
      </c>
      <c r="E77" s="275">
        <v>11119721</v>
      </c>
      <c r="F77" s="275">
        <v>11119721</v>
      </c>
      <c r="G77" s="420">
        <f t="shared" si="0"/>
        <v>1</v>
      </c>
    </row>
    <row r="78" spans="1:7" ht="20.100000000000001" customHeight="1" thickBot="1">
      <c r="A78" s="335" t="s">
        <v>9</v>
      </c>
      <c r="B78" s="276"/>
      <c r="C78" s="277"/>
      <c r="D78" s="278">
        <f>SUM(D75:D77)</f>
        <v>1476871000</v>
      </c>
      <c r="E78" s="278">
        <f>SUM(E75:E77)</f>
        <v>1633988112</v>
      </c>
      <c r="F78" s="278">
        <f>SUM(F75:F77)</f>
        <v>953757601</v>
      </c>
      <c r="G78" s="414">
        <f t="shared" si="0"/>
        <v>0.58369922889622594</v>
      </c>
    </row>
    <row r="79" spans="1:7" ht="20.100000000000001" customHeight="1" thickBot="1">
      <c r="A79" s="561" t="s">
        <v>10</v>
      </c>
      <c r="B79" s="562"/>
      <c r="C79" s="279"/>
      <c r="D79" s="267">
        <v>0</v>
      </c>
      <c r="E79" s="267">
        <v>963356861</v>
      </c>
      <c r="F79" s="267">
        <v>963356861</v>
      </c>
      <c r="G79" s="414">
        <f t="shared" si="0"/>
        <v>1</v>
      </c>
    </row>
    <row r="80" spans="1:7" ht="31.5" customHeight="1" thickBot="1">
      <c r="A80" s="583" t="s">
        <v>0</v>
      </c>
      <c r="B80" s="584"/>
      <c r="C80" s="257"/>
      <c r="D80" s="258" t="s">
        <v>1</v>
      </c>
      <c r="E80" s="258" t="s">
        <v>342</v>
      </c>
      <c r="F80" s="258" t="s">
        <v>1</v>
      </c>
      <c r="G80" s="409" t="s">
        <v>342</v>
      </c>
    </row>
    <row r="81" spans="1:7" ht="20.100000000000001" customHeight="1">
      <c r="A81" s="600" t="s">
        <v>11</v>
      </c>
      <c r="B81" s="601"/>
      <c r="C81" s="10"/>
      <c r="D81" s="7"/>
      <c r="E81" s="7"/>
      <c r="F81" s="7"/>
      <c r="G81" s="417"/>
    </row>
    <row r="82" spans="1:7" ht="20.100000000000001" customHeight="1">
      <c r="A82" s="563" t="s">
        <v>12</v>
      </c>
      <c r="B82" s="564"/>
      <c r="C82" s="109"/>
      <c r="D82" s="91"/>
      <c r="E82" s="91"/>
      <c r="F82" s="91"/>
      <c r="G82" s="412"/>
    </row>
    <row r="83" spans="1:7" ht="20.100000000000001" customHeight="1">
      <c r="A83" s="565" t="s">
        <v>13</v>
      </c>
      <c r="B83" s="566"/>
      <c r="C83" s="91"/>
      <c r="D83" s="91">
        <v>564500000</v>
      </c>
      <c r="E83" s="91">
        <v>564500000</v>
      </c>
      <c r="F83" s="91">
        <v>261984630</v>
      </c>
      <c r="G83" s="413">
        <f>SUM(F83/E83)</f>
        <v>0.4641003188662533</v>
      </c>
    </row>
    <row r="84" spans="1:7" ht="20.100000000000001" customHeight="1">
      <c r="A84" s="565" t="s">
        <v>14</v>
      </c>
      <c r="B84" s="566"/>
      <c r="C84" s="91">
        <f>B85+B86</f>
        <v>560500000</v>
      </c>
      <c r="D84" s="91"/>
      <c r="E84" s="91"/>
      <c r="F84" s="91"/>
      <c r="G84" s="412"/>
    </row>
    <row r="85" spans="1:7" ht="20.100000000000001" customHeight="1">
      <c r="A85" s="329" t="s">
        <v>15</v>
      </c>
      <c r="B85" s="110">
        <v>560000000</v>
      </c>
      <c r="C85" s="91"/>
      <c r="D85" s="91"/>
      <c r="E85" s="91"/>
      <c r="F85" s="91"/>
      <c r="G85" s="412"/>
    </row>
    <row r="86" spans="1:7" ht="20.100000000000001" customHeight="1">
      <c r="A86" s="329" t="s">
        <v>16</v>
      </c>
      <c r="B86" s="110">
        <v>500000</v>
      </c>
      <c r="C86" s="91"/>
      <c r="D86" s="91"/>
      <c r="E86" s="91"/>
      <c r="F86" s="91"/>
      <c r="G86" s="412"/>
    </row>
    <row r="87" spans="1:7" ht="20.100000000000001" customHeight="1">
      <c r="A87" s="565" t="s">
        <v>17</v>
      </c>
      <c r="B87" s="566"/>
      <c r="C87" s="91">
        <v>4000000</v>
      </c>
      <c r="D87" s="91"/>
      <c r="E87" s="91"/>
      <c r="F87" s="91"/>
      <c r="G87" s="412"/>
    </row>
    <row r="88" spans="1:7" ht="20.100000000000001" customHeight="1">
      <c r="A88" s="329" t="s">
        <v>18</v>
      </c>
      <c r="B88" s="111"/>
      <c r="C88" s="91"/>
      <c r="D88" s="91">
        <v>40200000</v>
      </c>
      <c r="E88" s="91">
        <v>40200000</v>
      </c>
      <c r="F88" s="91">
        <v>27300998</v>
      </c>
      <c r="G88" s="413">
        <f>SUM(F88/E88)</f>
        <v>0.67912930348258704</v>
      </c>
    </row>
    <row r="89" spans="1:7" ht="20.100000000000001" customHeight="1">
      <c r="A89" s="567" t="s">
        <v>19</v>
      </c>
      <c r="B89" s="568"/>
      <c r="C89" s="91">
        <v>40000000</v>
      </c>
      <c r="D89" s="112"/>
      <c r="E89" s="112"/>
      <c r="F89" s="112"/>
      <c r="G89" s="416"/>
    </row>
    <row r="90" spans="1:7" ht="20.100000000000001" customHeight="1">
      <c r="A90" s="567" t="s">
        <v>20</v>
      </c>
      <c r="B90" s="568"/>
      <c r="C90" s="91">
        <v>200000</v>
      </c>
      <c r="D90" s="112"/>
      <c r="E90" s="112"/>
      <c r="F90" s="112"/>
      <c r="G90" s="416"/>
    </row>
    <row r="91" spans="1:7" ht="20.100000000000001" customHeight="1">
      <c r="A91" s="565" t="s">
        <v>21</v>
      </c>
      <c r="B91" s="566"/>
      <c r="C91" s="91"/>
      <c r="D91" s="91">
        <v>3000000</v>
      </c>
      <c r="E91" s="91">
        <v>3000000</v>
      </c>
      <c r="F91" s="91">
        <v>1348170</v>
      </c>
      <c r="G91" s="413">
        <f>SUM(F91/E91)</f>
        <v>0.44939000000000001</v>
      </c>
    </row>
    <row r="92" spans="1:7" ht="20.100000000000001" customHeight="1">
      <c r="A92" s="329" t="s">
        <v>22</v>
      </c>
      <c r="B92" s="330"/>
      <c r="C92" s="91">
        <v>2000000</v>
      </c>
      <c r="D92" s="91"/>
      <c r="E92" s="91"/>
      <c r="F92" s="91"/>
      <c r="G92" s="412"/>
    </row>
    <row r="93" spans="1:7" ht="20.100000000000001" customHeight="1">
      <c r="A93" s="329" t="s">
        <v>23</v>
      </c>
      <c r="B93" s="330"/>
      <c r="C93" s="91">
        <v>1000000</v>
      </c>
      <c r="D93" s="91"/>
      <c r="E93" s="91"/>
      <c r="F93" s="91"/>
      <c r="G93" s="412"/>
    </row>
    <row r="94" spans="1:7" ht="20.100000000000001" customHeight="1" thickBot="1">
      <c r="A94" s="84" t="s">
        <v>24</v>
      </c>
      <c r="B94" s="85"/>
      <c r="C94" s="93">
        <v>9000000</v>
      </c>
      <c r="D94" s="93">
        <v>9000000</v>
      </c>
      <c r="E94" s="93">
        <v>9000000</v>
      </c>
      <c r="F94" s="93">
        <v>11033287</v>
      </c>
      <c r="G94" s="422">
        <f>SUM(F94/E94)</f>
        <v>1.2259207777777779</v>
      </c>
    </row>
    <row r="95" spans="1:7" ht="20.100000000000001" customHeight="1" thickBot="1">
      <c r="A95" s="569" t="s">
        <v>25</v>
      </c>
      <c r="B95" s="570"/>
      <c r="C95" s="267"/>
      <c r="D95" s="267">
        <f>SUM(D82:D94)</f>
        <v>616700000</v>
      </c>
      <c r="E95" s="267">
        <f>SUM(E82:E94)</f>
        <v>616700000</v>
      </c>
      <c r="F95" s="267">
        <f>SUM(F82:F94)</f>
        <v>301667085</v>
      </c>
      <c r="G95" s="414">
        <f>SUM(F95/E95)</f>
        <v>0.48916342630128101</v>
      </c>
    </row>
    <row r="96" spans="1:7" ht="20.100000000000001" customHeight="1" thickBot="1">
      <c r="A96" s="333" t="s">
        <v>26</v>
      </c>
      <c r="B96" s="334"/>
      <c r="C96" s="267"/>
      <c r="D96" s="267">
        <v>309247000</v>
      </c>
      <c r="E96" s="267">
        <f>309247000</f>
        <v>309247000</v>
      </c>
      <c r="F96" s="267">
        <v>104193692</v>
      </c>
      <c r="G96" s="414">
        <f>SUM(F96/E96)</f>
        <v>0.33692709064275483</v>
      </c>
    </row>
    <row r="97" spans="1:7" ht="20.100000000000001" customHeight="1">
      <c r="A97" s="575" t="s">
        <v>27</v>
      </c>
      <c r="B97" s="597"/>
      <c r="C97" s="11"/>
      <c r="D97" s="8"/>
      <c r="E97" s="8"/>
      <c r="F97" s="8"/>
      <c r="G97" s="423"/>
    </row>
    <row r="98" spans="1:7" ht="20.100000000000001" customHeight="1">
      <c r="A98" s="577" t="s">
        <v>28</v>
      </c>
      <c r="B98" s="578"/>
      <c r="C98" s="113"/>
      <c r="D98" s="192">
        <v>95543000</v>
      </c>
      <c r="E98" s="192">
        <v>95543000</v>
      </c>
      <c r="F98" s="192">
        <v>564476</v>
      </c>
      <c r="G98" s="424">
        <f>SUM(F98/E98)</f>
        <v>5.9080832714065914E-3</v>
      </c>
    </row>
    <row r="99" spans="1:7" ht="20.100000000000001" customHeight="1" thickBot="1">
      <c r="A99" s="81" t="s">
        <v>29</v>
      </c>
      <c r="B99" s="82"/>
      <c r="C99" s="12"/>
      <c r="D99" s="94">
        <v>20000000</v>
      </c>
      <c r="E99" s="94">
        <v>20000000</v>
      </c>
      <c r="F99" s="94"/>
      <c r="G99" s="425"/>
    </row>
    <row r="100" spans="1:7" ht="20.100000000000001" customHeight="1" thickBot="1">
      <c r="A100" s="557" t="s">
        <v>30</v>
      </c>
      <c r="B100" s="558"/>
      <c r="C100" s="280"/>
      <c r="D100" s="278">
        <f>SUM(D98:D99)</f>
        <v>115543000</v>
      </c>
      <c r="E100" s="278">
        <f>SUM(E98:E99)</f>
        <v>115543000</v>
      </c>
      <c r="F100" s="278">
        <f>SUM(F98:F99)</f>
        <v>564476</v>
      </c>
      <c r="G100" s="421">
        <f>SUM(F100/E100)</f>
        <v>4.885419281133431E-3</v>
      </c>
    </row>
    <row r="101" spans="1:7" s="95" customFormat="1" ht="20.100000000000001" customHeight="1">
      <c r="A101" s="553" t="s">
        <v>31</v>
      </c>
      <c r="B101" s="554"/>
      <c r="C101" s="281"/>
      <c r="D101" s="284">
        <v>25328000</v>
      </c>
      <c r="E101" s="268">
        <f>25328000-6050000</f>
        <v>19278000</v>
      </c>
      <c r="F101" s="268">
        <v>1000000</v>
      </c>
      <c r="G101" s="418">
        <f>SUM(F101/E101)</f>
        <v>5.1872600892208735E-2</v>
      </c>
    </row>
    <row r="102" spans="1:7" s="95" customFormat="1" ht="20.100000000000001" customHeight="1" thickBot="1">
      <c r="A102" s="555" t="s">
        <v>32</v>
      </c>
      <c r="B102" s="556"/>
      <c r="C102" s="282"/>
      <c r="D102" s="285">
        <v>16096000</v>
      </c>
      <c r="E102" s="283">
        <f>16096000-7366000</f>
        <v>8730000</v>
      </c>
      <c r="F102" s="283">
        <v>3591211</v>
      </c>
      <c r="G102" s="426">
        <f>SUM(F102/E102)</f>
        <v>0.4113643757159221</v>
      </c>
    </row>
    <row r="103" spans="1:7" ht="20.100000000000001" customHeight="1" thickBot="1">
      <c r="A103" s="557" t="s">
        <v>33</v>
      </c>
      <c r="B103" s="558"/>
      <c r="C103" s="280"/>
      <c r="D103" s="278">
        <f>SUM(D77+D79+D95+D96+D100+D101+D102+D78)</f>
        <v>2559785000</v>
      </c>
      <c r="E103" s="278">
        <f>SUM(E78+E79+E95+E96+E100+E101+E102)</f>
        <v>3666842973</v>
      </c>
      <c r="F103" s="278">
        <f>SUM(F78+F79+F95+F96+F100+F101+F102)</f>
        <v>2328130926</v>
      </c>
      <c r="G103" s="414">
        <f>SUM(F103/E103)</f>
        <v>0.63491426907088344</v>
      </c>
    </row>
    <row r="104" spans="1:7" ht="20.100000000000001" customHeight="1">
      <c r="A104" s="336" t="s">
        <v>34</v>
      </c>
      <c r="B104" s="337"/>
      <c r="C104" s="6"/>
      <c r="D104" s="6"/>
      <c r="E104" s="6"/>
      <c r="F104" s="6"/>
      <c r="G104" s="427"/>
    </row>
    <row r="105" spans="1:7" ht="20.100000000000001" customHeight="1" thickBot="1">
      <c r="A105" s="86" t="s">
        <v>186</v>
      </c>
      <c r="B105" s="87"/>
      <c r="C105" s="7"/>
      <c r="D105" s="93">
        <v>273553000</v>
      </c>
      <c r="E105" s="93">
        <f>273553000+75162308</f>
        <v>348715308</v>
      </c>
      <c r="F105" s="93">
        <v>348715308</v>
      </c>
      <c r="G105" s="422">
        <f>SUM(F105/E105)</f>
        <v>1</v>
      </c>
    </row>
    <row r="106" spans="1:7" ht="20.100000000000001" customHeight="1" thickBot="1">
      <c r="A106" s="331" t="s">
        <v>35</v>
      </c>
      <c r="B106" s="332"/>
      <c r="C106" s="280"/>
      <c r="D106" s="278">
        <f>SUM(D105:D105)</f>
        <v>273553000</v>
      </c>
      <c r="E106" s="278">
        <f>SUM(E105:E105)</f>
        <v>348715308</v>
      </c>
      <c r="F106" s="278">
        <f>SUM(F105:F105)</f>
        <v>348715308</v>
      </c>
      <c r="G106" s="414">
        <f>SUM(F106/E106)</f>
        <v>1</v>
      </c>
    </row>
    <row r="107" spans="1:7" ht="20.100000000000001" customHeight="1" thickBot="1">
      <c r="A107" s="557" t="s">
        <v>36</v>
      </c>
      <c r="B107" s="558"/>
      <c r="C107" s="280"/>
      <c r="D107" s="278">
        <f>D103+D106</f>
        <v>2833338000</v>
      </c>
      <c r="E107" s="278">
        <f>E103+E106</f>
        <v>4015558281</v>
      </c>
      <c r="F107" s="278">
        <f>F103+F106</f>
        <v>2676846234</v>
      </c>
      <c r="G107" s="414">
        <f>SUM(F107/E107)</f>
        <v>0.6666186982432194</v>
      </c>
    </row>
    <row r="108" spans="1:7" ht="20.25" customHeight="1"/>
    <row r="109" spans="1:7" ht="20.25" customHeight="1"/>
    <row r="110" spans="1:7" ht="20.25" customHeight="1"/>
    <row r="111" spans="1:7" ht="20.25" customHeight="1"/>
    <row r="112" spans="1:7" ht="20.25" customHeight="1">
      <c r="F112" s="98"/>
      <c r="G112" s="98"/>
    </row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</sheetData>
  <mergeCells count="41">
    <mergeCell ref="A1:D1"/>
    <mergeCell ref="A6:B6"/>
    <mergeCell ref="A10:B10"/>
    <mergeCell ref="A11:B11"/>
    <mergeCell ref="A3:G3"/>
    <mergeCell ref="A12:B12"/>
    <mergeCell ref="A14:B14"/>
    <mergeCell ref="A18:B18"/>
    <mergeCell ref="A20:B20"/>
    <mergeCell ref="A64:B64"/>
    <mergeCell ref="A22:B22"/>
    <mergeCell ref="A34:B34"/>
    <mergeCell ref="A36:B36"/>
    <mergeCell ref="A50:B50"/>
    <mergeCell ref="A62:B62"/>
    <mergeCell ref="A25:B25"/>
    <mergeCell ref="A26:B26"/>
    <mergeCell ref="A33:B33"/>
    <mergeCell ref="A87:B87"/>
    <mergeCell ref="A95:B95"/>
    <mergeCell ref="A83:B83"/>
    <mergeCell ref="A84:B84"/>
    <mergeCell ref="A90:B90"/>
    <mergeCell ref="A91:B91"/>
    <mergeCell ref="A89:B89"/>
    <mergeCell ref="A70:B70"/>
    <mergeCell ref="A101:B101"/>
    <mergeCell ref="A102:B102"/>
    <mergeCell ref="A103:B103"/>
    <mergeCell ref="A107:B107"/>
    <mergeCell ref="A80:B80"/>
    <mergeCell ref="A100:B100"/>
    <mergeCell ref="A97:B97"/>
    <mergeCell ref="A98:B98"/>
    <mergeCell ref="A74:B74"/>
    <mergeCell ref="A75:B75"/>
    <mergeCell ref="A76:B76"/>
    <mergeCell ref="A79:B79"/>
    <mergeCell ref="A82:B82"/>
    <mergeCell ref="A77:B77"/>
    <mergeCell ref="A81:B81"/>
  </mergeCells>
  <phoneticPr fontId="18" type="noConversion"/>
  <pageMargins left="0.7" right="0.7" top="0.75" bottom="0.75" header="0.3" footer="0.3"/>
  <pageSetup paperSize="9" scale="46" orientation="portrait" horizontalDpi="300" verticalDpi="300" r:id="rId1"/>
  <rowBreaks count="1" manualBreakCount="1">
    <brk id="7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BK52"/>
  <sheetViews>
    <sheetView view="pageBreakPreview" zoomScale="60" zoomScaleNormal="57" workbookViewId="0">
      <selection activeCell="A3" sqref="A3"/>
    </sheetView>
  </sheetViews>
  <sheetFormatPr defaultRowHeight="20.25"/>
  <cols>
    <col min="1" max="1" width="69.85546875" style="118" customWidth="1"/>
    <col min="2" max="2" width="21.7109375" style="117" customWidth="1"/>
    <col min="3" max="3" width="21.5703125" style="117" customWidth="1"/>
    <col min="4" max="4" width="19.140625" style="117" customWidth="1"/>
    <col min="5" max="5" width="19.140625" style="451" customWidth="1"/>
    <col min="6" max="7" width="19.140625" style="118" customWidth="1"/>
    <col min="8" max="8" width="19.140625" style="117" customWidth="1"/>
    <col min="9" max="9" width="19.140625" style="451" customWidth="1"/>
    <col min="10" max="11" width="19.140625" style="118" customWidth="1"/>
    <col min="12" max="12" width="19.140625" style="117" customWidth="1"/>
    <col min="13" max="13" width="19.140625" style="451" customWidth="1"/>
    <col min="14" max="15" width="19.140625" style="118" customWidth="1"/>
    <col min="16" max="16" width="19.140625" style="117" customWidth="1"/>
    <col min="17" max="17" width="19.140625" style="451" customWidth="1"/>
    <col min="18" max="19" width="19.140625" style="118" customWidth="1"/>
    <col min="20" max="20" width="19.140625" style="117" customWidth="1"/>
    <col min="21" max="21" width="19.140625" style="451" customWidth="1"/>
    <col min="22" max="22" width="69.85546875" style="118" customWidth="1"/>
    <col min="23" max="24" width="19.140625" style="118" customWidth="1"/>
    <col min="25" max="25" width="19.140625" style="117" customWidth="1"/>
    <col min="26" max="26" width="19.140625" style="451" customWidth="1"/>
    <col min="27" max="28" width="19.140625" style="118" customWidth="1"/>
    <col min="29" max="29" width="19.140625" style="117" customWidth="1"/>
    <col min="30" max="30" width="19.140625" style="451" customWidth="1"/>
    <col min="31" max="32" width="19.140625" style="118" customWidth="1"/>
    <col min="33" max="33" width="19.140625" style="117" customWidth="1"/>
    <col min="34" max="34" width="19.140625" style="451" customWidth="1"/>
    <col min="35" max="36" width="19.140625" style="118" customWidth="1"/>
    <col min="37" max="37" width="19.140625" style="117" customWidth="1"/>
    <col min="38" max="38" width="19.140625" style="451" customWidth="1"/>
    <col min="39" max="40" width="19.140625" style="118" customWidth="1"/>
    <col min="41" max="41" width="19.140625" style="117" customWidth="1"/>
    <col min="42" max="42" width="19.140625" style="451" customWidth="1"/>
    <col min="43" max="43" width="69.85546875" style="118" customWidth="1"/>
    <col min="44" max="44" width="22" style="118" customWidth="1"/>
    <col min="45" max="45" width="22.42578125" style="118" customWidth="1"/>
    <col min="46" max="46" width="21.7109375" style="117" customWidth="1"/>
    <col min="47" max="47" width="19.140625" style="451" customWidth="1"/>
    <col min="48" max="48" width="19.140625" style="118" customWidth="1"/>
    <col min="49" max="49" width="21.28515625" style="118" customWidth="1"/>
    <col min="50" max="50" width="24.42578125" style="117" customWidth="1"/>
    <col min="51" max="51" width="19.140625" style="451" customWidth="1"/>
    <col min="52" max="53" width="21.5703125" style="118" customWidth="1"/>
    <col min="54" max="54" width="21.5703125" style="117" customWidth="1"/>
    <col min="55" max="55" width="19.140625" style="451" customWidth="1"/>
    <col min="56" max="56" width="10.42578125" style="118" bestFit="1" customWidth="1"/>
    <col min="57" max="16384" width="9.140625" style="118"/>
  </cols>
  <sheetData>
    <row r="2" spans="1:63" ht="42.75" customHeight="1">
      <c r="AB2" s="348"/>
      <c r="BA2" s="348"/>
    </row>
    <row r="3" spans="1:63" s="351" customFormat="1" ht="26.25">
      <c r="A3" s="349" t="s">
        <v>420</v>
      </c>
      <c r="B3" s="350"/>
      <c r="C3" s="350"/>
      <c r="D3" s="350"/>
      <c r="E3" s="452"/>
      <c r="H3" s="350"/>
      <c r="I3" s="452"/>
      <c r="L3" s="350"/>
      <c r="M3" s="452"/>
      <c r="P3" s="350"/>
      <c r="Q3" s="452"/>
      <c r="T3" s="350"/>
      <c r="U3" s="453" t="s">
        <v>391</v>
      </c>
      <c r="V3" s="349"/>
      <c r="Y3" s="350"/>
      <c r="Z3" s="452"/>
      <c r="AC3" s="350"/>
      <c r="AD3" s="452"/>
      <c r="AG3" s="350"/>
      <c r="AH3" s="452"/>
      <c r="AK3" s="350"/>
      <c r="AL3" s="452"/>
      <c r="AO3" s="350"/>
      <c r="AP3" s="453" t="s">
        <v>392</v>
      </c>
      <c r="AQ3" s="349"/>
      <c r="AT3" s="350"/>
      <c r="AU3" s="452"/>
      <c r="AX3" s="350"/>
      <c r="AY3" s="452"/>
      <c r="BB3" s="350"/>
      <c r="BC3" s="453" t="s">
        <v>393</v>
      </c>
    </row>
    <row r="4" spans="1:63" s="351" customFormat="1" ht="26.25">
      <c r="A4" s="352"/>
      <c r="B4" s="350"/>
      <c r="C4" s="350"/>
      <c r="D4" s="350"/>
      <c r="E4" s="452"/>
      <c r="H4" s="350"/>
      <c r="I4" s="452"/>
      <c r="L4" s="350"/>
      <c r="M4" s="452"/>
      <c r="P4" s="350"/>
      <c r="Q4" s="452"/>
      <c r="T4" s="350"/>
      <c r="U4" s="452"/>
      <c r="V4" s="352"/>
      <c r="Y4" s="350"/>
      <c r="Z4" s="452"/>
      <c r="AC4" s="350"/>
      <c r="AD4" s="452"/>
      <c r="AG4" s="350"/>
      <c r="AH4" s="452"/>
      <c r="AK4" s="350"/>
      <c r="AL4" s="452"/>
      <c r="AO4" s="350"/>
      <c r="AP4" s="452"/>
      <c r="AQ4" s="352"/>
      <c r="AT4" s="350"/>
      <c r="AU4" s="452"/>
      <c r="AX4" s="350"/>
      <c r="AY4" s="452"/>
      <c r="BB4" s="350"/>
      <c r="BC4" s="452"/>
    </row>
    <row r="5" spans="1:63" s="351" customFormat="1" ht="26.25">
      <c r="A5" s="629" t="s">
        <v>402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 t="s">
        <v>402</v>
      </c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29"/>
      <c r="AI5" s="629"/>
      <c r="AJ5" s="629"/>
      <c r="AK5" s="629"/>
      <c r="AL5" s="629"/>
      <c r="AM5" s="629"/>
      <c r="AN5" s="629"/>
      <c r="AO5" s="629"/>
      <c r="AP5" s="629"/>
      <c r="AQ5" s="629" t="s">
        <v>402</v>
      </c>
      <c r="AR5" s="629"/>
      <c r="AS5" s="629"/>
      <c r="AT5" s="629"/>
      <c r="AU5" s="629"/>
      <c r="AV5" s="629"/>
      <c r="AW5" s="629"/>
      <c r="AX5" s="629"/>
      <c r="AY5" s="629"/>
      <c r="AZ5" s="629"/>
      <c r="BA5" s="629"/>
      <c r="BB5" s="629"/>
      <c r="BC5" s="629"/>
      <c r="BD5" s="454"/>
      <c r="BE5" s="454"/>
      <c r="BF5" s="454"/>
      <c r="BG5" s="454"/>
      <c r="BH5" s="454"/>
      <c r="BI5" s="454"/>
      <c r="BJ5" s="454"/>
      <c r="BK5" s="454"/>
    </row>
    <row r="6" spans="1:63" s="351" customFormat="1" ht="26.25">
      <c r="A6" s="629" t="s">
        <v>195</v>
      </c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29"/>
      <c r="T6" s="629"/>
      <c r="U6" s="629"/>
      <c r="V6" s="629" t="s">
        <v>400</v>
      </c>
      <c r="W6" s="629"/>
      <c r="X6" s="629"/>
      <c r="Y6" s="629"/>
      <c r="Z6" s="629"/>
      <c r="AA6" s="629"/>
      <c r="AB6" s="629"/>
      <c r="AC6" s="629"/>
      <c r="AD6" s="629"/>
      <c r="AE6" s="629"/>
      <c r="AF6" s="629"/>
      <c r="AG6" s="629"/>
      <c r="AH6" s="629"/>
      <c r="AI6" s="629"/>
      <c r="AJ6" s="629"/>
      <c r="AK6" s="629"/>
      <c r="AL6" s="629"/>
      <c r="AM6" s="629"/>
      <c r="AN6" s="629"/>
      <c r="AO6" s="629"/>
      <c r="AP6" s="629"/>
      <c r="AQ6" s="629" t="s">
        <v>195</v>
      </c>
      <c r="AR6" s="629"/>
      <c r="AS6" s="629"/>
      <c r="AT6" s="629"/>
      <c r="AU6" s="629"/>
      <c r="AV6" s="629"/>
      <c r="AW6" s="629"/>
      <c r="AX6" s="629"/>
      <c r="AY6" s="629"/>
      <c r="AZ6" s="629"/>
      <c r="BA6" s="629"/>
      <c r="BB6" s="629"/>
      <c r="BC6" s="629"/>
      <c r="BD6" s="454"/>
      <c r="BE6" s="454"/>
      <c r="BF6" s="454"/>
      <c r="BG6" s="454"/>
      <c r="BH6" s="454"/>
      <c r="BI6" s="454"/>
      <c r="BJ6" s="454"/>
      <c r="BK6" s="454"/>
    </row>
    <row r="7" spans="1:63">
      <c r="A7" s="120"/>
      <c r="B7" s="120"/>
      <c r="C7" s="120"/>
      <c r="D7" s="120"/>
      <c r="E7" s="455"/>
      <c r="H7" s="120"/>
      <c r="I7" s="455"/>
      <c r="L7" s="120"/>
      <c r="M7" s="455"/>
      <c r="P7" s="120"/>
      <c r="Q7" s="455"/>
      <c r="T7" s="120"/>
      <c r="U7" s="455"/>
      <c r="V7" s="120"/>
      <c r="Y7" s="120"/>
      <c r="Z7" s="455"/>
      <c r="AC7" s="120"/>
      <c r="AD7" s="455"/>
      <c r="AG7" s="120"/>
      <c r="AH7" s="455"/>
      <c r="AK7" s="120"/>
      <c r="AL7" s="455"/>
      <c r="AO7" s="120"/>
      <c r="AP7" s="455"/>
      <c r="AQ7" s="120"/>
      <c r="AT7" s="120"/>
      <c r="AU7" s="455"/>
      <c r="AX7" s="120"/>
      <c r="AY7" s="455"/>
      <c r="BB7" s="120"/>
      <c r="BC7" s="455"/>
    </row>
    <row r="8" spans="1:63" ht="21" thickBot="1">
      <c r="A8" s="119"/>
      <c r="V8" s="119"/>
      <c r="AQ8" s="119"/>
      <c r="AV8" s="616"/>
      <c r="AW8" s="616"/>
      <c r="AX8" s="616"/>
      <c r="AY8" s="616"/>
      <c r="AZ8" s="616"/>
      <c r="BA8" s="444"/>
      <c r="BB8" s="444"/>
      <c r="BC8" s="444" t="s">
        <v>401</v>
      </c>
    </row>
    <row r="9" spans="1:63" s="353" customFormat="1" ht="21" thickBot="1">
      <c r="A9" s="617" t="s">
        <v>48</v>
      </c>
      <c r="B9" s="620" t="s">
        <v>54</v>
      </c>
      <c r="C9" s="621"/>
      <c r="D9" s="621"/>
      <c r="E9" s="622"/>
      <c r="F9" s="620" t="s">
        <v>55</v>
      </c>
      <c r="G9" s="621"/>
      <c r="H9" s="621"/>
      <c r="I9" s="622"/>
      <c r="J9" s="620" t="s">
        <v>56</v>
      </c>
      <c r="K9" s="621"/>
      <c r="L9" s="621"/>
      <c r="M9" s="622"/>
      <c r="N9" s="620" t="s">
        <v>57</v>
      </c>
      <c r="O9" s="621"/>
      <c r="P9" s="621"/>
      <c r="Q9" s="622"/>
      <c r="R9" s="620" t="s">
        <v>58</v>
      </c>
      <c r="S9" s="621"/>
      <c r="T9" s="621"/>
      <c r="U9" s="622"/>
      <c r="V9" s="617" t="s">
        <v>48</v>
      </c>
      <c r="W9" s="620" t="s">
        <v>59</v>
      </c>
      <c r="X9" s="621"/>
      <c r="Y9" s="621"/>
      <c r="Z9" s="622"/>
      <c r="AA9" s="623" t="s">
        <v>60</v>
      </c>
      <c r="AB9" s="624"/>
      <c r="AC9" s="624"/>
      <c r="AD9" s="625"/>
      <c r="AE9" s="626" t="s">
        <v>37</v>
      </c>
      <c r="AF9" s="627"/>
      <c r="AG9" s="627"/>
      <c r="AH9" s="627"/>
      <c r="AI9" s="627"/>
      <c r="AJ9" s="627"/>
      <c r="AK9" s="627"/>
      <c r="AL9" s="627"/>
      <c r="AM9" s="627"/>
      <c r="AN9" s="627"/>
      <c r="AO9" s="443"/>
      <c r="AP9" s="443"/>
      <c r="AQ9" s="617" t="s">
        <v>48</v>
      </c>
      <c r="AR9" s="628" t="s">
        <v>162</v>
      </c>
      <c r="AS9" s="628"/>
      <c r="AT9" s="628"/>
      <c r="AU9" s="628"/>
      <c r="AV9" s="628"/>
      <c r="AW9" s="628"/>
      <c r="AX9" s="628"/>
      <c r="AY9" s="628"/>
      <c r="AZ9" s="628"/>
      <c r="BA9" s="628"/>
      <c r="BB9" s="628"/>
      <c r="BC9" s="628"/>
    </row>
    <row r="10" spans="1:63" s="353" customFormat="1" ht="21" thickBot="1">
      <c r="A10" s="618"/>
      <c r="B10" s="610" t="s">
        <v>340</v>
      </c>
      <c r="C10" s="611"/>
      <c r="D10" s="611"/>
      <c r="E10" s="612"/>
      <c r="F10" s="610" t="s">
        <v>341</v>
      </c>
      <c r="G10" s="611"/>
      <c r="H10" s="611"/>
      <c r="I10" s="612"/>
      <c r="J10" s="610" t="s">
        <v>63</v>
      </c>
      <c r="K10" s="611"/>
      <c r="L10" s="611"/>
      <c r="M10" s="612"/>
      <c r="N10" s="610" t="s">
        <v>64</v>
      </c>
      <c r="O10" s="611"/>
      <c r="P10" s="611"/>
      <c r="Q10" s="612"/>
      <c r="R10" s="610" t="s">
        <v>65</v>
      </c>
      <c r="S10" s="611"/>
      <c r="T10" s="611"/>
      <c r="U10" s="612"/>
      <c r="V10" s="618"/>
      <c r="W10" s="610" t="s">
        <v>38</v>
      </c>
      <c r="X10" s="611"/>
      <c r="Y10" s="611"/>
      <c r="Z10" s="612"/>
      <c r="AA10" s="610" t="s">
        <v>39</v>
      </c>
      <c r="AB10" s="611"/>
      <c r="AC10" s="611"/>
      <c r="AD10" s="612"/>
      <c r="AE10" s="607" t="s">
        <v>40</v>
      </c>
      <c r="AF10" s="608"/>
      <c r="AG10" s="608"/>
      <c r="AH10" s="608"/>
      <c r="AI10" s="608"/>
      <c r="AJ10" s="608"/>
      <c r="AK10" s="608"/>
      <c r="AL10" s="608"/>
      <c r="AM10" s="608"/>
      <c r="AN10" s="608"/>
      <c r="AO10" s="608"/>
      <c r="AP10" s="609"/>
      <c r="AQ10" s="618"/>
      <c r="AR10" s="606" t="s">
        <v>49</v>
      </c>
      <c r="AS10" s="606"/>
      <c r="AT10" s="606"/>
      <c r="AU10" s="606"/>
      <c r="AV10" s="606"/>
      <c r="AW10" s="606"/>
      <c r="AX10" s="606"/>
      <c r="AY10" s="606"/>
      <c r="AZ10" s="606"/>
      <c r="BA10" s="606"/>
      <c r="BB10" s="606"/>
      <c r="BC10" s="606"/>
    </row>
    <row r="11" spans="1:63" s="353" customFormat="1" ht="21" thickBot="1">
      <c r="A11" s="618"/>
      <c r="B11" s="613"/>
      <c r="C11" s="614"/>
      <c r="D11" s="614"/>
      <c r="E11" s="615"/>
      <c r="F11" s="613"/>
      <c r="G11" s="614"/>
      <c r="H11" s="614"/>
      <c r="I11" s="615"/>
      <c r="J11" s="613"/>
      <c r="K11" s="614"/>
      <c r="L11" s="614"/>
      <c r="M11" s="615"/>
      <c r="N11" s="613"/>
      <c r="O11" s="614"/>
      <c r="P11" s="614"/>
      <c r="Q11" s="615"/>
      <c r="R11" s="613"/>
      <c r="S11" s="614"/>
      <c r="T11" s="614"/>
      <c r="U11" s="615"/>
      <c r="V11" s="618"/>
      <c r="W11" s="613"/>
      <c r="X11" s="614"/>
      <c r="Y11" s="614"/>
      <c r="Z11" s="615"/>
      <c r="AA11" s="613"/>
      <c r="AB11" s="614"/>
      <c r="AC11" s="614"/>
      <c r="AD11" s="615"/>
      <c r="AE11" s="607" t="s">
        <v>140</v>
      </c>
      <c r="AF11" s="608"/>
      <c r="AG11" s="608"/>
      <c r="AH11" s="609"/>
      <c r="AI11" s="607" t="s">
        <v>141</v>
      </c>
      <c r="AJ11" s="608"/>
      <c r="AK11" s="608"/>
      <c r="AL11" s="609"/>
      <c r="AM11" s="607" t="s">
        <v>142</v>
      </c>
      <c r="AN11" s="608"/>
      <c r="AO11" s="608"/>
      <c r="AP11" s="609"/>
      <c r="AQ11" s="618"/>
      <c r="AR11" s="606" t="s">
        <v>75</v>
      </c>
      <c r="AS11" s="606"/>
      <c r="AT11" s="606"/>
      <c r="AU11" s="606"/>
      <c r="AV11" s="606" t="s">
        <v>76</v>
      </c>
      <c r="AW11" s="606"/>
      <c r="AX11" s="606"/>
      <c r="AY11" s="606"/>
      <c r="AZ11" s="606" t="s">
        <v>49</v>
      </c>
      <c r="BA11" s="606"/>
      <c r="BB11" s="606"/>
      <c r="BC11" s="606"/>
    </row>
    <row r="12" spans="1:63" s="353" customFormat="1" ht="41.25" thickBot="1">
      <c r="A12" s="619"/>
      <c r="B12" s="442" t="s">
        <v>311</v>
      </c>
      <c r="C12" s="442" t="s">
        <v>352</v>
      </c>
      <c r="D12" s="442" t="s">
        <v>389</v>
      </c>
      <c r="E12" s="456" t="s">
        <v>390</v>
      </c>
      <c r="F12" s="442" t="s">
        <v>311</v>
      </c>
      <c r="G12" s="442" t="s">
        <v>352</v>
      </c>
      <c r="H12" s="442" t="s">
        <v>389</v>
      </c>
      <c r="I12" s="456" t="s">
        <v>390</v>
      </c>
      <c r="J12" s="442" t="s">
        <v>311</v>
      </c>
      <c r="K12" s="442" t="s">
        <v>352</v>
      </c>
      <c r="L12" s="442" t="s">
        <v>389</v>
      </c>
      <c r="M12" s="456" t="s">
        <v>390</v>
      </c>
      <c r="N12" s="442" t="s">
        <v>311</v>
      </c>
      <c r="O12" s="442" t="s">
        <v>352</v>
      </c>
      <c r="P12" s="442" t="s">
        <v>389</v>
      </c>
      <c r="Q12" s="456" t="s">
        <v>390</v>
      </c>
      <c r="R12" s="442" t="s">
        <v>311</v>
      </c>
      <c r="S12" s="442" t="s">
        <v>352</v>
      </c>
      <c r="T12" s="442" t="s">
        <v>389</v>
      </c>
      <c r="U12" s="456" t="s">
        <v>390</v>
      </c>
      <c r="V12" s="619"/>
      <c r="W12" s="442" t="s">
        <v>311</v>
      </c>
      <c r="X12" s="442" t="s">
        <v>352</v>
      </c>
      <c r="Y12" s="442" t="s">
        <v>389</v>
      </c>
      <c r="Z12" s="456" t="s">
        <v>390</v>
      </c>
      <c r="AA12" s="442" t="s">
        <v>311</v>
      </c>
      <c r="AB12" s="442" t="s">
        <v>352</v>
      </c>
      <c r="AC12" s="442" t="s">
        <v>389</v>
      </c>
      <c r="AD12" s="456" t="s">
        <v>390</v>
      </c>
      <c r="AE12" s="442" t="s">
        <v>311</v>
      </c>
      <c r="AF12" s="442" t="s">
        <v>352</v>
      </c>
      <c r="AG12" s="442" t="s">
        <v>389</v>
      </c>
      <c r="AH12" s="456" t="s">
        <v>390</v>
      </c>
      <c r="AI12" s="442" t="s">
        <v>311</v>
      </c>
      <c r="AJ12" s="442" t="s">
        <v>352</v>
      </c>
      <c r="AK12" s="442" t="s">
        <v>389</v>
      </c>
      <c r="AL12" s="456" t="s">
        <v>390</v>
      </c>
      <c r="AM12" s="442" t="s">
        <v>311</v>
      </c>
      <c r="AN12" s="442" t="s">
        <v>352</v>
      </c>
      <c r="AO12" s="442" t="s">
        <v>389</v>
      </c>
      <c r="AP12" s="456" t="s">
        <v>390</v>
      </c>
      <c r="AQ12" s="619"/>
      <c r="AR12" s="442" t="s">
        <v>311</v>
      </c>
      <c r="AS12" s="442" t="s">
        <v>352</v>
      </c>
      <c r="AT12" s="442" t="s">
        <v>389</v>
      </c>
      <c r="AU12" s="456" t="s">
        <v>390</v>
      </c>
      <c r="AV12" s="442" t="s">
        <v>311</v>
      </c>
      <c r="AW12" s="442" t="s">
        <v>352</v>
      </c>
      <c r="AX12" s="442" t="s">
        <v>389</v>
      </c>
      <c r="AY12" s="456" t="s">
        <v>390</v>
      </c>
      <c r="AZ12" s="442" t="s">
        <v>311</v>
      </c>
      <c r="BA12" s="442" t="s">
        <v>352</v>
      </c>
      <c r="BB12" s="442" t="s">
        <v>389</v>
      </c>
      <c r="BC12" s="456" t="s">
        <v>390</v>
      </c>
    </row>
    <row r="13" spans="1:63">
      <c r="A13" s="121" t="s">
        <v>143</v>
      </c>
      <c r="B13" s="122"/>
      <c r="C13" s="122"/>
      <c r="D13" s="122"/>
      <c r="E13" s="457"/>
      <c r="F13" s="122"/>
      <c r="G13" s="122"/>
      <c r="H13" s="122"/>
      <c r="I13" s="457"/>
      <c r="J13" s="122"/>
      <c r="K13" s="122"/>
      <c r="L13" s="122"/>
      <c r="M13" s="122"/>
      <c r="N13" s="122"/>
      <c r="O13" s="122"/>
      <c r="P13" s="122"/>
      <c r="Q13" s="457"/>
      <c r="R13" s="122"/>
      <c r="S13" s="122"/>
      <c r="T13" s="122"/>
      <c r="U13" s="457"/>
      <c r="V13" s="121" t="s">
        <v>143</v>
      </c>
      <c r="W13" s="122"/>
      <c r="X13" s="122"/>
      <c r="Y13" s="122"/>
      <c r="Z13" s="457"/>
      <c r="AA13" s="122"/>
      <c r="AB13" s="122"/>
      <c r="AC13" s="122"/>
      <c r="AD13" s="457"/>
      <c r="AE13" s="122"/>
      <c r="AF13" s="122"/>
      <c r="AG13" s="122"/>
      <c r="AH13" s="457"/>
      <c r="AI13" s="122"/>
      <c r="AJ13" s="122"/>
      <c r="AK13" s="122"/>
      <c r="AL13" s="457"/>
      <c r="AM13" s="122"/>
      <c r="AN13" s="122"/>
      <c r="AO13" s="122"/>
      <c r="AP13" s="457"/>
      <c r="AQ13" s="121" t="s">
        <v>143</v>
      </c>
      <c r="AR13" s="122"/>
      <c r="AS13" s="122"/>
      <c r="AT13" s="122"/>
      <c r="AU13" s="457"/>
      <c r="AV13" s="122"/>
      <c r="AW13" s="122"/>
      <c r="AX13" s="122"/>
      <c r="AY13" s="457"/>
      <c r="AZ13" s="122"/>
      <c r="BA13" s="122"/>
      <c r="BB13" s="122"/>
      <c r="BC13" s="457"/>
    </row>
    <row r="14" spans="1:63" ht="40.5">
      <c r="A14" s="123" t="s">
        <v>144</v>
      </c>
      <c r="B14" s="124">
        <v>1469071000</v>
      </c>
      <c r="C14" s="124">
        <v>1530053370</v>
      </c>
      <c r="D14" s="124">
        <v>854397456</v>
      </c>
      <c r="E14" s="458">
        <f>SUM(D14/C14)</f>
        <v>0.55841023114115296</v>
      </c>
      <c r="F14" s="125"/>
      <c r="G14" s="125"/>
      <c r="H14" s="124"/>
      <c r="I14" s="458"/>
      <c r="J14" s="125"/>
      <c r="K14" s="125"/>
      <c r="L14" s="125"/>
      <c r="M14" s="125"/>
      <c r="N14" s="125"/>
      <c r="O14" s="125"/>
      <c r="P14" s="124"/>
      <c r="Q14" s="458"/>
      <c r="R14" s="125"/>
      <c r="S14" s="125"/>
      <c r="T14" s="124"/>
      <c r="U14" s="458"/>
      <c r="V14" s="123" t="s">
        <v>144</v>
      </c>
      <c r="W14" s="125"/>
      <c r="X14" s="125"/>
      <c r="Y14" s="124"/>
      <c r="Z14" s="458"/>
      <c r="AA14" s="125"/>
      <c r="AB14" s="125"/>
      <c r="AC14" s="124"/>
      <c r="AD14" s="458"/>
      <c r="AE14" s="125"/>
      <c r="AF14" s="125"/>
      <c r="AG14" s="124"/>
      <c r="AH14" s="458"/>
      <c r="AI14" s="125"/>
      <c r="AJ14" s="125"/>
      <c r="AK14" s="124"/>
      <c r="AL14" s="458"/>
      <c r="AM14" s="125"/>
      <c r="AN14" s="125"/>
      <c r="AO14" s="124"/>
      <c r="AP14" s="458"/>
      <c r="AQ14" s="123" t="s">
        <v>144</v>
      </c>
      <c r="AR14" s="124">
        <f t="shared" ref="AR14:AR27" si="0">SUM(B14+J14+N14+W14+AE14+AM14)</f>
        <v>1469071000</v>
      </c>
      <c r="AS14" s="124">
        <f t="shared" ref="AS14:AS27" si="1">SUM(C14+K14+O14+X14+AF14+AN14)</f>
        <v>1530053370</v>
      </c>
      <c r="AT14" s="124">
        <f t="shared" ref="AT14:AT27" si="2">SUM(D14+L14+P14+Y14+AG14+AO14)</f>
        <v>854397456</v>
      </c>
      <c r="AU14" s="458">
        <f>AT14/AS14</f>
        <v>0.55841023114115296</v>
      </c>
      <c r="AV14" s="124">
        <f t="shared" ref="AV14:AV27" si="3">SUM(F14+R14+AA14+AI14)</f>
        <v>0</v>
      </c>
      <c r="AW14" s="124">
        <f t="shared" ref="AW14:AW27" si="4">SUM(G14+S14+AB14+AJ14)</f>
        <v>0</v>
      </c>
      <c r="AX14" s="124">
        <f t="shared" ref="AX14:AX27" si="5">SUM(H14+T14+AC14+AK14)</f>
        <v>0</v>
      </c>
      <c r="AY14" s="458">
        <v>0</v>
      </c>
      <c r="AZ14" s="125">
        <f t="shared" ref="AZ14:AZ27" si="6">SUM(B14+F14+J14+N14+R14+W14+AA14+AE14+AI14+AM14)</f>
        <v>1469071000</v>
      </c>
      <c r="BA14" s="125">
        <f t="shared" ref="BA14:BA27" si="7">SUM(C14+G14+K14+O14+S14+X14+AB14+AF14+AJ14+AN14)</f>
        <v>1530053370</v>
      </c>
      <c r="BB14" s="125">
        <f t="shared" ref="BB14:BB27" si="8">SUM(D14+H14+L14+P14+T14+Y14+AC14+AG14+AK14+AO14)</f>
        <v>854397456</v>
      </c>
      <c r="BC14" s="459">
        <f>BB14/BA14</f>
        <v>0.55841023114115296</v>
      </c>
      <c r="BD14" s="126"/>
    </row>
    <row r="15" spans="1:63">
      <c r="A15" s="123" t="s">
        <v>145</v>
      </c>
      <c r="B15" s="124">
        <v>6800000</v>
      </c>
      <c r="C15" s="124">
        <v>6800000</v>
      </c>
      <c r="D15" s="124">
        <v>1582000</v>
      </c>
      <c r="E15" s="458">
        <f>SUM(D15/C15)</f>
        <v>0.2326470588235294</v>
      </c>
      <c r="F15" s="125"/>
      <c r="G15" s="125"/>
      <c r="H15" s="124"/>
      <c r="I15" s="458"/>
      <c r="J15" s="125"/>
      <c r="K15" s="125"/>
      <c r="L15" s="125"/>
      <c r="M15" s="125"/>
      <c r="N15" s="125"/>
      <c r="O15" s="125"/>
      <c r="P15" s="124"/>
      <c r="Q15" s="458"/>
      <c r="R15" s="125"/>
      <c r="S15" s="125"/>
      <c r="T15" s="124"/>
      <c r="U15" s="458"/>
      <c r="V15" s="123" t="s">
        <v>145</v>
      </c>
      <c r="W15" s="125"/>
      <c r="X15" s="125"/>
      <c r="Y15" s="124"/>
      <c r="Z15" s="458"/>
      <c r="AA15" s="125"/>
      <c r="AB15" s="125"/>
      <c r="AC15" s="124"/>
      <c r="AD15" s="458"/>
      <c r="AE15" s="125"/>
      <c r="AF15" s="125"/>
      <c r="AG15" s="124"/>
      <c r="AH15" s="458"/>
      <c r="AI15" s="125"/>
      <c r="AJ15" s="125"/>
      <c r="AK15" s="124"/>
      <c r="AL15" s="458"/>
      <c r="AM15" s="125"/>
      <c r="AN15" s="125"/>
      <c r="AO15" s="124"/>
      <c r="AP15" s="458"/>
      <c r="AQ15" s="123" t="s">
        <v>145</v>
      </c>
      <c r="AR15" s="124">
        <f t="shared" si="0"/>
        <v>6800000</v>
      </c>
      <c r="AS15" s="124">
        <f t="shared" si="1"/>
        <v>6800000</v>
      </c>
      <c r="AT15" s="124">
        <f t="shared" si="2"/>
        <v>1582000</v>
      </c>
      <c r="AU15" s="458">
        <f>AT15/AS15</f>
        <v>0.2326470588235294</v>
      </c>
      <c r="AV15" s="124">
        <f t="shared" si="3"/>
        <v>0</v>
      </c>
      <c r="AW15" s="124">
        <f t="shared" si="4"/>
        <v>0</v>
      </c>
      <c r="AX15" s="124">
        <f t="shared" si="5"/>
        <v>0</v>
      </c>
      <c r="AY15" s="458">
        <v>0</v>
      </c>
      <c r="AZ15" s="125">
        <f t="shared" si="6"/>
        <v>6800000</v>
      </c>
      <c r="BA15" s="125">
        <f t="shared" si="7"/>
        <v>6800000</v>
      </c>
      <c r="BB15" s="125">
        <f t="shared" si="8"/>
        <v>1582000</v>
      </c>
      <c r="BC15" s="459">
        <f t="shared" ref="BC15:BC24" si="9">BB15/BA15</f>
        <v>0.2326470588235294</v>
      </c>
      <c r="BD15" s="126"/>
    </row>
    <row r="16" spans="1:63">
      <c r="A16" s="123" t="s">
        <v>146</v>
      </c>
      <c r="B16" s="127">
        <v>1000000</v>
      </c>
      <c r="C16" s="127">
        <v>1000000</v>
      </c>
      <c r="D16" s="127">
        <v>120553</v>
      </c>
      <c r="E16" s="458">
        <f>SUM(D16/C16)</f>
        <v>0.12055299999999999</v>
      </c>
      <c r="F16" s="125"/>
      <c r="G16" s="125"/>
      <c r="H16" s="127"/>
      <c r="I16" s="458"/>
      <c r="J16" s="125"/>
      <c r="K16" s="125"/>
      <c r="L16" s="124"/>
      <c r="M16" s="124"/>
      <c r="N16" s="124"/>
      <c r="O16" s="124"/>
      <c r="P16" s="127"/>
      <c r="Q16" s="458"/>
      <c r="R16" s="125"/>
      <c r="S16" s="125"/>
      <c r="T16" s="127"/>
      <c r="U16" s="458"/>
      <c r="V16" s="123" t="s">
        <v>146</v>
      </c>
      <c r="W16" s="125"/>
      <c r="X16" s="125"/>
      <c r="Y16" s="127"/>
      <c r="Z16" s="458"/>
      <c r="AA16" s="125"/>
      <c r="AB16" s="125"/>
      <c r="AC16" s="127"/>
      <c r="AD16" s="458"/>
      <c r="AE16" s="125"/>
      <c r="AF16" s="125"/>
      <c r="AG16" s="127"/>
      <c r="AH16" s="458"/>
      <c r="AI16" s="125"/>
      <c r="AJ16" s="125"/>
      <c r="AK16" s="127"/>
      <c r="AL16" s="458"/>
      <c r="AM16" s="125"/>
      <c r="AN16" s="125"/>
      <c r="AO16" s="127"/>
      <c r="AP16" s="458"/>
      <c r="AQ16" s="123" t="s">
        <v>146</v>
      </c>
      <c r="AR16" s="124">
        <f t="shared" si="0"/>
        <v>1000000</v>
      </c>
      <c r="AS16" s="124">
        <f t="shared" si="1"/>
        <v>1000000</v>
      </c>
      <c r="AT16" s="124">
        <f t="shared" si="2"/>
        <v>120553</v>
      </c>
      <c r="AU16" s="458">
        <f>AT16/AS16</f>
        <v>0.12055299999999999</v>
      </c>
      <c r="AV16" s="124">
        <f t="shared" si="3"/>
        <v>0</v>
      </c>
      <c r="AW16" s="124">
        <f t="shared" si="4"/>
        <v>0</v>
      </c>
      <c r="AX16" s="124">
        <f t="shared" si="5"/>
        <v>0</v>
      </c>
      <c r="AY16" s="458">
        <v>0</v>
      </c>
      <c r="AZ16" s="125">
        <f t="shared" si="6"/>
        <v>1000000</v>
      </c>
      <c r="BA16" s="125">
        <f t="shared" si="7"/>
        <v>1000000</v>
      </c>
      <c r="BB16" s="125">
        <f t="shared" si="8"/>
        <v>120553</v>
      </c>
      <c r="BC16" s="459">
        <f t="shared" si="9"/>
        <v>0.12055299999999999</v>
      </c>
      <c r="BD16" s="126"/>
    </row>
    <row r="17" spans="1:56" ht="40.5">
      <c r="A17" s="123" t="s">
        <v>353</v>
      </c>
      <c r="B17" s="127"/>
      <c r="C17" s="127">
        <v>85015021</v>
      </c>
      <c r="D17" s="127">
        <v>85015021</v>
      </c>
      <c r="E17" s="458">
        <f>SUM(D17/C17)</f>
        <v>1</v>
      </c>
      <c r="F17" s="125"/>
      <c r="G17" s="125"/>
      <c r="H17" s="127"/>
      <c r="I17" s="458"/>
      <c r="J17" s="125"/>
      <c r="K17" s="125"/>
      <c r="L17" s="124"/>
      <c r="M17" s="124"/>
      <c r="N17" s="124"/>
      <c r="O17" s="124"/>
      <c r="P17" s="127"/>
      <c r="Q17" s="460"/>
      <c r="R17" s="125"/>
      <c r="S17" s="125"/>
      <c r="T17" s="127"/>
      <c r="U17" s="460"/>
      <c r="V17" s="123" t="s">
        <v>353</v>
      </c>
      <c r="W17" s="125"/>
      <c r="X17" s="125"/>
      <c r="Y17" s="127"/>
      <c r="Z17" s="460"/>
      <c r="AA17" s="125"/>
      <c r="AB17" s="125"/>
      <c r="AC17" s="127"/>
      <c r="AD17" s="460"/>
      <c r="AE17" s="125"/>
      <c r="AF17" s="125"/>
      <c r="AG17" s="127"/>
      <c r="AH17" s="460"/>
      <c r="AI17" s="125"/>
      <c r="AJ17" s="125"/>
      <c r="AK17" s="127"/>
      <c r="AL17" s="460"/>
      <c r="AM17" s="125"/>
      <c r="AN17" s="125"/>
      <c r="AO17" s="127"/>
      <c r="AP17" s="460"/>
      <c r="AQ17" s="123" t="s">
        <v>353</v>
      </c>
      <c r="AR17" s="124">
        <f t="shared" si="0"/>
        <v>0</v>
      </c>
      <c r="AS17" s="124">
        <f t="shared" si="1"/>
        <v>85015021</v>
      </c>
      <c r="AT17" s="124">
        <f t="shared" si="2"/>
        <v>85015021</v>
      </c>
      <c r="AU17" s="458">
        <v>0</v>
      </c>
      <c r="AV17" s="124">
        <f t="shared" si="3"/>
        <v>0</v>
      </c>
      <c r="AW17" s="124">
        <f t="shared" si="4"/>
        <v>0</v>
      </c>
      <c r="AX17" s="124">
        <f t="shared" si="5"/>
        <v>0</v>
      </c>
      <c r="AY17" s="458">
        <v>0</v>
      </c>
      <c r="AZ17" s="125">
        <f t="shared" si="6"/>
        <v>0</v>
      </c>
      <c r="BA17" s="125">
        <f t="shared" si="7"/>
        <v>85015021</v>
      </c>
      <c r="BB17" s="125">
        <f t="shared" si="8"/>
        <v>85015021</v>
      </c>
      <c r="BC17" s="459">
        <f t="shared" si="9"/>
        <v>1</v>
      </c>
      <c r="BD17" s="126"/>
    </row>
    <row r="18" spans="1:56">
      <c r="A18" s="123" t="s">
        <v>147</v>
      </c>
      <c r="B18" s="127"/>
      <c r="C18" s="127"/>
      <c r="D18" s="127"/>
      <c r="E18" s="460"/>
      <c r="F18" s="125"/>
      <c r="G18" s="124"/>
      <c r="H18" s="127"/>
      <c r="I18" s="460"/>
      <c r="J18" s="124">
        <v>9000000</v>
      </c>
      <c r="K18" s="124">
        <v>9000000</v>
      </c>
      <c r="L18" s="124">
        <v>11033287</v>
      </c>
      <c r="M18" s="458">
        <f t="shared" ref="M18:M24" si="10">SUM(L18/K18)</f>
        <v>1.2259207777777779</v>
      </c>
      <c r="N18" s="124"/>
      <c r="O18" s="124"/>
      <c r="P18" s="127"/>
      <c r="Q18" s="458"/>
      <c r="R18" s="127"/>
      <c r="S18" s="127"/>
      <c r="T18" s="127"/>
      <c r="U18" s="458"/>
      <c r="V18" s="123" t="s">
        <v>147</v>
      </c>
      <c r="W18" s="127"/>
      <c r="X18" s="127"/>
      <c r="Y18" s="127"/>
      <c r="Z18" s="458"/>
      <c r="AA18" s="127"/>
      <c r="AB18" s="127"/>
      <c r="AC18" s="127"/>
      <c r="AD18" s="458"/>
      <c r="AE18" s="127"/>
      <c r="AF18" s="127"/>
      <c r="AG18" s="127"/>
      <c r="AH18" s="458"/>
      <c r="AI18" s="127"/>
      <c r="AJ18" s="127"/>
      <c r="AK18" s="127"/>
      <c r="AL18" s="458"/>
      <c r="AM18" s="127"/>
      <c r="AN18" s="127"/>
      <c r="AO18" s="127"/>
      <c r="AP18" s="458"/>
      <c r="AQ18" s="123" t="s">
        <v>147</v>
      </c>
      <c r="AR18" s="124">
        <f t="shared" si="0"/>
        <v>9000000</v>
      </c>
      <c r="AS18" s="124">
        <f t="shared" si="1"/>
        <v>9000000</v>
      </c>
      <c r="AT18" s="124">
        <f t="shared" si="2"/>
        <v>11033287</v>
      </c>
      <c r="AU18" s="458">
        <f>AT18/AS18</f>
        <v>1.2259207777777779</v>
      </c>
      <c r="AV18" s="124">
        <f t="shared" si="3"/>
        <v>0</v>
      </c>
      <c r="AW18" s="124">
        <f t="shared" si="4"/>
        <v>0</v>
      </c>
      <c r="AX18" s="124">
        <f t="shared" si="5"/>
        <v>0</v>
      </c>
      <c r="AY18" s="458">
        <v>0</v>
      </c>
      <c r="AZ18" s="125">
        <f t="shared" si="6"/>
        <v>9000000</v>
      </c>
      <c r="BA18" s="125">
        <f t="shared" si="7"/>
        <v>9000000</v>
      </c>
      <c r="BB18" s="125">
        <f t="shared" si="8"/>
        <v>11033287</v>
      </c>
      <c r="BC18" s="459">
        <f t="shared" si="9"/>
        <v>1.2259207777777779</v>
      </c>
      <c r="BD18" s="126"/>
    </row>
    <row r="19" spans="1:56">
      <c r="A19" s="123" t="s">
        <v>148</v>
      </c>
      <c r="B19" s="127"/>
      <c r="C19" s="127"/>
      <c r="D19" s="127"/>
      <c r="E19" s="460"/>
      <c r="F19" s="125"/>
      <c r="G19" s="124"/>
      <c r="H19" s="127"/>
      <c r="I19" s="460"/>
      <c r="J19" s="124"/>
      <c r="K19" s="124"/>
      <c r="L19" s="124"/>
      <c r="M19" s="124"/>
      <c r="N19" s="124">
        <v>1000000</v>
      </c>
      <c r="O19" s="124">
        <v>1000000</v>
      </c>
      <c r="P19" s="127">
        <v>648732</v>
      </c>
      <c r="Q19" s="458">
        <f>SUM(P19/O19)</f>
        <v>0.64873199999999998</v>
      </c>
      <c r="R19" s="127"/>
      <c r="S19" s="127"/>
      <c r="T19" s="127"/>
      <c r="U19" s="458"/>
      <c r="V19" s="123" t="s">
        <v>148</v>
      </c>
      <c r="W19" s="127"/>
      <c r="X19" s="127"/>
      <c r="Y19" s="127"/>
      <c r="Z19" s="458"/>
      <c r="AA19" s="127"/>
      <c r="AB19" s="127"/>
      <c r="AC19" s="127"/>
      <c r="AD19" s="458"/>
      <c r="AE19" s="127"/>
      <c r="AF19" s="127"/>
      <c r="AG19" s="127"/>
      <c r="AH19" s="458"/>
      <c r="AI19" s="127"/>
      <c r="AJ19" s="127"/>
      <c r="AK19" s="127"/>
      <c r="AL19" s="458"/>
      <c r="AM19" s="127"/>
      <c r="AN19" s="127"/>
      <c r="AO19" s="127"/>
      <c r="AP19" s="458"/>
      <c r="AQ19" s="123" t="s">
        <v>148</v>
      </c>
      <c r="AR19" s="124">
        <f t="shared" si="0"/>
        <v>1000000</v>
      </c>
      <c r="AS19" s="124">
        <f t="shared" si="1"/>
        <v>1000000</v>
      </c>
      <c r="AT19" s="124">
        <f t="shared" si="2"/>
        <v>648732</v>
      </c>
      <c r="AU19" s="458">
        <f t="shared" ref="AU19:AU24" si="11">AT19/AS19</f>
        <v>0.64873199999999998</v>
      </c>
      <c r="AV19" s="124">
        <f t="shared" si="3"/>
        <v>0</v>
      </c>
      <c r="AW19" s="124">
        <f t="shared" si="4"/>
        <v>0</v>
      </c>
      <c r="AX19" s="124">
        <f t="shared" si="5"/>
        <v>0</v>
      </c>
      <c r="AY19" s="458">
        <v>0</v>
      </c>
      <c r="AZ19" s="125">
        <f t="shared" si="6"/>
        <v>1000000</v>
      </c>
      <c r="BA19" s="125">
        <f t="shared" si="7"/>
        <v>1000000</v>
      </c>
      <c r="BB19" s="125">
        <f t="shared" si="8"/>
        <v>648732</v>
      </c>
      <c r="BC19" s="459">
        <f t="shared" si="9"/>
        <v>0.64873199999999998</v>
      </c>
      <c r="BD19" s="126"/>
    </row>
    <row r="20" spans="1:56">
      <c r="A20" s="123" t="s">
        <v>149</v>
      </c>
      <c r="B20" s="127"/>
      <c r="C20" s="127"/>
      <c r="D20" s="127"/>
      <c r="E20" s="460"/>
      <c r="F20" s="125"/>
      <c r="G20" s="124"/>
      <c r="H20" s="127"/>
      <c r="I20" s="460"/>
      <c r="J20" s="124">
        <v>560500000</v>
      </c>
      <c r="K20" s="124">
        <v>560500000</v>
      </c>
      <c r="L20" s="124">
        <f>259834230+375000</f>
        <v>260209230</v>
      </c>
      <c r="M20" s="458">
        <f t="shared" si="10"/>
        <v>0.46424483496877789</v>
      </c>
      <c r="N20" s="124"/>
      <c r="O20" s="124"/>
      <c r="P20" s="127"/>
      <c r="Q20" s="458"/>
      <c r="R20" s="127"/>
      <c r="S20" s="127"/>
      <c r="T20" s="127"/>
      <c r="U20" s="458"/>
      <c r="V20" s="123" t="s">
        <v>149</v>
      </c>
      <c r="W20" s="127"/>
      <c r="X20" s="127"/>
      <c r="Y20" s="127"/>
      <c r="Z20" s="458"/>
      <c r="AA20" s="127"/>
      <c r="AB20" s="127"/>
      <c r="AC20" s="127"/>
      <c r="AD20" s="458"/>
      <c r="AE20" s="127"/>
      <c r="AF20" s="127"/>
      <c r="AG20" s="127"/>
      <c r="AH20" s="458"/>
      <c r="AI20" s="127"/>
      <c r="AJ20" s="127"/>
      <c r="AK20" s="127"/>
      <c r="AL20" s="458"/>
      <c r="AM20" s="127"/>
      <c r="AN20" s="127"/>
      <c r="AO20" s="127"/>
      <c r="AP20" s="458"/>
      <c r="AQ20" s="123" t="s">
        <v>149</v>
      </c>
      <c r="AR20" s="124">
        <f t="shared" si="0"/>
        <v>560500000</v>
      </c>
      <c r="AS20" s="124">
        <f t="shared" si="1"/>
        <v>560500000</v>
      </c>
      <c r="AT20" s="124">
        <f t="shared" si="2"/>
        <v>260209230</v>
      </c>
      <c r="AU20" s="458">
        <f t="shared" si="11"/>
        <v>0.46424483496877789</v>
      </c>
      <c r="AV20" s="124">
        <f t="shared" si="3"/>
        <v>0</v>
      </c>
      <c r="AW20" s="124">
        <f t="shared" si="4"/>
        <v>0</v>
      </c>
      <c r="AX20" s="124">
        <f t="shared" si="5"/>
        <v>0</v>
      </c>
      <c r="AY20" s="458">
        <v>0</v>
      </c>
      <c r="AZ20" s="125">
        <f t="shared" si="6"/>
        <v>560500000</v>
      </c>
      <c r="BA20" s="125">
        <f t="shared" si="7"/>
        <v>560500000</v>
      </c>
      <c r="BB20" s="125">
        <f t="shared" si="8"/>
        <v>260209230</v>
      </c>
      <c r="BC20" s="459">
        <f t="shared" si="9"/>
        <v>0.46424483496877789</v>
      </c>
      <c r="BD20" s="126"/>
    </row>
    <row r="21" spans="1:56">
      <c r="A21" s="123" t="s">
        <v>150</v>
      </c>
      <c r="B21" s="127"/>
      <c r="C21" s="127"/>
      <c r="D21" s="127"/>
      <c r="E21" s="460"/>
      <c r="F21" s="125"/>
      <c r="G21" s="124"/>
      <c r="H21" s="127"/>
      <c r="I21" s="460"/>
      <c r="J21" s="124">
        <v>4000000</v>
      </c>
      <c r="K21" s="124">
        <v>4000000</v>
      </c>
      <c r="L21" s="124">
        <v>1775400</v>
      </c>
      <c r="M21" s="458">
        <f t="shared" si="10"/>
        <v>0.44385000000000002</v>
      </c>
      <c r="N21" s="124"/>
      <c r="O21" s="124"/>
      <c r="P21" s="127"/>
      <c r="Q21" s="458"/>
      <c r="R21" s="127"/>
      <c r="S21" s="127"/>
      <c r="T21" s="127"/>
      <c r="U21" s="458"/>
      <c r="V21" s="123" t="s">
        <v>150</v>
      </c>
      <c r="W21" s="127"/>
      <c r="X21" s="127"/>
      <c r="Y21" s="127"/>
      <c r="Z21" s="458"/>
      <c r="AA21" s="127"/>
      <c r="AB21" s="127"/>
      <c r="AC21" s="127"/>
      <c r="AD21" s="458"/>
      <c r="AE21" s="127"/>
      <c r="AF21" s="127"/>
      <c r="AG21" s="127"/>
      <c r="AH21" s="458"/>
      <c r="AI21" s="127"/>
      <c r="AJ21" s="127"/>
      <c r="AK21" s="127"/>
      <c r="AL21" s="458"/>
      <c r="AM21" s="127"/>
      <c r="AN21" s="127"/>
      <c r="AO21" s="127"/>
      <c r="AP21" s="458"/>
      <c r="AQ21" s="123" t="s">
        <v>150</v>
      </c>
      <c r="AR21" s="124">
        <f t="shared" si="0"/>
        <v>4000000</v>
      </c>
      <c r="AS21" s="124">
        <f t="shared" si="1"/>
        <v>4000000</v>
      </c>
      <c r="AT21" s="124">
        <f t="shared" si="2"/>
        <v>1775400</v>
      </c>
      <c r="AU21" s="458">
        <f t="shared" si="11"/>
        <v>0.44385000000000002</v>
      </c>
      <c r="AV21" s="124">
        <f t="shared" si="3"/>
        <v>0</v>
      </c>
      <c r="AW21" s="124">
        <f t="shared" si="4"/>
        <v>0</v>
      </c>
      <c r="AX21" s="124">
        <f t="shared" si="5"/>
        <v>0</v>
      </c>
      <c r="AY21" s="458">
        <v>0</v>
      </c>
      <c r="AZ21" s="125">
        <f t="shared" si="6"/>
        <v>4000000</v>
      </c>
      <c r="BA21" s="125">
        <f t="shared" si="7"/>
        <v>4000000</v>
      </c>
      <c r="BB21" s="125">
        <f t="shared" si="8"/>
        <v>1775400</v>
      </c>
      <c r="BC21" s="459">
        <f t="shared" si="9"/>
        <v>0.44385000000000002</v>
      </c>
      <c r="BD21" s="126"/>
    </row>
    <row r="22" spans="1:56">
      <c r="A22" s="123" t="s">
        <v>151</v>
      </c>
      <c r="B22" s="127"/>
      <c r="C22" s="127"/>
      <c r="D22" s="127"/>
      <c r="E22" s="460"/>
      <c r="F22" s="128"/>
      <c r="G22" s="128"/>
      <c r="H22" s="127"/>
      <c r="I22" s="460"/>
      <c r="J22" s="127">
        <v>40000000</v>
      </c>
      <c r="K22" s="127">
        <v>40000000</v>
      </c>
      <c r="L22" s="124">
        <v>27269236</v>
      </c>
      <c r="M22" s="458">
        <f t="shared" si="10"/>
        <v>0.68173090000000003</v>
      </c>
      <c r="N22" s="124"/>
      <c r="O22" s="124"/>
      <c r="P22" s="127"/>
      <c r="Q22" s="458"/>
      <c r="R22" s="127"/>
      <c r="S22" s="127"/>
      <c r="T22" s="127"/>
      <c r="U22" s="458"/>
      <c r="V22" s="123" t="s">
        <v>151</v>
      </c>
      <c r="W22" s="127"/>
      <c r="X22" s="127"/>
      <c r="Y22" s="127"/>
      <c r="Z22" s="458"/>
      <c r="AA22" s="127"/>
      <c r="AB22" s="127"/>
      <c r="AC22" s="127"/>
      <c r="AD22" s="458"/>
      <c r="AE22" s="127"/>
      <c r="AF22" s="127"/>
      <c r="AG22" s="127"/>
      <c r="AH22" s="458"/>
      <c r="AI22" s="127"/>
      <c r="AJ22" s="127"/>
      <c r="AK22" s="127"/>
      <c r="AL22" s="458"/>
      <c r="AM22" s="127"/>
      <c r="AN22" s="127"/>
      <c r="AO22" s="127"/>
      <c r="AP22" s="458"/>
      <c r="AQ22" s="123" t="s">
        <v>151</v>
      </c>
      <c r="AR22" s="124">
        <f t="shared" si="0"/>
        <v>40000000</v>
      </c>
      <c r="AS22" s="124">
        <f t="shared" si="1"/>
        <v>40000000</v>
      </c>
      <c r="AT22" s="124">
        <f t="shared" si="2"/>
        <v>27269236</v>
      </c>
      <c r="AU22" s="458">
        <f t="shared" si="11"/>
        <v>0.68173090000000003</v>
      </c>
      <c r="AV22" s="124">
        <f t="shared" si="3"/>
        <v>0</v>
      </c>
      <c r="AW22" s="124">
        <f t="shared" si="4"/>
        <v>0</v>
      </c>
      <c r="AX22" s="124">
        <f t="shared" si="5"/>
        <v>0</v>
      </c>
      <c r="AY22" s="458">
        <v>0</v>
      </c>
      <c r="AZ22" s="125">
        <f t="shared" si="6"/>
        <v>40000000</v>
      </c>
      <c r="BA22" s="125">
        <f t="shared" si="7"/>
        <v>40000000</v>
      </c>
      <c r="BB22" s="125">
        <f t="shared" si="8"/>
        <v>27269236</v>
      </c>
      <c r="BC22" s="459">
        <f t="shared" si="9"/>
        <v>0.68173090000000003</v>
      </c>
      <c r="BD22" s="126"/>
    </row>
    <row r="23" spans="1:56">
      <c r="A23" s="123" t="s">
        <v>152</v>
      </c>
      <c r="B23" s="127"/>
      <c r="C23" s="127"/>
      <c r="D23" s="127"/>
      <c r="E23" s="460"/>
      <c r="F23" s="128"/>
      <c r="G23" s="128"/>
      <c r="H23" s="127"/>
      <c r="I23" s="460"/>
      <c r="J23" s="127">
        <v>200000</v>
      </c>
      <c r="K23" s="127">
        <v>200000</v>
      </c>
      <c r="L23" s="124">
        <v>31762</v>
      </c>
      <c r="M23" s="458">
        <f t="shared" si="10"/>
        <v>0.15881000000000001</v>
      </c>
      <c r="N23" s="124"/>
      <c r="O23" s="124"/>
      <c r="P23" s="127"/>
      <c r="Q23" s="458"/>
      <c r="R23" s="127"/>
      <c r="S23" s="127"/>
      <c r="T23" s="127"/>
      <c r="U23" s="458"/>
      <c r="V23" s="123" t="s">
        <v>152</v>
      </c>
      <c r="W23" s="127"/>
      <c r="X23" s="127"/>
      <c r="Y23" s="127"/>
      <c r="Z23" s="458"/>
      <c r="AA23" s="127"/>
      <c r="AB23" s="127"/>
      <c r="AC23" s="127"/>
      <c r="AD23" s="458"/>
      <c r="AE23" s="127"/>
      <c r="AF23" s="127"/>
      <c r="AG23" s="127"/>
      <c r="AH23" s="458"/>
      <c r="AI23" s="127"/>
      <c r="AJ23" s="127"/>
      <c r="AK23" s="127"/>
      <c r="AL23" s="458"/>
      <c r="AM23" s="127"/>
      <c r="AN23" s="127"/>
      <c r="AO23" s="127"/>
      <c r="AP23" s="458"/>
      <c r="AQ23" s="123" t="s">
        <v>152</v>
      </c>
      <c r="AR23" s="124">
        <f t="shared" si="0"/>
        <v>200000</v>
      </c>
      <c r="AS23" s="124">
        <f t="shared" si="1"/>
        <v>200000</v>
      </c>
      <c r="AT23" s="124">
        <f t="shared" si="2"/>
        <v>31762</v>
      </c>
      <c r="AU23" s="458">
        <f t="shared" si="11"/>
        <v>0.15881000000000001</v>
      </c>
      <c r="AV23" s="124">
        <f t="shared" si="3"/>
        <v>0</v>
      </c>
      <c r="AW23" s="124">
        <f t="shared" si="4"/>
        <v>0</v>
      </c>
      <c r="AX23" s="124">
        <f t="shared" si="5"/>
        <v>0</v>
      </c>
      <c r="AY23" s="458">
        <v>0</v>
      </c>
      <c r="AZ23" s="125">
        <f t="shared" si="6"/>
        <v>200000</v>
      </c>
      <c r="BA23" s="125">
        <f t="shared" si="7"/>
        <v>200000</v>
      </c>
      <c r="BB23" s="125">
        <f t="shared" si="8"/>
        <v>31762</v>
      </c>
      <c r="BC23" s="459">
        <f t="shared" si="9"/>
        <v>0.15881000000000001</v>
      </c>
      <c r="BD23" s="126"/>
    </row>
    <row r="24" spans="1:56">
      <c r="A24" s="123" t="s">
        <v>153</v>
      </c>
      <c r="B24" s="127"/>
      <c r="C24" s="127"/>
      <c r="D24" s="127"/>
      <c r="E24" s="460"/>
      <c r="F24" s="128"/>
      <c r="G24" s="128"/>
      <c r="H24" s="127"/>
      <c r="I24" s="460"/>
      <c r="J24" s="127">
        <v>3000000</v>
      </c>
      <c r="K24" s="127">
        <v>3000000</v>
      </c>
      <c r="L24" s="124">
        <v>1348170</v>
      </c>
      <c r="M24" s="458">
        <f t="shared" si="10"/>
        <v>0.44939000000000001</v>
      </c>
      <c r="N24" s="124"/>
      <c r="O24" s="124"/>
      <c r="P24" s="127"/>
      <c r="Q24" s="458"/>
      <c r="R24" s="127"/>
      <c r="S24" s="127"/>
      <c r="T24" s="127"/>
      <c r="U24" s="458"/>
      <c r="V24" s="123" t="s">
        <v>153</v>
      </c>
      <c r="W24" s="127"/>
      <c r="X24" s="127"/>
      <c r="Y24" s="127"/>
      <c r="Z24" s="458"/>
      <c r="AA24" s="127"/>
      <c r="AB24" s="127"/>
      <c r="AC24" s="127"/>
      <c r="AD24" s="458"/>
      <c r="AE24" s="127"/>
      <c r="AF24" s="127"/>
      <c r="AG24" s="127"/>
      <c r="AH24" s="458"/>
      <c r="AI24" s="127"/>
      <c r="AJ24" s="127"/>
      <c r="AK24" s="127"/>
      <c r="AL24" s="458"/>
      <c r="AM24" s="127"/>
      <c r="AN24" s="127"/>
      <c r="AO24" s="127"/>
      <c r="AP24" s="458"/>
      <c r="AQ24" s="123" t="s">
        <v>153</v>
      </c>
      <c r="AR24" s="124">
        <f t="shared" si="0"/>
        <v>3000000</v>
      </c>
      <c r="AS24" s="124">
        <f t="shared" si="1"/>
        <v>3000000</v>
      </c>
      <c r="AT24" s="124">
        <f t="shared" si="2"/>
        <v>1348170</v>
      </c>
      <c r="AU24" s="458">
        <f t="shared" si="11"/>
        <v>0.44939000000000001</v>
      </c>
      <c r="AV24" s="124">
        <f t="shared" si="3"/>
        <v>0</v>
      </c>
      <c r="AW24" s="124">
        <f t="shared" si="4"/>
        <v>0</v>
      </c>
      <c r="AX24" s="124">
        <f t="shared" si="5"/>
        <v>0</v>
      </c>
      <c r="AY24" s="458">
        <v>0</v>
      </c>
      <c r="AZ24" s="125">
        <f t="shared" si="6"/>
        <v>3000000</v>
      </c>
      <c r="BA24" s="125">
        <f t="shared" si="7"/>
        <v>3000000</v>
      </c>
      <c r="BB24" s="125">
        <f t="shared" si="8"/>
        <v>1348170</v>
      </c>
      <c r="BC24" s="459">
        <f t="shared" si="9"/>
        <v>0.44939000000000001</v>
      </c>
      <c r="BD24" s="126"/>
    </row>
    <row r="25" spans="1:56">
      <c r="A25" s="123" t="s">
        <v>354</v>
      </c>
      <c r="B25" s="127"/>
      <c r="C25" s="127">
        <v>11119721</v>
      </c>
      <c r="D25" s="124">
        <v>11119721</v>
      </c>
      <c r="E25" s="458">
        <f>SUM(D25/C25)</f>
        <v>1</v>
      </c>
      <c r="F25" s="128"/>
      <c r="G25" s="128"/>
      <c r="H25" s="124"/>
      <c r="I25" s="458"/>
      <c r="J25" s="127"/>
      <c r="K25" s="127"/>
      <c r="L25" s="124"/>
      <c r="M25" s="124"/>
      <c r="N25" s="125"/>
      <c r="O25" s="125"/>
      <c r="P25" s="124"/>
      <c r="Q25" s="458"/>
      <c r="R25" s="125"/>
      <c r="S25" s="125"/>
      <c r="T25" s="124"/>
      <c r="U25" s="458"/>
      <c r="V25" s="123" t="s">
        <v>354</v>
      </c>
      <c r="W25" s="125"/>
      <c r="X25" s="125"/>
      <c r="Y25" s="124"/>
      <c r="Z25" s="458"/>
      <c r="AA25" s="125"/>
      <c r="AB25" s="125"/>
      <c r="AC25" s="124"/>
      <c r="AD25" s="458"/>
      <c r="AE25" s="125"/>
      <c r="AF25" s="125"/>
      <c r="AG25" s="124"/>
      <c r="AH25" s="458"/>
      <c r="AI25" s="125"/>
      <c r="AJ25" s="125"/>
      <c r="AK25" s="124"/>
      <c r="AL25" s="458"/>
      <c r="AM25" s="125"/>
      <c r="AN25" s="125"/>
      <c r="AO25" s="124"/>
      <c r="AP25" s="458"/>
      <c r="AQ25" s="123" t="s">
        <v>354</v>
      </c>
      <c r="AR25" s="124">
        <f t="shared" si="0"/>
        <v>0</v>
      </c>
      <c r="AS25" s="124">
        <f t="shared" si="1"/>
        <v>11119721</v>
      </c>
      <c r="AT25" s="124">
        <f t="shared" si="2"/>
        <v>11119721</v>
      </c>
      <c r="AU25" s="458">
        <f>AT25/AS25</f>
        <v>1</v>
      </c>
      <c r="AV25" s="124">
        <f t="shared" si="3"/>
        <v>0</v>
      </c>
      <c r="AW25" s="124">
        <f t="shared" si="4"/>
        <v>0</v>
      </c>
      <c r="AX25" s="124">
        <f t="shared" si="5"/>
        <v>0</v>
      </c>
      <c r="AY25" s="458">
        <v>0</v>
      </c>
      <c r="AZ25" s="125">
        <f t="shared" si="6"/>
        <v>0</v>
      </c>
      <c r="BA25" s="125">
        <f t="shared" si="7"/>
        <v>11119721</v>
      </c>
      <c r="BB25" s="125">
        <f t="shared" si="8"/>
        <v>11119721</v>
      </c>
      <c r="BC25" s="459">
        <f t="shared" ref="BC25:BC28" si="12">BB25/BA25</f>
        <v>1</v>
      </c>
      <c r="BD25" s="126"/>
    </row>
    <row r="26" spans="1:56" ht="40.5">
      <c r="A26" s="123" t="s">
        <v>355</v>
      </c>
      <c r="B26" s="127"/>
      <c r="C26" s="127"/>
      <c r="D26" s="124"/>
      <c r="E26" s="458"/>
      <c r="F26" s="128"/>
      <c r="G26" s="127">
        <v>9000000</v>
      </c>
      <c r="H26" s="124">
        <v>9000000</v>
      </c>
      <c r="I26" s="458">
        <f>SUM(H26/G26)</f>
        <v>1</v>
      </c>
      <c r="J26" s="127"/>
      <c r="K26" s="127"/>
      <c r="L26" s="124"/>
      <c r="M26" s="124"/>
      <c r="N26" s="125"/>
      <c r="O26" s="125"/>
      <c r="P26" s="124"/>
      <c r="Q26" s="458"/>
      <c r="R26" s="125"/>
      <c r="S26" s="125"/>
      <c r="T26" s="124"/>
      <c r="U26" s="458"/>
      <c r="V26" s="123" t="s">
        <v>355</v>
      </c>
      <c r="W26" s="125"/>
      <c r="X26" s="125"/>
      <c r="Y26" s="124"/>
      <c r="Z26" s="458"/>
      <c r="AA26" s="125"/>
      <c r="AB26" s="125"/>
      <c r="AC26" s="124"/>
      <c r="AD26" s="458"/>
      <c r="AE26" s="125"/>
      <c r="AF26" s="125"/>
      <c r="AG26" s="124"/>
      <c r="AH26" s="458"/>
      <c r="AI26" s="125"/>
      <c r="AJ26" s="125"/>
      <c r="AK26" s="124"/>
      <c r="AL26" s="458"/>
      <c r="AM26" s="125"/>
      <c r="AN26" s="125"/>
      <c r="AO26" s="124"/>
      <c r="AP26" s="458"/>
      <c r="AQ26" s="123" t="s">
        <v>355</v>
      </c>
      <c r="AR26" s="124">
        <f t="shared" si="0"/>
        <v>0</v>
      </c>
      <c r="AS26" s="124">
        <f t="shared" si="1"/>
        <v>0</v>
      </c>
      <c r="AT26" s="124">
        <f t="shared" si="2"/>
        <v>0</v>
      </c>
      <c r="AU26" s="458">
        <v>0</v>
      </c>
      <c r="AV26" s="124">
        <f t="shared" si="3"/>
        <v>0</v>
      </c>
      <c r="AW26" s="124">
        <f t="shared" si="4"/>
        <v>9000000</v>
      </c>
      <c r="AX26" s="124">
        <f t="shared" si="5"/>
        <v>9000000</v>
      </c>
      <c r="AY26" s="458">
        <f t="shared" ref="AY26:AY27" si="13">AX26/AW26</f>
        <v>1</v>
      </c>
      <c r="AZ26" s="125">
        <f t="shared" si="6"/>
        <v>0</v>
      </c>
      <c r="BA26" s="125">
        <f t="shared" si="7"/>
        <v>9000000</v>
      </c>
      <c r="BB26" s="125">
        <f t="shared" si="8"/>
        <v>9000000</v>
      </c>
      <c r="BC26" s="459">
        <f t="shared" si="12"/>
        <v>1</v>
      </c>
      <c r="BD26" s="126"/>
    </row>
    <row r="27" spans="1:56" ht="21" thickBot="1">
      <c r="A27" s="129" t="s">
        <v>356</v>
      </c>
      <c r="B27" s="130"/>
      <c r="C27" s="130"/>
      <c r="D27" s="127"/>
      <c r="E27" s="458"/>
      <c r="F27" s="131"/>
      <c r="G27" s="132">
        <v>37500</v>
      </c>
      <c r="H27" s="127">
        <v>37500</v>
      </c>
      <c r="I27" s="458">
        <f>SUM(H27/G27)</f>
        <v>1</v>
      </c>
      <c r="J27" s="131"/>
      <c r="K27" s="131"/>
      <c r="L27" s="132"/>
      <c r="M27" s="132"/>
      <c r="N27" s="124"/>
      <c r="O27" s="124"/>
      <c r="P27" s="127"/>
      <c r="Q27" s="458"/>
      <c r="R27" s="125"/>
      <c r="S27" s="125"/>
      <c r="T27" s="127"/>
      <c r="U27" s="458"/>
      <c r="V27" s="129" t="s">
        <v>356</v>
      </c>
      <c r="W27" s="125"/>
      <c r="X27" s="125"/>
      <c r="Y27" s="127"/>
      <c r="Z27" s="458"/>
      <c r="AA27" s="125"/>
      <c r="AB27" s="125"/>
      <c r="AC27" s="127"/>
      <c r="AD27" s="458"/>
      <c r="AE27" s="125"/>
      <c r="AF27" s="125"/>
      <c r="AG27" s="127"/>
      <c r="AH27" s="458"/>
      <c r="AI27" s="125"/>
      <c r="AJ27" s="125"/>
      <c r="AK27" s="127"/>
      <c r="AL27" s="458"/>
      <c r="AM27" s="125"/>
      <c r="AN27" s="125"/>
      <c r="AO27" s="127"/>
      <c r="AP27" s="458"/>
      <c r="AQ27" s="129" t="s">
        <v>356</v>
      </c>
      <c r="AR27" s="124">
        <f t="shared" si="0"/>
        <v>0</v>
      </c>
      <c r="AS27" s="124">
        <f t="shared" si="1"/>
        <v>0</v>
      </c>
      <c r="AT27" s="124">
        <f t="shared" si="2"/>
        <v>0</v>
      </c>
      <c r="AU27" s="458">
        <v>0</v>
      </c>
      <c r="AV27" s="124">
        <f t="shared" si="3"/>
        <v>0</v>
      </c>
      <c r="AW27" s="124">
        <f t="shared" si="4"/>
        <v>37500</v>
      </c>
      <c r="AX27" s="124">
        <f t="shared" si="5"/>
        <v>37500</v>
      </c>
      <c r="AY27" s="458">
        <f t="shared" si="13"/>
        <v>1</v>
      </c>
      <c r="AZ27" s="125">
        <f t="shared" si="6"/>
        <v>0</v>
      </c>
      <c r="BA27" s="125">
        <f t="shared" si="7"/>
        <v>37500</v>
      </c>
      <c r="BB27" s="125">
        <f t="shared" si="8"/>
        <v>37500</v>
      </c>
      <c r="BC27" s="459">
        <f t="shared" si="12"/>
        <v>1</v>
      </c>
      <c r="BD27" s="126"/>
    </row>
    <row r="28" spans="1:56" s="357" customFormat="1" ht="21" thickBot="1">
      <c r="A28" s="354" t="s">
        <v>154</v>
      </c>
      <c r="B28" s="355">
        <f>SUM(B14:B27)</f>
        <v>1476871000</v>
      </c>
      <c r="C28" s="355">
        <f>SUM(C14:C27)</f>
        <v>1633988112</v>
      </c>
      <c r="D28" s="355">
        <f>SUM(D14:D27)</f>
        <v>952234751</v>
      </c>
      <c r="E28" s="461">
        <f>D28/C28</f>
        <v>0.58276724537148894</v>
      </c>
      <c r="F28" s="355">
        <f>SUM(F14:F27)</f>
        <v>0</v>
      </c>
      <c r="G28" s="355">
        <f>SUM(G14:G27)</f>
        <v>9037500</v>
      </c>
      <c r="H28" s="355">
        <f>SUM(H14:H27)</f>
        <v>9037500</v>
      </c>
      <c r="I28" s="461">
        <f>H28/G28</f>
        <v>1</v>
      </c>
      <c r="J28" s="355">
        <f>SUM(J14:J27)</f>
        <v>616700000</v>
      </c>
      <c r="K28" s="355">
        <f>SUM(K14:K27)</f>
        <v>616700000</v>
      </c>
      <c r="L28" s="355">
        <f>SUM(L14:L27)</f>
        <v>301667085</v>
      </c>
      <c r="M28" s="461">
        <f>L28/K28</f>
        <v>0.48916342630128101</v>
      </c>
      <c r="N28" s="355">
        <f>SUM(N14:N27)</f>
        <v>1000000</v>
      </c>
      <c r="O28" s="355">
        <f>SUM(O14:O27)</f>
        <v>1000000</v>
      </c>
      <c r="P28" s="355">
        <f>SUM(P14:P27)</f>
        <v>648732</v>
      </c>
      <c r="Q28" s="461">
        <f>P28/O28</f>
        <v>0.64873199999999998</v>
      </c>
      <c r="R28" s="355">
        <f>SUM(R14:R27)</f>
        <v>0</v>
      </c>
      <c r="S28" s="355">
        <f>SUM(S14:S27)</f>
        <v>0</v>
      </c>
      <c r="T28" s="355">
        <f>SUM(T14:T27)</f>
        <v>0</v>
      </c>
      <c r="U28" s="461">
        <v>0</v>
      </c>
      <c r="V28" s="354" t="s">
        <v>154</v>
      </c>
      <c r="W28" s="355">
        <f>SUM(W14:W27)</f>
        <v>0</v>
      </c>
      <c r="X28" s="355">
        <f>SUM(X14:X27)</f>
        <v>0</v>
      </c>
      <c r="Y28" s="355">
        <f>SUM(Y14:Y27)</f>
        <v>0</v>
      </c>
      <c r="Z28" s="461">
        <v>0</v>
      </c>
      <c r="AA28" s="355">
        <f>SUM(AA14:AA27)</f>
        <v>0</v>
      </c>
      <c r="AB28" s="355">
        <f>SUM(AB14:AB27)</f>
        <v>0</v>
      </c>
      <c r="AC28" s="355">
        <f>SUM(AC14:AC27)</f>
        <v>0</v>
      </c>
      <c r="AD28" s="461">
        <v>0</v>
      </c>
      <c r="AE28" s="355">
        <f>SUM(AE14:AE27)</f>
        <v>0</v>
      </c>
      <c r="AF28" s="355">
        <f>SUM(AF14:AF27)</f>
        <v>0</v>
      </c>
      <c r="AG28" s="355">
        <f>SUM(AG14:AG27)</f>
        <v>0</v>
      </c>
      <c r="AH28" s="461">
        <v>0</v>
      </c>
      <c r="AI28" s="355">
        <f>SUM(AI14:AI27)</f>
        <v>0</v>
      </c>
      <c r="AJ28" s="355">
        <f>SUM(AJ14:AJ27)</f>
        <v>0</v>
      </c>
      <c r="AK28" s="355">
        <f>SUM(AK14:AK27)</f>
        <v>0</v>
      </c>
      <c r="AL28" s="461">
        <v>0</v>
      </c>
      <c r="AM28" s="355">
        <f>SUM(AM14:AM27)</f>
        <v>0</v>
      </c>
      <c r="AN28" s="355">
        <f>SUM(AN14:AN27)</f>
        <v>0</v>
      </c>
      <c r="AO28" s="355">
        <f>SUM(AO14:AO27)</f>
        <v>0</v>
      </c>
      <c r="AP28" s="461">
        <v>0</v>
      </c>
      <c r="AQ28" s="354" t="s">
        <v>154</v>
      </c>
      <c r="AR28" s="355">
        <f>SUM(AR14:AR27)</f>
        <v>2094571000</v>
      </c>
      <c r="AS28" s="355">
        <f>SUM(AS14:AS27)</f>
        <v>2251688112</v>
      </c>
      <c r="AT28" s="355">
        <f>SUM(AT14:AT27)</f>
        <v>1254550568</v>
      </c>
      <c r="AU28" s="461">
        <f t="shared" ref="AU28" si="14">AT28/AS28</f>
        <v>0.5571600086681987</v>
      </c>
      <c r="AV28" s="355">
        <f>SUM(AV14:AV27)</f>
        <v>0</v>
      </c>
      <c r="AW28" s="355">
        <f>SUM(AW14:AW27)</f>
        <v>9037500</v>
      </c>
      <c r="AX28" s="355">
        <f>SUM(AX14:AX27)</f>
        <v>9037500</v>
      </c>
      <c r="AY28" s="461">
        <f>AX28/AW28</f>
        <v>1</v>
      </c>
      <c r="AZ28" s="355">
        <f>SUM(AZ14:AZ27)</f>
        <v>2094571000</v>
      </c>
      <c r="BA28" s="355">
        <f>SUM(BA14:BA27)</f>
        <v>2260725612</v>
      </c>
      <c r="BB28" s="355">
        <f>SUM(BB14:BB27)</f>
        <v>1263588068</v>
      </c>
      <c r="BC28" s="461">
        <f t="shared" si="12"/>
        <v>0.55893031038036478</v>
      </c>
      <c r="BD28" s="356"/>
    </row>
    <row r="29" spans="1:56">
      <c r="A29" s="135" t="s">
        <v>155</v>
      </c>
      <c r="B29" s="136"/>
      <c r="C29" s="136"/>
      <c r="D29" s="137"/>
      <c r="E29" s="137"/>
      <c r="F29" s="137"/>
      <c r="G29" s="137"/>
      <c r="H29" s="136"/>
      <c r="I29" s="462"/>
      <c r="J29" s="137"/>
      <c r="K29" s="137"/>
      <c r="L29" s="136"/>
      <c r="M29" s="462"/>
      <c r="N29" s="138"/>
      <c r="O29" s="138"/>
      <c r="P29" s="136"/>
      <c r="Q29" s="462"/>
      <c r="R29" s="138"/>
      <c r="S29" s="138"/>
      <c r="T29" s="136"/>
      <c r="U29" s="462"/>
      <c r="V29" s="135" t="s">
        <v>155</v>
      </c>
      <c r="W29" s="138"/>
      <c r="X29" s="138"/>
      <c r="Y29" s="138"/>
      <c r="Z29" s="138"/>
      <c r="AA29" s="138"/>
      <c r="AB29" s="138"/>
      <c r="AC29" s="136"/>
      <c r="AD29" s="462"/>
      <c r="AE29" s="138"/>
      <c r="AF29" s="138"/>
      <c r="AG29" s="136"/>
      <c r="AH29" s="462"/>
      <c r="AI29" s="138"/>
      <c r="AJ29" s="138"/>
      <c r="AK29" s="136"/>
      <c r="AL29" s="462"/>
      <c r="AM29" s="138"/>
      <c r="AN29" s="138"/>
      <c r="AO29" s="136"/>
      <c r="AP29" s="462"/>
      <c r="AQ29" s="135" t="s">
        <v>155</v>
      </c>
      <c r="AR29" s="136"/>
      <c r="AS29" s="136"/>
      <c r="AT29" s="136"/>
      <c r="AU29" s="458"/>
      <c r="AV29" s="136"/>
      <c r="AW29" s="136"/>
      <c r="AX29" s="136"/>
      <c r="AY29" s="462"/>
      <c r="AZ29" s="125"/>
      <c r="BA29" s="125"/>
      <c r="BB29" s="125"/>
      <c r="BC29" s="459"/>
      <c r="BD29" s="126"/>
    </row>
    <row r="30" spans="1:56">
      <c r="A30" s="167" t="s">
        <v>156</v>
      </c>
      <c r="B30" s="127"/>
      <c r="C30" s="127"/>
      <c r="D30" s="128"/>
      <c r="E30" s="128"/>
      <c r="F30" s="128"/>
      <c r="G30" s="128"/>
      <c r="H30" s="127"/>
      <c r="I30" s="460"/>
      <c r="J30" s="127"/>
      <c r="K30" s="127"/>
      <c r="L30" s="127"/>
      <c r="M30" s="460"/>
      <c r="N30" s="124">
        <v>96000000</v>
      </c>
      <c r="O30" s="124">
        <v>96000000</v>
      </c>
      <c r="P30" s="127">
        <v>57405873</v>
      </c>
      <c r="Q30" s="458">
        <f t="shared" ref="Q30:Q35" si="15">SUM(P30/O30)</f>
        <v>0.59797784374999996</v>
      </c>
      <c r="R30" s="127"/>
      <c r="S30" s="127"/>
      <c r="T30" s="127"/>
      <c r="U30" s="458"/>
      <c r="V30" s="167" t="s">
        <v>156</v>
      </c>
      <c r="W30" s="127"/>
      <c r="X30" s="127"/>
      <c r="Y30" s="127"/>
      <c r="Z30" s="127"/>
      <c r="AA30" s="127"/>
      <c r="AB30" s="127"/>
      <c r="AC30" s="127"/>
      <c r="AD30" s="458"/>
      <c r="AE30" s="127"/>
      <c r="AF30" s="127"/>
      <c r="AG30" s="127"/>
      <c r="AH30" s="458"/>
      <c r="AI30" s="127"/>
      <c r="AJ30" s="127"/>
      <c r="AK30" s="127"/>
      <c r="AL30" s="458"/>
      <c r="AM30" s="127"/>
      <c r="AN30" s="127"/>
      <c r="AO30" s="127"/>
      <c r="AP30" s="458"/>
      <c r="AQ30" s="167" t="s">
        <v>156</v>
      </c>
      <c r="AR30" s="124">
        <f t="shared" ref="AR30:AR46" si="16">SUM(B30+J30+N30+W30+AE30+AM30)</f>
        <v>96000000</v>
      </c>
      <c r="AS30" s="124">
        <f t="shared" ref="AS30:AS46" si="17">SUM(C30+K30+O30+X30+AF30+AN30)</f>
        <v>96000000</v>
      </c>
      <c r="AT30" s="124">
        <f t="shared" ref="AT30:AT46" si="18">SUM(D30+L30+P30+Y30+AG30+AO30)</f>
        <v>57405873</v>
      </c>
      <c r="AU30" s="458">
        <f t="shared" ref="AU30:AU44" si="19">AT30/AS30</f>
        <v>0.59797784374999996</v>
      </c>
      <c r="AV30" s="124">
        <f t="shared" ref="AV30:AV46" si="20">SUM(F30+R30+AA30+AI30)</f>
        <v>0</v>
      </c>
      <c r="AW30" s="124">
        <f t="shared" ref="AW30:AW46" si="21">SUM(G30+S30+AB30+AJ30)</f>
        <v>0</v>
      </c>
      <c r="AX30" s="124">
        <f t="shared" ref="AX30:AX46" si="22">SUM(H30+T30+AC30+AK30)</f>
        <v>0</v>
      </c>
      <c r="AY30" s="458">
        <v>0</v>
      </c>
      <c r="AZ30" s="125">
        <f t="shared" ref="AZ30:AZ46" si="23">SUM(B30+F30+J30+N30+R30+W30+AA30+AE30+AI30+AM30)</f>
        <v>96000000</v>
      </c>
      <c r="BA30" s="125">
        <f t="shared" ref="BA30:BA46" si="24">SUM(C30+G30+K30+O30+S30+X30+AB30+AF30+AJ30+AN30)</f>
        <v>96000000</v>
      </c>
      <c r="BB30" s="125">
        <f t="shared" ref="BB30:BB46" si="25">SUM(D30+H30+L30+P30+T30+Y30+AC30+AG30+AK30+AO30)</f>
        <v>57405873</v>
      </c>
      <c r="BC30" s="459">
        <f t="shared" ref="BC30:BC47" si="26">BB30/BA30</f>
        <v>0.59797784374999996</v>
      </c>
      <c r="BD30" s="126"/>
    </row>
    <row r="31" spans="1:56">
      <c r="A31" s="123" t="s">
        <v>157</v>
      </c>
      <c r="B31" s="127"/>
      <c r="C31" s="127"/>
      <c r="D31" s="128"/>
      <c r="E31" s="128"/>
      <c r="F31" s="128"/>
      <c r="G31" s="128"/>
      <c r="H31" s="127"/>
      <c r="I31" s="460"/>
      <c r="J31" s="127"/>
      <c r="K31" s="127"/>
      <c r="L31" s="127"/>
      <c r="M31" s="460"/>
      <c r="N31" s="124">
        <v>3000000</v>
      </c>
      <c r="O31" s="124">
        <v>3000000</v>
      </c>
      <c r="P31" s="127">
        <v>1097408</v>
      </c>
      <c r="Q31" s="458">
        <f t="shared" si="15"/>
        <v>0.36580266666666666</v>
      </c>
      <c r="R31" s="127"/>
      <c r="S31" s="127"/>
      <c r="T31" s="127"/>
      <c r="U31" s="458"/>
      <c r="V31" s="123" t="s">
        <v>157</v>
      </c>
      <c r="W31" s="127"/>
      <c r="X31" s="127"/>
      <c r="Y31" s="127"/>
      <c r="Z31" s="127"/>
      <c r="AA31" s="127"/>
      <c r="AB31" s="127"/>
      <c r="AC31" s="127"/>
      <c r="AD31" s="458"/>
      <c r="AE31" s="127"/>
      <c r="AF31" s="127"/>
      <c r="AG31" s="127"/>
      <c r="AH31" s="458"/>
      <c r="AI31" s="127"/>
      <c r="AJ31" s="127"/>
      <c r="AK31" s="127"/>
      <c r="AL31" s="458"/>
      <c r="AM31" s="127"/>
      <c r="AN31" s="127"/>
      <c r="AO31" s="127"/>
      <c r="AP31" s="458"/>
      <c r="AQ31" s="123" t="s">
        <v>157</v>
      </c>
      <c r="AR31" s="124">
        <f t="shared" si="16"/>
        <v>3000000</v>
      </c>
      <c r="AS31" s="124">
        <f t="shared" si="17"/>
        <v>3000000</v>
      </c>
      <c r="AT31" s="124">
        <f t="shared" si="18"/>
        <v>1097408</v>
      </c>
      <c r="AU31" s="458">
        <f t="shared" si="19"/>
        <v>0.36580266666666666</v>
      </c>
      <c r="AV31" s="124">
        <f t="shared" si="20"/>
        <v>0</v>
      </c>
      <c r="AW31" s="124">
        <f t="shared" si="21"/>
        <v>0</v>
      </c>
      <c r="AX31" s="124">
        <f t="shared" si="22"/>
        <v>0</v>
      </c>
      <c r="AY31" s="458">
        <v>0</v>
      </c>
      <c r="AZ31" s="125">
        <f t="shared" si="23"/>
        <v>3000000</v>
      </c>
      <c r="BA31" s="125">
        <f t="shared" si="24"/>
        <v>3000000</v>
      </c>
      <c r="BB31" s="125">
        <f t="shared" si="25"/>
        <v>1097408</v>
      </c>
      <c r="BC31" s="459">
        <f t="shared" si="26"/>
        <v>0.36580266666666666</v>
      </c>
      <c r="BD31" s="126"/>
    </row>
    <row r="32" spans="1:56">
      <c r="A32" s="123" t="s">
        <v>163</v>
      </c>
      <c r="B32" s="127"/>
      <c r="C32" s="127"/>
      <c r="D32" s="128"/>
      <c r="E32" s="128"/>
      <c r="F32" s="128"/>
      <c r="G32" s="128"/>
      <c r="H32" s="127"/>
      <c r="I32" s="460"/>
      <c r="J32" s="127"/>
      <c r="K32" s="127"/>
      <c r="L32" s="127"/>
      <c r="M32" s="460"/>
      <c r="N32" s="124">
        <v>140970000</v>
      </c>
      <c r="O32" s="124">
        <v>140970000</v>
      </c>
      <c r="P32" s="127">
        <v>23495000</v>
      </c>
      <c r="Q32" s="458">
        <f t="shared" si="15"/>
        <v>0.16666666666666666</v>
      </c>
      <c r="R32" s="127"/>
      <c r="S32" s="127"/>
      <c r="T32" s="127"/>
      <c r="U32" s="458"/>
      <c r="V32" s="123" t="s">
        <v>163</v>
      </c>
      <c r="W32" s="127"/>
      <c r="X32" s="127"/>
      <c r="Y32" s="127"/>
      <c r="Z32" s="127"/>
      <c r="AA32" s="127"/>
      <c r="AB32" s="127"/>
      <c r="AC32" s="127"/>
      <c r="AD32" s="458"/>
      <c r="AE32" s="127"/>
      <c r="AF32" s="127"/>
      <c r="AG32" s="127"/>
      <c r="AH32" s="458"/>
      <c r="AI32" s="127"/>
      <c r="AJ32" s="127"/>
      <c r="AK32" s="127"/>
      <c r="AL32" s="458"/>
      <c r="AM32" s="127"/>
      <c r="AN32" s="127"/>
      <c r="AO32" s="127"/>
      <c r="AP32" s="458"/>
      <c r="AQ32" s="123" t="s">
        <v>163</v>
      </c>
      <c r="AR32" s="124">
        <f t="shared" si="16"/>
        <v>140970000</v>
      </c>
      <c r="AS32" s="124">
        <f t="shared" si="17"/>
        <v>140970000</v>
      </c>
      <c r="AT32" s="124">
        <f t="shared" si="18"/>
        <v>23495000</v>
      </c>
      <c r="AU32" s="458">
        <f t="shared" si="19"/>
        <v>0.16666666666666666</v>
      </c>
      <c r="AV32" s="124">
        <f t="shared" si="20"/>
        <v>0</v>
      </c>
      <c r="AW32" s="124">
        <f t="shared" si="21"/>
        <v>0</v>
      </c>
      <c r="AX32" s="124">
        <f t="shared" si="22"/>
        <v>0</v>
      </c>
      <c r="AY32" s="458">
        <v>0</v>
      </c>
      <c r="AZ32" s="125">
        <f t="shared" si="23"/>
        <v>140970000</v>
      </c>
      <c r="BA32" s="125">
        <f t="shared" si="24"/>
        <v>140970000</v>
      </c>
      <c r="BB32" s="125">
        <f t="shared" si="25"/>
        <v>23495000</v>
      </c>
      <c r="BC32" s="459">
        <f t="shared" si="26"/>
        <v>0.16666666666666666</v>
      </c>
      <c r="BD32" s="126"/>
    </row>
    <row r="33" spans="1:56">
      <c r="A33" s="123" t="s">
        <v>164</v>
      </c>
      <c r="B33" s="127"/>
      <c r="C33" s="127"/>
      <c r="D33" s="128"/>
      <c r="E33" s="128"/>
      <c r="F33" s="128"/>
      <c r="G33" s="128"/>
      <c r="H33" s="127"/>
      <c r="I33" s="460"/>
      <c r="J33" s="127"/>
      <c r="K33" s="127"/>
      <c r="L33" s="127"/>
      <c r="M33" s="460"/>
      <c r="N33" s="124">
        <v>57172000</v>
      </c>
      <c r="O33" s="124">
        <v>57172000</v>
      </c>
      <c r="P33" s="127">
        <v>15726379</v>
      </c>
      <c r="Q33" s="458">
        <f t="shared" si="15"/>
        <v>0.27507134611348211</v>
      </c>
      <c r="R33" s="127"/>
      <c r="S33" s="127"/>
      <c r="T33" s="127"/>
      <c r="U33" s="458"/>
      <c r="V33" s="123" t="s">
        <v>164</v>
      </c>
      <c r="W33" s="127"/>
      <c r="X33" s="127"/>
      <c r="Y33" s="127"/>
      <c r="Z33" s="127"/>
      <c r="AA33" s="127"/>
      <c r="AB33" s="127"/>
      <c r="AC33" s="127"/>
      <c r="AD33" s="458"/>
      <c r="AE33" s="127"/>
      <c r="AF33" s="127"/>
      <c r="AG33" s="127"/>
      <c r="AH33" s="458"/>
      <c r="AI33" s="127"/>
      <c r="AJ33" s="127"/>
      <c r="AK33" s="127"/>
      <c r="AL33" s="458"/>
      <c r="AM33" s="127"/>
      <c r="AN33" s="127"/>
      <c r="AO33" s="127"/>
      <c r="AP33" s="458"/>
      <c r="AQ33" s="123" t="s">
        <v>164</v>
      </c>
      <c r="AR33" s="124">
        <f t="shared" si="16"/>
        <v>57172000</v>
      </c>
      <c r="AS33" s="124">
        <f t="shared" si="17"/>
        <v>57172000</v>
      </c>
      <c r="AT33" s="124">
        <f t="shared" si="18"/>
        <v>15726379</v>
      </c>
      <c r="AU33" s="458">
        <f t="shared" si="19"/>
        <v>0.27507134611348211</v>
      </c>
      <c r="AV33" s="124">
        <f t="shared" si="20"/>
        <v>0</v>
      </c>
      <c r="AW33" s="124">
        <f t="shared" si="21"/>
        <v>0</v>
      </c>
      <c r="AX33" s="124">
        <f t="shared" si="22"/>
        <v>0</v>
      </c>
      <c r="AY33" s="458">
        <v>0</v>
      </c>
      <c r="AZ33" s="125">
        <f t="shared" si="23"/>
        <v>57172000</v>
      </c>
      <c r="BA33" s="125">
        <f t="shared" si="24"/>
        <v>57172000</v>
      </c>
      <c r="BB33" s="125">
        <f t="shared" si="25"/>
        <v>15726379</v>
      </c>
      <c r="BC33" s="459">
        <f t="shared" si="26"/>
        <v>0.27507134611348211</v>
      </c>
      <c r="BD33" s="126"/>
    </row>
    <row r="34" spans="1:56">
      <c r="A34" s="123" t="s">
        <v>259</v>
      </c>
      <c r="B34" s="127"/>
      <c r="C34" s="127"/>
      <c r="D34" s="128"/>
      <c r="E34" s="128"/>
      <c r="F34" s="128"/>
      <c r="G34" s="128"/>
      <c r="H34" s="127"/>
      <c r="I34" s="460"/>
      <c r="J34" s="127"/>
      <c r="K34" s="127"/>
      <c r="L34" s="127"/>
      <c r="M34" s="460"/>
      <c r="N34" s="124">
        <v>3600000</v>
      </c>
      <c r="O34" s="124">
        <v>3600000</v>
      </c>
      <c r="P34" s="127">
        <v>1799998</v>
      </c>
      <c r="Q34" s="458">
        <f t="shared" si="15"/>
        <v>0.49999944444444444</v>
      </c>
      <c r="R34" s="127"/>
      <c r="S34" s="127"/>
      <c r="T34" s="127"/>
      <c r="U34" s="458"/>
      <c r="V34" s="123" t="s">
        <v>259</v>
      </c>
      <c r="W34" s="127"/>
      <c r="X34" s="127"/>
      <c r="Y34" s="127"/>
      <c r="Z34" s="127"/>
      <c r="AA34" s="127"/>
      <c r="AB34" s="127"/>
      <c r="AC34" s="127"/>
      <c r="AD34" s="458"/>
      <c r="AE34" s="127"/>
      <c r="AF34" s="127"/>
      <c r="AG34" s="127"/>
      <c r="AH34" s="458"/>
      <c r="AI34" s="127"/>
      <c r="AJ34" s="127"/>
      <c r="AK34" s="127"/>
      <c r="AL34" s="458"/>
      <c r="AM34" s="127"/>
      <c r="AN34" s="127"/>
      <c r="AO34" s="127"/>
      <c r="AP34" s="458"/>
      <c r="AQ34" s="123" t="s">
        <v>259</v>
      </c>
      <c r="AR34" s="124">
        <f t="shared" si="16"/>
        <v>3600000</v>
      </c>
      <c r="AS34" s="124">
        <f t="shared" si="17"/>
        <v>3600000</v>
      </c>
      <c r="AT34" s="124">
        <f t="shared" si="18"/>
        <v>1799998</v>
      </c>
      <c r="AU34" s="458">
        <f t="shared" si="19"/>
        <v>0.49999944444444444</v>
      </c>
      <c r="AV34" s="124">
        <f t="shared" si="20"/>
        <v>0</v>
      </c>
      <c r="AW34" s="124">
        <f t="shared" si="21"/>
        <v>0</v>
      </c>
      <c r="AX34" s="124">
        <f t="shared" si="22"/>
        <v>0</v>
      </c>
      <c r="AY34" s="458">
        <v>0</v>
      </c>
      <c r="AZ34" s="125">
        <f t="shared" si="23"/>
        <v>3600000</v>
      </c>
      <c r="BA34" s="125">
        <f t="shared" si="24"/>
        <v>3600000</v>
      </c>
      <c r="BB34" s="125">
        <f t="shared" si="25"/>
        <v>1799998</v>
      </c>
      <c r="BC34" s="459">
        <f t="shared" si="26"/>
        <v>0.49999944444444444</v>
      </c>
      <c r="BD34" s="126"/>
    </row>
    <row r="35" spans="1:56">
      <c r="A35" s="123" t="s">
        <v>158</v>
      </c>
      <c r="B35" s="124"/>
      <c r="C35" s="124"/>
      <c r="D35" s="124"/>
      <c r="E35" s="124"/>
      <c r="F35" s="124"/>
      <c r="G35" s="124"/>
      <c r="H35" s="124"/>
      <c r="I35" s="458"/>
      <c r="J35" s="128"/>
      <c r="K35" s="128"/>
      <c r="L35" s="124"/>
      <c r="M35" s="458"/>
      <c r="N35" s="127">
        <v>7505000</v>
      </c>
      <c r="O35" s="127">
        <v>7505000</v>
      </c>
      <c r="P35" s="124">
        <v>4020302</v>
      </c>
      <c r="Q35" s="458">
        <f t="shared" si="15"/>
        <v>0.53568314457028643</v>
      </c>
      <c r="R35" s="127"/>
      <c r="S35" s="127"/>
      <c r="T35" s="124"/>
      <c r="U35" s="458"/>
      <c r="V35" s="123" t="s">
        <v>158</v>
      </c>
      <c r="W35" s="127"/>
      <c r="X35" s="127"/>
      <c r="Y35" s="127"/>
      <c r="Z35" s="127"/>
      <c r="AA35" s="127"/>
      <c r="AB35" s="127"/>
      <c r="AC35" s="124"/>
      <c r="AD35" s="458"/>
      <c r="AE35" s="127"/>
      <c r="AF35" s="127"/>
      <c r="AG35" s="124"/>
      <c r="AH35" s="458"/>
      <c r="AI35" s="127"/>
      <c r="AJ35" s="127"/>
      <c r="AK35" s="124"/>
      <c r="AL35" s="458"/>
      <c r="AM35" s="127"/>
      <c r="AN35" s="127"/>
      <c r="AO35" s="124"/>
      <c r="AP35" s="458"/>
      <c r="AQ35" s="123" t="s">
        <v>158</v>
      </c>
      <c r="AR35" s="124">
        <f t="shared" si="16"/>
        <v>7505000</v>
      </c>
      <c r="AS35" s="124">
        <f t="shared" si="17"/>
        <v>7505000</v>
      </c>
      <c r="AT35" s="124">
        <f t="shared" si="18"/>
        <v>4020302</v>
      </c>
      <c r="AU35" s="458">
        <f t="shared" si="19"/>
        <v>0.53568314457028643</v>
      </c>
      <c r="AV35" s="124">
        <f t="shared" si="20"/>
        <v>0</v>
      </c>
      <c r="AW35" s="124">
        <f t="shared" si="21"/>
        <v>0</v>
      </c>
      <c r="AX35" s="124">
        <f t="shared" si="22"/>
        <v>0</v>
      </c>
      <c r="AY35" s="458">
        <v>0</v>
      </c>
      <c r="AZ35" s="125">
        <f t="shared" si="23"/>
        <v>7505000</v>
      </c>
      <c r="BA35" s="125">
        <f t="shared" si="24"/>
        <v>7505000</v>
      </c>
      <c r="BB35" s="125">
        <f t="shared" si="25"/>
        <v>4020302</v>
      </c>
      <c r="BC35" s="459">
        <f t="shared" si="26"/>
        <v>0.53568314457028643</v>
      </c>
      <c r="BD35" s="126"/>
    </row>
    <row r="36" spans="1:56" ht="40.5">
      <c r="A36" s="139" t="s">
        <v>243</v>
      </c>
      <c r="B36" s="124"/>
      <c r="C36" s="124"/>
      <c r="D36" s="124">
        <v>1522850</v>
      </c>
      <c r="E36" s="458">
        <v>0</v>
      </c>
      <c r="F36" s="124"/>
      <c r="G36" s="124"/>
      <c r="H36" s="124"/>
      <c r="I36" s="458"/>
      <c r="J36" s="128"/>
      <c r="K36" s="128"/>
      <c r="L36" s="124"/>
      <c r="M36" s="458"/>
      <c r="N36" s="127"/>
      <c r="O36" s="127"/>
      <c r="P36" s="124"/>
      <c r="Q36" s="458"/>
      <c r="R36" s="127"/>
      <c r="S36" s="127"/>
      <c r="T36" s="124"/>
      <c r="U36" s="458"/>
      <c r="V36" s="139" t="s">
        <v>243</v>
      </c>
      <c r="W36" s="127">
        <v>1500000</v>
      </c>
      <c r="X36" s="127">
        <v>1500000</v>
      </c>
      <c r="Y36" s="127"/>
      <c r="Z36" s="127"/>
      <c r="AA36" s="127"/>
      <c r="AB36" s="127"/>
      <c r="AC36" s="124"/>
      <c r="AD36" s="458"/>
      <c r="AE36" s="127"/>
      <c r="AF36" s="127"/>
      <c r="AG36" s="124"/>
      <c r="AH36" s="458"/>
      <c r="AI36" s="127"/>
      <c r="AJ36" s="127"/>
      <c r="AK36" s="124"/>
      <c r="AL36" s="458"/>
      <c r="AM36" s="127"/>
      <c r="AN36" s="127"/>
      <c r="AO36" s="124"/>
      <c r="AP36" s="458"/>
      <c r="AQ36" s="139" t="s">
        <v>243</v>
      </c>
      <c r="AR36" s="124">
        <f t="shared" si="16"/>
        <v>1500000</v>
      </c>
      <c r="AS36" s="124">
        <f t="shared" si="17"/>
        <v>1500000</v>
      </c>
      <c r="AT36" s="124">
        <f t="shared" si="18"/>
        <v>1522850</v>
      </c>
      <c r="AU36" s="458">
        <f t="shared" si="19"/>
        <v>1.0152333333333334</v>
      </c>
      <c r="AV36" s="124">
        <f t="shared" si="20"/>
        <v>0</v>
      </c>
      <c r="AW36" s="124">
        <f t="shared" si="21"/>
        <v>0</v>
      </c>
      <c r="AX36" s="124">
        <f t="shared" si="22"/>
        <v>0</v>
      </c>
      <c r="AY36" s="458">
        <v>0</v>
      </c>
      <c r="AZ36" s="125">
        <f t="shared" si="23"/>
        <v>1500000</v>
      </c>
      <c r="BA36" s="125">
        <f t="shared" si="24"/>
        <v>1500000</v>
      </c>
      <c r="BB36" s="125">
        <f t="shared" si="25"/>
        <v>1522850</v>
      </c>
      <c r="BC36" s="459">
        <f t="shared" si="26"/>
        <v>1.0152333333333334</v>
      </c>
      <c r="BD36" s="126"/>
    </row>
    <row r="37" spans="1:56" ht="60.75">
      <c r="A37" s="139" t="s">
        <v>261</v>
      </c>
      <c r="B37" s="124"/>
      <c r="C37" s="124"/>
      <c r="D37" s="124"/>
      <c r="E37" s="124"/>
      <c r="F37" s="124"/>
      <c r="G37" s="124"/>
      <c r="H37" s="124"/>
      <c r="I37" s="458"/>
      <c r="J37" s="128"/>
      <c r="K37" s="128"/>
      <c r="L37" s="124"/>
      <c r="M37" s="458"/>
      <c r="N37" s="127"/>
      <c r="O37" s="127"/>
      <c r="P37" s="124"/>
      <c r="Q37" s="458"/>
      <c r="R37" s="127">
        <v>20000000</v>
      </c>
      <c r="S37" s="127">
        <v>20000000</v>
      </c>
      <c r="T37" s="124"/>
      <c r="U37" s="458">
        <v>0</v>
      </c>
      <c r="V37" s="139" t="s">
        <v>261</v>
      </c>
      <c r="W37" s="127"/>
      <c r="X37" s="127"/>
      <c r="Y37" s="127"/>
      <c r="Z37" s="127"/>
      <c r="AA37" s="127"/>
      <c r="AB37" s="127"/>
      <c r="AC37" s="124"/>
      <c r="AD37" s="458"/>
      <c r="AE37" s="127"/>
      <c r="AF37" s="127"/>
      <c r="AG37" s="124"/>
      <c r="AH37" s="458"/>
      <c r="AI37" s="127"/>
      <c r="AJ37" s="127"/>
      <c r="AK37" s="124"/>
      <c r="AL37" s="458"/>
      <c r="AM37" s="127"/>
      <c r="AN37" s="127"/>
      <c r="AO37" s="124"/>
      <c r="AP37" s="458"/>
      <c r="AQ37" s="139" t="s">
        <v>261</v>
      </c>
      <c r="AR37" s="124">
        <f t="shared" si="16"/>
        <v>0</v>
      </c>
      <c r="AS37" s="124">
        <f t="shared" si="17"/>
        <v>0</v>
      </c>
      <c r="AT37" s="124">
        <f t="shared" si="18"/>
        <v>0</v>
      </c>
      <c r="AU37" s="458">
        <v>0</v>
      </c>
      <c r="AV37" s="124">
        <f t="shared" si="20"/>
        <v>20000000</v>
      </c>
      <c r="AW37" s="124">
        <f t="shared" si="21"/>
        <v>20000000</v>
      </c>
      <c r="AX37" s="124">
        <f t="shared" si="22"/>
        <v>0</v>
      </c>
      <c r="AY37" s="458">
        <v>0</v>
      </c>
      <c r="AZ37" s="125">
        <f t="shared" si="23"/>
        <v>20000000</v>
      </c>
      <c r="BA37" s="125">
        <f t="shared" si="24"/>
        <v>20000000</v>
      </c>
      <c r="BB37" s="125">
        <f t="shared" si="25"/>
        <v>0</v>
      </c>
      <c r="BC37" s="459">
        <f t="shared" si="26"/>
        <v>0</v>
      </c>
      <c r="BD37" s="126"/>
    </row>
    <row r="38" spans="1:56">
      <c r="A38" s="139" t="s">
        <v>306</v>
      </c>
      <c r="B38" s="124"/>
      <c r="C38" s="124"/>
      <c r="D38" s="358"/>
      <c r="E38" s="358"/>
      <c r="F38" s="124"/>
      <c r="G38" s="124"/>
      <c r="H38" s="124"/>
      <c r="I38" s="458"/>
      <c r="J38" s="128"/>
      <c r="K38" s="128"/>
      <c r="L38" s="124"/>
      <c r="M38" s="458"/>
      <c r="N38" s="359"/>
      <c r="O38" s="359"/>
      <c r="P38" s="124"/>
      <c r="Q38" s="458"/>
      <c r="R38" s="359">
        <v>95543000</v>
      </c>
      <c r="S38" s="359">
        <v>95543000</v>
      </c>
      <c r="T38" s="124"/>
      <c r="U38" s="458">
        <v>0</v>
      </c>
      <c r="V38" s="139" t="s">
        <v>306</v>
      </c>
      <c r="W38" s="359"/>
      <c r="X38" s="359"/>
      <c r="Y38" s="359"/>
      <c r="Z38" s="359"/>
      <c r="AA38" s="127"/>
      <c r="AB38" s="127"/>
      <c r="AC38" s="124"/>
      <c r="AD38" s="458"/>
      <c r="AE38" s="127"/>
      <c r="AF38" s="127"/>
      <c r="AG38" s="124"/>
      <c r="AH38" s="458"/>
      <c r="AI38" s="127"/>
      <c r="AJ38" s="127"/>
      <c r="AK38" s="124"/>
      <c r="AL38" s="458"/>
      <c r="AM38" s="127"/>
      <c r="AN38" s="127"/>
      <c r="AO38" s="124"/>
      <c r="AP38" s="458"/>
      <c r="AQ38" s="139" t="s">
        <v>306</v>
      </c>
      <c r="AR38" s="124">
        <f t="shared" si="16"/>
        <v>0</v>
      </c>
      <c r="AS38" s="124">
        <f t="shared" si="17"/>
        <v>0</v>
      </c>
      <c r="AT38" s="124">
        <f t="shared" si="18"/>
        <v>0</v>
      </c>
      <c r="AU38" s="458">
        <v>0</v>
      </c>
      <c r="AV38" s="124">
        <f t="shared" si="20"/>
        <v>95543000</v>
      </c>
      <c r="AW38" s="124">
        <f t="shared" si="21"/>
        <v>95543000</v>
      </c>
      <c r="AX38" s="124">
        <f t="shared" si="22"/>
        <v>0</v>
      </c>
      <c r="AY38" s="458">
        <v>0</v>
      </c>
      <c r="AZ38" s="125">
        <f t="shared" si="23"/>
        <v>95543000</v>
      </c>
      <c r="BA38" s="125">
        <f t="shared" si="24"/>
        <v>95543000</v>
      </c>
      <c r="BB38" s="125">
        <f t="shared" si="25"/>
        <v>0</v>
      </c>
      <c r="BC38" s="459">
        <f t="shared" si="26"/>
        <v>0</v>
      </c>
      <c r="BD38" s="126"/>
    </row>
    <row r="39" spans="1:56" s="134" customFormat="1">
      <c r="A39" s="139" t="s">
        <v>304</v>
      </c>
      <c r="B39" s="463"/>
      <c r="C39" s="463"/>
      <c r="D39" s="124"/>
      <c r="E39" s="124"/>
      <c r="F39" s="465"/>
      <c r="G39" s="465"/>
      <c r="H39" s="463"/>
      <c r="I39" s="464"/>
      <c r="J39" s="465"/>
      <c r="K39" s="465"/>
      <c r="L39" s="463"/>
      <c r="M39" s="464"/>
      <c r="N39" s="127"/>
      <c r="O39" s="127"/>
      <c r="P39" s="463"/>
      <c r="Q39" s="464"/>
      <c r="R39" s="127"/>
      <c r="S39" s="127"/>
      <c r="T39" s="463"/>
      <c r="U39" s="464"/>
      <c r="V39" s="139" t="s">
        <v>304</v>
      </c>
      <c r="W39" s="127">
        <v>23828000</v>
      </c>
      <c r="X39" s="127">
        <f>23828000-7050000</f>
        <v>16778000</v>
      </c>
      <c r="Y39" s="127"/>
      <c r="Z39" s="127"/>
      <c r="AA39" s="127">
        <v>16096000</v>
      </c>
      <c r="AB39" s="127">
        <f>16096000-7366000</f>
        <v>8730000</v>
      </c>
      <c r="AC39" s="463"/>
      <c r="AD39" s="464">
        <v>0</v>
      </c>
      <c r="AE39" s="466"/>
      <c r="AF39" s="466"/>
      <c r="AG39" s="463"/>
      <c r="AH39" s="458"/>
      <c r="AI39" s="466"/>
      <c r="AJ39" s="466"/>
      <c r="AK39" s="463"/>
      <c r="AL39" s="458"/>
      <c r="AM39" s="466"/>
      <c r="AN39" s="466"/>
      <c r="AO39" s="463"/>
      <c r="AP39" s="464"/>
      <c r="AQ39" s="139" t="s">
        <v>304</v>
      </c>
      <c r="AR39" s="124">
        <f t="shared" si="16"/>
        <v>23828000</v>
      </c>
      <c r="AS39" s="124">
        <f t="shared" si="17"/>
        <v>16778000</v>
      </c>
      <c r="AT39" s="124">
        <f t="shared" si="18"/>
        <v>0</v>
      </c>
      <c r="AU39" s="458">
        <f t="shared" si="19"/>
        <v>0</v>
      </c>
      <c r="AV39" s="124">
        <f t="shared" si="20"/>
        <v>16096000</v>
      </c>
      <c r="AW39" s="124">
        <f t="shared" si="21"/>
        <v>8730000</v>
      </c>
      <c r="AX39" s="124">
        <f t="shared" si="22"/>
        <v>0</v>
      </c>
      <c r="AY39" s="458">
        <v>0</v>
      </c>
      <c r="AZ39" s="125">
        <f t="shared" si="23"/>
        <v>39924000</v>
      </c>
      <c r="BA39" s="125">
        <f t="shared" si="24"/>
        <v>25508000</v>
      </c>
      <c r="BB39" s="125">
        <f t="shared" si="25"/>
        <v>0</v>
      </c>
      <c r="BC39" s="459">
        <f t="shared" si="26"/>
        <v>0</v>
      </c>
      <c r="BD39" s="133"/>
    </row>
    <row r="40" spans="1:56" ht="81">
      <c r="A40" s="123" t="s">
        <v>357</v>
      </c>
      <c r="B40" s="127"/>
      <c r="C40" s="127"/>
      <c r="D40" s="128"/>
      <c r="E40" s="128"/>
      <c r="F40" s="128"/>
      <c r="G40" s="128"/>
      <c r="H40" s="127"/>
      <c r="I40" s="460"/>
      <c r="J40" s="127"/>
      <c r="K40" s="127"/>
      <c r="L40" s="127"/>
      <c r="M40" s="460"/>
      <c r="N40" s="124"/>
      <c r="O40" s="124"/>
      <c r="P40" s="127"/>
      <c r="Q40" s="458"/>
      <c r="R40" s="127"/>
      <c r="S40" s="127"/>
      <c r="T40" s="127"/>
      <c r="U40" s="458"/>
      <c r="V40" s="123" t="s">
        <v>357</v>
      </c>
      <c r="W40" s="127"/>
      <c r="X40" s="127">
        <v>1000000</v>
      </c>
      <c r="Y40" s="127">
        <v>1000000</v>
      </c>
      <c r="Z40" s="458">
        <f>Y40/X40</f>
        <v>1</v>
      </c>
      <c r="AA40" s="127"/>
      <c r="AB40" s="127"/>
      <c r="AC40" s="127"/>
      <c r="AD40" s="458"/>
      <c r="AE40" s="127"/>
      <c r="AF40" s="127"/>
      <c r="AG40" s="127"/>
      <c r="AH40" s="458"/>
      <c r="AI40" s="127"/>
      <c r="AJ40" s="127"/>
      <c r="AK40" s="127"/>
      <c r="AL40" s="458"/>
      <c r="AM40" s="127"/>
      <c r="AN40" s="127"/>
      <c r="AO40" s="127"/>
      <c r="AP40" s="458"/>
      <c r="AQ40" s="123" t="s">
        <v>357</v>
      </c>
      <c r="AR40" s="124">
        <f t="shared" si="16"/>
        <v>0</v>
      </c>
      <c r="AS40" s="124">
        <f t="shared" si="17"/>
        <v>1000000</v>
      </c>
      <c r="AT40" s="124">
        <f t="shared" si="18"/>
        <v>1000000</v>
      </c>
      <c r="AU40" s="458">
        <f t="shared" si="19"/>
        <v>1</v>
      </c>
      <c r="AV40" s="124">
        <f t="shared" si="20"/>
        <v>0</v>
      </c>
      <c r="AW40" s="124">
        <f t="shared" si="21"/>
        <v>0</v>
      </c>
      <c r="AX40" s="124">
        <f t="shared" si="22"/>
        <v>0</v>
      </c>
      <c r="AY40" s="458">
        <v>0</v>
      </c>
      <c r="AZ40" s="125">
        <f t="shared" si="23"/>
        <v>0</v>
      </c>
      <c r="BA40" s="125">
        <f t="shared" si="24"/>
        <v>1000000</v>
      </c>
      <c r="BB40" s="125">
        <f t="shared" si="25"/>
        <v>1000000</v>
      </c>
      <c r="BC40" s="459">
        <f t="shared" si="26"/>
        <v>1</v>
      </c>
      <c r="BD40" s="126"/>
    </row>
    <row r="41" spans="1:56" ht="60.75">
      <c r="A41" s="123" t="s">
        <v>358</v>
      </c>
      <c r="B41" s="127"/>
      <c r="C41" s="127"/>
      <c r="D41" s="128"/>
      <c r="E41" s="127"/>
      <c r="F41" s="128"/>
      <c r="G41" s="127">
        <v>328900000</v>
      </c>
      <c r="H41" s="127">
        <v>328900000</v>
      </c>
      <c r="I41" s="458">
        <f>SUM(H41/G41)</f>
        <v>1</v>
      </c>
      <c r="J41" s="127"/>
      <c r="K41" s="127"/>
      <c r="L41" s="127"/>
      <c r="M41" s="460"/>
      <c r="N41" s="124"/>
      <c r="O41" s="124"/>
      <c r="P41" s="127"/>
      <c r="Q41" s="458"/>
      <c r="R41" s="127"/>
      <c r="S41" s="127"/>
      <c r="T41" s="127"/>
      <c r="U41" s="458"/>
      <c r="V41" s="123" t="s">
        <v>358</v>
      </c>
      <c r="W41" s="127"/>
      <c r="X41" s="127"/>
      <c r="Y41" s="127"/>
      <c r="Z41" s="127"/>
      <c r="AA41" s="127"/>
      <c r="AB41" s="127"/>
      <c r="AC41" s="127"/>
      <c r="AD41" s="458"/>
      <c r="AE41" s="127"/>
      <c r="AF41" s="127"/>
      <c r="AG41" s="127"/>
      <c r="AH41" s="458"/>
      <c r="AI41" s="127"/>
      <c r="AJ41" s="127"/>
      <c r="AK41" s="127"/>
      <c r="AL41" s="458"/>
      <c r="AM41" s="127"/>
      <c r="AN41" s="127"/>
      <c r="AO41" s="127"/>
      <c r="AP41" s="458"/>
      <c r="AQ41" s="123" t="s">
        <v>358</v>
      </c>
      <c r="AR41" s="124">
        <f t="shared" si="16"/>
        <v>0</v>
      </c>
      <c r="AS41" s="124">
        <f t="shared" si="17"/>
        <v>0</v>
      </c>
      <c r="AT41" s="124">
        <f t="shared" si="18"/>
        <v>0</v>
      </c>
      <c r="AU41" s="458">
        <v>0</v>
      </c>
      <c r="AV41" s="124">
        <f t="shared" si="20"/>
        <v>0</v>
      </c>
      <c r="AW41" s="124">
        <f t="shared" si="21"/>
        <v>328900000</v>
      </c>
      <c r="AX41" s="124">
        <f t="shared" si="22"/>
        <v>328900000</v>
      </c>
      <c r="AY41" s="458">
        <f t="shared" ref="AY41:AY44" si="27">AX41/AW41</f>
        <v>1</v>
      </c>
      <c r="AZ41" s="125">
        <f t="shared" si="23"/>
        <v>0</v>
      </c>
      <c r="BA41" s="125">
        <f t="shared" si="24"/>
        <v>328900000</v>
      </c>
      <c r="BB41" s="125">
        <f t="shared" si="25"/>
        <v>328900000</v>
      </c>
      <c r="BC41" s="459">
        <f t="shared" si="26"/>
        <v>1</v>
      </c>
      <c r="BD41" s="126"/>
    </row>
    <row r="42" spans="1:56" ht="40.5">
      <c r="A42" s="123" t="s">
        <v>359</v>
      </c>
      <c r="B42" s="127"/>
      <c r="C42" s="127"/>
      <c r="D42" s="128"/>
      <c r="E42" s="127"/>
      <c r="F42" s="128"/>
      <c r="G42" s="127">
        <v>127916054</v>
      </c>
      <c r="H42" s="127">
        <v>127916054</v>
      </c>
      <c r="I42" s="458">
        <f>SUM(H42/G42)</f>
        <v>1</v>
      </c>
      <c r="J42" s="127"/>
      <c r="K42" s="127"/>
      <c r="L42" s="127"/>
      <c r="M42" s="460"/>
      <c r="N42" s="124"/>
      <c r="O42" s="124"/>
      <c r="P42" s="127"/>
      <c r="Q42" s="458"/>
      <c r="R42" s="127"/>
      <c r="S42" s="127"/>
      <c r="T42" s="127"/>
      <c r="U42" s="458"/>
      <c r="V42" s="123" t="s">
        <v>359</v>
      </c>
      <c r="W42" s="127"/>
      <c r="X42" s="127"/>
      <c r="Y42" s="127"/>
      <c r="Z42" s="127"/>
      <c r="AA42" s="127"/>
      <c r="AB42" s="127"/>
      <c r="AC42" s="127"/>
      <c r="AD42" s="458"/>
      <c r="AE42" s="127"/>
      <c r="AF42" s="127"/>
      <c r="AG42" s="127"/>
      <c r="AH42" s="458"/>
      <c r="AI42" s="127"/>
      <c r="AJ42" s="127"/>
      <c r="AK42" s="127"/>
      <c r="AL42" s="458"/>
      <c r="AM42" s="127"/>
      <c r="AN42" s="127"/>
      <c r="AO42" s="127"/>
      <c r="AP42" s="458"/>
      <c r="AQ42" s="123" t="s">
        <v>359</v>
      </c>
      <c r="AR42" s="124">
        <f t="shared" si="16"/>
        <v>0</v>
      </c>
      <c r="AS42" s="124">
        <f t="shared" si="17"/>
        <v>0</v>
      </c>
      <c r="AT42" s="124">
        <f t="shared" si="18"/>
        <v>0</v>
      </c>
      <c r="AU42" s="458">
        <v>0</v>
      </c>
      <c r="AV42" s="124">
        <f t="shared" si="20"/>
        <v>0</v>
      </c>
      <c r="AW42" s="124">
        <f t="shared" si="21"/>
        <v>127916054</v>
      </c>
      <c r="AX42" s="124">
        <f t="shared" si="22"/>
        <v>127916054</v>
      </c>
      <c r="AY42" s="458">
        <f t="shared" si="27"/>
        <v>1</v>
      </c>
      <c r="AZ42" s="125">
        <f t="shared" si="23"/>
        <v>0</v>
      </c>
      <c r="BA42" s="125">
        <f t="shared" si="24"/>
        <v>127916054</v>
      </c>
      <c r="BB42" s="125">
        <f t="shared" si="25"/>
        <v>127916054</v>
      </c>
      <c r="BC42" s="459">
        <f t="shared" si="26"/>
        <v>1</v>
      </c>
      <c r="BD42" s="126"/>
    </row>
    <row r="43" spans="1:56" ht="40.5">
      <c r="A43" s="123" t="s">
        <v>360</v>
      </c>
      <c r="B43" s="127"/>
      <c r="C43" s="127"/>
      <c r="D43" s="128"/>
      <c r="E43" s="127"/>
      <c r="F43" s="128"/>
      <c r="G43" s="127">
        <v>497503307</v>
      </c>
      <c r="H43" s="127">
        <v>497503307</v>
      </c>
      <c r="I43" s="458">
        <f>SUM(H43/G43)</f>
        <v>1</v>
      </c>
      <c r="J43" s="127"/>
      <c r="K43" s="127"/>
      <c r="L43" s="127"/>
      <c r="M43" s="460"/>
      <c r="N43" s="124"/>
      <c r="O43" s="124"/>
      <c r="P43" s="127"/>
      <c r="Q43" s="458"/>
      <c r="R43" s="127"/>
      <c r="S43" s="127"/>
      <c r="T43" s="127"/>
      <c r="U43" s="458"/>
      <c r="V43" s="123" t="s">
        <v>360</v>
      </c>
      <c r="W43" s="127"/>
      <c r="X43" s="127"/>
      <c r="Y43" s="127"/>
      <c r="Z43" s="127"/>
      <c r="AA43" s="127"/>
      <c r="AB43" s="127"/>
      <c r="AC43" s="127"/>
      <c r="AD43" s="458"/>
      <c r="AE43" s="127"/>
      <c r="AF43" s="127"/>
      <c r="AG43" s="127"/>
      <c r="AH43" s="458"/>
      <c r="AI43" s="127"/>
      <c r="AJ43" s="127"/>
      <c r="AK43" s="127"/>
      <c r="AL43" s="458"/>
      <c r="AM43" s="127"/>
      <c r="AN43" s="127"/>
      <c r="AO43" s="127"/>
      <c r="AP43" s="458"/>
      <c r="AQ43" s="123" t="s">
        <v>360</v>
      </c>
      <c r="AR43" s="124">
        <f t="shared" si="16"/>
        <v>0</v>
      </c>
      <c r="AS43" s="124">
        <f t="shared" si="17"/>
        <v>0</v>
      </c>
      <c r="AT43" s="124">
        <f t="shared" si="18"/>
        <v>0</v>
      </c>
      <c r="AU43" s="458">
        <v>0</v>
      </c>
      <c r="AV43" s="124">
        <f t="shared" si="20"/>
        <v>0</v>
      </c>
      <c r="AW43" s="124">
        <f t="shared" si="21"/>
        <v>497503307</v>
      </c>
      <c r="AX43" s="124">
        <f t="shared" si="22"/>
        <v>497503307</v>
      </c>
      <c r="AY43" s="458">
        <f t="shared" si="27"/>
        <v>1</v>
      </c>
      <c r="AZ43" s="125">
        <f t="shared" si="23"/>
        <v>0</v>
      </c>
      <c r="BA43" s="125">
        <f t="shared" si="24"/>
        <v>497503307</v>
      </c>
      <c r="BB43" s="125">
        <f t="shared" si="25"/>
        <v>497503307</v>
      </c>
      <c r="BC43" s="459">
        <f t="shared" si="26"/>
        <v>1</v>
      </c>
      <c r="BD43" s="126"/>
    </row>
    <row r="44" spans="1:56">
      <c r="A44" s="129" t="s">
        <v>159</v>
      </c>
      <c r="B44" s="127"/>
      <c r="C44" s="127"/>
      <c r="D44" s="128"/>
      <c r="E44" s="128"/>
      <c r="F44" s="128"/>
      <c r="G44" s="128"/>
      <c r="H44" s="127"/>
      <c r="I44" s="460"/>
      <c r="J44" s="127"/>
      <c r="K44" s="127"/>
      <c r="L44" s="127"/>
      <c r="M44" s="460"/>
      <c r="N44" s="124"/>
      <c r="O44" s="124"/>
      <c r="P44" s="127"/>
      <c r="Q44" s="458"/>
      <c r="R44" s="127"/>
      <c r="S44" s="127"/>
      <c r="T44" s="127"/>
      <c r="U44" s="458"/>
      <c r="V44" s="129" t="s">
        <v>159</v>
      </c>
      <c r="W44" s="127"/>
      <c r="X44" s="127"/>
      <c r="Y44" s="127"/>
      <c r="Z44" s="127"/>
      <c r="AA44" s="127"/>
      <c r="AB44" s="127"/>
      <c r="AC44" s="127"/>
      <c r="AD44" s="458"/>
      <c r="AE44" s="127">
        <v>3263000</v>
      </c>
      <c r="AF44" s="127">
        <v>201667646</v>
      </c>
      <c r="AG44" s="127">
        <v>201667646</v>
      </c>
      <c r="AH44" s="458">
        <v>1</v>
      </c>
      <c r="AI44" s="127">
        <f>178109000+92181000</f>
        <v>270290000</v>
      </c>
      <c r="AJ44" s="127">
        <v>147047662</v>
      </c>
      <c r="AK44" s="127">
        <v>147047662</v>
      </c>
      <c r="AL44" s="458">
        <v>1</v>
      </c>
      <c r="AM44" s="127"/>
      <c r="AN44" s="127"/>
      <c r="AO44" s="127"/>
      <c r="AP44" s="458"/>
      <c r="AQ44" s="129" t="s">
        <v>159</v>
      </c>
      <c r="AR44" s="124">
        <f t="shared" si="16"/>
        <v>3263000</v>
      </c>
      <c r="AS44" s="124">
        <f t="shared" si="17"/>
        <v>201667646</v>
      </c>
      <c r="AT44" s="124">
        <f t="shared" si="18"/>
        <v>201667646</v>
      </c>
      <c r="AU44" s="458">
        <f t="shared" si="19"/>
        <v>1</v>
      </c>
      <c r="AV44" s="124">
        <f t="shared" si="20"/>
        <v>270290000</v>
      </c>
      <c r="AW44" s="124">
        <f t="shared" si="21"/>
        <v>147047662</v>
      </c>
      <c r="AX44" s="124">
        <f t="shared" si="22"/>
        <v>147047662</v>
      </c>
      <c r="AY44" s="458">
        <f t="shared" si="27"/>
        <v>1</v>
      </c>
      <c r="AZ44" s="125">
        <f t="shared" si="23"/>
        <v>273553000</v>
      </c>
      <c r="BA44" s="125">
        <f t="shared" si="24"/>
        <v>348715308</v>
      </c>
      <c r="BB44" s="125">
        <f t="shared" si="25"/>
        <v>348715308</v>
      </c>
      <c r="BC44" s="459">
        <f t="shared" si="26"/>
        <v>1</v>
      </c>
      <c r="BD44" s="126"/>
    </row>
    <row r="45" spans="1:56">
      <c r="A45" s="139" t="s">
        <v>403</v>
      </c>
      <c r="B45" s="124"/>
      <c r="C45" s="124"/>
      <c r="D45" s="124"/>
      <c r="E45" s="458"/>
      <c r="F45" s="124"/>
      <c r="G45" s="124"/>
      <c r="H45" s="124"/>
      <c r="I45" s="458"/>
      <c r="J45" s="128"/>
      <c r="K45" s="128"/>
      <c r="L45" s="124"/>
      <c r="M45" s="458"/>
      <c r="N45" s="127"/>
      <c r="O45" s="127"/>
      <c r="P45" s="124"/>
      <c r="Q45" s="458"/>
      <c r="R45" s="127"/>
      <c r="S45" s="127"/>
      <c r="T45" s="124">
        <v>564476</v>
      </c>
      <c r="U45" s="458">
        <v>0</v>
      </c>
      <c r="V45" s="139" t="s">
        <v>403</v>
      </c>
      <c r="W45" s="127"/>
      <c r="X45" s="127"/>
      <c r="Y45" s="124"/>
      <c r="Z45" s="458"/>
      <c r="AA45" s="127"/>
      <c r="AB45" s="127"/>
      <c r="AC45" s="124"/>
      <c r="AD45" s="458"/>
      <c r="AE45" s="127"/>
      <c r="AF45" s="127"/>
      <c r="AG45" s="124"/>
      <c r="AH45" s="458"/>
      <c r="AI45" s="127"/>
      <c r="AJ45" s="127"/>
      <c r="AK45" s="124"/>
      <c r="AL45" s="458"/>
      <c r="AM45" s="127"/>
      <c r="AN45" s="127"/>
      <c r="AO45" s="124"/>
      <c r="AP45" s="458"/>
      <c r="AQ45" s="139" t="s">
        <v>403</v>
      </c>
      <c r="AR45" s="124">
        <f t="shared" si="16"/>
        <v>0</v>
      </c>
      <c r="AS45" s="124">
        <f t="shared" si="17"/>
        <v>0</v>
      </c>
      <c r="AT45" s="124">
        <f t="shared" si="18"/>
        <v>0</v>
      </c>
      <c r="AU45" s="458">
        <v>0</v>
      </c>
      <c r="AV45" s="124">
        <f t="shared" si="20"/>
        <v>0</v>
      </c>
      <c r="AW45" s="124">
        <f t="shared" si="21"/>
        <v>0</v>
      </c>
      <c r="AX45" s="124">
        <f t="shared" si="22"/>
        <v>564476</v>
      </c>
      <c r="AY45" s="458">
        <v>0</v>
      </c>
      <c r="AZ45" s="125">
        <f t="shared" si="23"/>
        <v>0</v>
      </c>
      <c r="BA45" s="125">
        <f t="shared" si="24"/>
        <v>0</v>
      </c>
      <c r="BB45" s="125">
        <f t="shared" si="25"/>
        <v>564476</v>
      </c>
      <c r="BC45" s="459">
        <v>0</v>
      </c>
      <c r="BD45" s="126"/>
    </row>
    <row r="46" spans="1:56" ht="21" thickBot="1">
      <c r="A46" s="139" t="s">
        <v>404</v>
      </c>
      <c r="B46" s="124"/>
      <c r="C46" s="124"/>
      <c r="D46" s="124"/>
      <c r="E46" s="458"/>
      <c r="F46" s="124"/>
      <c r="G46" s="124"/>
      <c r="H46" s="124"/>
      <c r="I46" s="458"/>
      <c r="J46" s="128"/>
      <c r="K46" s="128"/>
      <c r="L46" s="124"/>
      <c r="M46" s="458"/>
      <c r="N46" s="127"/>
      <c r="O46" s="127"/>
      <c r="P46" s="124"/>
      <c r="Q46" s="458"/>
      <c r="R46" s="127"/>
      <c r="S46" s="127"/>
      <c r="T46" s="124"/>
      <c r="U46" s="458"/>
      <c r="V46" s="139" t="s">
        <v>404</v>
      </c>
      <c r="W46" s="127"/>
      <c r="X46" s="127"/>
      <c r="Y46" s="124"/>
      <c r="Z46" s="458"/>
      <c r="AA46" s="127"/>
      <c r="AB46" s="127"/>
      <c r="AC46" s="124">
        <v>3591211</v>
      </c>
      <c r="AD46" s="458">
        <v>0</v>
      </c>
      <c r="AE46" s="127"/>
      <c r="AF46" s="127"/>
      <c r="AG46" s="124"/>
      <c r="AH46" s="458"/>
      <c r="AI46" s="127"/>
      <c r="AJ46" s="127"/>
      <c r="AK46" s="124"/>
      <c r="AL46" s="458"/>
      <c r="AM46" s="127"/>
      <c r="AN46" s="127"/>
      <c r="AO46" s="124"/>
      <c r="AP46" s="458"/>
      <c r="AQ46" s="139" t="s">
        <v>404</v>
      </c>
      <c r="AR46" s="124">
        <f t="shared" si="16"/>
        <v>0</v>
      </c>
      <c r="AS46" s="124">
        <f t="shared" si="17"/>
        <v>0</v>
      </c>
      <c r="AT46" s="124">
        <f t="shared" si="18"/>
        <v>0</v>
      </c>
      <c r="AU46" s="458">
        <v>0</v>
      </c>
      <c r="AV46" s="124">
        <f t="shared" si="20"/>
        <v>0</v>
      </c>
      <c r="AW46" s="124">
        <f t="shared" si="21"/>
        <v>0</v>
      </c>
      <c r="AX46" s="124">
        <f t="shared" si="22"/>
        <v>3591211</v>
      </c>
      <c r="AY46" s="458">
        <v>0</v>
      </c>
      <c r="AZ46" s="125">
        <f t="shared" si="23"/>
        <v>0</v>
      </c>
      <c r="BA46" s="125">
        <f t="shared" si="24"/>
        <v>0</v>
      </c>
      <c r="BB46" s="125">
        <f t="shared" si="25"/>
        <v>3591211</v>
      </c>
      <c r="BC46" s="459">
        <v>0</v>
      </c>
      <c r="BD46" s="126"/>
    </row>
    <row r="47" spans="1:56" s="357" customFormat="1" ht="21" thickBot="1">
      <c r="A47" s="360" t="s">
        <v>160</v>
      </c>
      <c r="B47" s="355">
        <f>SUM(B30:B46)</f>
        <v>0</v>
      </c>
      <c r="C47" s="355">
        <f>SUM(C30:C46)</f>
        <v>0</v>
      </c>
      <c r="D47" s="355">
        <f>SUM(D30:D46)</f>
        <v>1522850</v>
      </c>
      <c r="E47" s="461">
        <v>0</v>
      </c>
      <c r="F47" s="355">
        <f>SUM(F30:F46)</f>
        <v>0</v>
      </c>
      <c r="G47" s="355">
        <f>SUM(G30:G46)</f>
        <v>954319361</v>
      </c>
      <c r="H47" s="355">
        <f>SUM(H30:H46)</f>
        <v>954319361</v>
      </c>
      <c r="I47" s="461">
        <f>H47/G47</f>
        <v>1</v>
      </c>
      <c r="J47" s="355">
        <f>SUM(J30:J46)</f>
        <v>0</v>
      </c>
      <c r="K47" s="355">
        <f>SUM(K30:K46)</f>
        <v>0</v>
      </c>
      <c r="L47" s="355">
        <f>SUM(L30:L46)</f>
        <v>0</v>
      </c>
      <c r="M47" s="461">
        <v>0</v>
      </c>
      <c r="N47" s="355">
        <f>SUM(N30:N46)</f>
        <v>308247000</v>
      </c>
      <c r="O47" s="355">
        <f>SUM(O30:O46)</f>
        <v>308247000</v>
      </c>
      <c r="P47" s="355">
        <f>SUM(P30:P46)</f>
        <v>103544960</v>
      </c>
      <c r="Q47" s="461">
        <f>P47/O47</f>
        <v>0.3359155482454006</v>
      </c>
      <c r="R47" s="355">
        <f>SUM(R30:R46)</f>
        <v>115543000</v>
      </c>
      <c r="S47" s="355">
        <f>SUM(S30:S46)</f>
        <v>115543000</v>
      </c>
      <c r="T47" s="355">
        <f>SUM(T30:T46)</f>
        <v>564476</v>
      </c>
      <c r="U47" s="461">
        <f>T47/S47</f>
        <v>4.885419281133431E-3</v>
      </c>
      <c r="V47" s="360" t="s">
        <v>160</v>
      </c>
      <c r="W47" s="355">
        <f>SUM(W30:W46)</f>
        <v>25328000</v>
      </c>
      <c r="X47" s="355">
        <f>SUM(X30:X46)</f>
        <v>19278000</v>
      </c>
      <c r="Y47" s="355">
        <f>SUM(Y30:Y46)</f>
        <v>1000000</v>
      </c>
      <c r="Z47" s="461">
        <v>0</v>
      </c>
      <c r="AA47" s="355">
        <f>SUM(AA30:AA46)</f>
        <v>16096000</v>
      </c>
      <c r="AB47" s="355">
        <f>SUM(AB30:AB46)</f>
        <v>8730000</v>
      </c>
      <c r="AC47" s="355">
        <f>SUM(AC30:AC46)</f>
        <v>3591211</v>
      </c>
      <c r="AD47" s="461">
        <v>0</v>
      </c>
      <c r="AE47" s="355">
        <f>SUM(AE30:AE46)</f>
        <v>3263000</v>
      </c>
      <c r="AF47" s="355">
        <f>SUM(AF30:AF46)</f>
        <v>201667646</v>
      </c>
      <c r="AG47" s="355">
        <f>SUM(AG30:AG46)</f>
        <v>201667646</v>
      </c>
      <c r="AH47" s="461">
        <v>0</v>
      </c>
      <c r="AI47" s="355">
        <f>SUM(AI30:AI46)</f>
        <v>270290000</v>
      </c>
      <c r="AJ47" s="355">
        <f>SUM(AJ30:AJ46)</f>
        <v>147047662</v>
      </c>
      <c r="AK47" s="355">
        <f>SUM(AK30:AK46)</f>
        <v>147047662</v>
      </c>
      <c r="AL47" s="461">
        <v>0</v>
      </c>
      <c r="AM47" s="355">
        <f>SUM(AM30:AM46)</f>
        <v>0</v>
      </c>
      <c r="AN47" s="355">
        <f>SUM(AN30:AN46)</f>
        <v>0</v>
      </c>
      <c r="AO47" s="355">
        <f>SUM(AO30:AO46)</f>
        <v>0</v>
      </c>
      <c r="AP47" s="461">
        <v>0</v>
      </c>
      <c r="AQ47" s="360" t="s">
        <v>160</v>
      </c>
      <c r="AR47" s="355">
        <f>SUM(AR30:AR46)</f>
        <v>336838000</v>
      </c>
      <c r="AS47" s="355">
        <f>SUM(AS30:AS46)</f>
        <v>529192646</v>
      </c>
      <c r="AT47" s="355">
        <f>SUM(AT30:AT46)</f>
        <v>307735456</v>
      </c>
      <c r="AU47" s="461">
        <f>AT47/AS47</f>
        <v>0.58151876887571108</v>
      </c>
      <c r="AV47" s="355">
        <f>SUM(AV30:AV46)</f>
        <v>401929000</v>
      </c>
      <c r="AW47" s="355">
        <f>SUM(AW30:AW46)</f>
        <v>1225640023</v>
      </c>
      <c r="AX47" s="355">
        <f>SUM(AX30:AX46)</f>
        <v>1105522710</v>
      </c>
      <c r="AY47" s="461">
        <f>AX47/AW47</f>
        <v>0.90199625440919529</v>
      </c>
      <c r="AZ47" s="355">
        <f>SUM(AZ30:AZ46)</f>
        <v>738767000</v>
      </c>
      <c r="BA47" s="355">
        <f>SUM(BA30:BA46)</f>
        <v>1754832669</v>
      </c>
      <c r="BB47" s="355">
        <f>SUM(BB30:BB46)</f>
        <v>1413258166</v>
      </c>
      <c r="BC47" s="461">
        <f t="shared" si="26"/>
        <v>0.80535209479850411</v>
      </c>
    </row>
    <row r="48" spans="1:56" s="357" customFormat="1" ht="21" thickBot="1">
      <c r="A48" s="361" t="s">
        <v>161</v>
      </c>
      <c r="B48" s="355">
        <f>SUM(B28+B47)</f>
        <v>1476871000</v>
      </c>
      <c r="C48" s="355">
        <f>SUM(C28+C47)</f>
        <v>1633988112</v>
      </c>
      <c r="D48" s="355">
        <f>SUM(D28+D47)</f>
        <v>953757601</v>
      </c>
      <c r="E48" s="461">
        <f>D48/C48</f>
        <v>0.58369922889622594</v>
      </c>
      <c r="F48" s="355">
        <f>SUM(F28+F47)</f>
        <v>0</v>
      </c>
      <c r="G48" s="355">
        <f>SUM(G28+G47)</f>
        <v>963356861</v>
      </c>
      <c r="H48" s="355">
        <f>SUM(H28+H47)</f>
        <v>963356861</v>
      </c>
      <c r="I48" s="461">
        <f>H48/G48</f>
        <v>1</v>
      </c>
      <c r="J48" s="355">
        <f>SUM(J28+J47)</f>
        <v>616700000</v>
      </c>
      <c r="K48" s="355">
        <f>SUM(K28+K47)</f>
        <v>616700000</v>
      </c>
      <c r="L48" s="355">
        <f>SUM(L28+L47)</f>
        <v>301667085</v>
      </c>
      <c r="M48" s="461">
        <f>L48/K48</f>
        <v>0.48916342630128101</v>
      </c>
      <c r="N48" s="355">
        <f>SUM(N28+N47)</f>
        <v>309247000</v>
      </c>
      <c r="O48" s="355">
        <f>SUM(O28+O47)</f>
        <v>309247000</v>
      </c>
      <c r="P48" s="355">
        <f>SUM(P28+P47)</f>
        <v>104193692</v>
      </c>
      <c r="Q48" s="461">
        <f>P48/O48</f>
        <v>0.33692709064275483</v>
      </c>
      <c r="R48" s="355">
        <f>SUM(R28+R47)</f>
        <v>115543000</v>
      </c>
      <c r="S48" s="355">
        <f>SUM(S28+S47)</f>
        <v>115543000</v>
      </c>
      <c r="T48" s="355">
        <f>SUM(T28+T47)</f>
        <v>564476</v>
      </c>
      <c r="U48" s="461">
        <f>T48/S48</f>
        <v>4.885419281133431E-3</v>
      </c>
      <c r="V48" s="361" t="s">
        <v>161</v>
      </c>
      <c r="W48" s="355">
        <f>SUM(W28+W47)</f>
        <v>25328000</v>
      </c>
      <c r="X48" s="355">
        <f>SUM(X28+X47)</f>
        <v>19278000</v>
      </c>
      <c r="Y48" s="355">
        <f>SUM(Y28+Y47)</f>
        <v>1000000</v>
      </c>
      <c r="Z48" s="461">
        <v>0</v>
      </c>
      <c r="AA48" s="355">
        <f>SUM(AA28+AA47)</f>
        <v>16096000</v>
      </c>
      <c r="AB48" s="355">
        <f>SUM(AB28+AB47)</f>
        <v>8730000</v>
      </c>
      <c r="AC48" s="355">
        <f>SUM(AC28+AC47)</f>
        <v>3591211</v>
      </c>
      <c r="AD48" s="461">
        <v>0</v>
      </c>
      <c r="AE48" s="355">
        <f>SUM(AE28+AE47)</f>
        <v>3263000</v>
      </c>
      <c r="AF48" s="355">
        <f>SUM(AF28+AF47)</f>
        <v>201667646</v>
      </c>
      <c r="AG48" s="355">
        <f>SUM(AG28+AG47)</f>
        <v>201667646</v>
      </c>
      <c r="AH48" s="461">
        <f>AG48/AF48</f>
        <v>1</v>
      </c>
      <c r="AI48" s="355">
        <f>SUM(AI28+AI47)</f>
        <v>270290000</v>
      </c>
      <c r="AJ48" s="355">
        <f>SUM(AJ28+AJ47)</f>
        <v>147047662</v>
      </c>
      <c r="AK48" s="355">
        <f>SUM(AK28+AK47)</f>
        <v>147047662</v>
      </c>
      <c r="AL48" s="461">
        <v>0</v>
      </c>
      <c r="AM48" s="355">
        <f>SUM(AM28+AM47)</f>
        <v>0</v>
      </c>
      <c r="AN48" s="355">
        <f>SUM(AN28+AN47)</f>
        <v>0</v>
      </c>
      <c r="AO48" s="355">
        <f>SUM(AO28+AO47)</f>
        <v>0</v>
      </c>
      <c r="AP48" s="461">
        <v>0</v>
      </c>
      <c r="AQ48" s="361" t="s">
        <v>161</v>
      </c>
      <c r="AR48" s="355">
        <f>SUM(AR28+AR47)</f>
        <v>2431409000</v>
      </c>
      <c r="AS48" s="355">
        <f>SUM(AS28+AS47)</f>
        <v>2780880758</v>
      </c>
      <c r="AT48" s="355">
        <f>SUM(AT28+AT47)</f>
        <v>1562286024</v>
      </c>
      <c r="AU48" s="461">
        <f>AT48/AS48</f>
        <v>0.56179540223205793</v>
      </c>
      <c r="AV48" s="355">
        <f>SUM(AV28+AV47)</f>
        <v>401929000</v>
      </c>
      <c r="AW48" s="355">
        <f>SUM(AW28+AW47)</f>
        <v>1234677523</v>
      </c>
      <c r="AX48" s="355">
        <f>SUM(AX28+AX47)</f>
        <v>1114560210</v>
      </c>
      <c r="AY48" s="461">
        <f>AX48/AW48</f>
        <v>0.90271361488128432</v>
      </c>
      <c r="AZ48" s="355">
        <f>SUM(AZ28+AZ47)</f>
        <v>2833338000</v>
      </c>
      <c r="BA48" s="355">
        <f>SUM(BA28+BA47)</f>
        <v>4015558281</v>
      </c>
      <c r="BB48" s="355">
        <f>SUM(BB28+BB47)</f>
        <v>2676846234</v>
      </c>
      <c r="BC48" s="461">
        <f>BB48/BA48</f>
        <v>0.6666186982432194</v>
      </c>
    </row>
    <row r="50" spans="18:53">
      <c r="AI50" s="126"/>
      <c r="AJ50" s="126"/>
      <c r="AS50" s="126"/>
      <c r="AW50" s="126"/>
      <c r="BA50" s="126"/>
    </row>
    <row r="51" spans="18:53">
      <c r="BA51" s="126"/>
    </row>
    <row r="52" spans="18:53">
      <c r="R52" s="126"/>
      <c r="S52" s="126"/>
    </row>
  </sheetData>
  <mergeCells count="34">
    <mergeCell ref="A5:U5"/>
    <mergeCell ref="V5:AP5"/>
    <mergeCell ref="AQ5:BC5"/>
    <mergeCell ref="A6:U6"/>
    <mergeCell ref="V6:AP6"/>
    <mergeCell ref="AQ6:BC6"/>
    <mergeCell ref="AV8:AZ8"/>
    <mergeCell ref="A9:A12"/>
    <mergeCell ref="B9:E9"/>
    <mergeCell ref="F9:I9"/>
    <mergeCell ref="J9:M9"/>
    <mergeCell ref="N9:Q9"/>
    <mergeCell ref="R9:U9"/>
    <mergeCell ref="V9:V12"/>
    <mergeCell ref="W9:Z9"/>
    <mergeCell ref="AA9:AD9"/>
    <mergeCell ref="AE9:AN9"/>
    <mergeCell ref="AQ9:AQ12"/>
    <mergeCell ref="AR9:BC9"/>
    <mergeCell ref="B10:E11"/>
    <mergeCell ref="F10:I11"/>
    <mergeCell ref="J10:M11"/>
    <mergeCell ref="N10:Q11"/>
    <mergeCell ref="R10:U11"/>
    <mergeCell ref="W10:Z11"/>
    <mergeCell ref="AA10:AD11"/>
    <mergeCell ref="AE10:AP10"/>
    <mergeCell ref="AR10:BC10"/>
    <mergeCell ref="AE11:AH11"/>
    <mergeCell ref="AI11:AL11"/>
    <mergeCell ref="AM11:AP11"/>
    <mergeCell ref="AR11:AU11"/>
    <mergeCell ref="AV11:AY11"/>
    <mergeCell ref="AZ11:BC11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A40"/>
  <sheetViews>
    <sheetView view="pageBreakPreview" zoomScale="89" zoomScaleSheetLayoutView="89" workbookViewId="0">
      <selection sqref="A1:BA1"/>
    </sheetView>
  </sheetViews>
  <sheetFormatPr defaultRowHeight="15"/>
  <cols>
    <col min="1" max="1" width="55.7109375" customWidth="1"/>
    <col min="2" max="2" width="11.28515625" style="1" customWidth="1"/>
    <col min="3" max="3" width="13" style="1" customWidth="1"/>
    <col min="4" max="4" width="13.85546875" style="1" customWidth="1"/>
    <col min="5" max="13" width="11.28515625" style="1" customWidth="1"/>
    <col min="14" max="15" width="12.85546875" style="1" customWidth="1"/>
    <col min="16" max="21" width="11.28515625" style="1" customWidth="1"/>
    <col min="22" max="22" width="55.7109375" customWidth="1"/>
    <col min="23" max="30" width="11.28515625" style="1" customWidth="1"/>
    <col min="31" max="32" width="13.28515625" style="1" customWidth="1"/>
    <col min="33" max="33" width="11.28515625" style="1" customWidth="1"/>
    <col min="34" max="34" width="13.28515625" style="1" customWidth="1"/>
    <col min="35" max="36" width="14.7109375" style="1" customWidth="1"/>
    <col min="37" max="37" width="12.85546875" style="1" customWidth="1"/>
    <col min="38" max="38" width="13.28515625" style="1" customWidth="1"/>
    <col min="39" max="39" width="55.7109375" customWidth="1"/>
    <col min="40" max="41" width="15.5703125" style="1" customWidth="1"/>
    <col min="42" max="46" width="13.28515625" style="1" customWidth="1"/>
    <col min="47" max="47" width="14.28515625" style="1" customWidth="1"/>
    <col min="48" max="49" width="17.85546875" style="14" customWidth="1"/>
    <col min="50" max="52" width="13.28515625" style="1" customWidth="1"/>
    <col min="53" max="53" width="14.140625" style="1" customWidth="1"/>
    <col min="54" max="54" width="13.5703125" customWidth="1"/>
    <col min="55" max="55" width="11.5703125" customWidth="1"/>
    <col min="56" max="57" width="13" customWidth="1"/>
    <col min="58" max="58" width="15.140625" customWidth="1"/>
  </cols>
  <sheetData>
    <row r="1" spans="1:79" s="38" customFormat="1" ht="15.75">
      <c r="A1" s="595" t="s">
        <v>421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595"/>
      <c r="AC1" s="595"/>
      <c r="AD1" s="595"/>
      <c r="AE1" s="595"/>
      <c r="AF1" s="595"/>
      <c r="AG1" s="595"/>
      <c r="AH1" s="595"/>
      <c r="AI1" s="595"/>
      <c r="AJ1" s="595"/>
      <c r="AK1" s="595"/>
      <c r="AL1" s="595"/>
      <c r="AM1" s="595"/>
      <c r="AN1" s="595"/>
      <c r="AO1" s="595"/>
      <c r="AP1" s="595"/>
      <c r="AQ1" s="595"/>
      <c r="AR1" s="595"/>
      <c r="AS1" s="595"/>
      <c r="AT1" s="595"/>
      <c r="AU1" s="595"/>
      <c r="AV1" s="595"/>
      <c r="AW1" s="595"/>
      <c r="AX1" s="595"/>
      <c r="AY1" s="595"/>
      <c r="AZ1" s="595"/>
      <c r="BA1" s="595"/>
      <c r="BB1" s="9"/>
      <c r="BC1" s="9"/>
      <c r="BD1" s="9"/>
      <c r="BE1" s="9"/>
      <c r="BF1" s="9"/>
    </row>
    <row r="2" spans="1:79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62" t="s">
        <v>391</v>
      </c>
      <c r="V2" s="34"/>
      <c r="W2" s="34"/>
      <c r="X2" s="34"/>
      <c r="Y2" s="34"/>
      <c r="Z2" s="34"/>
      <c r="AA2" s="34"/>
      <c r="AB2" s="362"/>
      <c r="AC2" s="34"/>
      <c r="AD2" s="34"/>
      <c r="AE2" s="34"/>
      <c r="AF2" s="34"/>
      <c r="AG2" s="34"/>
      <c r="AH2" s="34"/>
      <c r="AI2" s="34"/>
      <c r="AJ2" s="34"/>
      <c r="AK2" s="34"/>
      <c r="AL2" s="362" t="s">
        <v>392</v>
      </c>
      <c r="AM2" s="34"/>
      <c r="AN2" s="34"/>
      <c r="AO2" s="34"/>
      <c r="AP2" s="34"/>
      <c r="AQ2" s="34"/>
      <c r="AR2" s="34"/>
      <c r="AS2" s="34"/>
      <c r="AT2" s="34"/>
      <c r="AU2" s="34"/>
      <c r="AV2" s="39"/>
      <c r="AW2" s="362"/>
      <c r="AX2" s="34"/>
      <c r="AY2" s="362" t="s">
        <v>393</v>
      </c>
      <c r="AZ2" s="34"/>
      <c r="BA2" s="34"/>
      <c r="BB2" s="36"/>
      <c r="BC2" s="36"/>
      <c r="BD2" s="36"/>
      <c r="BE2" s="36"/>
      <c r="BF2" s="36"/>
    </row>
    <row r="3" spans="1:79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9"/>
      <c r="AW3" s="39"/>
      <c r="AX3" s="34"/>
      <c r="AY3" s="34"/>
      <c r="AZ3" s="34"/>
      <c r="BA3" s="34"/>
      <c r="BB3" s="36"/>
      <c r="BC3" s="36"/>
      <c r="BD3" s="36"/>
      <c r="BE3" s="36"/>
      <c r="BF3" s="36"/>
    </row>
    <row r="4" spans="1:79">
      <c r="A4" s="3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34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34"/>
      <c r="AN4" s="40"/>
      <c r="AO4" s="40"/>
      <c r="AP4" s="40"/>
      <c r="AQ4" s="40"/>
      <c r="AR4" s="40"/>
      <c r="AS4" s="40"/>
      <c r="AT4" s="40"/>
      <c r="AU4" s="40"/>
      <c r="AV4" s="41"/>
      <c r="AW4" s="41"/>
      <c r="AX4" s="40"/>
      <c r="AY4" s="40"/>
      <c r="AZ4" s="40"/>
      <c r="BA4" s="40"/>
      <c r="BB4" s="36"/>
      <c r="BC4" s="36"/>
      <c r="BD4" s="36"/>
      <c r="BE4" s="36"/>
      <c r="BF4" s="36"/>
    </row>
    <row r="5" spans="1:79" s="43" customFormat="1" ht="39.75" customHeight="1">
      <c r="A5" s="636" t="s">
        <v>395</v>
      </c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 t="s">
        <v>394</v>
      </c>
      <c r="W5" s="636"/>
      <c r="X5" s="636"/>
      <c r="Y5" s="636"/>
      <c r="Z5" s="636"/>
      <c r="AA5" s="636"/>
      <c r="AB5" s="636"/>
      <c r="AC5" s="636"/>
      <c r="AD5" s="636"/>
      <c r="AE5" s="636"/>
      <c r="AF5" s="636"/>
      <c r="AG5" s="636"/>
      <c r="AH5" s="636"/>
      <c r="AI5" s="636"/>
      <c r="AJ5" s="636"/>
      <c r="AK5" s="636"/>
      <c r="AL5" s="636"/>
      <c r="AM5" s="636" t="s">
        <v>394</v>
      </c>
      <c r="AN5" s="636"/>
      <c r="AO5" s="636"/>
      <c r="AP5" s="636"/>
      <c r="AQ5" s="636"/>
      <c r="AR5" s="636"/>
      <c r="AS5" s="636"/>
      <c r="AT5" s="636"/>
      <c r="AU5" s="636"/>
      <c r="AV5" s="636"/>
      <c r="AW5" s="636"/>
      <c r="AX5" s="636"/>
      <c r="AY5" s="636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</row>
    <row r="6" spans="1:79" ht="15.75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407"/>
      <c r="AQ6" s="407"/>
      <c r="AR6" s="407"/>
      <c r="AS6" s="407"/>
      <c r="AT6" s="407"/>
      <c r="AU6" s="407"/>
      <c r="AV6" s="407"/>
      <c r="AW6" s="407"/>
      <c r="AX6" s="407"/>
      <c r="AY6" s="407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</row>
    <row r="7" spans="1:79" ht="16.5" thickBot="1">
      <c r="A7" s="407"/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637"/>
      <c r="AS7" s="637"/>
      <c r="AT7" s="637"/>
      <c r="AU7" s="637"/>
      <c r="AV7" s="637"/>
      <c r="AW7" s="408"/>
      <c r="AX7" s="408"/>
      <c r="AY7" s="408" t="s">
        <v>4</v>
      </c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</row>
    <row r="8" spans="1:79" s="364" customFormat="1" ht="13.5" customHeight="1" thickBot="1">
      <c r="A8" s="630" t="s">
        <v>165</v>
      </c>
      <c r="B8" s="633" t="s">
        <v>54</v>
      </c>
      <c r="C8" s="634"/>
      <c r="D8" s="634"/>
      <c r="E8" s="635"/>
      <c r="F8" s="633" t="s">
        <v>55</v>
      </c>
      <c r="G8" s="634"/>
      <c r="H8" s="634"/>
      <c r="I8" s="635"/>
      <c r="J8" s="633" t="s">
        <v>56</v>
      </c>
      <c r="K8" s="634"/>
      <c r="L8" s="634"/>
      <c r="M8" s="635"/>
      <c r="N8" s="633" t="s">
        <v>57</v>
      </c>
      <c r="O8" s="634"/>
      <c r="P8" s="634"/>
      <c r="Q8" s="635"/>
      <c r="R8" s="633" t="s">
        <v>58</v>
      </c>
      <c r="S8" s="634"/>
      <c r="T8" s="634"/>
      <c r="U8" s="635"/>
      <c r="V8" s="630" t="s">
        <v>165</v>
      </c>
      <c r="W8" s="633" t="s">
        <v>59</v>
      </c>
      <c r="X8" s="634"/>
      <c r="Y8" s="634"/>
      <c r="Z8" s="635"/>
      <c r="AA8" s="633" t="s">
        <v>60</v>
      </c>
      <c r="AB8" s="634"/>
      <c r="AC8" s="634"/>
      <c r="AD8" s="635"/>
      <c r="AE8" s="633" t="s">
        <v>61</v>
      </c>
      <c r="AF8" s="634"/>
      <c r="AG8" s="634"/>
      <c r="AH8" s="634"/>
      <c r="AI8" s="634"/>
      <c r="AJ8" s="634"/>
      <c r="AK8" s="634"/>
      <c r="AL8" s="635"/>
      <c r="AM8" s="630" t="s">
        <v>165</v>
      </c>
      <c r="AN8" s="647" t="s">
        <v>62</v>
      </c>
      <c r="AO8" s="647"/>
      <c r="AP8" s="647"/>
      <c r="AQ8" s="647"/>
      <c r="AR8" s="647"/>
      <c r="AS8" s="647"/>
      <c r="AT8" s="647"/>
      <c r="AU8" s="647"/>
      <c r="AV8" s="647"/>
      <c r="AW8" s="647"/>
      <c r="AX8" s="647"/>
      <c r="AY8" s="647"/>
      <c r="AZ8" s="363"/>
      <c r="BA8" s="363"/>
      <c r="BB8" s="363"/>
      <c r="BC8" s="363"/>
      <c r="BD8" s="363"/>
      <c r="BE8" s="363"/>
      <c r="BF8" s="363"/>
      <c r="BG8" s="363"/>
      <c r="BH8" s="363"/>
      <c r="BI8" s="363"/>
      <c r="BJ8" s="363"/>
      <c r="BK8" s="363"/>
      <c r="BL8" s="363"/>
      <c r="BM8" s="363"/>
      <c r="BN8" s="363"/>
      <c r="BO8" s="363"/>
      <c r="BP8" s="363"/>
      <c r="BQ8" s="363"/>
      <c r="BR8" s="363"/>
      <c r="BS8" s="363"/>
      <c r="BT8" s="363"/>
      <c r="BU8" s="363"/>
      <c r="BV8" s="363"/>
      <c r="BW8" s="363"/>
      <c r="BX8" s="363"/>
      <c r="BY8" s="363"/>
      <c r="BZ8" s="363"/>
      <c r="CA8" s="363"/>
    </row>
    <row r="9" spans="1:79" s="366" customFormat="1" ht="15.75" customHeight="1" thickBot="1">
      <c r="A9" s="631"/>
      <c r="B9" s="638" t="s">
        <v>340</v>
      </c>
      <c r="C9" s="639"/>
      <c r="D9" s="639"/>
      <c r="E9" s="640"/>
      <c r="F9" s="638" t="s">
        <v>341</v>
      </c>
      <c r="G9" s="639"/>
      <c r="H9" s="639"/>
      <c r="I9" s="640"/>
      <c r="J9" s="638" t="s">
        <v>63</v>
      </c>
      <c r="K9" s="639"/>
      <c r="L9" s="639"/>
      <c r="M9" s="640"/>
      <c r="N9" s="638" t="s">
        <v>64</v>
      </c>
      <c r="O9" s="639"/>
      <c r="P9" s="639"/>
      <c r="Q9" s="640"/>
      <c r="R9" s="638" t="s">
        <v>65</v>
      </c>
      <c r="S9" s="639"/>
      <c r="T9" s="639"/>
      <c r="U9" s="640"/>
      <c r="V9" s="631"/>
      <c r="W9" s="638" t="s">
        <v>38</v>
      </c>
      <c r="X9" s="639"/>
      <c r="Y9" s="639"/>
      <c r="Z9" s="640"/>
      <c r="AA9" s="638" t="s">
        <v>39</v>
      </c>
      <c r="AB9" s="639"/>
      <c r="AC9" s="639"/>
      <c r="AD9" s="640"/>
      <c r="AE9" s="644" t="s">
        <v>40</v>
      </c>
      <c r="AF9" s="645"/>
      <c r="AG9" s="645"/>
      <c r="AH9" s="645"/>
      <c r="AI9" s="645"/>
      <c r="AJ9" s="645"/>
      <c r="AK9" s="645"/>
      <c r="AL9" s="646"/>
      <c r="AM9" s="631"/>
      <c r="AN9" s="648" t="s">
        <v>49</v>
      </c>
      <c r="AO9" s="648"/>
      <c r="AP9" s="648"/>
      <c r="AQ9" s="648"/>
      <c r="AR9" s="648"/>
      <c r="AS9" s="648"/>
      <c r="AT9" s="648"/>
      <c r="AU9" s="648"/>
      <c r="AV9" s="648"/>
      <c r="AW9" s="648"/>
      <c r="AX9" s="648"/>
      <c r="AY9" s="648"/>
      <c r="AZ9" s="365"/>
      <c r="BA9" s="365"/>
      <c r="BB9" s="365"/>
      <c r="BC9" s="365"/>
      <c r="BD9" s="365"/>
      <c r="BE9" s="365"/>
      <c r="BF9" s="365"/>
      <c r="BG9" s="365"/>
      <c r="BH9" s="365"/>
      <c r="BI9" s="365"/>
      <c r="BJ9" s="365"/>
      <c r="BK9" s="365"/>
      <c r="BL9" s="365"/>
      <c r="BM9" s="365"/>
      <c r="BN9" s="365"/>
      <c r="BO9" s="365"/>
      <c r="BP9" s="365"/>
      <c r="BQ9" s="365"/>
      <c r="BR9" s="365"/>
      <c r="BS9" s="365"/>
      <c r="BT9" s="365"/>
      <c r="BU9" s="365"/>
      <c r="BV9" s="365"/>
      <c r="BW9" s="365"/>
      <c r="BX9" s="365"/>
      <c r="BY9" s="365"/>
      <c r="BZ9" s="365"/>
      <c r="CA9" s="365"/>
    </row>
    <row r="10" spans="1:79" s="366" customFormat="1" ht="51" customHeight="1" thickBot="1">
      <c r="A10" s="631"/>
      <c r="B10" s="641"/>
      <c r="C10" s="642"/>
      <c r="D10" s="642"/>
      <c r="E10" s="643"/>
      <c r="F10" s="641"/>
      <c r="G10" s="642"/>
      <c r="H10" s="642"/>
      <c r="I10" s="643"/>
      <c r="J10" s="641"/>
      <c r="K10" s="642"/>
      <c r="L10" s="642"/>
      <c r="M10" s="643"/>
      <c r="N10" s="641"/>
      <c r="O10" s="642"/>
      <c r="P10" s="642"/>
      <c r="Q10" s="643"/>
      <c r="R10" s="641"/>
      <c r="S10" s="642"/>
      <c r="T10" s="642"/>
      <c r="U10" s="643"/>
      <c r="V10" s="631"/>
      <c r="W10" s="641"/>
      <c r="X10" s="642"/>
      <c r="Y10" s="642"/>
      <c r="Z10" s="643"/>
      <c r="AA10" s="641"/>
      <c r="AB10" s="642"/>
      <c r="AC10" s="642"/>
      <c r="AD10" s="643"/>
      <c r="AE10" s="644" t="s">
        <v>166</v>
      </c>
      <c r="AF10" s="645"/>
      <c r="AG10" s="645"/>
      <c r="AH10" s="646"/>
      <c r="AI10" s="644" t="s">
        <v>167</v>
      </c>
      <c r="AJ10" s="645"/>
      <c r="AK10" s="645"/>
      <c r="AL10" s="646"/>
      <c r="AM10" s="631"/>
      <c r="AN10" s="648" t="s">
        <v>75</v>
      </c>
      <c r="AO10" s="648"/>
      <c r="AP10" s="648"/>
      <c r="AQ10" s="648"/>
      <c r="AR10" s="648" t="s">
        <v>76</v>
      </c>
      <c r="AS10" s="648"/>
      <c r="AT10" s="648"/>
      <c r="AU10" s="648"/>
      <c r="AV10" s="648" t="s">
        <v>49</v>
      </c>
      <c r="AW10" s="648"/>
      <c r="AX10" s="648"/>
      <c r="AY10" s="648"/>
      <c r="AZ10" s="365"/>
      <c r="BA10" s="365"/>
      <c r="BB10" s="365"/>
      <c r="BC10" s="365"/>
      <c r="BD10" s="365"/>
      <c r="BE10" s="365"/>
      <c r="BF10" s="365"/>
      <c r="BG10" s="365"/>
      <c r="BH10" s="365"/>
      <c r="BI10" s="365"/>
      <c r="BJ10" s="365"/>
      <c r="BK10" s="365"/>
      <c r="BL10" s="365"/>
      <c r="BM10" s="365"/>
      <c r="BN10" s="365"/>
      <c r="BO10" s="365"/>
      <c r="BP10" s="365"/>
      <c r="BQ10" s="365"/>
      <c r="BR10" s="365"/>
      <c r="BS10" s="365"/>
      <c r="BT10" s="365"/>
      <c r="BU10" s="365"/>
      <c r="BV10" s="365"/>
      <c r="BW10" s="365"/>
      <c r="BX10" s="365"/>
      <c r="BY10" s="365"/>
      <c r="BZ10" s="365"/>
      <c r="CA10" s="365"/>
    </row>
    <row r="11" spans="1:79" s="365" customFormat="1" ht="51" customHeight="1" thickBot="1">
      <c r="A11" s="632"/>
      <c r="B11" s="367" t="s">
        <v>311</v>
      </c>
      <c r="C11" s="367" t="s">
        <v>352</v>
      </c>
      <c r="D11" s="367" t="s">
        <v>389</v>
      </c>
      <c r="E11" s="367" t="s">
        <v>390</v>
      </c>
      <c r="F11" s="367" t="s">
        <v>311</v>
      </c>
      <c r="G11" s="367" t="s">
        <v>352</v>
      </c>
      <c r="H11" s="367" t="s">
        <v>389</v>
      </c>
      <c r="I11" s="367" t="s">
        <v>390</v>
      </c>
      <c r="J11" s="367" t="s">
        <v>311</v>
      </c>
      <c r="K11" s="367" t="s">
        <v>352</v>
      </c>
      <c r="L11" s="367" t="s">
        <v>389</v>
      </c>
      <c r="M11" s="367" t="s">
        <v>390</v>
      </c>
      <c r="N11" s="367" t="s">
        <v>311</v>
      </c>
      <c r="O11" s="367" t="s">
        <v>352</v>
      </c>
      <c r="P11" s="367" t="s">
        <v>389</v>
      </c>
      <c r="Q11" s="367" t="s">
        <v>390</v>
      </c>
      <c r="R11" s="367" t="s">
        <v>311</v>
      </c>
      <c r="S11" s="367" t="s">
        <v>352</v>
      </c>
      <c r="T11" s="367" t="s">
        <v>389</v>
      </c>
      <c r="U11" s="367" t="s">
        <v>390</v>
      </c>
      <c r="V11" s="632"/>
      <c r="W11" s="367" t="s">
        <v>311</v>
      </c>
      <c r="X11" s="367" t="s">
        <v>352</v>
      </c>
      <c r="Y11" s="367" t="s">
        <v>389</v>
      </c>
      <c r="Z11" s="367" t="s">
        <v>390</v>
      </c>
      <c r="AA11" s="367" t="s">
        <v>311</v>
      </c>
      <c r="AB11" s="367" t="s">
        <v>352</v>
      </c>
      <c r="AC11" s="367" t="s">
        <v>389</v>
      </c>
      <c r="AD11" s="367" t="s">
        <v>390</v>
      </c>
      <c r="AE11" s="367" t="s">
        <v>311</v>
      </c>
      <c r="AF11" s="367" t="s">
        <v>352</v>
      </c>
      <c r="AG11" s="367" t="s">
        <v>389</v>
      </c>
      <c r="AH11" s="367" t="s">
        <v>390</v>
      </c>
      <c r="AI11" s="367" t="s">
        <v>311</v>
      </c>
      <c r="AJ11" s="367" t="s">
        <v>352</v>
      </c>
      <c r="AK11" s="367" t="s">
        <v>389</v>
      </c>
      <c r="AL11" s="367" t="s">
        <v>390</v>
      </c>
      <c r="AM11" s="632"/>
      <c r="AN11" s="367" t="s">
        <v>311</v>
      </c>
      <c r="AO11" s="367" t="s">
        <v>352</v>
      </c>
      <c r="AP11" s="367" t="s">
        <v>389</v>
      </c>
      <c r="AQ11" s="367" t="s">
        <v>390</v>
      </c>
      <c r="AR11" s="367" t="s">
        <v>311</v>
      </c>
      <c r="AS11" s="367" t="s">
        <v>352</v>
      </c>
      <c r="AT11" s="367" t="s">
        <v>389</v>
      </c>
      <c r="AU11" s="367" t="s">
        <v>390</v>
      </c>
      <c r="AV11" s="367" t="s">
        <v>311</v>
      </c>
      <c r="AW11" s="367" t="s">
        <v>352</v>
      </c>
      <c r="AX11" s="367" t="s">
        <v>389</v>
      </c>
      <c r="AY11" s="367" t="s">
        <v>390</v>
      </c>
    </row>
    <row r="12" spans="1:79" s="48" customFormat="1" ht="21" customHeight="1">
      <c r="A12" s="44" t="s">
        <v>51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4" t="s">
        <v>51</v>
      </c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4" t="s">
        <v>51</v>
      </c>
      <c r="AN12" s="45"/>
      <c r="AO12" s="45"/>
      <c r="AP12" s="45"/>
      <c r="AQ12" s="45"/>
      <c r="AR12" s="45"/>
      <c r="AS12" s="45"/>
      <c r="AT12" s="45"/>
      <c r="AU12" s="45"/>
      <c r="AV12" s="46"/>
      <c r="AW12" s="46"/>
      <c r="AX12" s="45"/>
      <c r="AY12" s="45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</row>
    <row r="13" spans="1:79" s="48" customFormat="1" ht="21" customHeight="1">
      <c r="A13" s="49" t="s">
        <v>77</v>
      </c>
      <c r="B13" s="50"/>
      <c r="C13" s="50">
        <v>7593000</v>
      </c>
      <c r="D13" s="50">
        <v>9853822</v>
      </c>
      <c r="E13" s="428">
        <f>D13/C13</f>
        <v>1.297750823126564</v>
      </c>
      <c r="F13" s="50"/>
      <c r="G13" s="50"/>
      <c r="H13" s="50"/>
      <c r="I13" s="428"/>
      <c r="J13" s="50"/>
      <c r="K13" s="50"/>
      <c r="L13" s="50"/>
      <c r="M13" s="428"/>
      <c r="N13" s="50">
        <v>6255000</v>
      </c>
      <c r="O13" s="50">
        <v>6255000</v>
      </c>
      <c r="P13" s="50">
        <v>3026136</v>
      </c>
      <c r="Q13" s="428">
        <f>P13/O13</f>
        <v>0.48379472422062353</v>
      </c>
      <c r="R13" s="50"/>
      <c r="S13" s="50"/>
      <c r="T13" s="50"/>
      <c r="U13" s="428"/>
      <c r="V13" s="49" t="s">
        <v>77</v>
      </c>
      <c r="W13" s="50"/>
      <c r="X13" s="50"/>
      <c r="Y13" s="50"/>
      <c r="Z13" s="428"/>
      <c r="AA13" s="50"/>
      <c r="AB13" s="50"/>
      <c r="AC13" s="50"/>
      <c r="AD13" s="428"/>
      <c r="AE13" s="50"/>
      <c r="AF13" s="50">
        <v>6218431</v>
      </c>
      <c r="AG13" s="50">
        <v>6218431</v>
      </c>
      <c r="AH13" s="428">
        <f>AG13/AF13</f>
        <v>1</v>
      </c>
      <c r="AI13" s="50">
        <v>554614000</v>
      </c>
      <c r="AJ13" s="50">
        <v>554614000</v>
      </c>
      <c r="AK13" s="50">
        <v>278129897</v>
      </c>
      <c r="AL13" s="428">
        <f>AK13/AJ13</f>
        <v>0.5014837292242893</v>
      </c>
      <c r="AM13" s="49" t="s">
        <v>77</v>
      </c>
      <c r="AN13" s="50">
        <f>SUM(B13+J13+N13+W13+AI13)</f>
        <v>560869000</v>
      </c>
      <c r="AO13" s="50">
        <f>SUM(C13+K13+O13+X13+AJ13+AF13)</f>
        <v>574680431</v>
      </c>
      <c r="AP13" s="50">
        <f>SUM(D13+L13+P13+Y13+AK13+AG13)</f>
        <v>297228286</v>
      </c>
      <c r="AQ13" s="428">
        <f>AP13/AO13</f>
        <v>0.51720620707893916</v>
      </c>
      <c r="AR13" s="50">
        <f t="shared" ref="AR13:AT14" si="0">SUM(F13+R13+AA13)</f>
        <v>0</v>
      </c>
      <c r="AS13" s="50">
        <f t="shared" si="0"/>
        <v>0</v>
      </c>
      <c r="AT13" s="50">
        <f t="shared" si="0"/>
        <v>0</v>
      </c>
      <c r="AU13" s="428">
        <v>0</v>
      </c>
      <c r="AV13" s="51">
        <f t="shared" ref="AV13:AX14" si="1">SUM(AN13+AR13)</f>
        <v>560869000</v>
      </c>
      <c r="AW13" s="51">
        <f t="shared" si="1"/>
        <v>574680431</v>
      </c>
      <c r="AX13" s="51">
        <f t="shared" si="1"/>
        <v>297228286</v>
      </c>
      <c r="AY13" s="428">
        <f>AX13/AW13</f>
        <v>0.51720620707893916</v>
      </c>
      <c r="AZ13" s="52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</row>
    <row r="14" spans="1:79" s="48" customFormat="1" ht="21" customHeight="1" thickBot="1">
      <c r="A14" s="53" t="s">
        <v>97</v>
      </c>
      <c r="B14" s="54"/>
      <c r="C14" s="54"/>
      <c r="D14" s="54"/>
      <c r="E14" s="428"/>
      <c r="F14" s="54"/>
      <c r="G14" s="54"/>
      <c r="H14" s="54"/>
      <c r="I14" s="428"/>
      <c r="J14" s="54"/>
      <c r="K14" s="54"/>
      <c r="L14" s="54"/>
      <c r="M14" s="428"/>
      <c r="N14" s="54"/>
      <c r="O14" s="54"/>
      <c r="P14" s="54"/>
      <c r="Q14" s="428"/>
      <c r="R14" s="54"/>
      <c r="S14" s="54"/>
      <c r="T14" s="54"/>
      <c r="U14" s="428"/>
      <c r="V14" s="53" t="s">
        <v>97</v>
      </c>
      <c r="W14" s="54"/>
      <c r="X14" s="54"/>
      <c r="Y14" s="54"/>
      <c r="Z14" s="428"/>
      <c r="AA14" s="54"/>
      <c r="AB14" s="54"/>
      <c r="AC14" s="54"/>
      <c r="AD14" s="428"/>
      <c r="AE14" s="54"/>
      <c r="AF14" s="54"/>
      <c r="AG14" s="54"/>
      <c r="AH14" s="428"/>
      <c r="AI14" s="54"/>
      <c r="AJ14" s="54"/>
      <c r="AK14" s="54"/>
      <c r="AL14" s="428"/>
      <c r="AM14" s="53" t="s">
        <v>97</v>
      </c>
      <c r="AN14" s="55">
        <f>SUM(B14+J14+N14+W14+AI14)</f>
        <v>0</v>
      </c>
      <c r="AO14" s="55">
        <f>SUM(C14+K14+O14+X14+AJ14)</f>
        <v>0</v>
      </c>
      <c r="AP14" s="55">
        <f>SUM(D14+L14+P14+Y14+AK14)</f>
        <v>0</v>
      </c>
      <c r="AQ14" s="428"/>
      <c r="AR14" s="55">
        <f t="shared" si="0"/>
        <v>0</v>
      </c>
      <c r="AS14" s="55">
        <f t="shared" si="0"/>
        <v>0</v>
      </c>
      <c r="AT14" s="55">
        <f t="shared" si="0"/>
        <v>0</v>
      </c>
      <c r="AU14" s="428">
        <v>0</v>
      </c>
      <c r="AV14" s="51">
        <f t="shared" si="1"/>
        <v>0</v>
      </c>
      <c r="AW14" s="51">
        <f t="shared" si="1"/>
        <v>0</v>
      </c>
      <c r="AX14" s="51">
        <f t="shared" si="1"/>
        <v>0</v>
      </c>
      <c r="AY14" s="428">
        <v>0</v>
      </c>
      <c r="AZ14" s="52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</row>
    <row r="15" spans="1:79" s="372" customFormat="1" ht="26.25" customHeight="1" thickBot="1">
      <c r="A15" s="368" t="s">
        <v>168</v>
      </c>
      <c r="B15" s="369">
        <f>B13+B14</f>
        <v>0</v>
      </c>
      <c r="C15" s="369">
        <f>C13+C14</f>
        <v>7593000</v>
      </c>
      <c r="D15" s="369">
        <f>D13+D14</f>
        <v>9853822</v>
      </c>
      <c r="E15" s="429">
        <f>D15/C15</f>
        <v>1.297750823126564</v>
      </c>
      <c r="F15" s="369">
        <f t="shared" ref="F15:AI15" si="2">F13+F14</f>
        <v>0</v>
      </c>
      <c r="G15" s="369">
        <f t="shared" si="2"/>
        <v>0</v>
      </c>
      <c r="H15" s="369">
        <f t="shared" si="2"/>
        <v>0</v>
      </c>
      <c r="I15" s="429">
        <v>0</v>
      </c>
      <c r="J15" s="369">
        <f t="shared" si="2"/>
        <v>0</v>
      </c>
      <c r="K15" s="369">
        <f t="shared" si="2"/>
        <v>0</v>
      </c>
      <c r="L15" s="369">
        <f t="shared" si="2"/>
        <v>0</v>
      </c>
      <c r="M15" s="429">
        <v>0</v>
      </c>
      <c r="N15" s="369">
        <f t="shared" si="2"/>
        <v>6255000</v>
      </c>
      <c r="O15" s="369">
        <f t="shared" si="2"/>
        <v>6255000</v>
      </c>
      <c r="P15" s="369">
        <f t="shared" si="2"/>
        <v>3026136</v>
      </c>
      <c r="Q15" s="429">
        <f>P15/O15</f>
        <v>0.48379472422062353</v>
      </c>
      <c r="R15" s="369">
        <f t="shared" si="2"/>
        <v>0</v>
      </c>
      <c r="S15" s="369">
        <f t="shared" si="2"/>
        <v>0</v>
      </c>
      <c r="T15" s="369">
        <f t="shared" si="2"/>
        <v>0</v>
      </c>
      <c r="U15" s="429">
        <v>0</v>
      </c>
      <c r="V15" s="368" t="s">
        <v>168</v>
      </c>
      <c r="W15" s="369">
        <f t="shared" si="2"/>
        <v>0</v>
      </c>
      <c r="X15" s="369">
        <f t="shared" si="2"/>
        <v>0</v>
      </c>
      <c r="Y15" s="369">
        <f t="shared" si="2"/>
        <v>0</v>
      </c>
      <c r="Z15" s="429">
        <v>0</v>
      </c>
      <c r="AA15" s="369">
        <f t="shared" si="2"/>
        <v>0</v>
      </c>
      <c r="AB15" s="369">
        <f t="shared" si="2"/>
        <v>0</v>
      </c>
      <c r="AC15" s="369">
        <f t="shared" si="2"/>
        <v>0</v>
      </c>
      <c r="AD15" s="429">
        <v>0</v>
      </c>
      <c r="AE15" s="369">
        <f>AE13+AE14</f>
        <v>0</v>
      </c>
      <c r="AF15" s="369">
        <f>AF13+AF14</f>
        <v>6218431</v>
      </c>
      <c r="AG15" s="369">
        <f>AG13+AG14</f>
        <v>6218431</v>
      </c>
      <c r="AH15" s="429">
        <f>AG15/AF15</f>
        <v>1</v>
      </c>
      <c r="AI15" s="369">
        <f t="shared" si="2"/>
        <v>554614000</v>
      </c>
      <c r="AJ15" s="369">
        <f>AJ13+AJ14</f>
        <v>554614000</v>
      </c>
      <c r="AK15" s="369">
        <f>AK13+AK14</f>
        <v>278129897</v>
      </c>
      <c r="AL15" s="429">
        <f>AK15/AJ15</f>
        <v>0.5014837292242893</v>
      </c>
      <c r="AM15" s="368" t="s">
        <v>168</v>
      </c>
      <c r="AN15" s="369">
        <f t="shared" ref="AN15:AX15" si="3">AN13+AN14</f>
        <v>560869000</v>
      </c>
      <c r="AO15" s="369">
        <f t="shared" si="3"/>
        <v>574680431</v>
      </c>
      <c r="AP15" s="369">
        <f t="shared" si="3"/>
        <v>297228286</v>
      </c>
      <c r="AQ15" s="429">
        <f>AP15/AO15</f>
        <v>0.51720620707893916</v>
      </c>
      <c r="AR15" s="369">
        <f t="shared" si="3"/>
        <v>0</v>
      </c>
      <c r="AS15" s="369">
        <f t="shared" si="3"/>
        <v>0</v>
      </c>
      <c r="AT15" s="369">
        <f t="shared" si="3"/>
        <v>0</v>
      </c>
      <c r="AU15" s="429">
        <v>0</v>
      </c>
      <c r="AV15" s="369">
        <f t="shared" si="3"/>
        <v>560869000</v>
      </c>
      <c r="AW15" s="369">
        <f t="shared" si="3"/>
        <v>574680431</v>
      </c>
      <c r="AX15" s="369">
        <f t="shared" si="3"/>
        <v>297228286</v>
      </c>
      <c r="AY15" s="429">
        <f>AX15/AW15</f>
        <v>0.51720620707893916</v>
      </c>
      <c r="AZ15" s="370"/>
      <c r="BA15" s="370"/>
      <c r="BB15" s="371"/>
      <c r="BC15" s="371"/>
      <c r="BD15" s="371"/>
      <c r="BE15" s="371"/>
      <c r="BF15" s="371"/>
      <c r="BG15" s="371"/>
      <c r="BH15" s="371"/>
      <c r="BI15" s="371"/>
      <c r="BJ15" s="371"/>
      <c r="BK15" s="371"/>
      <c r="BL15" s="371"/>
      <c r="BM15" s="371"/>
      <c r="BN15" s="371"/>
      <c r="BO15" s="371"/>
      <c r="BP15" s="371"/>
      <c r="BQ15" s="371"/>
      <c r="BR15" s="371"/>
      <c r="BS15" s="371"/>
      <c r="BT15" s="371"/>
      <c r="BU15" s="371"/>
      <c r="BV15" s="371"/>
      <c r="BW15" s="371"/>
      <c r="BX15" s="371"/>
      <c r="BY15" s="371"/>
      <c r="BZ15" s="371"/>
      <c r="CA15" s="371"/>
    </row>
    <row r="16" spans="1:79" s="48" customFormat="1" ht="36.75" customHeight="1">
      <c r="A16" s="44" t="s">
        <v>169</v>
      </c>
      <c r="B16" s="55"/>
      <c r="C16" s="55"/>
      <c r="D16" s="55"/>
      <c r="E16" s="430"/>
      <c r="F16" s="55"/>
      <c r="G16" s="55"/>
      <c r="H16" s="55"/>
      <c r="I16" s="430"/>
      <c r="J16" s="55"/>
      <c r="K16" s="55"/>
      <c r="L16" s="55"/>
      <c r="M16" s="430"/>
      <c r="N16" s="55"/>
      <c r="O16" s="55"/>
      <c r="P16" s="55"/>
      <c r="Q16" s="430"/>
      <c r="R16" s="55"/>
      <c r="S16" s="55"/>
      <c r="T16" s="55"/>
      <c r="U16" s="430"/>
      <c r="V16" s="44" t="s">
        <v>169</v>
      </c>
      <c r="W16" s="55"/>
      <c r="X16" s="55"/>
      <c r="Y16" s="55"/>
      <c r="Z16" s="430"/>
      <c r="AA16" s="55"/>
      <c r="AB16" s="55"/>
      <c r="AC16" s="55"/>
      <c r="AD16" s="430"/>
      <c r="AE16" s="55"/>
      <c r="AF16" s="55"/>
      <c r="AG16" s="55"/>
      <c r="AH16" s="430"/>
      <c r="AI16" s="55"/>
      <c r="AJ16" s="55"/>
      <c r="AK16" s="55"/>
      <c r="AL16" s="430"/>
      <c r="AM16" s="44" t="s">
        <v>169</v>
      </c>
      <c r="AN16" s="55"/>
      <c r="AO16" s="55"/>
      <c r="AP16" s="55"/>
      <c r="AQ16" s="430"/>
      <c r="AR16" s="55"/>
      <c r="AS16" s="55"/>
      <c r="AT16" s="55"/>
      <c r="AU16" s="430">
        <v>0</v>
      </c>
      <c r="AV16" s="56"/>
      <c r="AW16" s="56"/>
      <c r="AX16" s="56"/>
      <c r="AY16" s="430"/>
      <c r="AZ16" s="52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</row>
    <row r="17" spans="1:79" s="48" customFormat="1" ht="24.75" customHeight="1">
      <c r="A17" s="49" t="s">
        <v>77</v>
      </c>
      <c r="B17" s="50">
        <v>4000000</v>
      </c>
      <c r="C17" s="50">
        <v>13757000</v>
      </c>
      <c r="D17" s="50">
        <v>17838126</v>
      </c>
      <c r="E17" s="428">
        <f>D17/C17</f>
        <v>1.2966581376753652</v>
      </c>
      <c r="F17" s="50"/>
      <c r="G17" s="50"/>
      <c r="H17" s="50"/>
      <c r="I17" s="428"/>
      <c r="J17" s="50"/>
      <c r="K17" s="50"/>
      <c r="L17" s="50"/>
      <c r="M17" s="428"/>
      <c r="N17" s="50">
        <v>44599000</v>
      </c>
      <c r="O17" s="50">
        <v>44599000</v>
      </c>
      <c r="P17" s="50">
        <v>34844183</v>
      </c>
      <c r="Q17" s="428">
        <f>P17/O17</f>
        <v>0.78127722594677007</v>
      </c>
      <c r="R17" s="50"/>
      <c r="S17" s="50"/>
      <c r="T17" s="50"/>
      <c r="U17" s="428"/>
      <c r="V17" s="49" t="s">
        <v>77</v>
      </c>
      <c r="W17" s="50"/>
      <c r="X17" s="50"/>
      <c r="Y17" s="50">
        <v>240000</v>
      </c>
      <c r="Z17" s="428">
        <v>0</v>
      </c>
      <c r="AA17" s="50"/>
      <c r="AB17" s="50"/>
      <c r="AC17" s="50"/>
      <c r="AD17" s="428"/>
      <c r="AE17" s="50">
        <v>858000</v>
      </c>
      <c r="AF17" s="50">
        <v>4395290</v>
      </c>
      <c r="AG17" s="50">
        <v>4395290</v>
      </c>
      <c r="AH17" s="428">
        <f>AG17/AF17</f>
        <v>1</v>
      </c>
      <c r="AI17" s="50">
        <v>78191000</v>
      </c>
      <c r="AJ17" s="50">
        <v>78191000</v>
      </c>
      <c r="AK17" s="50">
        <v>48515206</v>
      </c>
      <c r="AL17" s="428">
        <f>AK17/AJ17</f>
        <v>0.62047046335255973</v>
      </c>
      <c r="AM17" s="49" t="s">
        <v>77</v>
      </c>
      <c r="AN17" s="50">
        <f>SUM(B17+J17+N17+W17+AI17+AE17)</f>
        <v>127648000</v>
      </c>
      <c r="AO17" s="50">
        <f>SUM(C17+K17+O17+X17+AJ17+AF17)</f>
        <v>140942290</v>
      </c>
      <c r="AP17" s="50">
        <f>SUM(D17+L17+P17+Y17+AK17+AG17)</f>
        <v>105832805</v>
      </c>
      <c r="AQ17" s="428">
        <f>AP17/AO17</f>
        <v>0.75089460374171579</v>
      </c>
      <c r="AR17" s="50">
        <f t="shared" ref="AR17:AT18" si="4">SUM(F17+R17+AA17)</f>
        <v>0</v>
      </c>
      <c r="AS17" s="50">
        <f t="shared" si="4"/>
        <v>0</v>
      </c>
      <c r="AT17" s="50">
        <f t="shared" si="4"/>
        <v>0</v>
      </c>
      <c r="AU17" s="428">
        <v>0</v>
      </c>
      <c r="AV17" s="51">
        <f t="shared" ref="AV17:AX18" si="5">SUM(AN17+AR17)</f>
        <v>127648000</v>
      </c>
      <c r="AW17" s="51">
        <f t="shared" si="5"/>
        <v>140942290</v>
      </c>
      <c r="AX17" s="51">
        <f t="shared" si="5"/>
        <v>105832805</v>
      </c>
      <c r="AY17" s="428">
        <f>AX17/AW17</f>
        <v>0.75089460374171579</v>
      </c>
      <c r="AZ17" s="52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</row>
    <row r="18" spans="1:79" s="48" customFormat="1" ht="24.75" customHeight="1" thickBot="1">
      <c r="A18" s="53" t="s">
        <v>97</v>
      </c>
      <c r="B18" s="54"/>
      <c r="C18" s="54"/>
      <c r="D18" s="54"/>
      <c r="E18" s="428"/>
      <c r="F18" s="54"/>
      <c r="G18" s="54"/>
      <c r="H18" s="54"/>
      <c r="I18" s="428"/>
      <c r="J18" s="54"/>
      <c r="K18" s="54"/>
      <c r="L18" s="54"/>
      <c r="M18" s="428"/>
      <c r="N18" s="54">
        <v>7430000</v>
      </c>
      <c r="O18" s="54">
        <v>7430000</v>
      </c>
      <c r="P18" s="54"/>
      <c r="Q18" s="428"/>
      <c r="R18" s="54"/>
      <c r="S18" s="54"/>
      <c r="T18" s="54"/>
      <c r="U18" s="428"/>
      <c r="V18" s="53" t="s">
        <v>97</v>
      </c>
      <c r="W18" s="54"/>
      <c r="X18" s="54"/>
      <c r="Y18" s="54"/>
      <c r="Z18" s="428"/>
      <c r="AA18" s="54"/>
      <c r="AB18" s="54"/>
      <c r="AC18" s="54"/>
      <c r="AD18" s="428"/>
      <c r="AE18" s="54"/>
      <c r="AF18" s="54"/>
      <c r="AG18" s="54"/>
      <c r="AH18" s="428"/>
      <c r="AI18" s="54">
        <v>8799000</v>
      </c>
      <c r="AJ18" s="54">
        <v>8799000</v>
      </c>
      <c r="AK18" s="54"/>
      <c r="AL18" s="428"/>
      <c r="AM18" s="53" t="s">
        <v>97</v>
      </c>
      <c r="AN18" s="55">
        <f>SUM(B18+J18+N18+W18+AI18)</f>
        <v>16229000</v>
      </c>
      <c r="AO18" s="55">
        <f>SUM(C18+K18+O18+X18+AJ18)</f>
        <v>16229000</v>
      </c>
      <c r="AP18" s="55">
        <f>SUM(D18+L18+P18+Y18+AK18)</f>
        <v>0</v>
      </c>
      <c r="AQ18" s="428"/>
      <c r="AR18" s="55">
        <f t="shared" si="4"/>
        <v>0</v>
      </c>
      <c r="AS18" s="55">
        <f t="shared" si="4"/>
        <v>0</v>
      </c>
      <c r="AT18" s="55">
        <f t="shared" si="4"/>
        <v>0</v>
      </c>
      <c r="AU18" s="428">
        <v>0</v>
      </c>
      <c r="AV18" s="51">
        <f t="shared" si="5"/>
        <v>16229000</v>
      </c>
      <c r="AW18" s="51">
        <f t="shared" si="5"/>
        <v>16229000</v>
      </c>
      <c r="AX18" s="51">
        <f t="shared" si="5"/>
        <v>0</v>
      </c>
      <c r="AY18" s="428">
        <v>0</v>
      </c>
      <c r="AZ18" s="52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</row>
    <row r="19" spans="1:79" s="48" customFormat="1" ht="32.25" thickBot="1">
      <c r="A19" s="368" t="s">
        <v>170</v>
      </c>
      <c r="B19" s="369">
        <f>B17+B18</f>
        <v>4000000</v>
      </c>
      <c r="C19" s="369">
        <f>C17+C18</f>
        <v>13757000</v>
      </c>
      <c r="D19" s="369">
        <f>D17+D18</f>
        <v>17838126</v>
      </c>
      <c r="E19" s="429">
        <f>D19/C19</f>
        <v>1.2966581376753652</v>
      </c>
      <c r="F19" s="369">
        <f t="shared" ref="F19:AP19" si="6">F17+F18</f>
        <v>0</v>
      </c>
      <c r="G19" s="369">
        <f t="shared" si="6"/>
        <v>0</v>
      </c>
      <c r="H19" s="369">
        <f t="shared" si="6"/>
        <v>0</v>
      </c>
      <c r="I19" s="429">
        <v>0</v>
      </c>
      <c r="J19" s="369">
        <f t="shared" si="6"/>
        <v>0</v>
      </c>
      <c r="K19" s="369">
        <f t="shared" si="6"/>
        <v>0</v>
      </c>
      <c r="L19" s="369">
        <f t="shared" si="6"/>
        <v>0</v>
      </c>
      <c r="M19" s="429">
        <v>0</v>
      </c>
      <c r="N19" s="369">
        <f t="shared" si="6"/>
        <v>52029000</v>
      </c>
      <c r="O19" s="369">
        <f t="shared" si="6"/>
        <v>52029000</v>
      </c>
      <c r="P19" s="369">
        <f t="shared" si="6"/>
        <v>34844183</v>
      </c>
      <c r="Q19" s="429">
        <f>P19/O19</f>
        <v>0.66970695189221396</v>
      </c>
      <c r="R19" s="369">
        <f t="shared" si="6"/>
        <v>0</v>
      </c>
      <c r="S19" s="369">
        <f t="shared" si="6"/>
        <v>0</v>
      </c>
      <c r="T19" s="369">
        <f t="shared" si="6"/>
        <v>0</v>
      </c>
      <c r="U19" s="429">
        <v>0</v>
      </c>
      <c r="V19" s="368" t="s">
        <v>170</v>
      </c>
      <c r="W19" s="369">
        <f t="shared" si="6"/>
        <v>0</v>
      </c>
      <c r="X19" s="369">
        <f t="shared" si="6"/>
        <v>0</v>
      </c>
      <c r="Y19" s="369">
        <f t="shared" si="6"/>
        <v>240000</v>
      </c>
      <c r="Z19" s="429">
        <v>0</v>
      </c>
      <c r="AA19" s="369">
        <f t="shared" si="6"/>
        <v>0</v>
      </c>
      <c r="AB19" s="369">
        <f t="shared" si="6"/>
        <v>0</v>
      </c>
      <c r="AC19" s="369">
        <f t="shared" si="6"/>
        <v>0</v>
      </c>
      <c r="AD19" s="429">
        <v>0</v>
      </c>
      <c r="AE19" s="369">
        <f>AE17+AE18</f>
        <v>858000</v>
      </c>
      <c r="AF19" s="369">
        <f>AF17+AF18</f>
        <v>4395290</v>
      </c>
      <c r="AG19" s="369">
        <f>AG17+AG18</f>
        <v>4395290</v>
      </c>
      <c r="AH19" s="429">
        <f>AG19/AF19</f>
        <v>1</v>
      </c>
      <c r="AI19" s="369">
        <f t="shared" si="6"/>
        <v>86990000</v>
      </c>
      <c r="AJ19" s="369">
        <f t="shared" si="6"/>
        <v>86990000</v>
      </c>
      <c r="AK19" s="369">
        <f t="shared" si="6"/>
        <v>48515206</v>
      </c>
      <c r="AL19" s="429">
        <f>AK19/AJ19</f>
        <v>0.55771015059202211</v>
      </c>
      <c r="AM19" s="368" t="s">
        <v>170</v>
      </c>
      <c r="AN19" s="369">
        <f t="shared" si="6"/>
        <v>143877000</v>
      </c>
      <c r="AO19" s="369">
        <f t="shared" si="6"/>
        <v>157171290</v>
      </c>
      <c r="AP19" s="369">
        <f t="shared" si="6"/>
        <v>105832805</v>
      </c>
      <c r="AQ19" s="429">
        <f>AP19/AO19</f>
        <v>0.67335965111694385</v>
      </c>
      <c r="AR19" s="369">
        <f>AR17+AR18</f>
        <v>0</v>
      </c>
      <c r="AS19" s="369">
        <f>AS17+AS18</f>
        <v>0</v>
      </c>
      <c r="AT19" s="369">
        <f>AT17+AT18</f>
        <v>0</v>
      </c>
      <c r="AU19" s="429">
        <v>0</v>
      </c>
      <c r="AV19" s="369">
        <f>AV17+AV18</f>
        <v>143877000</v>
      </c>
      <c r="AW19" s="369">
        <f>AW17+AW18</f>
        <v>157171290</v>
      </c>
      <c r="AX19" s="369">
        <f>AX17+AX18</f>
        <v>105832805</v>
      </c>
      <c r="AY19" s="429">
        <f>AX19/AW19</f>
        <v>0.67335965111694385</v>
      </c>
      <c r="AZ19" s="52"/>
      <c r="BA19" s="370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</row>
    <row r="20" spans="1:79" s="48" customFormat="1" ht="23.25" customHeight="1">
      <c r="A20" s="44" t="s">
        <v>171</v>
      </c>
      <c r="B20" s="55"/>
      <c r="C20" s="55"/>
      <c r="D20" s="55"/>
      <c r="E20" s="430"/>
      <c r="F20" s="55"/>
      <c r="G20" s="55"/>
      <c r="H20" s="55"/>
      <c r="I20" s="430"/>
      <c r="J20" s="55"/>
      <c r="K20" s="55"/>
      <c r="L20" s="55"/>
      <c r="M20" s="430"/>
      <c r="N20" s="55"/>
      <c r="O20" s="55"/>
      <c r="P20" s="55"/>
      <c r="Q20" s="430"/>
      <c r="R20" s="55"/>
      <c r="S20" s="55"/>
      <c r="T20" s="55"/>
      <c r="U20" s="430"/>
      <c r="V20" s="44" t="s">
        <v>171</v>
      </c>
      <c r="W20" s="55"/>
      <c r="X20" s="55"/>
      <c r="Y20" s="55"/>
      <c r="Z20" s="430"/>
      <c r="AA20" s="55"/>
      <c r="AB20" s="55"/>
      <c r="AC20" s="55"/>
      <c r="AD20" s="430"/>
      <c r="AE20" s="55"/>
      <c r="AF20" s="55"/>
      <c r="AG20" s="55"/>
      <c r="AH20" s="430"/>
      <c r="AI20" s="55"/>
      <c r="AJ20" s="55"/>
      <c r="AK20" s="55"/>
      <c r="AL20" s="430"/>
      <c r="AM20" s="44" t="s">
        <v>171</v>
      </c>
      <c r="AN20" s="55"/>
      <c r="AO20" s="55"/>
      <c r="AP20" s="55"/>
      <c r="AQ20" s="430"/>
      <c r="AR20" s="55"/>
      <c r="AS20" s="55"/>
      <c r="AT20" s="55"/>
      <c r="AU20" s="430">
        <v>0</v>
      </c>
      <c r="AV20" s="56"/>
      <c r="AW20" s="56"/>
      <c r="AX20" s="56"/>
      <c r="AY20" s="430"/>
      <c r="AZ20" s="52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</row>
    <row r="21" spans="1:79" s="48" customFormat="1" ht="23.25" customHeight="1">
      <c r="A21" s="49" t="s">
        <v>77</v>
      </c>
      <c r="B21" s="50"/>
      <c r="C21" s="50">
        <v>175991000</v>
      </c>
      <c r="D21" s="50">
        <v>209470348</v>
      </c>
      <c r="E21" s="428">
        <f>D21/C21</f>
        <v>1.1902332960208193</v>
      </c>
      <c r="F21" s="50"/>
      <c r="G21" s="50"/>
      <c r="H21" s="50"/>
      <c r="I21" s="428"/>
      <c r="J21" s="50"/>
      <c r="K21" s="50"/>
      <c r="L21" s="50"/>
      <c r="M21" s="428"/>
      <c r="N21" s="50">
        <v>92408000</v>
      </c>
      <c r="O21" s="50">
        <v>92408000</v>
      </c>
      <c r="P21" s="50">
        <v>22857215</v>
      </c>
      <c r="Q21" s="428">
        <f>P21/O21</f>
        <v>0.2473510410354082</v>
      </c>
      <c r="R21" s="50"/>
      <c r="S21" s="50"/>
      <c r="T21" s="50"/>
      <c r="U21" s="428"/>
      <c r="V21" s="49" t="s">
        <v>77</v>
      </c>
      <c r="W21" s="50"/>
      <c r="X21" s="50"/>
      <c r="Y21" s="50"/>
      <c r="Z21" s="428"/>
      <c r="AA21" s="50"/>
      <c r="AB21" s="50"/>
      <c r="AC21" s="50"/>
      <c r="AD21" s="428"/>
      <c r="AE21" s="50">
        <v>49082000</v>
      </c>
      <c r="AF21" s="50">
        <v>52801750</v>
      </c>
      <c r="AG21" s="50"/>
      <c r="AH21" s="428">
        <f>AG21/AF21</f>
        <v>0</v>
      </c>
      <c r="AI21" s="50">
        <v>244329000</v>
      </c>
      <c r="AJ21" s="50">
        <v>244329000</v>
      </c>
      <c r="AK21" s="50"/>
      <c r="AL21" s="428">
        <f>AK21/AJ21</f>
        <v>0</v>
      </c>
      <c r="AM21" s="49" t="s">
        <v>77</v>
      </c>
      <c r="AN21" s="50">
        <f>SUM(B21+J21+N21+W21+AI21+AE21)</f>
        <v>385819000</v>
      </c>
      <c r="AO21" s="50">
        <f>SUM(C21+K21+O21+X21+AJ21+AF21)</f>
        <v>565529750</v>
      </c>
      <c r="AP21" s="50">
        <f>SUM(D21+L21+P21+Y21+AK21+AG21)</f>
        <v>232327563</v>
      </c>
      <c r="AQ21" s="428">
        <f>AP21/AO21</f>
        <v>0.41081404293938562</v>
      </c>
      <c r="AR21" s="50">
        <f>F21+R21+AA21</f>
        <v>0</v>
      </c>
      <c r="AS21" s="50">
        <f>G21+S21+AB21</f>
        <v>0</v>
      </c>
      <c r="AT21" s="50">
        <f>H21+T21+AC21</f>
        <v>0</v>
      </c>
      <c r="AU21" s="428">
        <v>0</v>
      </c>
      <c r="AV21" s="51">
        <f t="shared" ref="AV21:AX22" si="7">SUM(AN21+AR21)</f>
        <v>385819000</v>
      </c>
      <c r="AW21" s="51">
        <f t="shared" si="7"/>
        <v>565529750</v>
      </c>
      <c r="AX21" s="51">
        <f t="shared" si="7"/>
        <v>232327563</v>
      </c>
      <c r="AY21" s="428">
        <f>AX21/AW21</f>
        <v>0.41081404293938562</v>
      </c>
      <c r="AZ21" s="52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</row>
    <row r="22" spans="1:79" s="48" customFormat="1" ht="23.25" customHeight="1" thickBot="1">
      <c r="A22" s="53" t="s">
        <v>97</v>
      </c>
      <c r="B22" s="54"/>
      <c r="C22" s="54"/>
      <c r="D22" s="54"/>
      <c r="E22" s="428"/>
      <c r="F22" s="54"/>
      <c r="G22" s="54"/>
      <c r="H22" s="54"/>
      <c r="I22" s="428"/>
      <c r="J22" s="54"/>
      <c r="K22" s="54"/>
      <c r="L22" s="54"/>
      <c r="M22" s="428"/>
      <c r="N22" s="54"/>
      <c r="O22" s="54"/>
      <c r="P22" s="54"/>
      <c r="Q22" s="428"/>
      <c r="R22" s="54"/>
      <c r="S22" s="54"/>
      <c r="T22" s="54"/>
      <c r="U22" s="428">
        <v>0</v>
      </c>
      <c r="V22" s="53" t="s">
        <v>97</v>
      </c>
      <c r="W22" s="54"/>
      <c r="X22" s="54"/>
      <c r="Y22" s="54"/>
      <c r="Z22" s="428"/>
      <c r="AA22" s="54"/>
      <c r="AB22" s="54"/>
      <c r="AC22" s="54"/>
      <c r="AD22" s="428"/>
      <c r="AE22" s="54"/>
      <c r="AF22" s="54"/>
      <c r="AG22" s="54"/>
      <c r="AH22" s="428"/>
      <c r="AI22" s="54"/>
      <c r="AJ22" s="54"/>
      <c r="AK22" s="54"/>
      <c r="AL22" s="428"/>
      <c r="AM22" s="53" t="s">
        <v>97</v>
      </c>
      <c r="AN22" s="55">
        <f>SUM(B22+J22+N22+W22+AI22)</f>
        <v>0</v>
      </c>
      <c r="AO22" s="55">
        <f>SUM(C22+K22+O22+X22+AJ22)</f>
        <v>0</v>
      </c>
      <c r="AP22" s="55">
        <f>SUM(D22+L22+P22+Y22+AK22)</f>
        <v>0</v>
      </c>
      <c r="AQ22" s="428"/>
      <c r="AR22" s="55">
        <f>SUM(F22+R22+AA22)</f>
        <v>0</v>
      </c>
      <c r="AS22" s="55">
        <f>SUM(G22+S22+AB22)</f>
        <v>0</v>
      </c>
      <c r="AT22" s="55">
        <f>SUM(H22+T22+AC22)</f>
        <v>0</v>
      </c>
      <c r="AU22" s="428">
        <v>0</v>
      </c>
      <c r="AV22" s="51">
        <f t="shared" si="7"/>
        <v>0</v>
      </c>
      <c r="AW22" s="51">
        <f t="shared" si="7"/>
        <v>0</v>
      </c>
      <c r="AX22" s="51">
        <f t="shared" si="7"/>
        <v>0</v>
      </c>
      <c r="AY22" s="428">
        <v>0</v>
      </c>
      <c r="AZ22" s="52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</row>
    <row r="23" spans="1:79" s="375" customFormat="1" ht="16.5" thickBot="1">
      <c r="A23" s="368" t="s">
        <v>172</v>
      </c>
      <c r="B23" s="369">
        <f>B21+B22</f>
        <v>0</v>
      </c>
      <c r="C23" s="369">
        <f>C21+C22</f>
        <v>175991000</v>
      </c>
      <c r="D23" s="369">
        <f>D21+D22</f>
        <v>209470348</v>
      </c>
      <c r="E23" s="429">
        <f>D23/C23</f>
        <v>1.1902332960208193</v>
      </c>
      <c r="F23" s="369">
        <f t="shared" ref="F23:AN23" si="8">F21+F22</f>
        <v>0</v>
      </c>
      <c r="G23" s="369">
        <f t="shared" si="8"/>
        <v>0</v>
      </c>
      <c r="H23" s="369">
        <f t="shared" si="8"/>
        <v>0</v>
      </c>
      <c r="I23" s="429">
        <v>0</v>
      </c>
      <c r="J23" s="369">
        <f t="shared" si="8"/>
        <v>0</v>
      </c>
      <c r="K23" s="369">
        <f t="shared" si="8"/>
        <v>0</v>
      </c>
      <c r="L23" s="369">
        <f t="shared" si="8"/>
        <v>0</v>
      </c>
      <c r="M23" s="429">
        <v>0</v>
      </c>
      <c r="N23" s="369">
        <f t="shared" si="8"/>
        <v>92408000</v>
      </c>
      <c r="O23" s="369">
        <f t="shared" si="8"/>
        <v>92408000</v>
      </c>
      <c r="P23" s="369">
        <f t="shared" si="8"/>
        <v>22857215</v>
      </c>
      <c r="Q23" s="429">
        <f>P23/O23</f>
        <v>0.2473510410354082</v>
      </c>
      <c r="R23" s="369">
        <f t="shared" si="8"/>
        <v>0</v>
      </c>
      <c r="S23" s="369">
        <f t="shared" si="8"/>
        <v>0</v>
      </c>
      <c r="T23" s="369">
        <f t="shared" si="8"/>
        <v>0</v>
      </c>
      <c r="U23" s="429"/>
      <c r="V23" s="368" t="s">
        <v>172</v>
      </c>
      <c r="W23" s="369">
        <f t="shared" si="8"/>
        <v>0</v>
      </c>
      <c r="X23" s="369">
        <f t="shared" si="8"/>
        <v>0</v>
      </c>
      <c r="Y23" s="369">
        <f t="shared" si="8"/>
        <v>0</v>
      </c>
      <c r="Z23" s="429">
        <v>0</v>
      </c>
      <c r="AA23" s="369">
        <f t="shared" si="8"/>
        <v>0</v>
      </c>
      <c r="AB23" s="369">
        <f t="shared" si="8"/>
        <v>0</v>
      </c>
      <c r="AC23" s="369">
        <f t="shared" si="8"/>
        <v>0</v>
      </c>
      <c r="AD23" s="429">
        <v>0</v>
      </c>
      <c r="AE23" s="369">
        <f>AE21+AE22</f>
        <v>49082000</v>
      </c>
      <c r="AF23" s="369">
        <f>AF21+AF22</f>
        <v>52801750</v>
      </c>
      <c r="AG23" s="369">
        <f>AG21+AG22</f>
        <v>0</v>
      </c>
      <c r="AH23" s="429">
        <f>AG23/AF23</f>
        <v>0</v>
      </c>
      <c r="AI23" s="369">
        <f t="shared" si="8"/>
        <v>244329000</v>
      </c>
      <c r="AJ23" s="369">
        <f t="shared" si="8"/>
        <v>244329000</v>
      </c>
      <c r="AK23" s="369">
        <f t="shared" si="8"/>
        <v>0</v>
      </c>
      <c r="AL23" s="429">
        <f>AK23/AJ23</f>
        <v>0</v>
      </c>
      <c r="AM23" s="368" t="s">
        <v>172</v>
      </c>
      <c r="AN23" s="369">
        <f t="shared" si="8"/>
        <v>385819000</v>
      </c>
      <c r="AO23" s="369">
        <f>AO21+AO22</f>
        <v>565529750</v>
      </c>
      <c r="AP23" s="369">
        <f>AP21+AP22</f>
        <v>232327563</v>
      </c>
      <c r="AQ23" s="429">
        <f>AP23/AO23</f>
        <v>0.41081404293938562</v>
      </c>
      <c r="AR23" s="369">
        <f>AR21+AR22</f>
        <v>0</v>
      </c>
      <c r="AS23" s="369">
        <f>AS21+AS22</f>
        <v>0</v>
      </c>
      <c r="AT23" s="369">
        <f>AT21+AT22</f>
        <v>0</v>
      </c>
      <c r="AU23" s="429">
        <v>0</v>
      </c>
      <c r="AV23" s="369">
        <f>AV21+AV22</f>
        <v>385819000</v>
      </c>
      <c r="AW23" s="369">
        <f>AW21+AW22</f>
        <v>565529750</v>
      </c>
      <c r="AX23" s="369">
        <f>AX21+AX22</f>
        <v>232327563</v>
      </c>
      <c r="AY23" s="429">
        <f>AX23/AW23</f>
        <v>0.41081404293938562</v>
      </c>
      <c r="AZ23" s="373"/>
      <c r="BA23" s="370"/>
      <c r="BB23" s="374"/>
      <c r="BC23" s="374"/>
      <c r="BD23" s="374"/>
      <c r="BE23" s="374"/>
      <c r="BF23" s="374"/>
      <c r="BG23" s="374"/>
      <c r="BH23" s="374"/>
      <c r="BI23" s="374"/>
      <c r="BJ23" s="374"/>
      <c r="BK23" s="374"/>
      <c r="BL23" s="374"/>
      <c r="BM23" s="374"/>
      <c r="BN23" s="374"/>
      <c r="BO23" s="374"/>
      <c r="BP23" s="374"/>
      <c r="BQ23" s="374"/>
      <c r="BR23" s="374"/>
      <c r="BS23" s="374"/>
      <c r="BT23" s="374"/>
      <c r="BU23" s="374"/>
      <c r="BV23" s="374"/>
      <c r="BW23" s="374"/>
      <c r="BX23" s="374"/>
      <c r="BY23" s="374"/>
      <c r="BZ23" s="374"/>
      <c r="CA23" s="374"/>
    </row>
    <row r="24" spans="1:79" s="48" customFormat="1" ht="23.25" customHeight="1">
      <c r="A24" s="44" t="s">
        <v>173</v>
      </c>
      <c r="B24" s="55"/>
      <c r="C24" s="55"/>
      <c r="D24" s="55"/>
      <c r="E24" s="430"/>
      <c r="F24" s="55"/>
      <c r="G24" s="55"/>
      <c r="H24" s="55"/>
      <c r="I24" s="430"/>
      <c r="J24" s="55"/>
      <c r="K24" s="55"/>
      <c r="L24" s="55"/>
      <c r="M24" s="430"/>
      <c r="N24" s="55"/>
      <c r="O24" s="55"/>
      <c r="P24" s="55"/>
      <c r="Q24" s="430"/>
      <c r="R24" s="55"/>
      <c r="S24" s="55"/>
      <c r="T24" s="55"/>
      <c r="U24" s="430"/>
      <c r="V24" s="44" t="s">
        <v>173</v>
      </c>
      <c r="W24" s="55"/>
      <c r="X24" s="55"/>
      <c r="Y24" s="55"/>
      <c r="Z24" s="430"/>
      <c r="AA24" s="55"/>
      <c r="AB24" s="55"/>
      <c r="AC24" s="55"/>
      <c r="AD24" s="430"/>
      <c r="AE24" s="55"/>
      <c r="AF24" s="55"/>
      <c r="AG24" s="55"/>
      <c r="AH24" s="430"/>
      <c r="AI24" s="55"/>
      <c r="AJ24" s="55"/>
      <c r="AK24" s="55"/>
      <c r="AL24" s="430"/>
      <c r="AM24" s="44" t="s">
        <v>173</v>
      </c>
      <c r="AN24" s="55"/>
      <c r="AO24" s="55"/>
      <c r="AP24" s="55"/>
      <c r="AQ24" s="430"/>
      <c r="AR24" s="55"/>
      <c r="AS24" s="55"/>
      <c r="AT24" s="55"/>
      <c r="AU24" s="430"/>
      <c r="AV24" s="56"/>
      <c r="AW24" s="56"/>
      <c r="AX24" s="56"/>
      <c r="AY24" s="430"/>
      <c r="AZ24" s="52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</row>
    <row r="25" spans="1:79" s="63" customFormat="1" ht="23.25" customHeight="1">
      <c r="A25" s="431" t="s">
        <v>77</v>
      </c>
      <c r="B25" s="254"/>
      <c r="C25" s="254">
        <v>825000</v>
      </c>
      <c r="D25" s="60"/>
      <c r="E25" s="432">
        <f>D25/C25</f>
        <v>0</v>
      </c>
      <c r="F25" s="254"/>
      <c r="G25" s="254"/>
      <c r="H25" s="254"/>
      <c r="I25" s="432"/>
      <c r="J25" s="254"/>
      <c r="K25" s="254"/>
      <c r="L25" s="254"/>
      <c r="M25" s="432"/>
      <c r="N25" s="254">
        <v>600000</v>
      </c>
      <c r="O25" s="254">
        <v>600000</v>
      </c>
      <c r="P25" s="254"/>
      <c r="Q25" s="432">
        <f t="shared" ref="Q25:Q30" si="9">P25/O25</f>
        <v>0</v>
      </c>
      <c r="R25" s="254"/>
      <c r="S25" s="254"/>
      <c r="T25" s="254"/>
      <c r="U25" s="432"/>
      <c r="V25" s="431" t="s">
        <v>77</v>
      </c>
      <c r="W25" s="254"/>
      <c r="X25" s="254"/>
      <c r="Y25" s="254"/>
      <c r="Z25" s="432"/>
      <c r="AA25" s="254"/>
      <c r="AB25" s="254"/>
      <c r="AC25" s="254"/>
      <c r="AD25" s="432"/>
      <c r="AE25" s="254">
        <v>3600000</v>
      </c>
      <c r="AF25" s="254">
        <v>5117448</v>
      </c>
      <c r="AG25" s="254"/>
      <c r="AH25" s="432">
        <f>AG25/AF25</f>
        <v>0</v>
      </c>
      <c r="AI25" s="254">
        <v>18210000</v>
      </c>
      <c r="AJ25" s="254">
        <v>18210000</v>
      </c>
      <c r="AK25" s="254"/>
      <c r="AL25" s="432">
        <f>AK25/AJ25</f>
        <v>0</v>
      </c>
      <c r="AM25" s="431" t="s">
        <v>77</v>
      </c>
      <c r="AN25" s="60">
        <f>SUM(B25+J25+N25+W25+AI25)</f>
        <v>18810000</v>
      </c>
      <c r="AO25" s="60">
        <f>SUM(C25+K25+O25+X25+AJ25+AF25)</f>
        <v>24752448</v>
      </c>
      <c r="AP25" s="60">
        <f>SUM(D25+L25+P25+Y25+AK25+AG25)</f>
        <v>0</v>
      </c>
      <c r="AQ25" s="432">
        <f>AP25/AO25</f>
        <v>0</v>
      </c>
      <c r="AR25" s="60">
        <f>SUM(AE25)</f>
        <v>3600000</v>
      </c>
      <c r="AS25" s="60">
        <f t="shared" ref="AR25:AT26" si="10">SUM(G25+S25+AB25)</f>
        <v>0</v>
      </c>
      <c r="AT25" s="60">
        <f t="shared" si="10"/>
        <v>0</v>
      </c>
      <c r="AU25" s="432">
        <v>0</v>
      </c>
      <c r="AV25" s="433">
        <f>SUM(AN25+AR25)</f>
        <v>22410000</v>
      </c>
      <c r="AW25" s="433">
        <f>SUM(AO25+AS25)</f>
        <v>24752448</v>
      </c>
      <c r="AX25" s="433">
        <f t="shared" ref="AV25:AX26" si="11">SUM(AP25+AT25)</f>
        <v>0</v>
      </c>
      <c r="AY25" s="432">
        <f t="shared" ref="AY25:AY30" si="12">AX25/AW25</f>
        <v>0</v>
      </c>
      <c r="AZ25" s="61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</row>
    <row r="26" spans="1:79" s="63" customFormat="1" ht="23.25" customHeight="1" thickBot="1">
      <c r="A26" s="58" t="s">
        <v>97</v>
      </c>
      <c r="B26" s="59"/>
      <c r="C26" s="59"/>
      <c r="D26" s="59"/>
      <c r="E26" s="432"/>
      <c r="F26" s="59"/>
      <c r="G26" s="59"/>
      <c r="H26" s="59"/>
      <c r="I26" s="432"/>
      <c r="J26" s="59"/>
      <c r="K26" s="59"/>
      <c r="L26" s="59"/>
      <c r="M26" s="432"/>
      <c r="N26" s="59">
        <v>1553000</v>
      </c>
      <c r="O26" s="59">
        <v>1553000</v>
      </c>
      <c r="P26" s="59"/>
      <c r="Q26" s="432">
        <f t="shared" si="9"/>
        <v>0</v>
      </c>
      <c r="R26" s="59"/>
      <c r="S26" s="59"/>
      <c r="T26" s="59"/>
      <c r="U26" s="432"/>
      <c r="V26" s="58" t="s">
        <v>97</v>
      </c>
      <c r="W26" s="59"/>
      <c r="X26" s="59"/>
      <c r="Y26" s="59"/>
      <c r="Z26" s="432"/>
      <c r="AA26" s="59"/>
      <c r="AB26" s="59"/>
      <c r="AC26" s="59"/>
      <c r="AD26" s="432"/>
      <c r="AE26" s="59"/>
      <c r="AF26" s="59">
        <v>477668</v>
      </c>
      <c r="AG26" s="59"/>
      <c r="AH26" s="432"/>
      <c r="AI26" s="59">
        <v>19862000</v>
      </c>
      <c r="AJ26" s="59">
        <v>19862000</v>
      </c>
      <c r="AK26" s="59"/>
      <c r="AL26" s="432"/>
      <c r="AM26" s="58" t="s">
        <v>97</v>
      </c>
      <c r="AN26" s="254">
        <f>SUM(B26+J26+N26+W26+AI26)</f>
        <v>21415000</v>
      </c>
      <c r="AO26" s="60">
        <f>SUM(C26+K26+O26+X26+AJ26+AF26)</f>
        <v>21892668</v>
      </c>
      <c r="AP26" s="254">
        <f>SUM(D26+L26+P26+Y26+AK26)</f>
        <v>0</v>
      </c>
      <c r="AQ26" s="432"/>
      <c r="AR26" s="254">
        <f t="shared" si="10"/>
        <v>0</v>
      </c>
      <c r="AS26" s="254">
        <f t="shared" si="10"/>
        <v>0</v>
      </c>
      <c r="AT26" s="254">
        <f t="shared" si="10"/>
        <v>0</v>
      </c>
      <c r="AU26" s="432">
        <v>0</v>
      </c>
      <c r="AV26" s="433">
        <f t="shared" si="11"/>
        <v>21415000</v>
      </c>
      <c r="AW26" s="433">
        <f t="shared" si="11"/>
        <v>21892668</v>
      </c>
      <c r="AX26" s="433">
        <f t="shared" si="11"/>
        <v>0</v>
      </c>
      <c r="AY26" s="432">
        <f t="shared" si="12"/>
        <v>0</v>
      </c>
      <c r="AZ26" s="61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</row>
    <row r="27" spans="1:79" s="48" customFormat="1" ht="37.5" customHeight="1" thickBot="1">
      <c r="A27" s="368" t="s">
        <v>174</v>
      </c>
      <c r="B27" s="369">
        <f>B25+B26</f>
        <v>0</v>
      </c>
      <c r="C27" s="369">
        <f>C25+C26</f>
        <v>825000</v>
      </c>
      <c r="D27" s="369">
        <f>D25+D26</f>
        <v>0</v>
      </c>
      <c r="E27" s="429">
        <f>D27/C27</f>
        <v>0</v>
      </c>
      <c r="F27" s="369">
        <f t="shared" ref="F27:AP27" si="13">F25+F26</f>
        <v>0</v>
      </c>
      <c r="G27" s="369">
        <f t="shared" si="13"/>
        <v>0</v>
      </c>
      <c r="H27" s="369">
        <f t="shared" si="13"/>
        <v>0</v>
      </c>
      <c r="I27" s="429">
        <v>0</v>
      </c>
      <c r="J27" s="369">
        <f t="shared" si="13"/>
        <v>0</v>
      </c>
      <c r="K27" s="369">
        <f t="shared" si="13"/>
        <v>0</v>
      </c>
      <c r="L27" s="369">
        <f t="shared" si="13"/>
        <v>0</v>
      </c>
      <c r="M27" s="429">
        <v>0</v>
      </c>
      <c r="N27" s="369">
        <f t="shared" si="13"/>
        <v>2153000</v>
      </c>
      <c r="O27" s="369">
        <f t="shared" si="13"/>
        <v>2153000</v>
      </c>
      <c r="P27" s="369">
        <f t="shared" si="13"/>
        <v>0</v>
      </c>
      <c r="Q27" s="429">
        <f t="shared" si="9"/>
        <v>0</v>
      </c>
      <c r="R27" s="369">
        <f t="shared" si="13"/>
        <v>0</v>
      </c>
      <c r="S27" s="369">
        <f t="shared" si="13"/>
        <v>0</v>
      </c>
      <c r="T27" s="369">
        <f t="shared" si="13"/>
        <v>0</v>
      </c>
      <c r="U27" s="429">
        <v>0</v>
      </c>
      <c r="V27" s="368" t="s">
        <v>174</v>
      </c>
      <c r="W27" s="369">
        <f t="shared" si="13"/>
        <v>0</v>
      </c>
      <c r="X27" s="369">
        <f t="shared" si="13"/>
        <v>0</v>
      </c>
      <c r="Y27" s="369">
        <f t="shared" si="13"/>
        <v>0</v>
      </c>
      <c r="Z27" s="429">
        <v>0</v>
      </c>
      <c r="AA27" s="369">
        <f t="shared" si="13"/>
        <v>0</v>
      </c>
      <c r="AB27" s="369">
        <f t="shared" si="13"/>
        <v>0</v>
      </c>
      <c r="AC27" s="369">
        <f t="shared" si="13"/>
        <v>0</v>
      </c>
      <c r="AD27" s="429">
        <v>0</v>
      </c>
      <c r="AE27" s="369">
        <f>AE25+AE26</f>
        <v>3600000</v>
      </c>
      <c r="AF27" s="369">
        <f>AF25+AF26</f>
        <v>5595116</v>
      </c>
      <c r="AG27" s="369">
        <f>AG25+AG26</f>
        <v>0</v>
      </c>
      <c r="AH27" s="429">
        <f>AG27/AF27</f>
        <v>0</v>
      </c>
      <c r="AI27" s="369">
        <f t="shared" si="13"/>
        <v>38072000</v>
      </c>
      <c r="AJ27" s="369">
        <f t="shared" si="13"/>
        <v>38072000</v>
      </c>
      <c r="AK27" s="369">
        <f t="shared" si="13"/>
        <v>0</v>
      </c>
      <c r="AL27" s="429">
        <f>AK27/AJ27</f>
        <v>0</v>
      </c>
      <c r="AM27" s="368" t="s">
        <v>174</v>
      </c>
      <c r="AN27" s="369">
        <f t="shared" si="13"/>
        <v>40225000</v>
      </c>
      <c r="AO27" s="369">
        <f t="shared" si="13"/>
        <v>46645116</v>
      </c>
      <c r="AP27" s="369">
        <f t="shared" si="13"/>
        <v>0</v>
      </c>
      <c r="AQ27" s="429">
        <f>AP27/AO27</f>
        <v>0</v>
      </c>
      <c r="AR27" s="369">
        <f>AR25+AR26</f>
        <v>3600000</v>
      </c>
      <c r="AS27" s="369">
        <f>AS25+AS26</f>
        <v>0</v>
      </c>
      <c r="AT27" s="369">
        <f>AT25+AT26</f>
        <v>0</v>
      </c>
      <c r="AU27" s="429">
        <v>0</v>
      </c>
      <c r="AV27" s="369">
        <f>AV25+AV26</f>
        <v>43825000</v>
      </c>
      <c r="AW27" s="369">
        <f>AW25+AW26</f>
        <v>46645116</v>
      </c>
      <c r="AX27" s="369">
        <f>AX25+AX26</f>
        <v>0</v>
      </c>
      <c r="AY27" s="429">
        <f t="shared" si="12"/>
        <v>0</v>
      </c>
      <c r="AZ27" s="52"/>
      <c r="BA27" s="370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</row>
    <row r="28" spans="1:79" s="48" customFormat="1" ht="32.25" thickBot="1">
      <c r="A28" s="57" t="s">
        <v>175</v>
      </c>
      <c r="B28" s="286">
        <f t="shared" ref="B28:D29" si="14">B13+B17+B21+B25</f>
        <v>4000000</v>
      </c>
      <c r="C28" s="286">
        <f t="shared" si="14"/>
        <v>198166000</v>
      </c>
      <c r="D28" s="286">
        <f t="shared" si="14"/>
        <v>237162296</v>
      </c>
      <c r="E28" s="434">
        <f>D28/C28</f>
        <v>1.1967860076905221</v>
      </c>
      <c r="F28" s="286">
        <f t="shared" ref="F28:H29" si="15">F13+F17+F21+F25</f>
        <v>0</v>
      </c>
      <c r="G28" s="286">
        <f t="shared" si="15"/>
        <v>0</v>
      </c>
      <c r="H28" s="286">
        <f t="shared" si="15"/>
        <v>0</v>
      </c>
      <c r="I28" s="434">
        <v>0</v>
      </c>
      <c r="J28" s="286">
        <f t="shared" ref="J28:L29" si="16">J13+J17+J21+J25</f>
        <v>0</v>
      </c>
      <c r="K28" s="286">
        <f t="shared" si="16"/>
        <v>0</v>
      </c>
      <c r="L28" s="286">
        <f t="shared" si="16"/>
        <v>0</v>
      </c>
      <c r="M28" s="434">
        <v>0</v>
      </c>
      <c r="N28" s="286">
        <f t="shared" ref="N28:P29" si="17">N13+N17+N21+N25</f>
        <v>143862000</v>
      </c>
      <c r="O28" s="286">
        <f t="shared" si="17"/>
        <v>143862000</v>
      </c>
      <c r="P28" s="286">
        <f t="shared" si="17"/>
        <v>60727534</v>
      </c>
      <c r="Q28" s="434">
        <f t="shared" si="9"/>
        <v>0.4221235211522153</v>
      </c>
      <c r="R28" s="286">
        <f t="shared" ref="R28:T29" si="18">R13+R17+R21+R25</f>
        <v>0</v>
      </c>
      <c r="S28" s="286">
        <f t="shared" si="18"/>
        <v>0</v>
      </c>
      <c r="T28" s="286">
        <f t="shared" si="18"/>
        <v>0</v>
      </c>
      <c r="U28" s="434">
        <v>0</v>
      </c>
      <c r="V28" s="57" t="s">
        <v>175</v>
      </c>
      <c r="W28" s="286">
        <f t="shared" ref="W28:Y29" si="19">W13+W17+W21+W25</f>
        <v>0</v>
      </c>
      <c r="X28" s="286">
        <f t="shared" si="19"/>
        <v>0</v>
      </c>
      <c r="Y28" s="286">
        <f t="shared" si="19"/>
        <v>240000</v>
      </c>
      <c r="Z28" s="434">
        <v>0</v>
      </c>
      <c r="AA28" s="286">
        <f t="shared" ref="AA28:AC29" si="20">AA13+AA17+AA21+AA25</f>
        <v>0</v>
      </c>
      <c r="AB28" s="286">
        <f t="shared" si="20"/>
        <v>0</v>
      </c>
      <c r="AC28" s="286">
        <f t="shared" si="20"/>
        <v>0</v>
      </c>
      <c r="AD28" s="434">
        <v>0</v>
      </c>
      <c r="AE28" s="286">
        <f t="shared" ref="AE28:AG29" si="21">AE13+AE17+AE21+AE25</f>
        <v>53540000</v>
      </c>
      <c r="AF28" s="286">
        <f t="shared" si="21"/>
        <v>68532919</v>
      </c>
      <c r="AG28" s="286">
        <f t="shared" si="21"/>
        <v>10613721</v>
      </c>
      <c r="AH28" s="434">
        <f>AG28/AF28</f>
        <v>0.15487040614744574</v>
      </c>
      <c r="AI28" s="286">
        <f t="shared" ref="AI28:AK29" si="22">AI13+AI17+AI21+AI25</f>
        <v>895344000</v>
      </c>
      <c r="AJ28" s="286">
        <f t="shared" si="22"/>
        <v>895344000</v>
      </c>
      <c r="AK28" s="286">
        <f t="shared" si="22"/>
        <v>326645103</v>
      </c>
      <c r="AL28" s="434">
        <f>AK28/AJ28</f>
        <v>0.36482637176325522</v>
      </c>
      <c r="AM28" s="57" t="s">
        <v>175</v>
      </c>
      <c r="AN28" s="286">
        <f t="shared" ref="AN28:AP29" si="23">AN13+AN17+AN21+AN25</f>
        <v>1093146000</v>
      </c>
      <c r="AO28" s="286">
        <f t="shared" si="23"/>
        <v>1305904919</v>
      </c>
      <c r="AP28" s="286">
        <f t="shared" si="23"/>
        <v>635388654</v>
      </c>
      <c r="AQ28" s="434">
        <f>AP28/AO28</f>
        <v>0.48655047144362584</v>
      </c>
      <c r="AR28" s="286">
        <f>AR13+AR17+AR21+AR25</f>
        <v>3600000</v>
      </c>
      <c r="AS28" s="286">
        <f>AS13+AS17+AS21+AS25</f>
        <v>0</v>
      </c>
      <c r="AT28" s="286">
        <f>AT13+AT17+AT21+AT25</f>
        <v>0</v>
      </c>
      <c r="AU28" s="434">
        <v>0</v>
      </c>
      <c r="AV28" s="290">
        <f t="shared" ref="AV28:AX29" si="24">AV13+AV17+AV21+AV25</f>
        <v>1096746000</v>
      </c>
      <c r="AW28" s="290">
        <f t="shared" si="24"/>
        <v>1305904919</v>
      </c>
      <c r="AX28" s="290">
        <f t="shared" si="24"/>
        <v>635388654</v>
      </c>
      <c r="AY28" s="435">
        <f t="shared" si="12"/>
        <v>0.48655047144362584</v>
      </c>
      <c r="AZ28" s="52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</row>
    <row r="29" spans="1:79" s="48" customFormat="1" ht="54" customHeight="1" thickBot="1">
      <c r="A29" s="287" t="s">
        <v>176</v>
      </c>
      <c r="B29" s="55">
        <f t="shared" si="14"/>
        <v>0</v>
      </c>
      <c r="C29" s="55">
        <f t="shared" si="14"/>
        <v>0</v>
      </c>
      <c r="D29" s="55">
        <f t="shared" si="14"/>
        <v>0</v>
      </c>
      <c r="E29" s="428">
        <v>0</v>
      </c>
      <c r="F29" s="55">
        <f t="shared" si="15"/>
        <v>0</v>
      </c>
      <c r="G29" s="55">
        <f t="shared" si="15"/>
        <v>0</v>
      </c>
      <c r="H29" s="55">
        <f t="shared" si="15"/>
        <v>0</v>
      </c>
      <c r="I29" s="428">
        <v>0</v>
      </c>
      <c r="J29" s="55">
        <f t="shared" si="16"/>
        <v>0</v>
      </c>
      <c r="K29" s="55">
        <f t="shared" si="16"/>
        <v>0</v>
      </c>
      <c r="L29" s="55">
        <f t="shared" si="16"/>
        <v>0</v>
      </c>
      <c r="M29" s="428">
        <v>0</v>
      </c>
      <c r="N29" s="55">
        <f t="shared" si="17"/>
        <v>8983000</v>
      </c>
      <c r="O29" s="55">
        <f t="shared" si="17"/>
        <v>8983000</v>
      </c>
      <c r="P29" s="55">
        <f t="shared" si="17"/>
        <v>0</v>
      </c>
      <c r="Q29" s="434">
        <f t="shared" si="9"/>
        <v>0</v>
      </c>
      <c r="R29" s="55">
        <f t="shared" si="18"/>
        <v>0</v>
      </c>
      <c r="S29" s="55">
        <f t="shared" si="18"/>
        <v>0</v>
      </c>
      <c r="T29" s="55">
        <f t="shared" si="18"/>
        <v>0</v>
      </c>
      <c r="U29" s="428">
        <v>0</v>
      </c>
      <c r="V29" s="287" t="s">
        <v>176</v>
      </c>
      <c r="W29" s="55">
        <f t="shared" si="19"/>
        <v>0</v>
      </c>
      <c r="X29" s="55">
        <f t="shared" si="19"/>
        <v>0</v>
      </c>
      <c r="Y29" s="55">
        <f t="shared" si="19"/>
        <v>0</v>
      </c>
      <c r="Z29" s="428">
        <v>0</v>
      </c>
      <c r="AA29" s="55">
        <f t="shared" si="20"/>
        <v>0</v>
      </c>
      <c r="AB29" s="55">
        <f t="shared" si="20"/>
        <v>0</v>
      </c>
      <c r="AC29" s="55">
        <f t="shared" si="20"/>
        <v>0</v>
      </c>
      <c r="AD29" s="428">
        <v>0</v>
      </c>
      <c r="AE29" s="55">
        <f t="shared" si="21"/>
        <v>0</v>
      </c>
      <c r="AF29" s="55">
        <f t="shared" si="21"/>
        <v>477668</v>
      </c>
      <c r="AG29" s="55">
        <f t="shared" si="21"/>
        <v>0</v>
      </c>
      <c r="AH29" s="428"/>
      <c r="AI29" s="55">
        <f t="shared" si="22"/>
        <v>28661000</v>
      </c>
      <c r="AJ29" s="55">
        <f t="shared" si="22"/>
        <v>28661000</v>
      </c>
      <c r="AK29" s="55">
        <f t="shared" si="22"/>
        <v>0</v>
      </c>
      <c r="AL29" s="434">
        <f>AK29/AJ29</f>
        <v>0</v>
      </c>
      <c r="AM29" s="287" t="s">
        <v>176</v>
      </c>
      <c r="AN29" s="55">
        <f t="shared" si="23"/>
        <v>37644000</v>
      </c>
      <c r="AO29" s="55">
        <f t="shared" si="23"/>
        <v>38121668</v>
      </c>
      <c r="AP29" s="55">
        <f t="shared" si="23"/>
        <v>0</v>
      </c>
      <c r="AQ29" s="428"/>
      <c r="AR29" s="436">
        <f>SUM(F29+R29+AA29)</f>
        <v>0</v>
      </c>
      <c r="AS29" s="436">
        <f>SUM(G29+S29+AB29)</f>
        <v>0</v>
      </c>
      <c r="AT29" s="436">
        <f>SUM(H29+T29+AC29)</f>
        <v>0</v>
      </c>
      <c r="AU29" s="428">
        <v>0</v>
      </c>
      <c r="AV29" s="56">
        <f t="shared" si="24"/>
        <v>37644000</v>
      </c>
      <c r="AW29" s="56">
        <f t="shared" si="24"/>
        <v>38121668</v>
      </c>
      <c r="AX29" s="56">
        <f t="shared" si="24"/>
        <v>0</v>
      </c>
      <c r="AY29" s="435">
        <f t="shared" si="12"/>
        <v>0</v>
      </c>
      <c r="AZ29" s="52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</row>
    <row r="30" spans="1:79" s="48" customFormat="1" ht="32.25" thickBot="1">
      <c r="A30" s="368" t="s">
        <v>177</v>
      </c>
      <c r="B30" s="369">
        <f>B28+B29</f>
        <v>4000000</v>
      </c>
      <c r="C30" s="369">
        <f>C28+C29</f>
        <v>198166000</v>
      </c>
      <c r="D30" s="369">
        <f>D28+D29</f>
        <v>237162296</v>
      </c>
      <c r="E30" s="429">
        <f>D30/C30</f>
        <v>1.1967860076905221</v>
      </c>
      <c r="F30" s="369">
        <f>F28+F29</f>
        <v>0</v>
      </c>
      <c r="G30" s="369">
        <f>G28+G29</f>
        <v>0</v>
      </c>
      <c r="H30" s="369">
        <f>H28+H29</f>
        <v>0</v>
      </c>
      <c r="I30" s="429">
        <v>0</v>
      </c>
      <c r="J30" s="369">
        <f>J28+J29</f>
        <v>0</v>
      </c>
      <c r="K30" s="369">
        <f>K28+K29</f>
        <v>0</v>
      </c>
      <c r="L30" s="369">
        <f>L28+L29</f>
        <v>0</v>
      </c>
      <c r="M30" s="429">
        <v>0</v>
      </c>
      <c r="N30" s="369">
        <f>N28+N29</f>
        <v>152845000</v>
      </c>
      <c r="O30" s="369">
        <f>O28+O29</f>
        <v>152845000</v>
      </c>
      <c r="P30" s="369">
        <f>P28+P29</f>
        <v>60727534</v>
      </c>
      <c r="Q30" s="429">
        <f t="shared" si="9"/>
        <v>0.39731449507671168</v>
      </c>
      <c r="R30" s="369">
        <f>R28+R29</f>
        <v>0</v>
      </c>
      <c r="S30" s="369">
        <f>S28+S29</f>
        <v>0</v>
      </c>
      <c r="T30" s="369">
        <f>T28+T29</f>
        <v>0</v>
      </c>
      <c r="U30" s="429">
        <v>0</v>
      </c>
      <c r="V30" s="368" t="s">
        <v>177</v>
      </c>
      <c r="W30" s="369">
        <f>W28+W29</f>
        <v>0</v>
      </c>
      <c r="X30" s="369">
        <f>X28+X29</f>
        <v>0</v>
      </c>
      <c r="Y30" s="369">
        <f>Y28+Y29</f>
        <v>240000</v>
      </c>
      <c r="Z30" s="429">
        <v>0</v>
      </c>
      <c r="AA30" s="369">
        <f>AA28+AA29</f>
        <v>0</v>
      </c>
      <c r="AB30" s="369">
        <f>AB28+AB29</f>
        <v>0</v>
      </c>
      <c r="AC30" s="369">
        <f>AC28+AC29</f>
        <v>0</v>
      </c>
      <c r="AD30" s="429">
        <v>0</v>
      </c>
      <c r="AE30" s="369">
        <f>AE28+AE29</f>
        <v>53540000</v>
      </c>
      <c r="AF30" s="369">
        <f>AF28+AF29</f>
        <v>69010587</v>
      </c>
      <c r="AG30" s="369">
        <f>AG28+AG29</f>
        <v>10613721</v>
      </c>
      <c r="AH30" s="429">
        <f>AG30/AF30</f>
        <v>0.15379844544721813</v>
      </c>
      <c r="AI30" s="369">
        <f>AI28+AI29</f>
        <v>924005000</v>
      </c>
      <c r="AJ30" s="369">
        <f>AJ28+AJ29</f>
        <v>924005000</v>
      </c>
      <c r="AK30" s="369">
        <f>AK28+AK29</f>
        <v>326645103</v>
      </c>
      <c r="AL30" s="429">
        <f>AK30/AJ30</f>
        <v>0.3535101033003068</v>
      </c>
      <c r="AM30" s="368" t="s">
        <v>177</v>
      </c>
      <c r="AN30" s="369">
        <f>AN28+AN29</f>
        <v>1130790000</v>
      </c>
      <c r="AO30" s="369">
        <f>AO28+AO29</f>
        <v>1344026587</v>
      </c>
      <c r="AP30" s="369">
        <f>AP28+AP29</f>
        <v>635388654</v>
      </c>
      <c r="AQ30" s="429">
        <f>AP30/AO30</f>
        <v>0.47275006323963442</v>
      </c>
      <c r="AR30" s="369">
        <f>AR28+AR29</f>
        <v>3600000</v>
      </c>
      <c r="AS30" s="369">
        <f>AS28+AS29</f>
        <v>0</v>
      </c>
      <c r="AT30" s="369">
        <f>AT28+AT29</f>
        <v>0</v>
      </c>
      <c r="AU30" s="429">
        <v>0</v>
      </c>
      <c r="AV30" s="369">
        <f>AV28+AV29</f>
        <v>1134390000</v>
      </c>
      <c r="AW30" s="369">
        <f>AW28+AW29</f>
        <v>1344026587</v>
      </c>
      <c r="AX30" s="369">
        <f>AX28+AX29</f>
        <v>635388654</v>
      </c>
      <c r="AY30" s="429">
        <f t="shared" si="12"/>
        <v>0.47275006323963442</v>
      </c>
      <c r="AZ30" s="52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</row>
    <row r="31" spans="1:79" s="48" customFormat="1" ht="24.75" customHeight="1">
      <c r="A31" s="44" t="s">
        <v>178</v>
      </c>
      <c r="B31" s="55"/>
      <c r="C31" s="55"/>
      <c r="D31" s="55"/>
      <c r="E31" s="430"/>
      <c r="F31" s="55"/>
      <c r="G31" s="55"/>
      <c r="H31" s="55"/>
      <c r="I31" s="430"/>
      <c r="J31" s="55"/>
      <c r="K31" s="55"/>
      <c r="L31" s="55"/>
      <c r="M31" s="430"/>
      <c r="N31" s="55"/>
      <c r="O31" s="55"/>
      <c r="P31" s="55"/>
      <c r="Q31" s="430"/>
      <c r="R31" s="55"/>
      <c r="S31" s="55"/>
      <c r="T31" s="55"/>
      <c r="U31" s="430"/>
      <c r="V31" s="44" t="s">
        <v>178</v>
      </c>
      <c r="W31" s="55"/>
      <c r="X31" s="55"/>
      <c r="Y31" s="55"/>
      <c r="Z31" s="430"/>
      <c r="AA31" s="55"/>
      <c r="AB31" s="55"/>
      <c r="AC31" s="55"/>
      <c r="AD31" s="430"/>
      <c r="AE31" s="55"/>
      <c r="AF31" s="55"/>
      <c r="AG31" s="55"/>
      <c r="AH31" s="430"/>
      <c r="AI31" s="55"/>
      <c r="AJ31" s="55"/>
      <c r="AK31" s="55"/>
      <c r="AL31" s="430"/>
      <c r="AM31" s="44" t="s">
        <v>178</v>
      </c>
      <c r="AN31" s="55"/>
      <c r="AO31" s="55"/>
      <c r="AP31" s="55"/>
      <c r="AQ31" s="430"/>
      <c r="AR31" s="55"/>
      <c r="AS31" s="55"/>
      <c r="AT31" s="55"/>
      <c r="AU31" s="430"/>
      <c r="AV31" s="56"/>
      <c r="AW31" s="56"/>
      <c r="AX31" s="56"/>
      <c r="AY31" s="430"/>
      <c r="AZ31" s="52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</row>
    <row r="32" spans="1:79" s="48" customFormat="1" ht="24.75" customHeight="1">
      <c r="A32" s="57" t="s">
        <v>77</v>
      </c>
      <c r="B32" s="55"/>
      <c r="C32" s="55"/>
      <c r="D32" s="50"/>
      <c r="E32" s="428"/>
      <c r="F32" s="55"/>
      <c r="G32" s="55"/>
      <c r="H32" s="55"/>
      <c r="I32" s="428"/>
      <c r="J32" s="55"/>
      <c r="K32" s="55"/>
      <c r="L32" s="55"/>
      <c r="M32" s="428"/>
      <c r="N32" s="55">
        <v>12000000</v>
      </c>
      <c r="O32" s="55">
        <v>12000000</v>
      </c>
      <c r="P32" s="55"/>
      <c r="Q32" s="428">
        <f>P32/O32</f>
        <v>0</v>
      </c>
      <c r="R32" s="55"/>
      <c r="S32" s="55"/>
      <c r="T32" s="55"/>
      <c r="U32" s="428"/>
      <c r="V32" s="57" t="s">
        <v>77</v>
      </c>
      <c r="W32" s="55"/>
      <c r="X32" s="55"/>
      <c r="Y32" s="55"/>
      <c r="Z32" s="428"/>
      <c r="AA32" s="55"/>
      <c r="AB32" s="55"/>
      <c r="AC32" s="55"/>
      <c r="AD32" s="428"/>
      <c r="AE32" s="55"/>
      <c r="AF32" s="55">
        <v>5213516</v>
      </c>
      <c r="AG32" s="55"/>
      <c r="AH32" s="428">
        <f>AG32/AF32</f>
        <v>0</v>
      </c>
      <c r="AI32" s="55">
        <v>309047000</v>
      </c>
      <c r="AJ32" s="55">
        <v>309047000</v>
      </c>
      <c r="AK32" s="55"/>
      <c r="AL32" s="428">
        <f>AK32/AJ32</f>
        <v>0</v>
      </c>
      <c r="AM32" s="57" t="s">
        <v>77</v>
      </c>
      <c r="AN32" s="50">
        <f>SUM(B32+J32+N32+W32+AI32)</f>
        <v>321047000</v>
      </c>
      <c r="AO32" s="50">
        <f>SUM(C32+K32+O32+X32+AJ32+AF32)</f>
        <v>326260516</v>
      </c>
      <c r="AP32" s="50">
        <f>SUM(D32+L32+P32+Y32+AK32+AG32)</f>
        <v>0</v>
      </c>
      <c r="AQ32" s="428">
        <f>AP32/AO32</f>
        <v>0</v>
      </c>
      <c r="AR32" s="50">
        <f t="shared" ref="AR32:AT34" si="25">SUM(F32+R32+AA32)</f>
        <v>0</v>
      </c>
      <c r="AS32" s="50">
        <f t="shared" si="25"/>
        <v>0</v>
      </c>
      <c r="AT32" s="50">
        <f t="shared" si="25"/>
        <v>0</v>
      </c>
      <c r="AU32" s="428">
        <v>0</v>
      </c>
      <c r="AV32" s="51">
        <f>SUM(AN32+AR32)</f>
        <v>321047000</v>
      </c>
      <c r="AW32" s="51">
        <f t="shared" ref="AW32:AX34" si="26">SUM(AO32:AS32)</f>
        <v>326260516</v>
      </c>
      <c r="AX32" s="51">
        <f t="shared" si="26"/>
        <v>0</v>
      </c>
      <c r="AY32" s="428">
        <f t="shared" ref="AY32:AY39" si="27">AX32/AW32</f>
        <v>0</v>
      </c>
      <c r="AZ32" s="52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</row>
    <row r="33" spans="1:79" s="48" customFormat="1" ht="24.75" customHeight="1">
      <c r="A33" s="53" t="s">
        <v>97</v>
      </c>
      <c r="B33" s="54"/>
      <c r="C33" s="54"/>
      <c r="D33" s="54"/>
      <c r="E33" s="437"/>
      <c r="F33" s="54"/>
      <c r="G33" s="54"/>
      <c r="H33" s="54"/>
      <c r="I33" s="437"/>
      <c r="J33" s="54"/>
      <c r="K33" s="54"/>
      <c r="L33" s="54"/>
      <c r="M33" s="437"/>
      <c r="N33" s="54"/>
      <c r="O33" s="54"/>
      <c r="P33" s="54"/>
      <c r="Q33" s="437"/>
      <c r="R33" s="54"/>
      <c r="S33" s="54"/>
      <c r="T33" s="54"/>
      <c r="U33" s="437"/>
      <c r="V33" s="53" t="s">
        <v>97</v>
      </c>
      <c r="W33" s="54"/>
      <c r="X33" s="54"/>
      <c r="Y33" s="54"/>
      <c r="Z33" s="437"/>
      <c r="AA33" s="54"/>
      <c r="AB33" s="54"/>
      <c r="AC33" s="54"/>
      <c r="AD33" s="437"/>
      <c r="AE33" s="54"/>
      <c r="AF33" s="54"/>
      <c r="AG33" s="54"/>
      <c r="AH33" s="437"/>
      <c r="AI33" s="54"/>
      <c r="AJ33" s="54"/>
      <c r="AK33" s="54"/>
      <c r="AL33" s="437"/>
      <c r="AM33" s="53" t="s">
        <v>97</v>
      </c>
      <c r="AN33" s="50">
        <f>SUM(B33+J33+N33+W33+AI33)</f>
        <v>0</v>
      </c>
      <c r="AO33" s="50">
        <f>SUM(C33+K33+O33+X33+AJ33)</f>
        <v>0</v>
      </c>
      <c r="AP33" s="50">
        <f>SUM(D33+L33+P33+Y33+AK33)</f>
        <v>0</v>
      </c>
      <c r="AQ33" s="437"/>
      <c r="AR33" s="50">
        <f t="shared" si="25"/>
        <v>0</v>
      </c>
      <c r="AS33" s="50">
        <f t="shared" si="25"/>
        <v>0</v>
      </c>
      <c r="AT33" s="50">
        <f t="shared" si="25"/>
        <v>0</v>
      </c>
      <c r="AU33" s="437">
        <v>0</v>
      </c>
      <c r="AV33" s="51">
        <f>SUM(AN33+AR33)</f>
        <v>0</v>
      </c>
      <c r="AW33" s="51">
        <f t="shared" si="26"/>
        <v>0</v>
      </c>
      <c r="AX33" s="51">
        <f t="shared" si="26"/>
        <v>0</v>
      </c>
      <c r="AY33" s="428">
        <v>0</v>
      </c>
      <c r="AZ33" s="52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</row>
    <row r="34" spans="1:79" s="63" customFormat="1" ht="24.75" customHeight="1" thickBot="1">
      <c r="A34" s="58" t="s">
        <v>179</v>
      </c>
      <c r="B34" s="59"/>
      <c r="C34" s="59"/>
      <c r="D34" s="59"/>
      <c r="E34" s="438"/>
      <c r="F34" s="59"/>
      <c r="G34" s="59"/>
      <c r="H34" s="59"/>
      <c r="I34" s="438"/>
      <c r="J34" s="59">
        <v>40000</v>
      </c>
      <c r="K34" s="59">
        <v>40000</v>
      </c>
      <c r="L34" s="59"/>
      <c r="M34" s="438">
        <v>0</v>
      </c>
      <c r="N34" s="59"/>
      <c r="O34" s="59"/>
      <c r="P34" s="59"/>
      <c r="Q34" s="438"/>
      <c r="R34" s="59"/>
      <c r="S34" s="59"/>
      <c r="T34" s="59"/>
      <c r="U34" s="438"/>
      <c r="V34" s="58" t="s">
        <v>179</v>
      </c>
      <c r="W34" s="59"/>
      <c r="X34" s="59"/>
      <c r="Y34" s="59"/>
      <c r="Z34" s="438"/>
      <c r="AA34" s="59"/>
      <c r="AB34" s="59"/>
      <c r="AC34" s="59"/>
      <c r="AD34" s="438"/>
      <c r="AE34" s="59"/>
      <c r="AF34" s="59"/>
      <c r="AG34" s="59"/>
      <c r="AH34" s="438"/>
      <c r="AI34" s="59"/>
      <c r="AJ34" s="59"/>
      <c r="AK34" s="59"/>
      <c r="AL34" s="438"/>
      <c r="AM34" s="58" t="s">
        <v>179</v>
      </c>
      <c r="AN34" s="254">
        <f>SUM(B34+J34+N34+W34+AI34)</f>
        <v>40000</v>
      </c>
      <c r="AO34" s="254">
        <f>SUM(C34+K34+O34+X34+AJ34)</f>
        <v>40000</v>
      </c>
      <c r="AP34" s="254">
        <f>SUM(D34+L34+P34+Y34+AK34)</f>
        <v>0</v>
      </c>
      <c r="AQ34" s="438"/>
      <c r="AR34" s="254">
        <f t="shared" si="25"/>
        <v>0</v>
      </c>
      <c r="AS34" s="254">
        <f t="shared" si="25"/>
        <v>0</v>
      </c>
      <c r="AT34" s="254">
        <f t="shared" si="25"/>
        <v>0</v>
      </c>
      <c r="AU34" s="438">
        <v>0</v>
      </c>
      <c r="AV34" s="51">
        <f>SUM(AN34+AR34)</f>
        <v>40000</v>
      </c>
      <c r="AW34" s="288">
        <f t="shared" si="26"/>
        <v>40000</v>
      </c>
      <c r="AX34" s="288">
        <f t="shared" si="26"/>
        <v>0</v>
      </c>
      <c r="AY34" s="428">
        <f t="shared" si="27"/>
        <v>0</v>
      </c>
      <c r="AZ34" s="61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</row>
    <row r="35" spans="1:79" s="48" customFormat="1" ht="27.75" customHeight="1" thickBot="1">
      <c r="A35" s="368" t="s">
        <v>180</v>
      </c>
      <c r="B35" s="369">
        <f>SUM(B32:B34)</f>
        <v>0</v>
      </c>
      <c r="C35" s="369">
        <f>SUM(C32:C34)</f>
        <v>0</v>
      </c>
      <c r="D35" s="369">
        <f>D33+D34+D32</f>
        <v>0</v>
      </c>
      <c r="E35" s="429">
        <v>0</v>
      </c>
      <c r="F35" s="369">
        <f>SUM(F32:F34)</f>
        <v>0</v>
      </c>
      <c r="G35" s="369">
        <f>SUM(G32:G34)</f>
        <v>0</v>
      </c>
      <c r="H35" s="369">
        <f>SUM(H32:H34)</f>
        <v>0</v>
      </c>
      <c r="I35" s="429">
        <v>0</v>
      </c>
      <c r="J35" s="369">
        <f>SUM(J32:J34)</f>
        <v>40000</v>
      </c>
      <c r="K35" s="369">
        <f>SUM(K32:K34)</f>
        <v>40000</v>
      </c>
      <c r="L35" s="369">
        <f>SUM(L32:L34)</f>
        <v>0</v>
      </c>
      <c r="M35" s="429">
        <f>L35/K35</f>
        <v>0</v>
      </c>
      <c r="N35" s="369">
        <f>SUM(N32:N34)</f>
        <v>12000000</v>
      </c>
      <c r="O35" s="369">
        <f>SUM(O32:O34)</f>
        <v>12000000</v>
      </c>
      <c r="P35" s="369">
        <f>SUM(P32:P34)</f>
        <v>0</v>
      </c>
      <c r="Q35" s="429">
        <f>P35/O35</f>
        <v>0</v>
      </c>
      <c r="R35" s="369">
        <f>SUM(R32:R34)</f>
        <v>0</v>
      </c>
      <c r="S35" s="369">
        <f>SUM(S32:S34)</f>
        <v>0</v>
      </c>
      <c r="T35" s="369">
        <f>SUM(T32:T34)</f>
        <v>0</v>
      </c>
      <c r="U35" s="429">
        <v>0</v>
      </c>
      <c r="V35" s="368" t="s">
        <v>180</v>
      </c>
      <c r="W35" s="369">
        <f>SUM(W32:W34)</f>
        <v>0</v>
      </c>
      <c r="X35" s="369">
        <f>SUM(X32:X34)</f>
        <v>0</v>
      </c>
      <c r="Y35" s="369">
        <f>SUM(Y32:Y34)</f>
        <v>0</v>
      </c>
      <c r="Z35" s="429">
        <v>0</v>
      </c>
      <c r="AA35" s="369">
        <f>SUM(AA32:AA34)</f>
        <v>0</v>
      </c>
      <c r="AB35" s="369">
        <f>SUM(AB32:AB34)</f>
        <v>0</v>
      </c>
      <c r="AC35" s="369">
        <f>SUM(AC32:AC34)</f>
        <v>0</v>
      </c>
      <c r="AD35" s="429">
        <v>0</v>
      </c>
      <c r="AE35" s="369">
        <f>SUM(AE32:AE34)</f>
        <v>0</v>
      </c>
      <c r="AF35" s="369">
        <f>SUM(AF32:AF34)</f>
        <v>5213516</v>
      </c>
      <c r="AG35" s="369">
        <f>SUM(AG32:AG34)</f>
        <v>0</v>
      </c>
      <c r="AH35" s="429">
        <f>AG35/AF35</f>
        <v>0</v>
      </c>
      <c r="AI35" s="369">
        <f>SUM(AI32:AI34)</f>
        <v>309047000</v>
      </c>
      <c r="AJ35" s="369">
        <f>SUM(AJ32:AJ34)</f>
        <v>309047000</v>
      </c>
      <c r="AK35" s="369">
        <f>SUM(AK32:AK34)</f>
        <v>0</v>
      </c>
      <c r="AL35" s="429">
        <f>AK35/AJ35</f>
        <v>0</v>
      </c>
      <c r="AM35" s="368" t="s">
        <v>180</v>
      </c>
      <c r="AN35" s="369">
        <f>SUM(AN32:AN34)</f>
        <v>321087000</v>
      </c>
      <c r="AO35" s="369">
        <f>SUM(AO32:AO34)</f>
        <v>326300516</v>
      </c>
      <c r="AP35" s="369">
        <f>SUM(AP32:AP34)</f>
        <v>0</v>
      </c>
      <c r="AQ35" s="429">
        <f>AP35/AO35</f>
        <v>0</v>
      </c>
      <c r="AR35" s="369">
        <f>SUM(AR32:AR34)</f>
        <v>0</v>
      </c>
      <c r="AS35" s="369">
        <f>SUM(AS32:AS34)</f>
        <v>0</v>
      </c>
      <c r="AT35" s="369">
        <f>SUM(AT32:AT34)</f>
        <v>0</v>
      </c>
      <c r="AU35" s="429">
        <v>0</v>
      </c>
      <c r="AV35" s="369">
        <f>SUM(AV32:AV34)</f>
        <v>321087000</v>
      </c>
      <c r="AW35" s="369">
        <f>SUM(AW32:AW34)</f>
        <v>326300516</v>
      </c>
      <c r="AX35" s="369">
        <f>SUM(AX32:AX34)</f>
        <v>0</v>
      </c>
      <c r="AY35" s="429">
        <f t="shared" si="27"/>
        <v>0</v>
      </c>
      <c r="AZ35" s="52"/>
      <c r="BA35" s="370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</row>
    <row r="36" spans="1:79" s="48" customFormat="1" ht="16.5" thickBot="1">
      <c r="A36" s="289" t="s">
        <v>181</v>
      </c>
      <c r="B36" s="290">
        <f t="shared" ref="B36:D37" si="28">B28+B32</f>
        <v>4000000</v>
      </c>
      <c r="C36" s="290">
        <f t="shared" si="28"/>
        <v>198166000</v>
      </c>
      <c r="D36" s="290">
        <f t="shared" si="28"/>
        <v>237162296</v>
      </c>
      <c r="E36" s="430">
        <f>D36/C36</f>
        <v>1.1967860076905221</v>
      </c>
      <c r="F36" s="290">
        <f t="shared" ref="F36:O36" si="29">SUM(F28,F32)</f>
        <v>0</v>
      </c>
      <c r="G36" s="290">
        <f t="shared" si="29"/>
        <v>0</v>
      </c>
      <c r="H36" s="290">
        <f>H28+H32</f>
        <v>0</v>
      </c>
      <c r="I36" s="430">
        <v>0</v>
      </c>
      <c r="J36" s="290">
        <f t="shared" si="29"/>
        <v>0</v>
      </c>
      <c r="K36" s="290">
        <f t="shared" si="29"/>
        <v>0</v>
      </c>
      <c r="L36" s="290">
        <f>L28+L32</f>
        <v>0</v>
      </c>
      <c r="M36" s="430">
        <v>0</v>
      </c>
      <c r="N36" s="290">
        <f t="shared" si="29"/>
        <v>155862000</v>
      </c>
      <c r="O36" s="290">
        <f t="shared" si="29"/>
        <v>155862000</v>
      </c>
      <c r="P36" s="290">
        <f>P28+P32</f>
        <v>60727534</v>
      </c>
      <c r="Q36" s="430">
        <f>P36/O36</f>
        <v>0.38962373124943861</v>
      </c>
      <c r="R36" s="290">
        <f>R28+R32</f>
        <v>0</v>
      </c>
      <c r="S36" s="290">
        <f>S28+S32</f>
        <v>0</v>
      </c>
      <c r="T36" s="290">
        <f>T28+T32</f>
        <v>0</v>
      </c>
      <c r="U36" s="430">
        <v>0</v>
      </c>
      <c r="V36" s="289" t="s">
        <v>181</v>
      </c>
      <c r="W36" s="56">
        <f>SUM(W28,W32)</f>
        <v>0</v>
      </c>
      <c r="X36" s="56">
        <f>SUM(X28,X32)</f>
        <v>0</v>
      </c>
      <c r="Y36" s="290">
        <f>Y28+Y32</f>
        <v>240000</v>
      </c>
      <c r="Z36" s="430">
        <v>0</v>
      </c>
      <c r="AA36" s="56"/>
      <c r="AB36" s="56"/>
      <c r="AC36" s="290">
        <f>AC28+AC32</f>
        <v>0</v>
      </c>
      <c r="AD36" s="430">
        <v>0</v>
      </c>
      <c r="AE36" s="56">
        <f t="shared" ref="AE36:AS36" si="30">SUM(AE28,AE32)</f>
        <v>53540000</v>
      </c>
      <c r="AF36" s="56">
        <f t="shared" si="30"/>
        <v>73746435</v>
      </c>
      <c r="AG36" s="290">
        <f>AG28+AG32</f>
        <v>10613721</v>
      </c>
      <c r="AH36" s="430">
        <f>AG36/AF36</f>
        <v>0.14392181805127258</v>
      </c>
      <c r="AI36" s="56">
        <f t="shared" si="30"/>
        <v>1204391000</v>
      </c>
      <c r="AJ36" s="56">
        <f t="shared" si="30"/>
        <v>1204391000</v>
      </c>
      <c r="AK36" s="290">
        <f>AK28+AK32</f>
        <v>326645103</v>
      </c>
      <c r="AL36" s="430">
        <f>AK36/AJ36</f>
        <v>0.27121184316388947</v>
      </c>
      <c r="AM36" s="289" t="s">
        <v>181</v>
      </c>
      <c r="AN36" s="56">
        <f t="shared" si="30"/>
        <v>1414193000</v>
      </c>
      <c r="AO36" s="56">
        <f t="shared" si="30"/>
        <v>1632165435</v>
      </c>
      <c r="AP36" s="290">
        <f>AP28+AP32</f>
        <v>635388654</v>
      </c>
      <c r="AQ36" s="430">
        <f>AP36/AO36</f>
        <v>0.38929182077673397</v>
      </c>
      <c r="AR36" s="56">
        <f t="shared" si="30"/>
        <v>3600000</v>
      </c>
      <c r="AS36" s="56">
        <f t="shared" si="30"/>
        <v>0</v>
      </c>
      <c r="AT36" s="290">
        <f>AT28+AT32</f>
        <v>0</v>
      </c>
      <c r="AU36" s="430">
        <v>0</v>
      </c>
      <c r="AV36" s="51">
        <f t="shared" ref="AV36:AX37" si="31">SUM(AN36+AR36)</f>
        <v>1417793000</v>
      </c>
      <c r="AW36" s="51">
        <f t="shared" si="31"/>
        <v>1632165435</v>
      </c>
      <c r="AX36" s="51">
        <f t="shared" si="31"/>
        <v>635388654</v>
      </c>
      <c r="AY36" s="430">
        <f t="shared" si="27"/>
        <v>0.38929182077673397</v>
      </c>
      <c r="AZ36" s="52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</row>
    <row r="37" spans="1:79" ht="32.25" thickBot="1">
      <c r="A37" s="64" t="s">
        <v>182</v>
      </c>
      <c r="B37" s="56">
        <f t="shared" si="28"/>
        <v>0</v>
      </c>
      <c r="C37" s="56">
        <f t="shared" si="28"/>
        <v>0</v>
      </c>
      <c r="D37" s="56">
        <f t="shared" si="28"/>
        <v>0</v>
      </c>
      <c r="E37" s="434">
        <v>0</v>
      </c>
      <c r="F37" s="56">
        <f t="shared" ref="F37:AJ37" si="32">F29+F33</f>
        <v>0</v>
      </c>
      <c r="G37" s="56">
        <f t="shared" si="32"/>
        <v>0</v>
      </c>
      <c r="H37" s="56">
        <f>H29+H33</f>
        <v>0</v>
      </c>
      <c r="I37" s="434">
        <v>0</v>
      </c>
      <c r="J37" s="56">
        <f t="shared" si="32"/>
        <v>0</v>
      </c>
      <c r="K37" s="56">
        <f t="shared" si="32"/>
        <v>0</v>
      </c>
      <c r="L37" s="56">
        <f>L29+L33</f>
        <v>0</v>
      </c>
      <c r="M37" s="434">
        <v>0</v>
      </c>
      <c r="N37" s="56">
        <f t="shared" si="32"/>
        <v>8983000</v>
      </c>
      <c r="O37" s="56">
        <f t="shared" si="32"/>
        <v>8983000</v>
      </c>
      <c r="P37" s="56">
        <f>P29+P33</f>
        <v>0</v>
      </c>
      <c r="Q37" s="434">
        <f>P37/O37</f>
        <v>0</v>
      </c>
      <c r="R37" s="56">
        <f t="shared" si="32"/>
        <v>0</v>
      </c>
      <c r="S37" s="56">
        <f t="shared" si="32"/>
        <v>0</v>
      </c>
      <c r="T37" s="56">
        <f>T29+T33</f>
        <v>0</v>
      </c>
      <c r="U37" s="434">
        <v>0</v>
      </c>
      <c r="V37" s="64" t="s">
        <v>182</v>
      </c>
      <c r="W37" s="65">
        <f t="shared" si="32"/>
        <v>0</v>
      </c>
      <c r="X37" s="65">
        <f t="shared" si="32"/>
        <v>0</v>
      </c>
      <c r="Y37" s="56">
        <f>Y29+Y33</f>
        <v>0</v>
      </c>
      <c r="Z37" s="434">
        <v>0</v>
      </c>
      <c r="AA37" s="65">
        <f t="shared" si="32"/>
        <v>0</v>
      </c>
      <c r="AB37" s="65">
        <f t="shared" si="32"/>
        <v>0</v>
      </c>
      <c r="AC37" s="56">
        <f>AC29+AC33</f>
        <v>0</v>
      </c>
      <c r="AD37" s="434">
        <v>0</v>
      </c>
      <c r="AE37" s="65">
        <f t="shared" si="32"/>
        <v>0</v>
      </c>
      <c r="AF37" s="65">
        <f t="shared" si="32"/>
        <v>477668</v>
      </c>
      <c r="AG37" s="56">
        <f>AG29+AG33</f>
        <v>0</v>
      </c>
      <c r="AH37" s="434">
        <v>0</v>
      </c>
      <c r="AI37" s="65">
        <f t="shared" si="32"/>
        <v>28661000</v>
      </c>
      <c r="AJ37" s="65">
        <f t="shared" si="32"/>
        <v>28661000</v>
      </c>
      <c r="AK37" s="56">
        <f>AK29+AK33</f>
        <v>0</v>
      </c>
      <c r="AL37" s="434">
        <f>AK37/AJ37</f>
        <v>0</v>
      </c>
      <c r="AM37" s="64" t="s">
        <v>182</v>
      </c>
      <c r="AN37" s="66">
        <f>SUM(B37+J37+N37+W37+AI37)</f>
        <v>37644000</v>
      </c>
      <c r="AO37" s="66">
        <f>SUM(C37+K37+O37+X37+AJ37+AF37)</f>
        <v>38121668</v>
      </c>
      <c r="AP37" s="56">
        <f>AP29+AP33</f>
        <v>0</v>
      </c>
      <c r="AQ37" s="434">
        <f>AP37/AO37</f>
        <v>0</v>
      </c>
      <c r="AR37" s="66">
        <f>SUM(F37+R37+AA37)</f>
        <v>0</v>
      </c>
      <c r="AS37" s="66">
        <f>SUM(G37+S37+AB37)</f>
        <v>0</v>
      </c>
      <c r="AT37" s="56">
        <f>AT29+AT33</f>
        <v>0</v>
      </c>
      <c r="AU37" s="434">
        <v>0</v>
      </c>
      <c r="AV37" s="56">
        <f t="shared" si="31"/>
        <v>37644000</v>
      </c>
      <c r="AW37" s="56">
        <f>SUM(AO37+AS37)</f>
        <v>38121668</v>
      </c>
      <c r="AX37" s="56">
        <f t="shared" si="31"/>
        <v>0</v>
      </c>
      <c r="AY37" s="439">
        <f t="shared" si="27"/>
        <v>0</v>
      </c>
      <c r="AZ37" s="52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</row>
    <row r="38" spans="1:79" ht="32.25" thickBot="1">
      <c r="A38" s="291" t="s">
        <v>183</v>
      </c>
      <c r="B38" s="66">
        <f>SUM(B34)</f>
        <v>0</v>
      </c>
      <c r="C38" s="66">
        <f>SUM(C34)</f>
        <v>0</v>
      </c>
      <c r="D38" s="66">
        <f>SUM(D34)</f>
        <v>0</v>
      </c>
      <c r="E38" s="434">
        <v>0</v>
      </c>
      <c r="F38" s="66">
        <f t="shared" ref="F38:AS38" si="33">SUM(F34)</f>
        <v>0</v>
      </c>
      <c r="G38" s="66">
        <f t="shared" si="33"/>
        <v>0</v>
      </c>
      <c r="H38" s="66">
        <f>SUM(H34)</f>
        <v>0</v>
      </c>
      <c r="I38" s="434">
        <v>0</v>
      </c>
      <c r="J38" s="66">
        <f t="shared" si="33"/>
        <v>40000</v>
      </c>
      <c r="K38" s="66">
        <f t="shared" si="33"/>
        <v>40000</v>
      </c>
      <c r="L38" s="66">
        <f>SUM(L34)</f>
        <v>0</v>
      </c>
      <c r="M38" s="434">
        <f>L38/K38</f>
        <v>0</v>
      </c>
      <c r="N38" s="66">
        <f t="shared" si="33"/>
        <v>0</v>
      </c>
      <c r="O38" s="66">
        <f t="shared" si="33"/>
        <v>0</v>
      </c>
      <c r="P38" s="66">
        <f>SUM(P34)</f>
        <v>0</v>
      </c>
      <c r="Q38" s="434">
        <v>0</v>
      </c>
      <c r="R38" s="66">
        <f t="shared" si="33"/>
        <v>0</v>
      </c>
      <c r="S38" s="66">
        <f t="shared" si="33"/>
        <v>0</v>
      </c>
      <c r="T38" s="66">
        <f>SUM(T34)</f>
        <v>0</v>
      </c>
      <c r="U38" s="434">
        <v>0</v>
      </c>
      <c r="V38" s="291" t="s">
        <v>183</v>
      </c>
      <c r="W38" s="66">
        <f t="shared" si="33"/>
        <v>0</v>
      </c>
      <c r="X38" s="66">
        <f t="shared" si="33"/>
        <v>0</v>
      </c>
      <c r="Y38" s="66">
        <f>SUM(Y34)</f>
        <v>0</v>
      </c>
      <c r="Z38" s="434">
        <v>0</v>
      </c>
      <c r="AA38" s="66">
        <f t="shared" si="33"/>
        <v>0</v>
      </c>
      <c r="AB38" s="66">
        <f t="shared" si="33"/>
        <v>0</v>
      </c>
      <c r="AC38" s="66">
        <f>SUM(AC34)</f>
        <v>0</v>
      </c>
      <c r="AD38" s="434">
        <v>0</v>
      </c>
      <c r="AE38" s="66">
        <f t="shared" si="33"/>
        <v>0</v>
      </c>
      <c r="AF38" s="66">
        <f t="shared" si="33"/>
        <v>0</v>
      </c>
      <c r="AG38" s="66">
        <f>SUM(AG34)</f>
        <v>0</v>
      </c>
      <c r="AH38" s="434">
        <v>0</v>
      </c>
      <c r="AI38" s="66">
        <f t="shared" si="33"/>
        <v>0</v>
      </c>
      <c r="AJ38" s="66">
        <f t="shared" si="33"/>
        <v>0</v>
      </c>
      <c r="AK38" s="66">
        <f>SUM(AK34)</f>
        <v>0</v>
      </c>
      <c r="AL38" s="434">
        <v>0</v>
      </c>
      <c r="AM38" s="291" t="s">
        <v>183</v>
      </c>
      <c r="AN38" s="66">
        <f t="shared" si="33"/>
        <v>40000</v>
      </c>
      <c r="AO38" s="66">
        <f t="shared" si="33"/>
        <v>40000</v>
      </c>
      <c r="AP38" s="66">
        <f>SUM(AP34)</f>
        <v>0</v>
      </c>
      <c r="AQ38" s="434">
        <f>AP38/AO38</f>
        <v>0</v>
      </c>
      <c r="AR38" s="66">
        <f t="shared" si="33"/>
        <v>0</v>
      </c>
      <c r="AS38" s="66">
        <f t="shared" si="33"/>
        <v>0</v>
      </c>
      <c r="AT38" s="66">
        <f>SUM(AT34)</f>
        <v>0</v>
      </c>
      <c r="AU38" s="434">
        <v>0</v>
      </c>
      <c r="AV38" s="65">
        <f>SUM(AN38+AR38)</f>
        <v>40000</v>
      </c>
      <c r="AW38" s="65">
        <f>SUM(AW34)</f>
        <v>40000</v>
      </c>
      <c r="AX38" s="65">
        <f>SUM(AX34)</f>
        <v>0</v>
      </c>
      <c r="AY38" s="434">
        <f t="shared" si="27"/>
        <v>0</v>
      </c>
      <c r="AZ38" s="52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</row>
    <row r="39" spans="1:79" s="255" customFormat="1" ht="26.25" customHeight="1" thickBot="1">
      <c r="A39" s="376" t="s">
        <v>184</v>
      </c>
      <c r="B39" s="377">
        <f>B36+B37+B38</f>
        <v>4000000</v>
      </c>
      <c r="C39" s="377">
        <f>C36+C37+C38</f>
        <v>198166000</v>
      </c>
      <c r="D39" s="377">
        <f>D36+D37+D38</f>
        <v>237162296</v>
      </c>
      <c r="E39" s="429">
        <f>D39/C39</f>
        <v>1.1967860076905221</v>
      </c>
      <c r="F39" s="377">
        <f t="shared" ref="F39:AS39" si="34">F36+F37+F38</f>
        <v>0</v>
      </c>
      <c r="G39" s="377">
        <f t="shared" si="34"/>
        <v>0</v>
      </c>
      <c r="H39" s="377">
        <f>H36+H37+H38</f>
        <v>0</v>
      </c>
      <c r="I39" s="429">
        <v>0</v>
      </c>
      <c r="J39" s="377">
        <f t="shared" si="34"/>
        <v>40000</v>
      </c>
      <c r="K39" s="377">
        <f t="shared" si="34"/>
        <v>40000</v>
      </c>
      <c r="L39" s="377">
        <f>L36+L37+L38</f>
        <v>0</v>
      </c>
      <c r="M39" s="429">
        <f>L39/K39</f>
        <v>0</v>
      </c>
      <c r="N39" s="377">
        <f t="shared" si="34"/>
        <v>164845000</v>
      </c>
      <c r="O39" s="377">
        <f t="shared" si="34"/>
        <v>164845000</v>
      </c>
      <c r="P39" s="377">
        <f>P36+P37+P38</f>
        <v>60727534</v>
      </c>
      <c r="Q39" s="429">
        <f>P39/O39</f>
        <v>0.36839172556037492</v>
      </c>
      <c r="R39" s="377">
        <f t="shared" si="34"/>
        <v>0</v>
      </c>
      <c r="S39" s="377">
        <f t="shared" si="34"/>
        <v>0</v>
      </c>
      <c r="T39" s="377">
        <f>T36+T37+T38</f>
        <v>0</v>
      </c>
      <c r="U39" s="429">
        <v>0</v>
      </c>
      <c r="V39" s="376" t="s">
        <v>184</v>
      </c>
      <c r="W39" s="377">
        <f t="shared" si="34"/>
        <v>0</v>
      </c>
      <c r="X39" s="377">
        <f t="shared" si="34"/>
        <v>0</v>
      </c>
      <c r="Y39" s="377">
        <f>Y36+Y37+Y38</f>
        <v>240000</v>
      </c>
      <c r="Z39" s="429">
        <v>0</v>
      </c>
      <c r="AA39" s="377">
        <f t="shared" si="34"/>
        <v>0</v>
      </c>
      <c r="AB39" s="377">
        <f t="shared" si="34"/>
        <v>0</v>
      </c>
      <c r="AC39" s="377">
        <f>AC36+AC37+AC38</f>
        <v>0</v>
      </c>
      <c r="AD39" s="429">
        <v>0</v>
      </c>
      <c r="AE39" s="377">
        <f t="shared" si="34"/>
        <v>53540000</v>
      </c>
      <c r="AF39" s="377">
        <f t="shared" si="34"/>
        <v>74224103</v>
      </c>
      <c r="AG39" s="377">
        <f>AG36+AG37+AG38</f>
        <v>10613721</v>
      </c>
      <c r="AH39" s="429"/>
      <c r="AI39" s="377">
        <f t="shared" si="34"/>
        <v>1233052000</v>
      </c>
      <c r="AJ39" s="377">
        <f t="shared" si="34"/>
        <v>1233052000</v>
      </c>
      <c r="AK39" s="377">
        <f>AK36+AK37+AK38</f>
        <v>326645103</v>
      </c>
      <c r="AL39" s="429">
        <f>AK39/AJ39</f>
        <v>0.26490780842981482</v>
      </c>
      <c r="AM39" s="376" t="s">
        <v>184</v>
      </c>
      <c r="AN39" s="377">
        <f t="shared" si="34"/>
        <v>1451877000</v>
      </c>
      <c r="AO39" s="377">
        <f t="shared" si="34"/>
        <v>1670327103</v>
      </c>
      <c r="AP39" s="377">
        <f>AP36+AP37+AP38</f>
        <v>635388654</v>
      </c>
      <c r="AQ39" s="429">
        <f>AP39/AO39</f>
        <v>0.38039773937620169</v>
      </c>
      <c r="AR39" s="377">
        <f t="shared" si="34"/>
        <v>3600000</v>
      </c>
      <c r="AS39" s="377">
        <f t="shared" si="34"/>
        <v>0</v>
      </c>
      <c r="AT39" s="377">
        <f>AT36+AT37+AT38</f>
        <v>0</v>
      </c>
      <c r="AU39" s="429">
        <v>0</v>
      </c>
      <c r="AV39" s="377">
        <f>AV36+AV37+AV38</f>
        <v>1455477000</v>
      </c>
      <c r="AW39" s="377">
        <f>AW36+AW37+AW38</f>
        <v>1670327103</v>
      </c>
      <c r="AX39" s="377">
        <f>AX36+AX37+AX38</f>
        <v>635388654</v>
      </c>
      <c r="AY39" s="429">
        <f t="shared" si="27"/>
        <v>0.38039773937620169</v>
      </c>
      <c r="AZ39" s="370"/>
      <c r="BA39" s="378"/>
      <c r="BB39" s="365"/>
      <c r="BC39" s="365"/>
      <c r="BD39" s="365"/>
      <c r="BE39" s="365"/>
      <c r="BF39" s="365"/>
      <c r="BG39" s="365"/>
      <c r="BH39" s="365"/>
      <c r="BI39" s="365"/>
      <c r="BJ39" s="365"/>
      <c r="BK39" s="365"/>
      <c r="BL39" s="365"/>
      <c r="BM39" s="365"/>
      <c r="BN39" s="365"/>
      <c r="BO39" s="365"/>
      <c r="BP39" s="365"/>
      <c r="BQ39" s="365"/>
      <c r="BR39" s="365"/>
      <c r="BS39" s="365"/>
      <c r="BT39" s="365"/>
      <c r="BU39" s="365"/>
      <c r="BV39" s="365"/>
      <c r="BW39" s="365"/>
      <c r="BX39" s="365"/>
      <c r="BY39" s="365"/>
      <c r="BZ39" s="365"/>
      <c r="CA39" s="365"/>
    </row>
    <row r="40" spans="1:79" ht="15.75" thickTop="1"/>
  </sheetData>
  <mergeCells count="31">
    <mergeCell ref="AA8:AD8"/>
    <mergeCell ref="AE8:AL8"/>
    <mergeCell ref="AM8:AM11"/>
    <mergeCell ref="AN8:AY8"/>
    <mergeCell ref="AN9:AY9"/>
    <mergeCell ref="AE10:AH10"/>
    <mergeCell ref="AI10:AL10"/>
    <mergeCell ref="AN10:AQ10"/>
    <mergeCell ref="AR10:AU10"/>
    <mergeCell ref="AV10:AY10"/>
    <mergeCell ref="B9:E10"/>
    <mergeCell ref="F9:I10"/>
    <mergeCell ref="J9:M10"/>
    <mergeCell ref="N9:Q10"/>
    <mergeCell ref="R9:U10"/>
    <mergeCell ref="A8:A11"/>
    <mergeCell ref="V8:V11"/>
    <mergeCell ref="W8:Z8"/>
    <mergeCell ref="A1:BA1"/>
    <mergeCell ref="A5:U5"/>
    <mergeCell ref="V5:AL5"/>
    <mergeCell ref="AM5:AY5"/>
    <mergeCell ref="AR7:AV7"/>
    <mergeCell ref="B8:E8"/>
    <mergeCell ref="F8:I8"/>
    <mergeCell ref="J8:M8"/>
    <mergeCell ref="N8:Q8"/>
    <mergeCell ref="R8:U8"/>
    <mergeCell ref="W9:Z10"/>
    <mergeCell ref="AA9:AD10"/>
    <mergeCell ref="AE9:AL9"/>
  </mergeCells>
  <pageMargins left="0.7" right="0.7" top="0.75" bottom="0.75" header="0.3" footer="0.3"/>
  <pageSetup paperSize="9" scale="46" orientation="landscape" horizontalDpi="300" verticalDpi="300" r:id="rId1"/>
  <colBreaks count="1" manualBreakCount="1">
    <brk id="21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M21"/>
  <sheetViews>
    <sheetView view="pageBreakPreview" topLeftCell="A22" zoomScale="93" zoomScaleSheetLayoutView="93" workbookViewId="0"/>
  </sheetViews>
  <sheetFormatPr defaultRowHeight="15"/>
  <cols>
    <col min="1" max="1" width="26.140625" style="37" customWidth="1"/>
    <col min="2" max="4" width="14.85546875" style="77" customWidth="1"/>
    <col min="5" max="5" width="12" style="549" customWidth="1"/>
    <col min="6" max="7" width="14.42578125" style="37" customWidth="1"/>
    <col min="8" max="8" width="14.42578125" style="77" customWidth="1"/>
    <col min="9" max="9" width="12" style="549" customWidth="1"/>
    <col min="10" max="11" width="14.5703125" style="37" customWidth="1"/>
    <col min="12" max="12" width="14.5703125" style="77" customWidth="1"/>
    <col min="13" max="13" width="12" style="549" customWidth="1"/>
    <col min="14" max="15" width="12" style="37" customWidth="1"/>
    <col min="16" max="16" width="12" style="77" customWidth="1"/>
    <col min="17" max="17" width="12" style="549" customWidth="1"/>
    <col min="18" max="19" width="15.28515625" style="37" customWidth="1"/>
    <col min="20" max="20" width="15.28515625" style="77" customWidth="1"/>
    <col min="21" max="21" width="12" style="549" customWidth="1"/>
    <col min="22" max="22" width="12" style="37" customWidth="1"/>
    <col min="23" max="23" width="16.42578125" style="37" customWidth="1"/>
    <col min="24" max="24" width="12" style="77" customWidth="1"/>
    <col min="25" max="25" width="12" style="549" customWidth="1"/>
    <col min="26" max="26" width="26.140625" style="37" customWidth="1"/>
    <col min="27" max="27" width="12" style="37" customWidth="1"/>
    <col min="28" max="28" width="14.7109375" style="37" customWidth="1"/>
    <col min="29" max="29" width="12" style="77" customWidth="1"/>
    <col min="30" max="30" width="12" style="549" customWidth="1"/>
    <col min="31" max="32" width="12" style="37" customWidth="1"/>
    <col min="33" max="33" width="12" style="77" customWidth="1"/>
    <col min="34" max="34" width="12" style="549" customWidth="1"/>
    <col min="35" max="36" width="14.85546875" style="37" customWidth="1"/>
    <col min="37" max="37" width="13.5703125" style="77" customWidth="1"/>
    <col min="38" max="38" width="12" style="549" customWidth="1"/>
    <col min="39" max="39" width="15.28515625" style="37" customWidth="1"/>
    <col min="40" max="40" width="17" style="37" customWidth="1"/>
    <col min="41" max="41" width="17" style="77" customWidth="1"/>
    <col min="42" max="42" width="12" style="549" customWidth="1"/>
    <col min="43" max="44" width="15.7109375" style="37" customWidth="1"/>
    <col min="45" max="45" width="15.7109375" style="77" customWidth="1"/>
    <col min="46" max="46" width="12" style="549" customWidth="1"/>
    <col min="47" max="48" width="16.7109375" style="37" customWidth="1"/>
    <col min="49" max="49" width="16.7109375" style="77" customWidth="1"/>
    <col min="50" max="50" width="13.85546875" style="549" customWidth="1"/>
    <col min="51" max="51" width="13.5703125" style="37" customWidth="1"/>
    <col min="52" max="52" width="13.28515625" style="37" bestFit="1" customWidth="1"/>
    <col min="53" max="55" width="13.5703125" style="37" customWidth="1"/>
    <col min="56" max="56" width="14.28515625" style="37" customWidth="1"/>
    <col min="57" max="59" width="13.5703125" style="37" customWidth="1"/>
    <col min="60" max="16384" width="9.140625" style="37"/>
  </cols>
  <sheetData>
    <row r="1" spans="1:91" s="75" customFormat="1" ht="15.75">
      <c r="A1" s="345" t="s">
        <v>422</v>
      </c>
      <c r="B1" s="74"/>
      <c r="C1" s="74"/>
      <c r="D1" s="74"/>
      <c r="E1" s="547"/>
      <c r="H1" s="74"/>
      <c r="I1" s="547"/>
      <c r="L1" s="74"/>
      <c r="M1" s="547"/>
      <c r="P1" s="74"/>
      <c r="Q1" s="547"/>
      <c r="T1" s="74"/>
      <c r="U1" s="547"/>
      <c r="X1" s="74"/>
      <c r="Y1" s="548" t="s">
        <v>405</v>
      </c>
      <c r="Z1" s="345"/>
      <c r="AC1" s="74"/>
      <c r="AD1" s="547"/>
      <c r="AG1" s="74"/>
      <c r="AH1" s="547"/>
      <c r="AK1" s="74"/>
      <c r="AL1" s="547"/>
      <c r="AO1" s="74"/>
      <c r="AP1" s="547"/>
      <c r="AS1" s="74"/>
      <c r="AT1" s="547"/>
      <c r="AW1" s="74"/>
      <c r="AX1" s="548" t="s">
        <v>406</v>
      </c>
    </row>
    <row r="2" spans="1:91" ht="15.75">
      <c r="A2" s="76"/>
      <c r="Z2" s="76"/>
    </row>
    <row r="3" spans="1:91" ht="15.75">
      <c r="A3" s="76"/>
      <c r="Z3" s="76"/>
    </row>
    <row r="4" spans="1:91" ht="15.75">
      <c r="A4" s="76"/>
      <c r="Z4" s="76"/>
    </row>
    <row r="5" spans="1:91" ht="19.5">
      <c r="A5" s="649" t="s">
        <v>417</v>
      </c>
      <c r="B5" s="649"/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49"/>
      <c r="U5" s="649"/>
      <c r="V5" s="649"/>
      <c r="W5" s="649"/>
      <c r="X5" s="649"/>
      <c r="Y5" s="649"/>
      <c r="Z5" s="543"/>
      <c r="AA5" s="649" t="s">
        <v>417</v>
      </c>
      <c r="AB5" s="649"/>
      <c r="AC5" s="649"/>
      <c r="AD5" s="649"/>
      <c r="AE5" s="649"/>
      <c r="AF5" s="649"/>
      <c r="AG5" s="649"/>
      <c r="AH5" s="649"/>
      <c r="AI5" s="649"/>
      <c r="AJ5" s="649"/>
      <c r="AK5" s="649"/>
      <c r="AL5" s="649"/>
      <c r="AM5" s="649"/>
      <c r="AN5" s="649"/>
      <c r="AO5" s="649"/>
      <c r="AP5" s="649"/>
      <c r="AQ5" s="649"/>
      <c r="AR5" s="649"/>
      <c r="AS5" s="649"/>
      <c r="AT5" s="649"/>
      <c r="AU5" s="649"/>
      <c r="AV5" s="649"/>
      <c r="AW5" s="649"/>
      <c r="AX5" s="649"/>
      <c r="AY5" s="78"/>
      <c r="AZ5" s="78"/>
      <c r="BA5" s="78"/>
      <c r="BB5" s="78"/>
      <c r="BC5" s="78"/>
      <c r="BD5" s="78"/>
      <c r="BE5" s="78"/>
      <c r="BF5" s="78"/>
      <c r="BG5" s="78"/>
      <c r="BH5" s="78"/>
    </row>
    <row r="6" spans="1:91">
      <c r="A6" s="79"/>
      <c r="Z6" s="79"/>
    </row>
    <row r="7" spans="1:91">
      <c r="A7" s="79"/>
      <c r="Z7" s="79"/>
    </row>
    <row r="8" spans="1:91" ht="15.75">
      <c r="A8" s="80" t="s">
        <v>188</v>
      </c>
      <c r="Z8" s="80" t="s">
        <v>188</v>
      </c>
      <c r="AZ8" s="650"/>
      <c r="BA8" s="650"/>
      <c r="BB8" s="650"/>
      <c r="BC8" s="650"/>
      <c r="BD8" s="650"/>
      <c r="BE8" s="650"/>
      <c r="BF8" s="650"/>
      <c r="BG8" s="650"/>
    </row>
    <row r="9" spans="1:91" customFormat="1" ht="15.75">
      <c r="A9" s="407"/>
      <c r="B9" s="407"/>
      <c r="C9" s="407"/>
      <c r="D9" s="407"/>
      <c r="E9" s="481"/>
      <c r="F9" s="407"/>
      <c r="G9" s="407"/>
      <c r="H9" s="407"/>
      <c r="I9" s="481"/>
      <c r="J9" s="407"/>
      <c r="K9" s="407"/>
      <c r="L9" s="407"/>
      <c r="M9" s="481"/>
      <c r="N9" s="407"/>
      <c r="O9" s="407"/>
      <c r="P9" s="407"/>
      <c r="Q9" s="481"/>
      <c r="R9" s="407"/>
      <c r="S9" s="407"/>
      <c r="T9" s="407"/>
      <c r="U9" s="481"/>
      <c r="V9" s="407"/>
      <c r="W9" s="407"/>
      <c r="X9" s="407"/>
      <c r="Y9" s="481"/>
      <c r="Z9" s="407"/>
      <c r="AA9" s="407"/>
      <c r="AB9" s="407"/>
      <c r="AC9" s="407"/>
      <c r="AD9" s="481"/>
      <c r="AE9" s="407"/>
      <c r="AF9" s="407"/>
      <c r="AG9" s="407"/>
      <c r="AH9" s="481"/>
      <c r="AI9" s="407"/>
      <c r="AJ9" s="407"/>
      <c r="AK9" s="407"/>
      <c r="AL9" s="481"/>
      <c r="AM9" s="407"/>
      <c r="AN9" s="407"/>
      <c r="AO9" s="407"/>
      <c r="AP9" s="481"/>
      <c r="AQ9" s="407"/>
      <c r="AR9" s="407"/>
      <c r="AS9" s="407"/>
      <c r="AT9" s="481"/>
      <c r="AU9" s="407"/>
      <c r="AV9" s="407"/>
      <c r="AW9" s="407"/>
      <c r="AX9" s="481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</row>
    <row r="10" spans="1:91" customFormat="1" ht="16.5" thickBot="1">
      <c r="A10" s="407"/>
      <c r="B10" s="407"/>
      <c r="C10" s="407"/>
      <c r="D10" s="407"/>
      <c r="E10" s="481"/>
      <c r="F10" s="407"/>
      <c r="G10" s="407"/>
      <c r="H10" s="407"/>
      <c r="I10" s="481"/>
      <c r="J10" s="407"/>
      <c r="K10" s="407"/>
      <c r="L10" s="407"/>
      <c r="M10" s="481"/>
      <c r="N10" s="407"/>
      <c r="O10" s="407"/>
      <c r="P10" s="407"/>
      <c r="Q10" s="481"/>
      <c r="R10" s="407"/>
      <c r="S10" s="407"/>
      <c r="T10" s="407"/>
      <c r="U10" s="481"/>
      <c r="V10" s="407"/>
      <c r="W10" s="407"/>
      <c r="X10" s="407"/>
      <c r="Y10" s="481"/>
      <c r="Z10" s="407"/>
      <c r="AA10" s="407"/>
      <c r="AB10" s="407"/>
      <c r="AC10" s="407"/>
      <c r="AD10" s="481"/>
      <c r="AE10" s="407"/>
      <c r="AF10" s="407"/>
      <c r="AG10" s="407"/>
      <c r="AH10" s="481"/>
      <c r="AI10" s="407"/>
      <c r="AJ10" s="407"/>
      <c r="AK10" s="407"/>
      <c r="AL10" s="481"/>
      <c r="AM10" s="407"/>
      <c r="AN10" s="407"/>
      <c r="AO10" s="407"/>
      <c r="AP10" s="481"/>
      <c r="AQ10" s="651"/>
      <c r="AR10" s="651"/>
      <c r="AS10" s="651"/>
      <c r="AT10" s="651"/>
      <c r="AU10" s="651"/>
      <c r="AV10" s="542"/>
      <c r="AW10" s="542"/>
      <c r="AX10" s="542" t="s">
        <v>4</v>
      </c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</row>
    <row r="11" spans="1:91" s="364" customFormat="1" ht="13.5" customHeight="1" thickBot="1">
      <c r="A11" s="652" t="s">
        <v>165</v>
      </c>
      <c r="B11" s="633" t="s">
        <v>66</v>
      </c>
      <c r="C11" s="634"/>
      <c r="D11" s="634"/>
      <c r="E11" s="635"/>
      <c r="F11" s="633" t="s">
        <v>67</v>
      </c>
      <c r="G11" s="634"/>
      <c r="H11" s="634"/>
      <c r="I11" s="635"/>
      <c r="J11" s="633" t="s">
        <v>68</v>
      </c>
      <c r="K11" s="634"/>
      <c r="L11" s="634"/>
      <c r="M11" s="635"/>
      <c r="N11" s="633" t="s">
        <v>69</v>
      </c>
      <c r="O11" s="634"/>
      <c r="P11" s="634"/>
      <c r="Q11" s="635"/>
      <c r="R11" s="633" t="s">
        <v>70</v>
      </c>
      <c r="S11" s="634"/>
      <c r="T11" s="634"/>
      <c r="U11" s="635"/>
      <c r="V11" s="633" t="s">
        <v>71</v>
      </c>
      <c r="W11" s="634"/>
      <c r="X11" s="634"/>
      <c r="Y11" s="635"/>
      <c r="Z11" s="652" t="s">
        <v>165</v>
      </c>
      <c r="AA11" s="633" t="s">
        <v>72</v>
      </c>
      <c r="AB11" s="634"/>
      <c r="AC11" s="634"/>
      <c r="AD11" s="635"/>
      <c r="AE11" s="633" t="s">
        <v>73</v>
      </c>
      <c r="AF11" s="634"/>
      <c r="AG11" s="634"/>
      <c r="AH11" s="635"/>
      <c r="AI11" s="633" t="s">
        <v>189</v>
      </c>
      <c r="AJ11" s="634"/>
      <c r="AK11" s="634"/>
      <c r="AL11" s="635"/>
      <c r="AM11" s="633" t="s">
        <v>361</v>
      </c>
      <c r="AN11" s="634"/>
      <c r="AO11" s="634"/>
      <c r="AP11" s="634"/>
      <c r="AQ11" s="634"/>
      <c r="AR11" s="634"/>
      <c r="AS11" s="634"/>
      <c r="AT11" s="634"/>
      <c r="AU11" s="634"/>
      <c r="AV11" s="634"/>
      <c r="AW11" s="634"/>
      <c r="AX11" s="635"/>
      <c r="AY11" s="379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3"/>
      <c r="BS11" s="363"/>
      <c r="BT11" s="363"/>
      <c r="BU11" s="363"/>
      <c r="BV11" s="363"/>
      <c r="BW11" s="363"/>
      <c r="BX11" s="363"/>
      <c r="BY11" s="363"/>
      <c r="BZ11" s="363"/>
      <c r="CA11" s="363"/>
      <c r="CB11" s="363"/>
      <c r="CC11" s="363"/>
      <c r="CD11" s="363"/>
      <c r="CE11" s="363"/>
      <c r="CF11" s="363"/>
      <c r="CG11" s="363"/>
      <c r="CH11" s="363"/>
      <c r="CI11" s="363"/>
      <c r="CJ11" s="363"/>
      <c r="CK11" s="363"/>
      <c r="CL11" s="363"/>
      <c r="CM11" s="363"/>
    </row>
    <row r="12" spans="1:91" s="366" customFormat="1" ht="30" customHeight="1" thickBot="1">
      <c r="A12" s="652"/>
      <c r="B12" s="638" t="s">
        <v>41</v>
      </c>
      <c r="C12" s="639"/>
      <c r="D12" s="639"/>
      <c r="E12" s="640"/>
      <c r="F12" s="638" t="s">
        <v>42</v>
      </c>
      <c r="G12" s="639"/>
      <c r="H12" s="639"/>
      <c r="I12" s="640"/>
      <c r="J12" s="638" t="s">
        <v>43</v>
      </c>
      <c r="K12" s="639"/>
      <c r="L12" s="639"/>
      <c r="M12" s="640"/>
      <c r="N12" s="638" t="s">
        <v>52</v>
      </c>
      <c r="O12" s="639"/>
      <c r="P12" s="639"/>
      <c r="Q12" s="640"/>
      <c r="R12" s="638" t="s">
        <v>44</v>
      </c>
      <c r="S12" s="639"/>
      <c r="T12" s="639"/>
      <c r="U12" s="640"/>
      <c r="V12" s="638" t="s">
        <v>46</v>
      </c>
      <c r="W12" s="639"/>
      <c r="X12" s="639"/>
      <c r="Y12" s="640"/>
      <c r="Z12" s="652"/>
      <c r="AA12" s="638" t="s">
        <v>45</v>
      </c>
      <c r="AB12" s="639"/>
      <c r="AC12" s="639"/>
      <c r="AD12" s="640"/>
      <c r="AE12" s="638" t="s">
        <v>47</v>
      </c>
      <c r="AF12" s="639"/>
      <c r="AG12" s="639"/>
      <c r="AH12" s="640"/>
      <c r="AI12" s="638" t="s">
        <v>74</v>
      </c>
      <c r="AJ12" s="639"/>
      <c r="AK12" s="639"/>
      <c r="AL12" s="640"/>
      <c r="AM12" s="641" t="s">
        <v>50</v>
      </c>
      <c r="AN12" s="642"/>
      <c r="AO12" s="642"/>
      <c r="AP12" s="642"/>
      <c r="AQ12" s="642"/>
      <c r="AR12" s="642"/>
      <c r="AS12" s="642"/>
      <c r="AT12" s="642"/>
      <c r="AU12" s="642"/>
      <c r="AV12" s="642"/>
      <c r="AW12" s="642"/>
      <c r="AX12" s="643"/>
      <c r="AY12" s="380"/>
      <c r="AZ12" s="365"/>
      <c r="BA12" s="365"/>
      <c r="BB12" s="365"/>
      <c r="BC12" s="365"/>
      <c r="BD12" s="365"/>
      <c r="BE12" s="365"/>
      <c r="BF12" s="365"/>
      <c r="BG12" s="365"/>
      <c r="BH12" s="365"/>
      <c r="BI12" s="365"/>
      <c r="BJ12" s="365"/>
      <c r="BK12" s="365"/>
      <c r="BL12" s="365"/>
      <c r="BM12" s="365"/>
      <c r="BN12" s="365"/>
      <c r="BO12" s="365"/>
      <c r="BP12" s="365"/>
      <c r="BQ12" s="365"/>
      <c r="BR12" s="365"/>
      <c r="BS12" s="365"/>
      <c r="BT12" s="365"/>
      <c r="BU12" s="365"/>
      <c r="BV12" s="365"/>
      <c r="BW12" s="365"/>
      <c r="BX12" s="365"/>
      <c r="BY12" s="365"/>
      <c r="BZ12" s="365"/>
      <c r="CA12" s="365"/>
      <c r="CB12" s="365"/>
      <c r="CC12" s="365"/>
      <c r="CD12" s="365"/>
      <c r="CE12" s="365"/>
      <c r="CF12" s="365"/>
      <c r="CG12" s="365"/>
      <c r="CH12" s="365"/>
      <c r="CI12" s="365"/>
      <c r="CJ12" s="365"/>
      <c r="CK12" s="365"/>
      <c r="CL12" s="365"/>
      <c r="CM12" s="365"/>
    </row>
    <row r="13" spans="1:91" s="366" customFormat="1" ht="12.75" customHeight="1" thickBot="1">
      <c r="A13" s="652"/>
      <c r="B13" s="641"/>
      <c r="C13" s="642"/>
      <c r="D13" s="642"/>
      <c r="E13" s="643"/>
      <c r="F13" s="641"/>
      <c r="G13" s="642"/>
      <c r="H13" s="642"/>
      <c r="I13" s="643"/>
      <c r="J13" s="641"/>
      <c r="K13" s="642"/>
      <c r="L13" s="642"/>
      <c r="M13" s="643"/>
      <c r="N13" s="641"/>
      <c r="O13" s="642"/>
      <c r="P13" s="642"/>
      <c r="Q13" s="643"/>
      <c r="R13" s="641"/>
      <c r="S13" s="642"/>
      <c r="T13" s="642"/>
      <c r="U13" s="643"/>
      <c r="V13" s="641"/>
      <c r="W13" s="642"/>
      <c r="X13" s="642"/>
      <c r="Y13" s="643"/>
      <c r="Z13" s="652"/>
      <c r="AA13" s="641"/>
      <c r="AB13" s="642"/>
      <c r="AC13" s="642"/>
      <c r="AD13" s="643"/>
      <c r="AE13" s="641"/>
      <c r="AF13" s="642"/>
      <c r="AG13" s="642"/>
      <c r="AH13" s="643"/>
      <c r="AI13" s="641"/>
      <c r="AJ13" s="642"/>
      <c r="AK13" s="642"/>
      <c r="AL13" s="643"/>
      <c r="AM13" s="644" t="s">
        <v>75</v>
      </c>
      <c r="AN13" s="645"/>
      <c r="AO13" s="645"/>
      <c r="AP13" s="646"/>
      <c r="AQ13" s="644" t="s">
        <v>76</v>
      </c>
      <c r="AR13" s="645"/>
      <c r="AS13" s="645"/>
      <c r="AT13" s="646"/>
      <c r="AU13" s="644" t="s">
        <v>50</v>
      </c>
      <c r="AV13" s="645"/>
      <c r="AW13" s="645"/>
      <c r="AX13" s="646"/>
      <c r="AY13" s="380"/>
      <c r="AZ13" s="365"/>
      <c r="BA13" s="365"/>
      <c r="BB13" s="365"/>
      <c r="BC13" s="365"/>
      <c r="BD13" s="365"/>
      <c r="BE13" s="365"/>
      <c r="BF13" s="365"/>
      <c r="BG13" s="365"/>
      <c r="BH13" s="365"/>
      <c r="BI13" s="365"/>
      <c r="BJ13" s="365"/>
      <c r="BK13" s="365"/>
      <c r="BL13" s="365"/>
      <c r="BM13" s="365"/>
      <c r="BN13" s="365"/>
      <c r="BO13" s="365"/>
      <c r="BP13" s="365"/>
      <c r="BQ13" s="365"/>
      <c r="BR13" s="365"/>
      <c r="BS13" s="365"/>
      <c r="BT13" s="365"/>
      <c r="BU13" s="365"/>
      <c r="BV13" s="365"/>
      <c r="BW13" s="365"/>
      <c r="BX13" s="365"/>
      <c r="BY13" s="365"/>
      <c r="BZ13" s="365"/>
      <c r="CA13" s="365"/>
      <c r="CB13" s="365"/>
      <c r="CC13" s="365"/>
      <c r="CD13" s="365"/>
      <c r="CE13" s="365"/>
      <c r="CF13" s="365"/>
      <c r="CG13" s="365"/>
      <c r="CH13" s="365"/>
      <c r="CI13" s="365"/>
      <c r="CJ13" s="365"/>
      <c r="CK13" s="365"/>
      <c r="CL13" s="365"/>
      <c r="CM13" s="365"/>
    </row>
    <row r="14" spans="1:91" s="366" customFormat="1" ht="38.25" customHeight="1" thickBot="1">
      <c r="A14" s="652"/>
      <c r="B14" s="541" t="s">
        <v>311</v>
      </c>
      <c r="C14" s="541" t="s">
        <v>352</v>
      </c>
      <c r="D14" s="541" t="s">
        <v>389</v>
      </c>
      <c r="E14" s="483" t="s">
        <v>390</v>
      </c>
      <c r="F14" s="541" t="s">
        <v>311</v>
      </c>
      <c r="G14" s="541" t="s">
        <v>352</v>
      </c>
      <c r="H14" s="541" t="s">
        <v>389</v>
      </c>
      <c r="I14" s="483" t="s">
        <v>390</v>
      </c>
      <c r="J14" s="541" t="s">
        <v>311</v>
      </c>
      <c r="K14" s="541" t="s">
        <v>352</v>
      </c>
      <c r="L14" s="541" t="s">
        <v>389</v>
      </c>
      <c r="M14" s="483" t="s">
        <v>390</v>
      </c>
      <c r="N14" s="541" t="s">
        <v>311</v>
      </c>
      <c r="O14" s="541" t="s">
        <v>352</v>
      </c>
      <c r="P14" s="541" t="s">
        <v>389</v>
      </c>
      <c r="Q14" s="483" t="s">
        <v>390</v>
      </c>
      <c r="R14" s="541" t="s">
        <v>311</v>
      </c>
      <c r="S14" s="541" t="s">
        <v>352</v>
      </c>
      <c r="T14" s="541" t="s">
        <v>389</v>
      </c>
      <c r="U14" s="483" t="s">
        <v>390</v>
      </c>
      <c r="V14" s="541" t="s">
        <v>311</v>
      </c>
      <c r="W14" s="541" t="s">
        <v>352</v>
      </c>
      <c r="X14" s="541" t="s">
        <v>389</v>
      </c>
      <c r="Y14" s="483" t="s">
        <v>390</v>
      </c>
      <c r="Z14" s="652"/>
      <c r="AA14" s="541" t="s">
        <v>311</v>
      </c>
      <c r="AB14" s="541" t="s">
        <v>352</v>
      </c>
      <c r="AC14" s="541" t="s">
        <v>389</v>
      </c>
      <c r="AD14" s="483" t="s">
        <v>390</v>
      </c>
      <c r="AE14" s="541" t="s">
        <v>311</v>
      </c>
      <c r="AF14" s="541" t="s">
        <v>352</v>
      </c>
      <c r="AG14" s="541" t="s">
        <v>389</v>
      </c>
      <c r="AH14" s="483" t="s">
        <v>390</v>
      </c>
      <c r="AI14" s="541" t="s">
        <v>311</v>
      </c>
      <c r="AJ14" s="541" t="s">
        <v>352</v>
      </c>
      <c r="AK14" s="541" t="s">
        <v>389</v>
      </c>
      <c r="AL14" s="483" t="s">
        <v>390</v>
      </c>
      <c r="AM14" s="541" t="s">
        <v>311</v>
      </c>
      <c r="AN14" s="541" t="s">
        <v>352</v>
      </c>
      <c r="AO14" s="541" t="s">
        <v>389</v>
      </c>
      <c r="AP14" s="483" t="s">
        <v>390</v>
      </c>
      <c r="AQ14" s="541" t="s">
        <v>311</v>
      </c>
      <c r="AR14" s="541" t="s">
        <v>352</v>
      </c>
      <c r="AS14" s="541" t="s">
        <v>389</v>
      </c>
      <c r="AT14" s="483" t="s">
        <v>390</v>
      </c>
      <c r="AU14" s="541" t="s">
        <v>311</v>
      </c>
      <c r="AV14" s="541" t="s">
        <v>352</v>
      </c>
      <c r="AW14" s="541" t="s">
        <v>389</v>
      </c>
      <c r="AX14" s="483" t="s">
        <v>390</v>
      </c>
      <c r="AY14" s="380"/>
      <c r="AZ14" s="365"/>
      <c r="BA14" s="365"/>
      <c r="BB14" s="365"/>
      <c r="BC14" s="365"/>
      <c r="BD14" s="365"/>
      <c r="BE14" s="365"/>
      <c r="BF14" s="365"/>
      <c r="BG14" s="365"/>
      <c r="BH14" s="365"/>
      <c r="BI14" s="365"/>
      <c r="BJ14" s="365"/>
      <c r="BK14" s="365"/>
      <c r="BL14" s="365"/>
      <c r="BM14" s="365"/>
      <c r="BN14" s="365"/>
      <c r="BO14" s="365"/>
      <c r="BP14" s="365"/>
      <c r="BQ14" s="365"/>
      <c r="BR14" s="365"/>
      <c r="BS14" s="365"/>
      <c r="BT14" s="365"/>
      <c r="BU14" s="365"/>
      <c r="BV14" s="365"/>
      <c r="BW14" s="365"/>
      <c r="BX14" s="365"/>
      <c r="BY14" s="365"/>
      <c r="BZ14" s="365"/>
      <c r="CA14" s="365"/>
      <c r="CB14" s="365"/>
      <c r="CC14" s="365"/>
      <c r="CD14" s="365"/>
      <c r="CE14" s="365"/>
      <c r="CF14" s="365"/>
      <c r="CG14" s="365"/>
      <c r="CH14" s="365"/>
      <c r="CI14" s="365"/>
      <c r="CJ14" s="365"/>
      <c r="CK14" s="365"/>
      <c r="CL14" s="365"/>
      <c r="CM14" s="365"/>
    </row>
    <row r="15" spans="1:91" s="48" customFormat="1" ht="39.950000000000003" customHeight="1">
      <c r="A15" s="44" t="s">
        <v>190</v>
      </c>
      <c r="B15" s="45"/>
      <c r="C15" s="45"/>
      <c r="D15" s="45"/>
      <c r="E15" s="484"/>
      <c r="F15" s="45"/>
      <c r="G15" s="45"/>
      <c r="H15" s="45"/>
      <c r="I15" s="484"/>
      <c r="J15" s="45"/>
      <c r="K15" s="45"/>
      <c r="L15" s="45"/>
      <c r="M15" s="484"/>
      <c r="N15" s="45"/>
      <c r="O15" s="45"/>
      <c r="P15" s="45"/>
      <c r="Q15" s="484"/>
      <c r="R15" s="45"/>
      <c r="S15" s="45"/>
      <c r="T15" s="45"/>
      <c r="U15" s="484"/>
      <c r="V15" s="45"/>
      <c r="W15" s="45"/>
      <c r="X15" s="45"/>
      <c r="Y15" s="484"/>
      <c r="Z15" s="44" t="s">
        <v>190</v>
      </c>
      <c r="AA15" s="45"/>
      <c r="AB15" s="45"/>
      <c r="AC15" s="45"/>
      <c r="AD15" s="484"/>
      <c r="AE15" s="45"/>
      <c r="AF15" s="45"/>
      <c r="AG15" s="45"/>
      <c r="AH15" s="484"/>
      <c r="AI15" s="45"/>
      <c r="AJ15" s="45"/>
      <c r="AK15" s="45"/>
      <c r="AL15" s="484"/>
      <c r="AM15" s="45"/>
      <c r="AN15" s="45"/>
      <c r="AO15" s="45"/>
      <c r="AP15" s="484"/>
      <c r="AQ15" s="45"/>
      <c r="AR15" s="45"/>
      <c r="AS15" s="45"/>
      <c r="AT15" s="484"/>
      <c r="AU15" s="45"/>
      <c r="AV15" s="45"/>
      <c r="AW15" s="45"/>
      <c r="AX15" s="484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</row>
    <row r="16" spans="1:91" s="48" customFormat="1" ht="57" customHeight="1">
      <c r="A16" s="49" t="s">
        <v>193</v>
      </c>
      <c r="B16" s="50">
        <f>SUM('8. sz. melléklet'!B39)</f>
        <v>769357000</v>
      </c>
      <c r="C16" s="50">
        <f>SUM('8. sz. melléklet'!C39)</f>
        <v>916338457</v>
      </c>
      <c r="D16" s="50">
        <f>SUM('8. sz. melléklet'!D39)</f>
        <v>555834898</v>
      </c>
      <c r="E16" s="428">
        <f>SUM('8. sz. melléklet'!E39)</f>
        <v>0.60658252827208359</v>
      </c>
      <c r="F16" s="50">
        <f>SUM('8. sz. melléklet'!F39)</f>
        <v>174665000</v>
      </c>
      <c r="G16" s="50">
        <f>SUM('8. sz. melléklet'!G39)</f>
        <v>197150174</v>
      </c>
      <c r="H16" s="50">
        <f>SUM('8. sz. melléklet'!H39)</f>
        <v>114186019</v>
      </c>
      <c r="I16" s="428">
        <f>SUM('8. sz. melléklet'!I39)</f>
        <v>0.57918294812156745</v>
      </c>
      <c r="J16" s="50">
        <f>SUM('8. sz. melléklet'!J39)</f>
        <v>486942000</v>
      </c>
      <c r="K16" s="50">
        <f>SUM('8. sz. melléklet'!K39)</f>
        <v>476735751</v>
      </c>
      <c r="L16" s="50">
        <f>SUM('8. sz. melléklet'!L39)</f>
        <v>230758627</v>
      </c>
      <c r="M16" s="428">
        <f>SUM('8. sz. melléklet'!M39)</f>
        <v>0.48403885489175325</v>
      </c>
      <c r="N16" s="50">
        <f>SUM('8. sz. melléklet'!N39)</f>
        <v>0</v>
      </c>
      <c r="O16" s="50">
        <f>SUM('8. sz. melléklet'!O39)</f>
        <v>0</v>
      </c>
      <c r="P16" s="50">
        <f>SUM('8. sz. melléklet'!P39)</f>
        <v>0</v>
      </c>
      <c r="Q16" s="428">
        <f>SUM('8. sz. melléklet'!Q39)</f>
        <v>0</v>
      </c>
      <c r="R16" s="50">
        <f>SUM('8. sz. melléklet'!R39)</f>
        <v>0</v>
      </c>
      <c r="S16" s="50">
        <f>SUM('8. sz. melléklet'!S39)</f>
        <v>14632721</v>
      </c>
      <c r="T16" s="50">
        <f>SUM('8. sz. melléklet'!T39)</f>
        <v>13691635</v>
      </c>
      <c r="U16" s="428">
        <f>SUM('8. sz. melléklet'!U39)</f>
        <v>0.93568619260901642</v>
      </c>
      <c r="V16" s="50">
        <f>SUM('8. sz. melléklet'!V39)</f>
        <v>8593000</v>
      </c>
      <c r="W16" s="50">
        <f>SUM('8. sz. melléklet'!W39)</f>
        <v>23725000</v>
      </c>
      <c r="X16" s="50">
        <f>SUM('8. sz. melléklet'!X39)</f>
        <v>21921660</v>
      </c>
      <c r="Y16" s="428">
        <f>SUM('8. sz. melléklet'!Y39)</f>
        <v>0.92398988408851424</v>
      </c>
      <c r="Z16" s="49" t="s">
        <v>193</v>
      </c>
      <c r="AA16" s="50">
        <f>SUM('8. sz. melléklet'!Z39)</f>
        <v>7920000</v>
      </c>
      <c r="AB16" s="50">
        <f>SUM('8. sz. melléklet'!AA39)</f>
        <v>41745000</v>
      </c>
      <c r="AC16" s="50">
        <f>SUM('8. sz. melléklet'!AB39)</f>
        <v>33824592</v>
      </c>
      <c r="AD16" s="428">
        <f>SUM('8. sz. melléklet'!AC39)</f>
        <v>0.81026690621631337</v>
      </c>
      <c r="AE16" s="50">
        <f>SUM('8. sz. melléklet'!AD39)</f>
        <v>8000000</v>
      </c>
      <c r="AF16" s="50">
        <f>SUM('8. sz. melléklet'!AE39)</f>
        <v>0</v>
      </c>
      <c r="AG16" s="50">
        <f>SUM('8. sz. melléklet'!AF39)</f>
        <v>0</v>
      </c>
      <c r="AH16" s="428">
        <v>0</v>
      </c>
      <c r="AI16" s="50"/>
      <c r="AJ16" s="50"/>
      <c r="AK16" s="50"/>
      <c r="AL16" s="428"/>
      <c r="AM16" s="50">
        <f>SUM(B16+F16+J16+N16+R16)</f>
        <v>1430964000</v>
      </c>
      <c r="AN16" s="50">
        <f>SUM(C16+G16+K16+O16+S16)</f>
        <v>1604857103</v>
      </c>
      <c r="AO16" s="50">
        <f>SUM(D16+H16+L16+P16+T16)</f>
        <v>914471179</v>
      </c>
      <c r="AP16" s="428">
        <f>AO16/AN16</f>
        <v>0.56981470642498688</v>
      </c>
      <c r="AQ16" s="50">
        <f>SUM(V16+AA16+AE16)</f>
        <v>24513000</v>
      </c>
      <c r="AR16" s="50">
        <f t="shared" ref="AR16:AS16" si="0">SUM(W16+AB16+AF16)</f>
        <v>65470000</v>
      </c>
      <c r="AS16" s="50">
        <f t="shared" si="0"/>
        <v>55746252</v>
      </c>
      <c r="AT16" s="428">
        <f>AS16/AR16</f>
        <v>0.85147780662899042</v>
      </c>
      <c r="AU16" s="50">
        <f>SUM(AM16+AQ16)</f>
        <v>1455477000</v>
      </c>
      <c r="AV16" s="50">
        <f t="shared" ref="AV16:AW16" si="1">SUM(AN16+AR16)</f>
        <v>1670327103</v>
      </c>
      <c r="AW16" s="50">
        <f t="shared" si="1"/>
        <v>970217431</v>
      </c>
      <c r="AX16" s="428">
        <f>AW16/AV16</f>
        <v>0.58085474950231952</v>
      </c>
      <c r="AY16" s="69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</row>
    <row r="17" spans="1:91" s="48" customFormat="1" ht="70.5" customHeight="1">
      <c r="A17" s="44" t="s">
        <v>191</v>
      </c>
      <c r="B17" s="254"/>
      <c r="C17" s="254"/>
      <c r="D17" s="254"/>
      <c r="E17" s="550"/>
      <c r="F17" s="254"/>
      <c r="G17" s="254"/>
      <c r="H17" s="254"/>
      <c r="I17" s="550"/>
      <c r="J17" s="254"/>
      <c r="K17" s="254"/>
      <c r="L17" s="254"/>
      <c r="M17" s="550"/>
      <c r="N17" s="254"/>
      <c r="O17" s="254"/>
      <c r="P17" s="254"/>
      <c r="Q17" s="550"/>
      <c r="R17" s="254"/>
      <c r="S17" s="254"/>
      <c r="T17" s="254"/>
      <c r="U17" s="550"/>
      <c r="V17" s="254"/>
      <c r="W17" s="254"/>
      <c r="X17" s="254"/>
      <c r="Y17" s="550"/>
      <c r="Z17" s="44" t="s">
        <v>191</v>
      </c>
      <c r="AA17" s="254"/>
      <c r="AB17" s="254"/>
      <c r="AC17" s="254"/>
      <c r="AD17" s="550"/>
      <c r="AE17" s="254"/>
      <c r="AF17" s="254"/>
      <c r="AG17" s="254"/>
      <c r="AH17" s="550"/>
      <c r="AI17" s="254"/>
      <c r="AJ17" s="254"/>
      <c r="AK17" s="254"/>
      <c r="AL17" s="550"/>
      <c r="AM17" s="50"/>
      <c r="AN17" s="50"/>
      <c r="AO17" s="50"/>
      <c r="AP17" s="428"/>
      <c r="AQ17" s="50"/>
      <c r="AR17" s="50"/>
      <c r="AS17" s="50"/>
      <c r="AT17" s="428"/>
      <c r="AU17" s="50"/>
      <c r="AV17" s="50"/>
      <c r="AW17" s="50"/>
      <c r="AX17" s="428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</row>
    <row r="18" spans="1:91" s="63" customFormat="1" ht="39.950000000000003" customHeight="1" thickBot="1">
      <c r="A18" s="70" t="s">
        <v>194</v>
      </c>
      <c r="B18" s="60">
        <f>SUM('7. sz. melléklet'!C21)</f>
        <v>46459000</v>
      </c>
      <c r="C18" s="60">
        <f>SUM('7. sz. melléklet'!D21)</f>
        <v>49452000</v>
      </c>
      <c r="D18" s="60">
        <f>SUM('7. sz. melléklet'!E21)</f>
        <v>23426295</v>
      </c>
      <c r="E18" s="432">
        <f>SUM('7. sz. melléklet'!F21)</f>
        <v>0.47371784760980346</v>
      </c>
      <c r="F18" s="60">
        <f>SUM('7. sz. melléklet'!C37)</f>
        <v>11655000</v>
      </c>
      <c r="G18" s="60">
        <f>SUM('7. sz. melléklet'!D37)</f>
        <v>12315165</v>
      </c>
      <c r="H18" s="60">
        <f>SUM('7. sz. melléklet'!E37)</f>
        <v>5677147</v>
      </c>
      <c r="I18" s="428">
        <f>H18/G18</f>
        <v>0.46098830182137229</v>
      </c>
      <c r="J18" s="60">
        <f>SUM('7. sz. melléklet'!C117)</f>
        <v>275769000</v>
      </c>
      <c r="K18" s="60">
        <f>SUM('7. sz. melléklet'!D117)</f>
        <v>315959258</v>
      </c>
      <c r="L18" s="60">
        <f>SUM('7. sz. melléklet'!E117)</f>
        <v>67143860</v>
      </c>
      <c r="M18" s="428">
        <f>L18/K18</f>
        <v>0.21250796835331218</v>
      </c>
      <c r="N18" s="60">
        <f>SUM('7. sz. melléklet'!C131)</f>
        <v>62595000</v>
      </c>
      <c r="O18" s="60">
        <f>SUM('7. sz. melléklet'!D131)</f>
        <v>62595000</v>
      </c>
      <c r="P18" s="60">
        <f>SUM('7. sz. melléklet'!E131)</f>
        <v>27108870</v>
      </c>
      <c r="Q18" s="428">
        <f>P18/O18</f>
        <v>0.43308363287802543</v>
      </c>
      <c r="R18" s="60">
        <f>SUM('7. sz. melléklet'!C172)</f>
        <v>998451000</v>
      </c>
      <c r="S18" s="60">
        <f>SUM('7. sz. melléklet'!D172)</f>
        <v>1719947441</v>
      </c>
      <c r="T18" s="60">
        <f>SUM('7. sz. melléklet'!E172)</f>
        <v>504200121</v>
      </c>
      <c r="U18" s="428">
        <f>T18/S18</f>
        <v>0.2931485631368197</v>
      </c>
      <c r="V18" s="60">
        <f>SUM('7. sz. melléklet'!C202)</f>
        <v>89207000</v>
      </c>
      <c r="W18" s="60">
        <f>SUM('7. sz. melléklet'!D202)</f>
        <v>473653234</v>
      </c>
      <c r="X18" s="60">
        <f>SUM('7. sz. melléklet'!E202)</f>
        <v>34075416</v>
      </c>
      <c r="Y18" s="428">
        <f>X18/W18</f>
        <v>7.1941693952415828E-2</v>
      </c>
      <c r="Z18" s="70" t="s">
        <v>194</v>
      </c>
      <c r="AA18" s="60">
        <f>SUM('7. sz. melléklet'!C216)</f>
        <v>36706000</v>
      </c>
      <c r="AB18" s="60">
        <f>SUM('7. sz. melléklet'!D216)</f>
        <v>60102318</v>
      </c>
      <c r="AC18" s="60">
        <f>SUM('7. sz. melléklet'!E216)</f>
        <v>21434916</v>
      </c>
      <c r="AD18" s="428">
        <f>AC18/AB18</f>
        <v>0.35664042108991539</v>
      </c>
      <c r="AE18" s="60">
        <f>SUM('7. sz. melléklet'!C226)</f>
        <v>27400000</v>
      </c>
      <c r="AF18" s="60">
        <f>SUM('7. sz. melléklet'!D226)</f>
        <v>36437500</v>
      </c>
      <c r="AG18" s="60">
        <f>SUM('7. sz. melléklet'!E226)</f>
        <v>3037500</v>
      </c>
      <c r="AH18" s="428">
        <f>AG18/AF18</f>
        <v>8.3361921097770159E-2</v>
      </c>
      <c r="AI18" s="60">
        <f>SUM('7. sz. melléklet'!C229)</f>
        <v>52044000</v>
      </c>
      <c r="AJ18" s="60">
        <f>SUM('7. sz. melléklet'!D229)</f>
        <v>52044365</v>
      </c>
      <c r="AK18" s="60">
        <f>SUM('7. sz. melléklet'!E229)</f>
        <v>52044365</v>
      </c>
      <c r="AL18" s="428">
        <f>AK18/AJ18</f>
        <v>1</v>
      </c>
      <c r="AM18" s="50">
        <f t="shared" ref="AM18" si="2">SUM(B18+F18+J18+N18+R18)</f>
        <v>1394929000</v>
      </c>
      <c r="AN18" s="50">
        <f t="shared" ref="AN18" si="3">SUM(C18+G18+K18+O18+S18)</f>
        <v>2160268864</v>
      </c>
      <c r="AO18" s="50">
        <f t="shared" ref="AO18" si="4">SUM(D18+H18+L18+P18+T18)</f>
        <v>627556293</v>
      </c>
      <c r="AP18" s="428">
        <f t="shared" ref="AP18" si="5">AO18/AN18</f>
        <v>0.29049916121922126</v>
      </c>
      <c r="AQ18" s="50">
        <f>SUM(V18+AA18+AE18+AI18)</f>
        <v>205357000</v>
      </c>
      <c r="AR18" s="50">
        <f t="shared" ref="AR18:AS18" si="6">SUM(W18+AB18+AF18+AJ18)</f>
        <v>622237417</v>
      </c>
      <c r="AS18" s="50">
        <f t="shared" si="6"/>
        <v>110592197</v>
      </c>
      <c r="AT18" s="428">
        <f t="shared" ref="AT18" si="7">AS18/AR18</f>
        <v>0.17773311918977705</v>
      </c>
      <c r="AU18" s="50">
        <f t="shared" ref="AU18" si="8">SUM(AM18+AQ18)</f>
        <v>1600286000</v>
      </c>
      <c r="AV18" s="50">
        <f t="shared" ref="AV18" si="9">SUM(AN18+AR18)</f>
        <v>2782506281</v>
      </c>
      <c r="AW18" s="50">
        <f t="shared" ref="AW18" si="10">SUM(AO18+AS18)</f>
        <v>738148490</v>
      </c>
      <c r="AX18" s="428">
        <f t="shared" ref="AX18" si="11">AW18/AV18</f>
        <v>0.26528187736371189</v>
      </c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</row>
    <row r="19" spans="1:91" s="255" customFormat="1" ht="39.75" customHeight="1" thickTop="1" thickBot="1">
      <c r="A19" s="381" t="s">
        <v>192</v>
      </c>
      <c r="B19" s="382">
        <f>SUM(B16+B18)</f>
        <v>815816000</v>
      </c>
      <c r="C19" s="382">
        <f>SUM(C16+C18)</f>
        <v>965790457</v>
      </c>
      <c r="D19" s="382">
        <f t="shared" ref="D19" si="12">SUM(D16+D18)</f>
        <v>579261193</v>
      </c>
      <c r="E19" s="551">
        <f>D19/C19</f>
        <v>0.59977937118921021</v>
      </c>
      <c r="F19" s="382">
        <f t="shared" ref="F19:AW19" si="13">SUM(F16+F18)</f>
        <v>186320000</v>
      </c>
      <c r="G19" s="382">
        <f t="shared" si="13"/>
        <v>209465339</v>
      </c>
      <c r="H19" s="382">
        <f t="shared" si="13"/>
        <v>119863166</v>
      </c>
      <c r="I19" s="551">
        <f>H19/G19</f>
        <v>0.57223389116420831</v>
      </c>
      <c r="J19" s="382">
        <f t="shared" si="13"/>
        <v>762711000</v>
      </c>
      <c r="K19" s="382">
        <f t="shared" si="13"/>
        <v>792695009</v>
      </c>
      <c r="L19" s="382">
        <f t="shared" si="13"/>
        <v>297902487</v>
      </c>
      <c r="M19" s="551">
        <f>L19/K19</f>
        <v>0.37580971700050153</v>
      </c>
      <c r="N19" s="382">
        <f t="shared" si="13"/>
        <v>62595000</v>
      </c>
      <c r="O19" s="382">
        <f t="shared" si="13"/>
        <v>62595000</v>
      </c>
      <c r="P19" s="382">
        <f t="shared" si="13"/>
        <v>27108870</v>
      </c>
      <c r="Q19" s="551">
        <f>P19/O19</f>
        <v>0.43308363287802543</v>
      </c>
      <c r="R19" s="382">
        <f t="shared" si="13"/>
        <v>998451000</v>
      </c>
      <c r="S19" s="382">
        <f t="shared" si="13"/>
        <v>1734580162</v>
      </c>
      <c r="T19" s="382">
        <f t="shared" si="13"/>
        <v>517891756</v>
      </c>
      <c r="U19" s="551">
        <f>T19/S19</f>
        <v>0.29856893751330704</v>
      </c>
      <c r="V19" s="382">
        <f t="shared" si="13"/>
        <v>97800000</v>
      </c>
      <c r="W19" s="382">
        <f t="shared" si="13"/>
        <v>497378234</v>
      </c>
      <c r="X19" s="382">
        <f t="shared" si="13"/>
        <v>55997076</v>
      </c>
      <c r="Y19" s="551">
        <f>X19/W19</f>
        <v>0.11258449238854308</v>
      </c>
      <c r="Z19" s="381" t="s">
        <v>192</v>
      </c>
      <c r="AA19" s="382">
        <f t="shared" si="13"/>
        <v>44626000</v>
      </c>
      <c r="AB19" s="382">
        <f t="shared" si="13"/>
        <v>101847318</v>
      </c>
      <c r="AC19" s="382">
        <f t="shared" si="13"/>
        <v>55259508</v>
      </c>
      <c r="AD19" s="551">
        <f>AC19/AB19</f>
        <v>0.54257204887810595</v>
      </c>
      <c r="AE19" s="382">
        <f t="shared" si="13"/>
        <v>35400000</v>
      </c>
      <c r="AF19" s="382">
        <f t="shared" si="13"/>
        <v>36437500</v>
      </c>
      <c r="AG19" s="382">
        <f t="shared" si="13"/>
        <v>3037500</v>
      </c>
      <c r="AH19" s="551">
        <f>AG19/AF19</f>
        <v>8.3361921097770159E-2</v>
      </c>
      <c r="AI19" s="382">
        <f t="shared" si="13"/>
        <v>52044000</v>
      </c>
      <c r="AJ19" s="382">
        <f t="shared" si="13"/>
        <v>52044365</v>
      </c>
      <c r="AK19" s="382">
        <f t="shared" si="13"/>
        <v>52044365</v>
      </c>
      <c r="AL19" s="551">
        <f>AK19/AJ19</f>
        <v>1</v>
      </c>
      <c r="AM19" s="382">
        <f t="shared" si="13"/>
        <v>2825893000</v>
      </c>
      <c r="AN19" s="382">
        <f t="shared" si="13"/>
        <v>3765125967</v>
      </c>
      <c r="AO19" s="382">
        <f t="shared" si="13"/>
        <v>1542027472</v>
      </c>
      <c r="AP19" s="551">
        <f>AO19/AN19</f>
        <v>0.40955534702300173</v>
      </c>
      <c r="AQ19" s="382">
        <f t="shared" si="13"/>
        <v>229870000</v>
      </c>
      <c r="AR19" s="382">
        <f t="shared" si="13"/>
        <v>687707417</v>
      </c>
      <c r="AS19" s="382">
        <f t="shared" si="13"/>
        <v>166338449</v>
      </c>
      <c r="AT19" s="551">
        <f>AS19/AR19</f>
        <v>0.24187386218054996</v>
      </c>
      <c r="AU19" s="382">
        <f t="shared" si="13"/>
        <v>3055763000</v>
      </c>
      <c r="AV19" s="382">
        <f t="shared" si="13"/>
        <v>4452833384</v>
      </c>
      <c r="AW19" s="382">
        <f t="shared" si="13"/>
        <v>1708365921</v>
      </c>
      <c r="AX19" s="551">
        <f>AW19/AV19</f>
        <v>0.3836581730496656</v>
      </c>
      <c r="AZ19" s="365"/>
      <c r="BA19" s="365"/>
      <c r="BB19" s="365"/>
      <c r="BC19" s="365"/>
      <c r="BD19" s="365"/>
      <c r="BE19" s="365"/>
      <c r="BF19" s="365"/>
      <c r="BG19" s="365"/>
      <c r="BH19" s="365"/>
      <c r="BI19" s="365"/>
      <c r="BJ19" s="365"/>
      <c r="BK19" s="365"/>
      <c r="BL19" s="365"/>
      <c r="BM19" s="365"/>
      <c r="BN19" s="365"/>
      <c r="BO19" s="365"/>
      <c r="BP19" s="365"/>
      <c r="BQ19" s="365"/>
      <c r="BR19" s="365"/>
      <c r="BS19" s="365"/>
      <c r="BT19" s="365"/>
      <c r="BU19" s="365"/>
      <c r="BV19" s="365"/>
      <c r="BW19" s="365"/>
      <c r="BX19" s="365"/>
      <c r="BY19" s="365"/>
      <c r="BZ19" s="365"/>
      <c r="CA19" s="365"/>
      <c r="CB19" s="365"/>
      <c r="CC19" s="365"/>
      <c r="CD19" s="365"/>
      <c r="CE19" s="365"/>
      <c r="CF19" s="365"/>
      <c r="CG19" s="365"/>
      <c r="CH19" s="365"/>
      <c r="CI19" s="365"/>
      <c r="CJ19" s="365"/>
      <c r="CK19" s="365"/>
      <c r="CL19" s="365"/>
      <c r="CM19" s="365"/>
    </row>
    <row r="20" spans="1:91" ht="15.75" thickTop="1">
      <c r="AU20" s="77"/>
      <c r="AV20" s="77"/>
    </row>
    <row r="21" spans="1:91">
      <c r="AU21" s="77"/>
      <c r="AV21" s="77"/>
    </row>
  </sheetData>
  <mergeCells count="29">
    <mergeCell ref="A5:Y5"/>
    <mergeCell ref="AA5:AX5"/>
    <mergeCell ref="AZ8:BG8"/>
    <mergeCell ref="AQ10:AU10"/>
    <mergeCell ref="B11:E11"/>
    <mergeCell ref="F11:I11"/>
    <mergeCell ref="J11:M11"/>
    <mergeCell ref="N11:Q11"/>
    <mergeCell ref="R11:U11"/>
    <mergeCell ref="V11:Y11"/>
    <mergeCell ref="Z11:Z14"/>
    <mergeCell ref="AA11:AD11"/>
    <mergeCell ref="AE11:AH11"/>
    <mergeCell ref="AI11:AL11"/>
    <mergeCell ref="A11:A14"/>
    <mergeCell ref="AM11:AX11"/>
    <mergeCell ref="B12:E13"/>
    <mergeCell ref="F12:I13"/>
    <mergeCell ref="J12:M13"/>
    <mergeCell ref="N12:Q13"/>
    <mergeCell ref="R12:U13"/>
    <mergeCell ref="V12:Y13"/>
    <mergeCell ref="AA12:AD13"/>
    <mergeCell ref="AE12:AH13"/>
    <mergeCell ref="AI12:AL13"/>
    <mergeCell ref="AM12:AX12"/>
    <mergeCell ref="AM13:AP13"/>
    <mergeCell ref="AQ13:AT13"/>
    <mergeCell ref="AU13:AX13"/>
  </mergeCells>
  <pageMargins left="0.70866141732283472" right="0.70866141732283472" top="0.74803149606299213" bottom="0.74803149606299213" header="0.31496062992125984" footer="0.31496062992125984"/>
  <pageSetup paperSize="9" scale="34" orientation="landscape" horizontalDpi="300" verticalDpi="300" r:id="rId1"/>
  <colBreaks count="1" manualBreakCount="1">
    <brk id="25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U785"/>
  <sheetViews>
    <sheetView view="pageBreakPreview" zoomScale="82" zoomScaleSheetLayoutView="82" workbookViewId="0">
      <selection activeCell="A3" sqref="A3:F3"/>
    </sheetView>
  </sheetViews>
  <sheetFormatPr defaultRowHeight="15.75" thickBottom="1"/>
  <cols>
    <col min="1" max="1" width="80" style="28" customWidth="1"/>
    <col min="2" max="2" width="18.28515625" style="28" customWidth="1"/>
    <col min="3" max="3" width="21.42578125" style="29" customWidth="1"/>
    <col min="4" max="4" width="21.85546875" style="27" customWidth="1"/>
    <col min="5" max="5" width="21.42578125" style="29" customWidth="1"/>
    <col min="6" max="6" width="21.85546875" style="513" customWidth="1"/>
    <col min="7" max="7" width="15.7109375" style="13" bestFit="1" customWidth="1"/>
    <col min="8" max="73" width="9.140625" style="13"/>
    <col min="74" max="16384" width="9.140625" style="27"/>
  </cols>
  <sheetData>
    <row r="1" spans="1:73" s="17" customFormat="1" ht="15.75" customHeight="1">
      <c r="A1" s="292" t="s">
        <v>418</v>
      </c>
      <c r="B1" s="15"/>
      <c r="C1" s="16"/>
      <c r="E1" s="16"/>
      <c r="F1" s="493"/>
    </row>
    <row r="2" spans="1:73" s="13" customFormat="1" ht="15" customHeight="1">
      <c r="A2" s="116"/>
      <c r="B2" s="15"/>
      <c r="C2" s="18"/>
      <c r="E2" s="18"/>
      <c r="F2" s="494"/>
    </row>
    <row r="3" spans="1:73" s="13" customFormat="1" ht="42" customHeight="1">
      <c r="A3" s="653" t="s">
        <v>409</v>
      </c>
      <c r="B3" s="653"/>
      <c r="C3" s="653"/>
      <c r="D3" s="653"/>
      <c r="E3" s="653"/>
      <c r="F3" s="653"/>
    </row>
    <row r="4" spans="1:73" s="13" customFormat="1" ht="15" customHeight="1">
      <c r="C4" s="18"/>
      <c r="E4" s="18"/>
      <c r="F4" s="494"/>
    </row>
    <row r="5" spans="1:73" s="19" customFormat="1" ht="15.75" customHeight="1" thickBot="1">
      <c r="C5" s="20"/>
      <c r="D5" s="383"/>
      <c r="E5" s="20"/>
      <c r="F5" s="495" t="s">
        <v>4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</row>
    <row r="6" spans="1:73" s="297" customFormat="1" ht="66.75" customHeight="1" thickBot="1">
      <c r="A6" s="305" t="s">
        <v>244</v>
      </c>
      <c r="B6" s="294"/>
      <c r="C6" s="295" t="s">
        <v>311</v>
      </c>
      <c r="D6" s="295" t="s">
        <v>352</v>
      </c>
      <c r="E6" s="295" t="s">
        <v>389</v>
      </c>
      <c r="F6" s="496" t="s">
        <v>390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G6" s="296"/>
      <c r="BH6" s="296"/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6"/>
    </row>
    <row r="7" spans="1:73" s="196" customFormat="1" ht="33" customHeight="1" thickBot="1">
      <c r="A7" s="143" t="s">
        <v>143</v>
      </c>
      <c r="B7" s="144"/>
      <c r="C7" s="165"/>
      <c r="D7" s="165"/>
      <c r="E7" s="165"/>
      <c r="F7" s="497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</row>
    <row r="8" spans="1:73" s="196" customFormat="1" ht="21" customHeight="1" thickBot="1">
      <c r="A8" s="341" t="s">
        <v>78</v>
      </c>
      <c r="B8" s="21"/>
      <c r="C8" s="25">
        <v>57800000</v>
      </c>
      <c r="D8" s="25">
        <v>57800000</v>
      </c>
      <c r="E8" s="25">
        <v>0</v>
      </c>
      <c r="F8" s="498">
        <v>0</v>
      </c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</row>
    <row r="9" spans="1:73" s="199" customFormat="1" ht="28.5" customHeight="1" thickBot="1">
      <c r="A9" s="341" t="s">
        <v>258</v>
      </c>
      <c r="B9" s="24"/>
      <c r="C9" s="25">
        <f>SUM(B10:B10)</f>
        <v>2000000</v>
      </c>
      <c r="D9" s="25">
        <v>2000000</v>
      </c>
      <c r="E9" s="25">
        <v>0</v>
      </c>
      <c r="F9" s="498">
        <v>0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</row>
    <row r="10" spans="1:73" s="196" customFormat="1" ht="19.5" customHeight="1" thickBot="1">
      <c r="A10" s="23" t="s">
        <v>254</v>
      </c>
      <c r="B10" s="21">
        <v>2000000</v>
      </c>
      <c r="C10" s="22"/>
      <c r="D10" s="22"/>
      <c r="E10" s="22"/>
      <c r="F10" s="499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</row>
    <row r="11" spans="1:73" s="199" customFormat="1" ht="23.25" customHeight="1" thickBot="1">
      <c r="A11" s="341" t="s">
        <v>255</v>
      </c>
      <c r="B11" s="24"/>
      <c r="C11" s="25">
        <v>2300000</v>
      </c>
      <c r="D11" s="25">
        <f>SUM(B12:B13)</f>
        <v>2522250</v>
      </c>
      <c r="E11" s="25">
        <v>222250</v>
      </c>
      <c r="F11" s="498">
        <f>E11/D11</f>
        <v>8.8115769650113987E-2</v>
      </c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</row>
    <row r="12" spans="1:73" s="199" customFormat="1" ht="19.5" customHeight="1" thickBot="1">
      <c r="A12" s="23" t="s">
        <v>256</v>
      </c>
      <c r="B12" s="21">
        <v>1000000</v>
      </c>
      <c r="C12" s="25"/>
      <c r="D12" s="25"/>
      <c r="E12" s="25"/>
      <c r="F12" s="498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</row>
    <row r="13" spans="1:73" s="199" customFormat="1" ht="19.5" customHeight="1" thickBot="1">
      <c r="A13" s="23" t="s">
        <v>257</v>
      </c>
      <c r="B13" s="21">
        <f>1300000+222250</f>
        <v>1522250</v>
      </c>
      <c r="C13" s="25"/>
      <c r="D13" s="25"/>
      <c r="E13" s="25"/>
      <c r="F13" s="498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</row>
    <row r="14" spans="1:73" s="196" customFormat="1" ht="29.25" customHeight="1" thickBot="1">
      <c r="A14" s="341" t="s">
        <v>79</v>
      </c>
      <c r="B14" s="21"/>
      <c r="C14" s="25">
        <v>5283000</v>
      </c>
      <c r="D14" s="25">
        <f>SUM(B15:B16)</f>
        <v>8077000</v>
      </c>
      <c r="E14" s="25">
        <v>4835862</v>
      </c>
      <c r="F14" s="498">
        <f>E14/D14</f>
        <v>0.59872006933267308</v>
      </c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</row>
    <row r="15" spans="1:73" s="196" customFormat="1" ht="39.75" customHeight="1" thickBot="1">
      <c r="A15" s="23" t="s">
        <v>307</v>
      </c>
      <c r="B15" s="168">
        <v>4000000</v>
      </c>
      <c r="C15" s="25"/>
      <c r="D15" s="25"/>
      <c r="E15" s="25"/>
      <c r="F15" s="498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</row>
    <row r="16" spans="1:73" s="196" customFormat="1" ht="27.75" customHeight="1" thickBot="1">
      <c r="A16" s="23" t="s">
        <v>299</v>
      </c>
      <c r="B16" s="168">
        <f>1283000+2794000</f>
        <v>4077000</v>
      </c>
      <c r="C16" s="25"/>
      <c r="D16" s="25"/>
      <c r="E16" s="25"/>
      <c r="F16" s="498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</row>
    <row r="17" spans="1:73" s="196" customFormat="1" ht="22.5" customHeight="1" thickBot="1">
      <c r="A17" s="341" t="s">
        <v>80</v>
      </c>
      <c r="B17" s="21"/>
      <c r="C17" s="25">
        <v>150000</v>
      </c>
      <c r="D17" s="25">
        <v>150000</v>
      </c>
      <c r="E17" s="25">
        <v>0</v>
      </c>
      <c r="F17" s="498">
        <v>0</v>
      </c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</row>
    <row r="18" spans="1:73" s="196" customFormat="1" ht="22.5" customHeight="1" thickBot="1">
      <c r="A18" s="341" t="s">
        <v>81</v>
      </c>
      <c r="B18" s="21"/>
      <c r="C18" s="25">
        <f>SUM(B20:B21)</f>
        <v>340000</v>
      </c>
      <c r="D18" s="25">
        <v>340000</v>
      </c>
      <c r="E18" s="25">
        <v>0</v>
      </c>
      <c r="F18" s="498">
        <v>0</v>
      </c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</row>
    <row r="19" spans="1:73" s="196" customFormat="1" ht="22.5" customHeight="1" thickBot="1">
      <c r="A19" s="23" t="s">
        <v>53</v>
      </c>
      <c r="B19" s="21"/>
      <c r="C19" s="25"/>
      <c r="D19" s="25"/>
      <c r="E19" s="25"/>
      <c r="F19" s="498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4"/>
      <c r="BQ19" s="194"/>
      <c r="BR19" s="194"/>
      <c r="BS19" s="194"/>
      <c r="BT19" s="194"/>
      <c r="BU19" s="194"/>
    </row>
    <row r="20" spans="1:73" s="196" customFormat="1" ht="38.25" thickBot="1">
      <c r="A20" s="23" t="s">
        <v>82</v>
      </c>
      <c r="B20" s="21">
        <v>300000</v>
      </c>
      <c r="C20" s="25"/>
      <c r="D20" s="25"/>
      <c r="E20" s="25"/>
      <c r="F20" s="498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</row>
    <row r="21" spans="1:73" s="196" customFormat="1" ht="22.5" customHeight="1" thickBot="1">
      <c r="A21" s="23" t="s">
        <v>83</v>
      </c>
      <c r="B21" s="21">
        <v>40000</v>
      </c>
      <c r="C21" s="25"/>
      <c r="D21" s="25"/>
      <c r="E21" s="25"/>
      <c r="F21" s="498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</row>
    <row r="22" spans="1:73" s="196" customFormat="1" ht="22.5" customHeight="1" thickBot="1">
      <c r="A22" s="341" t="s">
        <v>84</v>
      </c>
      <c r="B22" s="21"/>
      <c r="C22" s="25">
        <f>SUM(B24:B25)</f>
        <v>1050000</v>
      </c>
      <c r="D22" s="25">
        <v>1050000</v>
      </c>
      <c r="E22" s="25">
        <v>0</v>
      </c>
      <c r="F22" s="498">
        <v>0</v>
      </c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</row>
    <row r="23" spans="1:73" s="196" customFormat="1" ht="22.5" customHeight="1" thickBot="1">
      <c r="A23" s="23" t="s">
        <v>53</v>
      </c>
      <c r="B23" s="21"/>
      <c r="C23" s="25"/>
      <c r="D23" s="25"/>
      <c r="E23" s="25"/>
      <c r="F23" s="498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</row>
    <row r="24" spans="1:73" s="196" customFormat="1" ht="22.5" customHeight="1" thickBot="1">
      <c r="A24" s="23" t="s">
        <v>85</v>
      </c>
      <c r="B24" s="21">
        <v>50000</v>
      </c>
      <c r="C24" s="25"/>
      <c r="D24" s="25"/>
      <c r="E24" s="25"/>
      <c r="F24" s="498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</row>
    <row r="25" spans="1:73" s="196" customFormat="1" ht="22.5" customHeight="1" thickBot="1">
      <c r="A25" s="23" t="s">
        <v>267</v>
      </c>
      <c r="B25" s="21">
        <v>1000000</v>
      </c>
      <c r="C25" s="25"/>
      <c r="D25" s="25"/>
      <c r="E25" s="25"/>
      <c r="F25" s="498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</row>
    <row r="26" spans="1:73" s="196" customFormat="1" ht="22.5" customHeight="1" thickBot="1">
      <c r="A26" s="341" t="s">
        <v>86</v>
      </c>
      <c r="B26" s="21"/>
      <c r="C26" s="25">
        <f>SUM(B28:B29)</f>
        <v>1209000</v>
      </c>
      <c r="D26" s="25">
        <v>1209000</v>
      </c>
      <c r="E26" s="25">
        <f>227190+64976</f>
        <v>292166</v>
      </c>
      <c r="F26" s="498">
        <f>E26/D26</f>
        <v>0.24165922249793217</v>
      </c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</row>
    <row r="27" spans="1:73" s="196" customFormat="1" ht="22.5" customHeight="1" thickBot="1">
      <c r="A27" s="23" t="s">
        <v>53</v>
      </c>
      <c r="B27" s="21"/>
      <c r="C27" s="25"/>
      <c r="D27" s="25"/>
      <c r="E27" s="25"/>
      <c r="F27" s="498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</row>
    <row r="28" spans="1:73" s="196" customFormat="1" ht="43.5" customHeight="1" thickBot="1">
      <c r="A28" s="23" t="s">
        <v>119</v>
      </c>
      <c r="B28" s="21">
        <v>909000</v>
      </c>
      <c r="C28" s="25"/>
      <c r="D28" s="25"/>
      <c r="E28" s="25"/>
      <c r="F28" s="498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</row>
    <row r="29" spans="1:73" s="196" customFormat="1" ht="30.75" customHeight="1" thickBot="1">
      <c r="A29" s="23" t="s">
        <v>120</v>
      </c>
      <c r="B29" s="21">
        <v>300000</v>
      </c>
      <c r="C29" s="25"/>
      <c r="D29" s="25"/>
      <c r="E29" s="25"/>
      <c r="F29" s="498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</row>
    <row r="30" spans="1:73" s="196" customFormat="1" ht="110.25" customHeight="1" thickBot="1">
      <c r="A30" s="654" t="s">
        <v>265</v>
      </c>
      <c r="B30" s="655"/>
      <c r="C30" s="25">
        <v>1400000</v>
      </c>
      <c r="D30" s="25">
        <v>1400000</v>
      </c>
      <c r="E30" s="25">
        <v>921175</v>
      </c>
      <c r="F30" s="498">
        <f>E30/D30</f>
        <v>0.65798214285714285</v>
      </c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</row>
    <row r="31" spans="1:73" s="196" customFormat="1" ht="38.25" thickBot="1">
      <c r="A31" s="341" t="s">
        <v>87</v>
      </c>
      <c r="B31" s="21"/>
      <c r="C31" s="25">
        <v>475340000</v>
      </c>
      <c r="D31" s="25">
        <f>475340000+42911662</f>
        <v>518251662</v>
      </c>
      <c r="E31" s="25">
        <v>312702216</v>
      </c>
      <c r="F31" s="498">
        <f t="shared" ref="F31:F34" si="0">E31/D31</f>
        <v>0.60337908959759401</v>
      </c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</row>
    <row r="32" spans="1:73" s="196" customFormat="1" ht="57" thickBot="1">
      <c r="A32" s="341" t="s">
        <v>245</v>
      </c>
      <c r="B32" s="21"/>
      <c r="C32" s="25">
        <v>97000000</v>
      </c>
      <c r="D32" s="25">
        <v>97000000</v>
      </c>
      <c r="E32" s="25">
        <v>67000000</v>
      </c>
      <c r="F32" s="498">
        <f t="shared" si="0"/>
        <v>0.69072164948453607</v>
      </c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</row>
    <row r="33" spans="1:73" s="196" customFormat="1" ht="27.75" customHeight="1" thickBot="1">
      <c r="A33" s="341" t="s">
        <v>305</v>
      </c>
      <c r="B33" s="21"/>
      <c r="C33" s="25">
        <v>1027000</v>
      </c>
      <c r="D33" s="25">
        <v>1027000</v>
      </c>
      <c r="E33" s="25">
        <v>0</v>
      </c>
      <c r="F33" s="498">
        <v>0</v>
      </c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</row>
    <row r="34" spans="1:73" s="196" customFormat="1" ht="42" customHeight="1" thickBot="1">
      <c r="A34" s="654" t="s">
        <v>284</v>
      </c>
      <c r="B34" s="655"/>
      <c r="C34" s="25">
        <f>SUM(B35:B39)</f>
        <v>56545000</v>
      </c>
      <c r="D34" s="25">
        <v>56545000</v>
      </c>
      <c r="E34" s="25">
        <f>11309900+2886000+11960454+243000</f>
        <v>26399354</v>
      </c>
      <c r="F34" s="498">
        <f t="shared" si="0"/>
        <v>0.46687335750287384</v>
      </c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</row>
    <row r="35" spans="1:73" s="196" customFormat="1" ht="21" customHeight="1" thickBot="1">
      <c r="A35" s="23" t="s">
        <v>124</v>
      </c>
      <c r="B35" s="21">
        <v>29090000</v>
      </c>
      <c r="C35" s="25"/>
      <c r="D35" s="25"/>
      <c r="E35" s="25"/>
      <c r="F35" s="498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</row>
    <row r="36" spans="1:73" s="196" customFormat="1" ht="21" customHeight="1" thickBot="1">
      <c r="A36" s="23" t="s">
        <v>125</v>
      </c>
      <c r="B36" s="21">
        <v>5455000</v>
      </c>
      <c r="C36" s="25"/>
      <c r="D36" s="25"/>
      <c r="E36" s="25"/>
      <c r="F36" s="498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</row>
    <row r="37" spans="1:73" s="196" customFormat="1" ht="21" customHeight="1" thickBot="1">
      <c r="A37" s="23" t="s">
        <v>282</v>
      </c>
      <c r="B37" s="21">
        <v>7455000</v>
      </c>
      <c r="C37" s="25"/>
      <c r="D37" s="25"/>
      <c r="E37" s="25"/>
      <c r="F37" s="498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</row>
    <row r="38" spans="1:73" s="196" customFormat="1" ht="21" customHeight="1" thickBot="1">
      <c r="A38" s="23" t="s">
        <v>283</v>
      </c>
      <c r="B38" s="21">
        <v>11364000</v>
      </c>
      <c r="C38" s="25"/>
      <c r="D38" s="25"/>
      <c r="E38" s="25"/>
      <c r="F38" s="498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</row>
    <row r="39" spans="1:73" s="196" customFormat="1" ht="21" customHeight="1" thickBot="1">
      <c r="A39" s="23" t="s">
        <v>126</v>
      </c>
      <c r="B39" s="21">
        <v>3181000</v>
      </c>
      <c r="C39" s="25"/>
      <c r="D39" s="25"/>
      <c r="E39" s="25"/>
      <c r="F39" s="498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</row>
    <row r="40" spans="1:73" s="196" customFormat="1" ht="39" customHeight="1" thickBot="1">
      <c r="A40" s="341" t="s">
        <v>281</v>
      </c>
      <c r="B40" s="21"/>
      <c r="C40" s="25">
        <f>SUM(B42:B43)</f>
        <v>33998000</v>
      </c>
      <c r="D40" s="25">
        <v>33998000</v>
      </c>
      <c r="E40" s="25">
        <v>11074000</v>
      </c>
      <c r="F40" s="498">
        <f>E40/D40</f>
        <v>0.32572504264956764</v>
      </c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</row>
    <row r="41" spans="1:73" s="196" customFormat="1" ht="27.75" customHeight="1" thickBot="1">
      <c r="A41" s="23" t="s">
        <v>90</v>
      </c>
      <c r="B41" s="21"/>
      <c r="C41" s="25"/>
      <c r="D41" s="25"/>
      <c r="E41" s="25"/>
      <c r="F41" s="498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</row>
    <row r="42" spans="1:73" s="196" customFormat="1" ht="37.5" customHeight="1" thickBot="1">
      <c r="A42" s="23" t="s">
        <v>268</v>
      </c>
      <c r="B42" s="21">
        <v>3263000</v>
      </c>
      <c r="C42" s="25"/>
      <c r="D42" s="25"/>
      <c r="E42" s="25"/>
      <c r="F42" s="498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</row>
    <row r="43" spans="1:73" s="196" customFormat="1" ht="24.75" customHeight="1" thickBot="1">
      <c r="A43" s="23" t="s">
        <v>269</v>
      </c>
      <c r="B43" s="21">
        <f>29970000+765000</f>
        <v>30735000</v>
      </c>
      <c r="C43" s="25"/>
      <c r="D43" s="25"/>
      <c r="E43" s="25"/>
      <c r="F43" s="498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</row>
    <row r="44" spans="1:73" s="218" customFormat="1" ht="66.75" customHeight="1" thickBot="1">
      <c r="A44" s="305" t="s">
        <v>244</v>
      </c>
      <c r="B44" s="304"/>
      <c r="C44" s="295" t="s">
        <v>311</v>
      </c>
      <c r="D44" s="295" t="s">
        <v>352</v>
      </c>
      <c r="E44" s="295" t="s">
        <v>311</v>
      </c>
      <c r="F44" s="496" t="s">
        <v>352</v>
      </c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</row>
    <row r="45" spans="1:73" s="196" customFormat="1" ht="37.5" customHeight="1" thickBot="1">
      <c r="A45" s="341" t="s">
        <v>118</v>
      </c>
      <c r="B45" s="21"/>
      <c r="C45" s="25">
        <v>14981000</v>
      </c>
      <c r="D45" s="25">
        <f>SUM(B46:B47)</f>
        <v>14196000</v>
      </c>
      <c r="E45" s="25">
        <v>1196000</v>
      </c>
      <c r="F45" s="498">
        <f>E45/D45</f>
        <v>8.4249084249084255E-2</v>
      </c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</row>
    <row r="46" spans="1:73" s="196" customFormat="1" ht="37.5" customHeight="1" thickBot="1">
      <c r="A46" s="23" t="s">
        <v>266</v>
      </c>
      <c r="B46" s="21">
        <v>13000000</v>
      </c>
      <c r="C46" s="25"/>
      <c r="D46" s="25"/>
      <c r="E46" s="25"/>
      <c r="F46" s="498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</row>
    <row r="47" spans="1:73" s="196" customFormat="1" ht="24.75" customHeight="1" thickBot="1">
      <c r="A47" s="303" t="s">
        <v>333</v>
      </c>
      <c r="B47" s="193">
        <f>1981000-1981000+1196000</f>
        <v>1196000</v>
      </c>
      <c r="C47" s="25"/>
      <c r="D47" s="25"/>
      <c r="E47" s="25"/>
      <c r="F47" s="498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</row>
    <row r="48" spans="1:73" s="199" customFormat="1" ht="32.25" customHeight="1" thickBot="1">
      <c r="A48" s="169" t="s">
        <v>127</v>
      </c>
      <c r="B48" s="170"/>
      <c r="C48" s="25">
        <f>SUM(B49)</f>
        <v>1600000</v>
      </c>
      <c r="D48" s="25">
        <f>SUM(B49:B50)</f>
        <v>4800000</v>
      </c>
      <c r="E48" s="25">
        <v>1629566</v>
      </c>
      <c r="F48" s="498">
        <f>E48/D48</f>
        <v>0.33949291666666664</v>
      </c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7"/>
      <c r="BC48" s="197"/>
      <c r="BD48" s="197"/>
      <c r="BE48" s="197"/>
      <c r="BF48" s="197"/>
      <c r="BG48" s="197"/>
      <c r="BH48" s="197"/>
      <c r="BI48" s="197"/>
      <c r="BJ48" s="197"/>
      <c r="BK48" s="197"/>
      <c r="BL48" s="197"/>
      <c r="BM48" s="197"/>
      <c r="BN48" s="197"/>
      <c r="BO48" s="197"/>
      <c r="BP48" s="197"/>
      <c r="BQ48" s="197"/>
      <c r="BR48" s="197"/>
      <c r="BS48" s="197"/>
      <c r="BT48" s="197"/>
      <c r="BU48" s="197"/>
    </row>
    <row r="49" spans="1:73" s="196" customFormat="1" ht="87.75" customHeight="1" thickBot="1">
      <c r="A49" s="23" t="s">
        <v>285</v>
      </c>
      <c r="B49" s="21">
        <v>1600000</v>
      </c>
      <c r="C49" s="22"/>
      <c r="D49" s="22"/>
      <c r="E49" s="22"/>
      <c r="F49" s="499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</row>
    <row r="50" spans="1:73" s="196" customFormat="1" ht="29.25" customHeight="1" thickBot="1">
      <c r="A50" s="23" t="s">
        <v>362</v>
      </c>
      <c r="B50" s="21">
        <v>3200000</v>
      </c>
      <c r="C50" s="22"/>
      <c r="D50" s="22"/>
      <c r="E50" s="22"/>
      <c r="F50" s="499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</row>
    <row r="51" spans="1:73" s="199" customFormat="1" ht="30" customHeight="1" thickBot="1">
      <c r="A51" s="341" t="s">
        <v>308</v>
      </c>
      <c r="B51" s="24"/>
      <c r="C51" s="25">
        <v>3000000</v>
      </c>
      <c r="D51" s="25">
        <v>3000000</v>
      </c>
      <c r="E51" s="25">
        <v>0</v>
      </c>
      <c r="F51" s="498">
        <v>0</v>
      </c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7"/>
      <c r="BR51" s="197"/>
      <c r="BS51" s="197"/>
      <c r="BT51" s="197"/>
      <c r="BU51" s="197"/>
    </row>
    <row r="52" spans="1:73" s="199" customFormat="1" ht="63.75" customHeight="1" thickBot="1">
      <c r="A52" s="341" t="s">
        <v>363</v>
      </c>
      <c r="B52" s="24"/>
      <c r="C52" s="25"/>
      <c r="D52" s="25">
        <v>3000000</v>
      </c>
      <c r="E52" s="25">
        <v>3000000</v>
      </c>
      <c r="F52" s="498">
        <f>E52/D52</f>
        <v>1</v>
      </c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7"/>
      <c r="BQ52" s="197"/>
      <c r="BR52" s="197"/>
      <c r="BS52" s="197"/>
      <c r="BT52" s="197"/>
      <c r="BU52" s="197"/>
    </row>
    <row r="53" spans="1:73" s="199" customFormat="1" ht="56.25" customHeight="1" thickBot="1">
      <c r="A53" s="341" t="s">
        <v>364</v>
      </c>
      <c r="B53" s="24"/>
      <c r="C53" s="25"/>
      <c r="D53" s="25">
        <v>9000000</v>
      </c>
      <c r="E53" s="25">
        <v>0</v>
      </c>
      <c r="F53" s="498">
        <v>0</v>
      </c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  <c r="BU53" s="197"/>
    </row>
    <row r="54" spans="1:73" s="199" customFormat="1" ht="28.5" customHeight="1" thickBot="1">
      <c r="A54" s="341" t="s">
        <v>365</v>
      </c>
      <c r="B54" s="24"/>
      <c r="C54" s="25"/>
      <c r="D54" s="25">
        <v>37500</v>
      </c>
      <c r="E54" s="25">
        <v>37500</v>
      </c>
      <c r="F54" s="498">
        <f>E54/D54</f>
        <v>1</v>
      </c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</row>
    <row r="55" spans="1:73" s="199" customFormat="1" ht="42" customHeight="1" thickBot="1">
      <c r="A55" s="341" t="s">
        <v>366</v>
      </c>
      <c r="B55" s="24"/>
      <c r="C55" s="25"/>
      <c r="D55" s="25">
        <v>460419</v>
      </c>
      <c r="E55" s="25">
        <v>1932183</v>
      </c>
      <c r="F55" s="498">
        <f>E55/D55</f>
        <v>4.196575293374079</v>
      </c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</row>
    <row r="56" spans="1:73" s="196" customFormat="1" ht="25.5" customHeight="1" thickBot="1">
      <c r="A56" s="341" t="s">
        <v>91</v>
      </c>
      <c r="B56" s="21"/>
      <c r="C56" s="25">
        <f>SUM(B57)</f>
        <v>21764000</v>
      </c>
      <c r="D56" s="25">
        <v>21764000</v>
      </c>
      <c r="E56" s="25">
        <v>10900470</v>
      </c>
      <c r="F56" s="498">
        <f>E56/D56</f>
        <v>0.50084864914537763</v>
      </c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</row>
    <row r="57" spans="1:73" s="196" customFormat="1" ht="25.5" customHeight="1" thickBot="1">
      <c r="A57" s="23" t="s">
        <v>92</v>
      </c>
      <c r="B57" s="21">
        <v>21764000</v>
      </c>
      <c r="C57" s="25"/>
      <c r="D57" s="25"/>
      <c r="E57" s="25"/>
      <c r="F57" s="498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4"/>
      <c r="BT57" s="194"/>
      <c r="BU57" s="194"/>
    </row>
    <row r="58" spans="1:73" s="196" customFormat="1" ht="39.75" customHeight="1" thickBot="1">
      <c r="A58" s="341" t="s">
        <v>93</v>
      </c>
      <c r="B58" s="21"/>
      <c r="C58" s="25">
        <v>24147000</v>
      </c>
      <c r="D58" s="25">
        <f>SUM(B60:B64)</f>
        <v>25115734</v>
      </c>
      <c r="E58" s="25">
        <f>337110+1800+19999+712439+90000+4005184+1694167+3472218</f>
        <v>10332917</v>
      </c>
      <c r="F58" s="498">
        <f>E58/D58</f>
        <v>0.4114121052564102</v>
      </c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N58" s="194"/>
      <c r="BO58" s="194"/>
      <c r="BP58" s="194"/>
      <c r="BQ58" s="194"/>
      <c r="BR58" s="194"/>
      <c r="BS58" s="194"/>
      <c r="BT58" s="194"/>
      <c r="BU58" s="194"/>
    </row>
    <row r="59" spans="1:73" s="196" customFormat="1" ht="21.75" customHeight="1" thickBot="1">
      <c r="A59" s="23" t="s">
        <v>53</v>
      </c>
      <c r="B59" s="21"/>
      <c r="C59" s="25"/>
      <c r="D59" s="25"/>
      <c r="E59" s="25"/>
      <c r="F59" s="498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4"/>
      <c r="BR59" s="194"/>
      <c r="BS59" s="194"/>
      <c r="BT59" s="194"/>
      <c r="BU59" s="194"/>
    </row>
    <row r="60" spans="1:73" s="196" customFormat="1" ht="21.75" customHeight="1" thickBot="1">
      <c r="A60" s="23" t="s">
        <v>135</v>
      </c>
      <c r="B60" s="21">
        <v>14000000</v>
      </c>
      <c r="C60" s="25"/>
      <c r="D60" s="25"/>
      <c r="E60" s="25"/>
      <c r="F60" s="498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4"/>
      <c r="BS60" s="194"/>
      <c r="BT60" s="194"/>
      <c r="BU60" s="194"/>
    </row>
    <row r="61" spans="1:73" s="196" customFormat="1" ht="21.75" customHeight="1" thickBot="1">
      <c r="A61" s="23" t="s">
        <v>94</v>
      </c>
      <c r="B61" s="21">
        <f>3147000+326000</f>
        <v>3473000</v>
      </c>
      <c r="C61" s="25"/>
      <c r="D61" s="25"/>
      <c r="E61" s="25"/>
      <c r="F61" s="498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94"/>
      <c r="BT61" s="194"/>
      <c r="BU61" s="194"/>
    </row>
    <row r="62" spans="1:73" s="196" customFormat="1" ht="21.75" customHeight="1" thickBot="1">
      <c r="A62" s="23" t="s">
        <v>136</v>
      </c>
      <c r="B62" s="21">
        <v>2000000</v>
      </c>
      <c r="C62" s="25"/>
      <c r="D62" s="25"/>
      <c r="E62" s="25"/>
      <c r="F62" s="498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</row>
    <row r="63" spans="1:73" s="196" customFormat="1" ht="21.75" customHeight="1" thickBot="1">
      <c r="A63" s="23" t="s">
        <v>95</v>
      </c>
      <c r="B63" s="21">
        <v>1000000</v>
      </c>
      <c r="C63" s="25"/>
      <c r="D63" s="25"/>
      <c r="E63" s="25"/>
      <c r="F63" s="498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</row>
    <row r="64" spans="1:73" s="196" customFormat="1" ht="21.75" customHeight="1" thickBot="1">
      <c r="A64" s="23" t="s">
        <v>300</v>
      </c>
      <c r="B64" s="21">
        <f>4000000+642734</f>
        <v>4642734</v>
      </c>
      <c r="C64" s="177"/>
      <c r="D64" s="177"/>
      <c r="E64" s="177"/>
      <c r="F64" s="500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</row>
    <row r="65" spans="1:73" s="196" customFormat="1" ht="21.75" customHeight="1" thickBot="1">
      <c r="A65" s="176" t="s">
        <v>121</v>
      </c>
      <c r="B65" s="193"/>
      <c r="C65" s="177">
        <v>67450000</v>
      </c>
      <c r="D65" s="177">
        <v>67450000</v>
      </c>
      <c r="E65" s="177">
        <f>28200000+16291043</f>
        <v>44491043</v>
      </c>
      <c r="F65" s="498">
        <f t="shared" ref="F65:F66" si="1">E65/D65</f>
        <v>0.65961516679021492</v>
      </c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</row>
    <row r="66" spans="1:73" s="196" customFormat="1" ht="40.5" customHeight="1" thickBot="1">
      <c r="A66" s="176" t="s">
        <v>367</v>
      </c>
      <c r="B66" s="193"/>
      <c r="C66" s="177"/>
      <c r="D66" s="177">
        <v>2126894</v>
      </c>
      <c r="E66" s="177">
        <v>2126894</v>
      </c>
      <c r="F66" s="498">
        <f t="shared" si="1"/>
        <v>1</v>
      </c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</row>
    <row r="67" spans="1:73" s="33" customFormat="1" ht="41.25" customHeight="1" thickBot="1">
      <c r="A67" s="183" t="s">
        <v>96</v>
      </c>
      <c r="B67" s="184"/>
      <c r="C67" s="185">
        <f>SUM(C8:C66)</f>
        <v>868384000</v>
      </c>
      <c r="D67" s="185">
        <f>SUM(D8:D66)</f>
        <v>932320459</v>
      </c>
      <c r="E67" s="185">
        <f>SUM(E8:E66)</f>
        <v>499093596</v>
      </c>
      <c r="F67" s="501">
        <f>E67/D67</f>
        <v>0.53532408431251643</v>
      </c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</row>
    <row r="68" spans="1:73" s="33" customFormat="1" ht="26.25" customHeight="1" thickBot="1">
      <c r="A68" s="31"/>
      <c r="B68" s="146"/>
      <c r="C68" s="147"/>
      <c r="D68" s="147"/>
      <c r="E68" s="147"/>
      <c r="F68" s="50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</row>
    <row r="69" spans="1:73" s="30" customFormat="1" ht="28.5" customHeight="1" thickBot="1">
      <c r="A69" s="148" t="s">
        <v>246</v>
      </c>
      <c r="B69" s="149"/>
      <c r="C69" s="150"/>
      <c r="D69" s="150"/>
      <c r="E69" s="150"/>
      <c r="F69" s="503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</row>
    <row r="70" spans="1:73" s="179" customFormat="1" ht="28.5" customHeight="1">
      <c r="A70" s="341" t="s">
        <v>122</v>
      </c>
      <c r="B70" s="166"/>
      <c r="C70" s="25">
        <v>39924000</v>
      </c>
      <c r="D70" s="25">
        <v>25508000</v>
      </c>
      <c r="E70" s="25">
        <f>SUM(B71:B80)</f>
        <v>5568439</v>
      </c>
      <c r="F70" s="498">
        <f>E70/D70</f>
        <v>0.21830167006429355</v>
      </c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178"/>
      <c r="BN70" s="178"/>
      <c r="BO70" s="178"/>
      <c r="BP70" s="178"/>
      <c r="BQ70" s="178"/>
      <c r="BR70" s="178"/>
      <c r="BS70" s="178"/>
      <c r="BT70" s="178"/>
      <c r="BU70" s="178"/>
    </row>
    <row r="71" spans="1:73" s="179" customFormat="1" ht="42" customHeight="1">
      <c r="A71" s="23" t="s">
        <v>296</v>
      </c>
      <c r="B71" s="21"/>
      <c r="C71" s="22"/>
      <c r="D71" s="22"/>
      <c r="E71" s="22"/>
      <c r="F71" s="499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178"/>
      <c r="BN71" s="178"/>
      <c r="BO71" s="178"/>
      <c r="BP71" s="178"/>
      <c r="BQ71" s="178"/>
      <c r="BR71" s="178"/>
      <c r="BS71" s="178"/>
      <c r="BT71" s="178"/>
      <c r="BU71" s="178"/>
    </row>
    <row r="72" spans="1:73" s="179" customFormat="1" ht="47.25" customHeight="1">
      <c r="A72" s="23" t="s">
        <v>414</v>
      </c>
      <c r="B72" s="21">
        <f>3646771+184354</f>
        <v>3831125</v>
      </c>
      <c r="C72" s="22"/>
      <c r="D72" s="22"/>
      <c r="E72" s="22"/>
      <c r="F72" s="499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178"/>
      <c r="BN72" s="178"/>
      <c r="BO72" s="178"/>
      <c r="BP72" s="178"/>
      <c r="BQ72" s="178"/>
      <c r="BR72" s="178"/>
      <c r="BS72" s="178"/>
      <c r="BT72" s="178"/>
      <c r="BU72" s="178"/>
    </row>
    <row r="73" spans="1:73" s="179" customFormat="1" ht="48.75" customHeight="1">
      <c r="A73" s="23" t="s">
        <v>292</v>
      </c>
      <c r="B73" s="21"/>
      <c r="C73" s="22"/>
      <c r="D73" s="22"/>
      <c r="E73" s="22"/>
      <c r="F73" s="499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178"/>
      <c r="BN73" s="178"/>
      <c r="BO73" s="178"/>
      <c r="BP73" s="178"/>
      <c r="BQ73" s="178"/>
      <c r="BR73" s="178"/>
      <c r="BS73" s="178"/>
      <c r="BT73" s="178"/>
      <c r="BU73" s="178"/>
    </row>
    <row r="74" spans="1:73" s="179" customFormat="1" ht="45.75" customHeight="1">
      <c r="A74" s="23" t="s">
        <v>291</v>
      </c>
      <c r="B74" s="21"/>
      <c r="C74" s="22"/>
      <c r="D74" s="22"/>
      <c r="E74" s="22"/>
      <c r="F74" s="499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178"/>
      <c r="BN74" s="178"/>
      <c r="BO74" s="178"/>
      <c r="BP74" s="178"/>
      <c r="BQ74" s="178"/>
      <c r="BR74" s="178"/>
      <c r="BS74" s="178"/>
      <c r="BT74" s="178"/>
      <c r="BU74" s="178"/>
    </row>
    <row r="75" spans="1:73" s="179" customFormat="1" ht="42" customHeight="1">
      <c r="A75" s="23" t="s">
        <v>293</v>
      </c>
      <c r="B75" s="21"/>
      <c r="C75" s="22"/>
      <c r="D75" s="22"/>
      <c r="E75" s="22"/>
      <c r="F75" s="499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178"/>
      <c r="BN75" s="178"/>
      <c r="BO75" s="178"/>
      <c r="BP75" s="178"/>
      <c r="BQ75" s="178"/>
      <c r="BR75" s="178"/>
      <c r="BS75" s="178"/>
      <c r="BT75" s="178"/>
      <c r="BU75" s="178"/>
    </row>
    <row r="76" spans="1:73" s="179" customFormat="1" ht="42" customHeight="1">
      <c r="A76" s="23" t="s">
        <v>294</v>
      </c>
      <c r="B76" s="21"/>
      <c r="C76" s="22"/>
      <c r="D76" s="22"/>
      <c r="E76" s="22"/>
      <c r="F76" s="499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178"/>
      <c r="BN76" s="178"/>
      <c r="BO76" s="178"/>
      <c r="BP76" s="178"/>
      <c r="BQ76" s="178"/>
      <c r="BR76" s="178"/>
      <c r="BS76" s="178"/>
      <c r="BT76" s="178"/>
      <c r="BU76" s="178"/>
    </row>
    <row r="77" spans="1:73" s="179" customFormat="1" ht="42" customHeight="1">
      <c r="A77" s="23" t="s">
        <v>295</v>
      </c>
      <c r="B77" s="21">
        <v>698500</v>
      </c>
      <c r="C77" s="22"/>
      <c r="D77" s="22"/>
      <c r="E77" s="22"/>
      <c r="F77" s="499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178"/>
      <c r="BN77" s="178"/>
      <c r="BO77" s="178"/>
      <c r="BP77" s="178"/>
      <c r="BQ77" s="178"/>
      <c r="BR77" s="178"/>
      <c r="BS77" s="178"/>
      <c r="BT77" s="178"/>
      <c r="BU77" s="178"/>
    </row>
    <row r="78" spans="1:73" s="179" customFormat="1" ht="42" customHeight="1">
      <c r="A78" s="23" t="s">
        <v>413</v>
      </c>
      <c r="B78" s="21">
        <v>75060</v>
      </c>
      <c r="C78" s="22"/>
      <c r="D78" s="22"/>
      <c r="E78" s="22"/>
      <c r="F78" s="499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178"/>
      <c r="BN78" s="178"/>
      <c r="BO78" s="178"/>
      <c r="BP78" s="178"/>
      <c r="BQ78" s="178"/>
      <c r="BR78" s="178"/>
      <c r="BS78" s="178"/>
      <c r="BT78" s="178"/>
      <c r="BU78" s="178"/>
    </row>
    <row r="79" spans="1:73" s="179" customFormat="1" ht="42" customHeight="1">
      <c r="A79" s="23" t="s">
        <v>412</v>
      </c>
      <c r="B79" s="21">
        <v>5779</v>
      </c>
      <c r="C79" s="22"/>
      <c r="D79" s="22"/>
      <c r="E79" s="22"/>
      <c r="F79" s="499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178"/>
      <c r="BN79" s="178"/>
      <c r="BO79" s="178"/>
      <c r="BP79" s="178"/>
      <c r="BQ79" s="178"/>
      <c r="BR79" s="178"/>
      <c r="BS79" s="178"/>
      <c r="BT79" s="178"/>
      <c r="BU79" s="178"/>
    </row>
    <row r="80" spans="1:73" s="179" customFormat="1" ht="47.25" customHeight="1" thickBot="1">
      <c r="A80" s="23" t="s">
        <v>411</v>
      </c>
      <c r="B80" s="21">
        <v>957975</v>
      </c>
      <c r="C80" s="22"/>
      <c r="D80" s="22"/>
      <c r="E80" s="22"/>
      <c r="F80" s="499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178"/>
      <c r="BN80" s="178"/>
      <c r="BO80" s="178"/>
      <c r="BP80" s="178"/>
      <c r="BQ80" s="178"/>
      <c r="BR80" s="178"/>
      <c r="BS80" s="178"/>
      <c r="BT80" s="178"/>
      <c r="BU80" s="178"/>
    </row>
    <row r="81" spans="1:73" s="218" customFormat="1" ht="66.75" customHeight="1" thickBot="1">
      <c r="A81" s="305" t="s">
        <v>244</v>
      </c>
      <c r="B81" s="304"/>
      <c r="C81" s="295" t="s">
        <v>311</v>
      </c>
      <c r="D81" s="295" t="s">
        <v>352</v>
      </c>
      <c r="E81" s="295" t="s">
        <v>311</v>
      </c>
      <c r="F81" s="496" t="s">
        <v>352</v>
      </c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</row>
    <row r="82" spans="1:73" s="181" customFormat="1" ht="52.5" customHeight="1" thickBot="1">
      <c r="A82" s="169" t="s">
        <v>298</v>
      </c>
      <c r="B82" s="170"/>
      <c r="C82" s="171">
        <v>100000</v>
      </c>
      <c r="D82" s="171">
        <v>100000</v>
      </c>
      <c r="E82" s="25">
        <v>0</v>
      </c>
      <c r="F82" s="498">
        <v>0</v>
      </c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197"/>
      <c r="BC82" s="197"/>
      <c r="BD82" s="197"/>
      <c r="BE82" s="197"/>
      <c r="BF82" s="197"/>
      <c r="BG82" s="197"/>
      <c r="BH82" s="197"/>
      <c r="BI82" s="197"/>
      <c r="BJ82" s="197"/>
      <c r="BK82" s="197"/>
      <c r="BL82" s="197"/>
      <c r="BM82" s="197"/>
      <c r="BN82" s="197"/>
      <c r="BO82" s="197"/>
      <c r="BP82" s="197"/>
      <c r="BQ82" s="197"/>
      <c r="BR82" s="197"/>
      <c r="BS82" s="197"/>
      <c r="BT82" s="197"/>
      <c r="BU82" s="197"/>
    </row>
    <row r="83" spans="1:73" s="243" customFormat="1" ht="79.5" customHeight="1" thickBot="1">
      <c r="A83" s="654" t="s">
        <v>288</v>
      </c>
      <c r="B83" s="655"/>
      <c r="C83" s="174">
        <v>32942000</v>
      </c>
      <c r="D83" s="174">
        <f>SUM(B84:B85)</f>
        <v>32941999</v>
      </c>
      <c r="E83" s="174">
        <f>190500+14503540</f>
        <v>14694040</v>
      </c>
      <c r="F83" s="504">
        <f>E83/D83</f>
        <v>0.44605793352127782</v>
      </c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</row>
    <row r="84" spans="1:73" s="199" customFormat="1" ht="33.75" customHeight="1" thickBot="1">
      <c r="A84" s="23" t="s">
        <v>247</v>
      </c>
      <c r="B84" s="172">
        <f>28000000-1</f>
        <v>27999999</v>
      </c>
      <c r="C84" s="25"/>
      <c r="D84" s="25"/>
      <c r="E84" s="25"/>
      <c r="F84" s="498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7"/>
      <c r="AW84" s="197"/>
      <c r="AX84" s="197"/>
      <c r="AY84" s="197"/>
      <c r="AZ84" s="197"/>
      <c r="BA84" s="197"/>
      <c r="BB84" s="197"/>
      <c r="BC84" s="197"/>
      <c r="BD84" s="197"/>
      <c r="BE84" s="197"/>
      <c r="BF84" s="197"/>
      <c r="BG84" s="197"/>
      <c r="BH84" s="197"/>
      <c r="BI84" s="197"/>
      <c r="BJ84" s="197"/>
      <c r="BK84" s="197"/>
      <c r="BL84" s="197"/>
      <c r="BM84" s="197"/>
      <c r="BN84" s="197"/>
      <c r="BO84" s="197"/>
      <c r="BP84" s="197"/>
      <c r="BQ84" s="197"/>
      <c r="BR84" s="197"/>
      <c r="BS84" s="197"/>
      <c r="BT84" s="197"/>
      <c r="BU84" s="197"/>
    </row>
    <row r="85" spans="1:73" s="199" customFormat="1" ht="33.75" customHeight="1" thickBot="1">
      <c r="A85" s="23" t="s">
        <v>248</v>
      </c>
      <c r="B85" s="172">
        <f>4942000-4942000+4942000</f>
        <v>4942000</v>
      </c>
      <c r="C85" s="25"/>
      <c r="D85" s="25"/>
      <c r="E85" s="25"/>
      <c r="F85" s="498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7"/>
      <c r="BJ85" s="197"/>
      <c r="BK85" s="197"/>
      <c r="BL85" s="197"/>
      <c r="BM85" s="197"/>
      <c r="BN85" s="197"/>
      <c r="BO85" s="197"/>
      <c r="BP85" s="197"/>
      <c r="BQ85" s="197"/>
      <c r="BR85" s="197"/>
      <c r="BS85" s="197"/>
      <c r="BT85" s="197"/>
      <c r="BU85" s="197"/>
    </row>
    <row r="86" spans="1:73" s="243" customFormat="1" ht="81.75" customHeight="1" thickBot="1">
      <c r="A86" s="654" t="s">
        <v>287</v>
      </c>
      <c r="B86" s="655"/>
      <c r="C86" s="174">
        <v>24406000</v>
      </c>
      <c r="D86" s="174">
        <f>SUM(B87:B88)</f>
        <v>24405663</v>
      </c>
      <c r="E86" s="25">
        <v>0</v>
      </c>
      <c r="F86" s="498">
        <v>0</v>
      </c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</row>
    <row r="87" spans="1:73" s="199" customFormat="1" ht="33.75" customHeight="1" thickBot="1">
      <c r="A87" s="23" t="s">
        <v>247</v>
      </c>
      <c r="B87" s="172">
        <f>20606000-337</f>
        <v>20605663</v>
      </c>
      <c r="C87" s="25"/>
      <c r="D87" s="25"/>
      <c r="E87" s="25"/>
      <c r="F87" s="498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  <c r="AW87" s="197"/>
      <c r="AX87" s="197"/>
      <c r="AY87" s="197"/>
      <c r="AZ87" s="197"/>
      <c r="BA87" s="197"/>
      <c r="BB87" s="197"/>
      <c r="BC87" s="197"/>
      <c r="BD87" s="197"/>
      <c r="BE87" s="197"/>
      <c r="BF87" s="197"/>
      <c r="BG87" s="197"/>
      <c r="BH87" s="197"/>
      <c r="BI87" s="197"/>
      <c r="BJ87" s="197"/>
      <c r="BK87" s="197"/>
      <c r="BL87" s="197"/>
      <c r="BM87" s="197"/>
      <c r="BN87" s="197"/>
      <c r="BO87" s="197"/>
      <c r="BP87" s="197"/>
      <c r="BQ87" s="197"/>
      <c r="BR87" s="197"/>
      <c r="BS87" s="197"/>
      <c r="BT87" s="197"/>
      <c r="BU87" s="197"/>
    </row>
    <row r="88" spans="1:73" s="199" customFormat="1" ht="33.75" customHeight="1" thickBot="1">
      <c r="A88" s="23" t="s">
        <v>248</v>
      </c>
      <c r="B88" s="172">
        <f>3800000-3800000+3800000</f>
        <v>3800000</v>
      </c>
      <c r="C88" s="25"/>
      <c r="D88" s="25"/>
      <c r="E88" s="25"/>
      <c r="F88" s="498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  <c r="BA88" s="197"/>
      <c r="BB88" s="197"/>
      <c r="BC88" s="197"/>
      <c r="BD88" s="197"/>
      <c r="BE88" s="197"/>
      <c r="BF88" s="197"/>
      <c r="BG88" s="197"/>
      <c r="BH88" s="197"/>
      <c r="BI88" s="197"/>
      <c r="BJ88" s="197"/>
      <c r="BK88" s="197"/>
      <c r="BL88" s="197"/>
      <c r="BM88" s="197"/>
      <c r="BN88" s="197"/>
      <c r="BO88" s="197"/>
      <c r="BP88" s="197"/>
      <c r="BQ88" s="197"/>
      <c r="BR88" s="197"/>
      <c r="BS88" s="197"/>
      <c r="BT88" s="197"/>
      <c r="BU88" s="197"/>
    </row>
    <row r="89" spans="1:73" s="199" customFormat="1" ht="72.75" customHeight="1" thickBot="1">
      <c r="A89" s="654" t="s">
        <v>368</v>
      </c>
      <c r="B89" s="655"/>
      <c r="C89" s="25">
        <v>2000000</v>
      </c>
      <c r="D89" s="25">
        <f>2000000+6096000</f>
        <v>8096000</v>
      </c>
      <c r="E89" s="25">
        <v>8095996</v>
      </c>
      <c r="F89" s="504">
        <f>E89/D89</f>
        <v>0.99999950592885378</v>
      </c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197"/>
      <c r="AT89" s="197"/>
      <c r="AU89" s="197"/>
      <c r="AV89" s="197"/>
      <c r="AW89" s="197"/>
      <c r="AX89" s="197"/>
      <c r="AY89" s="197"/>
      <c r="AZ89" s="197"/>
      <c r="BA89" s="197"/>
      <c r="BB89" s="197"/>
      <c r="BC89" s="197"/>
      <c r="BD89" s="197"/>
      <c r="BE89" s="197"/>
      <c r="BF89" s="197"/>
      <c r="BG89" s="197"/>
      <c r="BH89" s="197"/>
      <c r="BI89" s="197"/>
      <c r="BJ89" s="197"/>
      <c r="BK89" s="197"/>
      <c r="BL89" s="197"/>
      <c r="BM89" s="197"/>
      <c r="BN89" s="197"/>
      <c r="BO89" s="197"/>
      <c r="BP89" s="197"/>
      <c r="BQ89" s="197"/>
      <c r="BR89" s="197"/>
      <c r="BS89" s="197"/>
      <c r="BT89" s="197"/>
      <c r="BU89" s="197"/>
    </row>
    <row r="90" spans="1:73" s="199" customFormat="1" ht="33.75" customHeight="1" thickBot="1">
      <c r="A90" s="341" t="s">
        <v>289</v>
      </c>
      <c r="B90" s="173"/>
      <c r="C90" s="25">
        <v>37700000</v>
      </c>
      <c r="D90" s="25">
        <f>SUM(B91:B92)</f>
        <v>45810236</v>
      </c>
      <c r="E90" s="25">
        <v>22809200</v>
      </c>
      <c r="F90" s="504">
        <f>E90/D90</f>
        <v>0.49790618847717788</v>
      </c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97"/>
      <c r="BL90" s="197"/>
      <c r="BM90" s="197"/>
      <c r="BN90" s="197"/>
      <c r="BO90" s="197"/>
      <c r="BP90" s="197"/>
      <c r="BQ90" s="197"/>
      <c r="BR90" s="197"/>
      <c r="BS90" s="197"/>
      <c r="BT90" s="197"/>
      <c r="BU90" s="197"/>
    </row>
    <row r="91" spans="1:73" s="199" customFormat="1" ht="33.75" customHeight="1" thickBot="1">
      <c r="A91" s="23" t="s">
        <v>249</v>
      </c>
      <c r="B91" s="172">
        <f>10300000+8110236</f>
        <v>18410236</v>
      </c>
      <c r="C91" s="25"/>
      <c r="D91" s="25"/>
      <c r="E91" s="25"/>
      <c r="F91" s="498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  <c r="BA91" s="197"/>
      <c r="BB91" s="197"/>
      <c r="BC91" s="197"/>
      <c r="BD91" s="197"/>
      <c r="BE91" s="197"/>
      <c r="BF91" s="197"/>
      <c r="BG91" s="197"/>
      <c r="BH91" s="197"/>
      <c r="BI91" s="197"/>
      <c r="BJ91" s="197"/>
      <c r="BK91" s="197"/>
      <c r="BL91" s="197"/>
      <c r="BM91" s="197"/>
      <c r="BN91" s="197"/>
      <c r="BO91" s="197"/>
      <c r="BP91" s="197"/>
      <c r="BQ91" s="197"/>
      <c r="BR91" s="197"/>
      <c r="BS91" s="197"/>
      <c r="BT91" s="197"/>
      <c r="BU91" s="197"/>
    </row>
    <row r="92" spans="1:73" s="199" customFormat="1" ht="33.75" customHeight="1" thickBot="1">
      <c r="A92" s="303" t="s">
        <v>250</v>
      </c>
      <c r="B92" s="306">
        <v>27400000</v>
      </c>
      <c r="C92" s="25"/>
      <c r="D92" s="25"/>
      <c r="E92" s="25"/>
      <c r="F92" s="498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  <c r="BK92" s="197"/>
      <c r="BL92" s="197"/>
      <c r="BM92" s="197"/>
      <c r="BN92" s="197"/>
      <c r="BO92" s="197"/>
      <c r="BP92" s="197"/>
      <c r="BQ92" s="197"/>
      <c r="BR92" s="197"/>
      <c r="BS92" s="197"/>
      <c r="BT92" s="197"/>
      <c r="BU92" s="197"/>
    </row>
    <row r="93" spans="1:73" s="199" customFormat="1" ht="63.75" customHeight="1" thickBot="1">
      <c r="A93" s="169" t="s">
        <v>309</v>
      </c>
      <c r="B93" s="307"/>
      <c r="C93" s="25">
        <v>27169000</v>
      </c>
      <c r="D93" s="25">
        <f>27169000+4064110</f>
        <v>31233110</v>
      </c>
      <c r="E93" s="25">
        <v>1011212</v>
      </c>
      <c r="F93" s="504">
        <f>E93/D93</f>
        <v>3.2376282733291691E-2</v>
      </c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197"/>
      <c r="BR93" s="197"/>
      <c r="BS93" s="197"/>
      <c r="BT93" s="197"/>
      <c r="BU93" s="197"/>
    </row>
    <row r="94" spans="1:73" s="199" customFormat="1" ht="69.75" customHeight="1" thickBot="1">
      <c r="A94" s="169" t="s">
        <v>369</v>
      </c>
      <c r="B94" s="307"/>
      <c r="C94" s="25"/>
      <c r="D94" s="25">
        <v>328900000</v>
      </c>
      <c r="E94" s="25">
        <f>269875+55750</f>
        <v>325625</v>
      </c>
      <c r="F94" s="504">
        <f>E94/D94</f>
        <v>9.9004256612952261E-4</v>
      </c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197"/>
      <c r="AT94" s="197"/>
      <c r="AU94" s="197"/>
      <c r="AV94" s="197"/>
      <c r="AW94" s="197"/>
      <c r="AX94" s="197"/>
      <c r="AY94" s="197"/>
      <c r="AZ94" s="197"/>
      <c r="BA94" s="197"/>
      <c r="BB94" s="197"/>
      <c r="BC94" s="197"/>
      <c r="BD94" s="197"/>
      <c r="BE94" s="197"/>
      <c r="BF94" s="197"/>
      <c r="BG94" s="197"/>
      <c r="BH94" s="197"/>
      <c r="BI94" s="197"/>
      <c r="BJ94" s="197"/>
      <c r="BK94" s="197"/>
      <c r="BL94" s="197"/>
      <c r="BM94" s="197"/>
      <c r="BN94" s="197"/>
      <c r="BO94" s="197"/>
      <c r="BP94" s="197"/>
      <c r="BQ94" s="197"/>
      <c r="BR94" s="197"/>
      <c r="BS94" s="197"/>
      <c r="BT94" s="197"/>
      <c r="BU94" s="197"/>
    </row>
    <row r="95" spans="1:73" s="199" customFormat="1" ht="38.25" customHeight="1" thickBot="1">
      <c r="A95" s="169" t="s">
        <v>370</v>
      </c>
      <c r="B95" s="307"/>
      <c r="C95" s="25"/>
      <c r="D95" s="25">
        <v>8460000</v>
      </c>
      <c r="E95" s="25">
        <v>0</v>
      </c>
      <c r="F95" s="498">
        <v>0</v>
      </c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197"/>
      <c r="BI95" s="197"/>
      <c r="BJ95" s="197"/>
      <c r="BK95" s="197"/>
      <c r="BL95" s="197"/>
      <c r="BM95" s="197"/>
      <c r="BN95" s="197"/>
      <c r="BO95" s="197"/>
      <c r="BP95" s="197"/>
      <c r="BQ95" s="197"/>
      <c r="BR95" s="197"/>
      <c r="BS95" s="197"/>
      <c r="BT95" s="197"/>
      <c r="BU95" s="197"/>
    </row>
    <row r="96" spans="1:73" s="199" customFormat="1" ht="38.25" customHeight="1" thickBot="1">
      <c r="A96" s="169" t="s">
        <v>371</v>
      </c>
      <c r="B96" s="307"/>
      <c r="C96" s="25"/>
      <c r="D96" s="25">
        <v>29468180</v>
      </c>
      <c r="E96" s="25">
        <v>9000</v>
      </c>
      <c r="F96" s="504">
        <f>E96/D96</f>
        <v>3.0541417895506274E-4</v>
      </c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7"/>
      <c r="BC96" s="197"/>
      <c r="BD96" s="197"/>
      <c r="BE96" s="197"/>
      <c r="BF96" s="197"/>
      <c r="BG96" s="197"/>
      <c r="BH96" s="197"/>
      <c r="BI96" s="197"/>
      <c r="BJ96" s="197"/>
      <c r="BK96" s="197"/>
      <c r="BL96" s="197"/>
      <c r="BM96" s="197"/>
      <c r="BN96" s="197"/>
      <c r="BO96" s="197"/>
      <c r="BP96" s="197"/>
      <c r="BQ96" s="197"/>
      <c r="BR96" s="197"/>
      <c r="BS96" s="197"/>
      <c r="BT96" s="197"/>
      <c r="BU96" s="197"/>
    </row>
    <row r="97" spans="1:73" s="199" customFormat="1" ht="52.5" customHeight="1" thickBot="1">
      <c r="A97" s="169" t="s">
        <v>372</v>
      </c>
      <c r="B97" s="307"/>
      <c r="C97" s="25"/>
      <c r="D97" s="25">
        <v>56677069</v>
      </c>
      <c r="E97" s="25">
        <v>4164544</v>
      </c>
      <c r="F97" s="504">
        <f>E97/D97</f>
        <v>7.3478464456233614E-2</v>
      </c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  <c r="BK97" s="197"/>
      <c r="BL97" s="197"/>
      <c r="BM97" s="197"/>
      <c r="BN97" s="197"/>
      <c r="BO97" s="197"/>
      <c r="BP97" s="197"/>
      <c r="BQ97" s="197"/>
      <c r="BR97" s="197"/>
      <c r="BS97" s="197"/>
      <c r="BT97" s="197"/>
      <c r="BU97" s="197"/>
    </row>
    <row r="98" spans="1:73" s="203" customFormat="1" ht="32.25" customHeight="1" thickBot="1">
      <c r="A98" s="224" t="s">
        <v>416</v>
      </c>
      <c r="B98" s="544"/>
      <c r="C98" s="545"/>
      <c r="D98" s="545"/>
      <c r="E98" s="545">
        <v>73710</v>
      </c>
      <c r="F98" s="546">
        <v>0</v>
      </c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1"/>
      <c r="AT98" s="201"/>
      <c r="AU98" s="201"/>
      <c r="AV98" s="201"/>
      <c r="AW98" s="201"/>
      <c r="AX98" s="201"/>
      <c r="AY98" s="201"/>
      <c r="AZ98" s="201"/>
      <c r="BA98" s="201"/>
      <c r="BB98" s="201"/>
      <c r="BC98" s="201"/>
      <c r="BD98" s="201"/>
      <c r="BE98" s="201"/>
      <c r="BF98" s="201"/>
      <c r="BG98" s="201"/>
      <c r="BH98" s="201"/>
      <c r="BI98" s="201"/>
      <c r="BJ98" s="201"/>
      <c r="BK98" s="201"/>
      <c r="BL98" s="201"/>
      <c r="BM98" s="201"/>
      <c r="BN98" s="201"/>
      <c r="BO98" s="201"/>
      <c r="BP98" s="201"/>
      <c r="BQ98" s="201"/>
      <c r="BR98" s="201"/>
      <c r="BS98" s="201"/>
      <c r="BT98" s="201"/>
      <c r="BU98" s="201"/>
    </row>
    <row r="99" spans="1:73" s="199" customFormat="1" ht="78.75" customHeight="1" thickBot="1">
      <c r="A99" s="169" t="s">
        <v>373</v>
      </c>
      <c r="B99" s="307"/>
      <c r="C99" s="25"/>
      <c r="D99" s="25">
        <v>1000000</v>
      </c>
      <c r="E99" s="25">
        <v>0</v>
      </c>
      <c r="F99" s="498">
        <v>0</v>
      </c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  <c r="BA99" s="197"/>
      <c r="BB99" s="197"/>
      <c r="BC99" s="197"/>
      <c r="BD99" s="197"/>
      <c r="BE99" s="197"/>
      <c r="BF99" s="197"/>
      <c r="BG99" s="197"/>
      <c r="BH99" s="197"/>
      <c r="BI99" s="197"/>
      <c r="BJ99" s="197"/>
      <c r="BK99" s="197"/>
      <c r="BL99" s="197"/>
      <c r="BM99" s="197"/>
      <c r="BN99" s="197"/>
      <c r="BO99" s="197"/>
      <c r="BP99" s="197"/>
      <c r="BQ99" s="197"/>
      <c r="BR99" s="197"/>
      <c r="BS99" s="197"/>
      <c r="BT99" s="197"/>
      <c r="BU99" s="197"/>
    </row>
    <row r="100" spans="1:73" s="196" customFormat="1" ht="56.25" customHeight="1" thickBot="1">
      <c r="A100" s="341" t="s">
        <v>137</v>
      </c>
      <c r="B100" s="24"/>
      <c r="C100" s="25">
        <v>19050000</v>
      </c>
      <c r="D100" s="25">
        <v>19050000</v>
      </c>
      <c r="E100" s="25">
        <v>4762500</v>
      </c>
      <c r="F100" s="504">
        <f>E100/D100</f>
        <v>0.25</v>
      </c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</row>
    <row r="101" spans="1:73" s="196" customFormat="1" ht="39.75" customHeight="1" thickBot="1">
      <c r="A101" s="341" t="s">
        <v>251</v>
      </c>
      <c r="B101" s="24"/>
      <c r="C101" s="25">
        <v>125000000</v>
      </c>
      <c r="D101" s="25">
        <f>SUM(B102:B104)</f>
        <v>168400000</v>
      </c>
      <c r="E101" s="25">
        <v>73774136</v>
      </c>
      <c r="F101" s="504">
        <f>E101/D101</f>
        <v>0.43808869358669833</v>
      </c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4"/>
      <c r="BQ101" s="194"/>
      <c r="BR101" s="194"/>
      <c r="BS101" s="194"/>
      <c r="BT101" s="194"/>
      <c r="BU101" s="194"/>
    </row>
    <row r="102" spans="1:73" s="196" customFormat="1" ht="39.75" customHeight="1" thickBot="1">
      <c r="A102" s="23" t="s">
        <v>123</v>
      </c>
      <c r="B102" s="21">
        <v>115000000</v>
      </c>
      <c r="C102" s="22"/>
      <c r="D102" s="22"/>
      <c r="E102" s="22"/>
      <c r="F102" s="499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4"/>
      <c r="BN102" s="194"/>
      <c r="BO102" s="194"/>
      <c r="BP102" s="194"/>
      <c r="BQ102" s="194"/>
      <c r="BR102" s="194"/>
      <c r="BS102" s="194"/>
      <c r="BT102" s="194"/>
      <c r="BU102" s="194"/>
    </row>
    <row r="103" spans="1:73" s="196" customFormat="1" ht="39.75" customHeight="1" thickBot="1">
      <c r="A103" s="23" t="s">
        <v>260</v>
      </c>
      <c r="B103" s="21">
        <f>10000000+10000000</f>
        <v>20000000</v>
      </c>
      <c r="C103" s="22"/>
      <c r="D103" s="22"/>
      <c r="E103" s="22"/>
      <c r="F103" s="499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  <c r="BM103" s="194"/>
      <c r="BN103" s="194"/>
      <c r="BO103" s="194"/>
      <c r="BP103" s="194"/>
      <c r="BQ103" s="194"/>
      <c r="BR103" s="194"/>
      <c r="BS103" s="194"/>
      <c r="BT103" s="194"/>
      <c r="BU103" s="194"/>
    </row>
    <row r="104" spans="1:73" s="196" customFormat="1" ht="39.75" customHeight="1" thickBot="1">
      <c r="A104" s="23" t="s">
        <v>374</v>
      </c>
      <c r="B104" s="21">
        <v>33400000</v>
      </c>
      <c r="C104" s="22"/>
      <c r="D104" s="22"/>
      <c r="E104" s="22"/>
      <c r="F104" s="499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  <c r="BM104" s="194"/>
      <c r="BN104" s="194"/>
      <c r="BO104" s="194"/>
      <c r="BP104" s="194"/>
      <c r="BQ104" s="194"/>
      <c r="BR104" s="194"/>
      <c r="BS104" s="194"/>
      <c r="BT104" s="194"/>
      <c r="BU104" s="194"/>
    </row>
    <row r="105" spans="1:73" s="196" customFormat="1" ht="27" customHeight="1" thickBot="1">
      <c r="A105" s="341" t="s">
        <v>89</v>
      </c>
      <c r="B105" s="21"/>
      <c r="C105" s="25">
        <v>2000000</v>
      </c>
      <c r="D105" s="25">
        <v>2000000</v>
      </c>
      <c r="E105" s="25">
        <v>2121863</v>
      </c>
      <c r="F105" s="504">
        <f>E105/D105</f>
        <v>1.0609314999999999</v>
      </c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194"/>
      <c r="BL105" s="194"/>
      <c r="BM105" s="194"/>
      <c r="BN105" s="194"/>
      <c r="BO105" s="194"/>
      <c r="BP105" s="194"/>
      <c r="BQ105" s="194"/>
      <c r="BR105" s="194"/>
      <c r="BS105" s="194"/>
      <c r="BT105" s="194"/>
      <c r="BU105" s="194"/>
    </row>
    <row r="106" spans="1:73" s="196" customFormat="1" ht="27.75" customHeight="1" thickBot="1">
      <c r="A106" s="341" t="s">
        <v>98</v>
      </c>
      <c r="B106" s="24"/>
      <c r="C106" s="25">
        <v>6050000</v>
      </c>
      <c r="D106" s="25">
        <f>SUM(B107:B109)</f>
        <v>6050000</v>
      </c>
      <c r="E106" s="25">
        <f>721000+935000</f>
        <v>1656000</v>
      </c>
      <c r="F106" s="504">
        <f>E106/D106</f>
        <v>0.27371900826446283</v>
      </c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4"/>
      <c r="AT106" s="194"/>
      <c r="AU106" s="194"/>
      <c r="AV106" s="194"/>
      <c r="AW106" s="194"/>
      <c r="AX106" s="194"/>
      <c r="AY106" s="194"/>
      <c r="AZ106" s="194"/>
      <c r="BA106" s="194"/>
      <c r="BB106" s="194"/>
      <c r="BC106" s="194"/>
      <c r="BD106" s="194"/>
      <c r="BE106" s="194"/>
      <c r="BF106" s="194"/>
      <c r="BG106" s="194"/>
      <c r="BH106" s="194"/>
      <c r="BI106" s="194"/>
      <c r="BJ106" s="194"/>
      <c r="BK106" s="194"/>
      <c r="BL106" s="194"/>
      <c r="BM106" s="194"/>
      <c r="BN106" s="194"/>
      <c r="BO106" s="194"/>
      <c r="BP106" s="194"/>
      <c r="BQ106" s="194"/>
      <c r="BR106" s="194"/>
      <c r="BS106" s="194"/>
      <c r="BT106" s="194"/>
      <c r="BU106" s="194"/>
    </row>
    <row r="107" spans="1:73" s="196" customFormat="1" ht="30" customHeight="1" thickBot="1">
      <c r="A107" s="23" t="s">
        <v>99</v>
      </c>
      <c r="B107" s="21">
        <v>2000000</v>
      </c>
      <c r="C107" s="25"/>
      <c r="D107" s="25"/>
      <c r="E107" s="25"/>
      <c r="F107" s="498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4"/>
      <c r="AK107" s="194"/>
      <c r="AL107" s="194"/>
      <c r="AM107" s="194"/>
      <c r="AN107" s="194"/>
      <c r="AO107" s="194"/>
      <c r="AP107" s="194"/>
      <c r="AQ107" s="194"/>
      <c r="AR107" s="194"/>
      <c r="AS107" s="194"/>
      <c r="AT107" s="194"/>
      <c r="AU107" s="194"/>
      <c r="AV107" s="194"/>
      <c r="AW107" s="194"/>
      <c r="AX107" s="194"/>
      <c r="AY107" s="194"/>
      <c r="AZ107" s="194"/>
      <c r="BA107" s="194"/>
      <c r="BB107" s="194"/>
      <c r="BC107" s="194"/>
      <c r="BD107" s="194"/>
      <c r="BE107" s="194"/>
      <c r="BF107" s="194"/>
      <c r="BG107" s="194"/>
      <c r="BH107" s="194"/>
      <c r="BI107" s="194"/>
      <c r="BJ107" s="194"/>
      <c r="BK107" s="194"/>
      <c r="BL107" s="194"/>
      <c r="BM107" s="194"/>
      <c r="BN107" s="194"/>
      <c r="BO107" s="194"/>
      <c r="BP107" s="194"/>
      <c r="BQ107" s="194"/>
      <c r="BR107" s="194"/>
      <c r="BS107" s="194"/>
      <c r="BT107" s="194"/>
      <c r="BU107" s="194"/>
    </row>
    <row r="108" spans="1:73" s="196" customFormat="1" ht="19.5" thickBot="1">
      <c r="A108" s="23" t="s">
        <v>274</v>
      </c>
      <c r="B108" s="21">
        <v>50000</v>
      </c>
      <c r="C108" s="25"/>
      <c r="D108" s="25"/>
      <c r="E108" s="25"/>
      <c r="F108" s="498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4"/>
      <c r="AJ108" s="194"/>
      <c r="AK108" s="194"/>
      <c r="AL108" s="194"/>
      <c r="AM108" s="194"/>
      <c r="AN108" s="194"/>
      <c r="AO108" s="194"/>
      <c r="AP108" s="194"/>
      <c r="AQ108" s="194"/>
      <c r="AR108" s="194"/>
      <c r="AS108" s="194"/>
      <c r="AT108" s="194"/>
      <c r="AU108" s="194"/>
      <c r="AV108" s="194"/>
      <c r="AW108" s="194"/>
      <c r="AX108" s="194"/>
      <c r="AY108" s="194"/>
      <c r="AZ108" s="194"/>
      <c r="BA108" s="194"/>
      <c r="BB108" s="194"/>
      <c r="BC108" s="194"/>
      <c r="BD108" s="194"/>
      <c r="BE108" s="194"/>
      <c r="BF108" s="194"/>
      <c r="BG108" s="194"/>
      <c r="BH108" s="194"/>
      <c r="BI108" s="194"/>
      <c r="BJ108" s="194"/>
      <c r="BK108" s="194"/>
      <c r="BL108" s="194"/>
      <c r="BM108" s="194"/>
      <c r="BN108" s="194"/>
      <c r="BO108" s="194"/>
      <c r="BP108" s="194"/>
      <c r="BQ108" s="194"/>
      <c r="BR108" s="194"/>
      <c r="BS108" s="194"/>
      <c r="BT108" s="194"/>
      <c r="BU108" s="194"/>
    </row>
    <row r="109" spans="1:73" s="196" customFormat="1" ht="39.75" customHeight="1" thickBot="1">
      <c r="A109" s="23" t="s">
        <v>277</v>
      </c>
      <c r="B109" s="21">
        <v>4000000</v>
      </c>
      <c r="C109" s="25"/>
      <c r="D109" s="25"/>
      <c r="E109" s="25"/>
      <c r="F109" s="498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194"/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</row>
    <row r="110" spans="1:73" s="218" customFormat="1" ht="66.75" customHeight="1" thickBot="1">
      <c r="A110" s="305" t="s">
        <v>244</v>
      </c>
      <c r="B110" s="304"/>
      <c r="C110" s="295" t="s">
        <v>311</v>
      </c>
      <c r="D110" s="295" t="s">
        <v>352</v>
      </c>
      <c r="E110" s="295" t="s">
        <v>311</v>
      </c>
      <c r="F110" s="496" t="s">
        <v>352</v>
      </c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  <c r="AO110" s="216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B110" s="216"/>
      <c r="BC110" s="216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</row>
    <row r="111" spans="1:73" s="199" customFormat="1" ht="29.25" customHeight="1" thickBot="1">
      <c r="A111" s="341" t="s">
        <v>278</v>
      </c>
      <c r="B111" s="24"/>
      <c r="C111" s="25">
        <v>1000000</v>
      </c>
      <c r="D111" s="25">
        <f>1000000+77000</f>
        <v>1077000</v>
      </c>
      <c r="E111" s="25">
        <v>0</v>
      </c>
      <c r="F111" s="498">
        <v>0</v>
      </c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197"/>
      <c r="AV111" s="197"/>
      <c r="AW111" s="197"/>
      <c r="AX111" s="197"/>
      <c r="AY111" s="197"/>
      <c r="AZ111" s="197"/>
      <c r="BA111" s="197"/>
      <c r="BB111" s="197"/>
      <c r="BC111" s="197"/>
      <c r="BD111" s="197"/>
      <c r="BE111" s="197"/>
      <c r="BF111" s="197"/>
      <c r="BG111" s="197"/>
      <c r="BH111" s="197"/>
      <c r="BI111" s="197"/>
      <c r="BJ111" s="197"/>
      <c r="BK111" s="197"/>
      <c r="BL111" s="197"/>
      <c r="BM111" s="197"/>
      <c r="BN111" s="197"/>
      <c r="BO111" s="197"/>
      <c r="BP111" s="197"/>
      <c r="BQ111" s="197"/>
      <c r="BR111" s="197"/>
      <c r="BS111" s="197"/>
      <c r="BT111" s="197"/>
      <c r="BU111" s="197"/>
    </row>
    <row r="112" spans="1:73" s="196" customFormat="1" ht="24.75" customHeight="1" thickBot="1">
      <c r="A112" s="23" t="s">
        <v>337</v>
      </c>
      <c r="B112" s="21"/>
      <c r="C112" s="25"/>
      <c r="D112" s="25"/>
      <c r="E112" s="25"/>
      <c r="F112" s="498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4"/>
      <c r="BC112" s="194"/>
      <c r="BD112" s="194"/>
      <c r="BE112" s="194"/>
      <c r="BF112" s="194"/>
      <c r="BG112" s="194"/>
      <c r="BH112" s="194"/>
      <c r="BI112" s="194"/>
      <c r="BJ112" s="194"/>
      <c r="BK112" s="194"/>
      <c r="BL112" s="194"/>
      <c r="BM112" s="194"/>
      <c r="BN112" s="194"/>
      <c r="BO112" s="194"/>
      <c r="BP112" s="194"/>
      <c r="BQ112" s="194"/>
      <c r="BR112" s="194"/>
      <c r="BS112" s="194"/>
      <c r="BT112" s="194"/>
      <c r="BU112" s="194"/>
    </row>
    <row r="113" spans="1:73" s="196" customFormat="1" ht="24.75" customHeight="1" thickBot="1">
      <c r="A113" s="23" t="s">
        <v>279</v>
      </c>
      <c r="B113" s="21"/>
      <c r="C113" s="25"/>
      <c r="D113" s="25"/>
      <c r="E113" s="25"/>
      <c r="F113" s="498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4"/>
      <c r="AM113" s="194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4"/>
      <c r="BC113" s="194"/>
      <c r="BD113" s="194"/>
      <c r="BE113" s="194"/>
      <c r="BF113" s="194"/>
      <c r="BG113" s="194"/>
      <c r="BH113" s="194"/>
      <c r="BI113" s="194"/>
      <c r="BJ113" s="194"/>
      <c r="BK113" s="194"/>
      <c r="BL113" s="194"/>
      <c r="BM113" s="194"/>
      <c r="BN113" s="194"/>
      <c r="BO113" s="194"/>
      <c r="BP113" s="194"/>
      <c r="BQ113" s="194"/>
      <c r="BR113" s="194"/>
      <c r="BS113" s="194"/>
      <c r="BT113" s="194"/>
      <c r="BU113" s="194"/>
    </row>
    <row r="114" spans="1:73" s="196" customFormat="1" ht="24.75" customHeight="1" thickBot="1">
      <c r="A114" s="23" t="s">
        <v>280</v>
      </c>
      <c r="B114" s="21"/>
      <c r="C114" s="25"/>
      <c r="D114" s="25"/>
      <c r="E114" s="25"/>
      <c r="F114" s="498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4"/>
      <c r="BC114" s="194"/>
      <c r="BD114" s="194"/>
      <c r="BE114" s="194"/>
      <c r="BF114" s="194"/>
      <c r="BG114" s="194"/>
      <c r="BH114" s="194"/>
      <c r="BI114" s="194"/>
      <c r="BJ114" s="194"/>
      <c r="BK114" s="194"/>
      <c r="BL114" s="194"/>
      <c r="BM114" s="194"/>
      <c r="BN114" s="194"/>
      <c r="BO114" s="194"/>
      <c r="BP114" s="194"/>
      <c r="BQ114" s="194"/>
      <c r="BR114" s="194"/>
      <c r="BS114" s="194"/>
      <c r="BT114" s="194"/>
      <c r="BU114" s="194"/>
    </row>
    <row r="115" spans="1:73" s="196" customFormat="1" ht="57.75" customHeight="1" thickBot="1">
      <c r="A115" s="341" t="s">
        <v>375</v>
      </c>
      <c r="B115" s="21"/>
      <c r="C115" s="25"/>
      <c r="D115" s="25">
        <v>1999700</v>
      </c>
      <c r="E115" s="25">
        <v>1999700</v>
      </c>
      <c r="F115" s="498">
        <f>E115/D115</f>
        <v>1</v>
      </c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4"/>
      <c r="BC115" s="194"/>
      <c r="BD115" s="194"/>
      <c r="BE115" s="194"/>
      <c r="BF115" s="194"/>
      <c r="BG115" s="194"/>
      <c r="BH115" s="194"/>
      <c r="BI115" s="194"/>
      <c r="BJ115" s="194"/>
      <c r="BK115" s="194"/>
      <c r="BL115" s="194"/>
      <c r="BM115" s="194"/>
      <c r="BN115" s="194"/>
      <c r="BO115" s="194"/>
      <c r="BP115" s="194"/>
      <c r="BQ115" s="194"/>
      <c r="BR115" s="194"/>
      <c r="BS115" s="194"/>
      <c r="BT115" s="194"/>
      <c r="BU115" s="194"/>
    </row>
    <row r="116" spans="1:73" s="196" customFormat="1" ht="51" customHeight="1" thickBot="1">
      <c r="A116" s="341" t="s">
        <v>138</v>
      </c>
      <c r="B116" s="24"/>
      <c r="C116" s="25">
        <v>3000000</v>
      </c>
      <c r="D116" s="25">
        <v>3000000</v>
      </c>
      <c r="E116" s="25">
        <f>706901+621411+30407</f>
        <v>1358719</v>
      </c>
      <c r="F116" s="498">
        <f t="shared" ref="F116:F117" si="2">E116/D116</f>
        <v>0.45290633333333336</v>
      </c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4"/>
      <c r="BC116" s="194"/>
      <c r="BD116" s="194"/>
      <c r="BE116" s="194"/>
      <c r="BF116" s="194"/>
      <c r="BG116" s="194"/>
      <c r="BH116" s="194"/>
      <c r="BI116" s="194"/>
      <c r="BJ116" s="194"/>
      <c r="BK116" s="194"/>
      <c r="BL116" s="194"/>
      <c r="BM116" s="194"/>
      <c r="BN116" s="194"/>
      <c r="BO116" s="194"/>
      <c r="BP116" s="194"/>
      <c r="BQ116" s="194"/>
      <c r="BR116" s="194"/>
      <c r="BS116" s="194"/>
      <c r="BT116" s="194"/>
      <c r="BU116" s="194"/>
    </row>
    <row r="117" spans="1:73" s="196" customFormat="1" ht="34.5" customHeight="1" thickBot="1">
      <c r="A117" s="341" t="s">
        <v>139</v>
      </c>
      <c r="B117" s="24"/>
      <c r="C117" s="25">
        <v>5000000</v>
      </c>
      <c r="D117" s="25">
        <f>5000000+63000</f>
        <v>5063000</v>
      </c>
      <c r="E117" s="25">
        <f>1160108+11396</f>
        <v>1171504</v>
      </c>
      <c r="F117" s="498">
        <f t="shared" si="2"/>
        <v>0.2313853446573178</v>
      </c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4"/>
      <c r="BF117" s="194"/>
      <c r="BG117" s="194"/>
      <c r="BH117" s="194"/>
      <c r="BI117" s="194"/>
      <c r="BJ117" s="194"/>
      <c r="BK117" s="194"/>
      <c r="BL117" s="194"/>
      <c r="BM117" s="194"/>
      <c r="BN117" s="194"/>
      <c r="BO117" s="194"/>
      <c r="BP117" s="194"/>
      <c r="BQ117" s="194"/>
      <c r="BR117" s="194"/>
      <c r="BS117" s="194"/>
      <c r="BT117" s="194"/>
      <c r="BU117" s="194"/>
    </row>
    <row r="118" spans="1:73" s="196" customFormat="1" ht="38.25" thickBot="1">
      <c r="A118" s="341" t="s">
        <v>100</v>
      </c>
      <c r="B118" s="24"/>
      <c r="C118" s="25">
        <v>300000</v>
      </c>
      <c r="D118" s="25">
        <v>300000</v>
      </c>
      <c r="E118" s="25">
        <v>0</v>
      </c>
      <c r="F118" s="498">
        <v>0</v>
      </c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  <c r="BM118" s="194"/>
      <c r="BN118" s="194"/>
      <c r="BO118" s="194"/>
      <c r="BP118" s="194"/>
      <c r="BQ118" s="194"/>
      <c r="BR118" s="194"/>
      <c r="BS118" s="194"/>
      <c r="BT118" s="194"/>
      <c r="BU118" s="194"/>
    </row>
    <row r="119" spans="1:73" s="199" customFormat="1" ht="38.25" thickBot="1">
      <c r="A119" s="169" t="s">
        <v>275</v>
      </c>
      <c r="B119" s="170"/>
      <c r="C119" s="171">
        <v>1047000</v>
      </c>
      <c r="D119" s="171">
        <v>1047000</v>
      </c>
      <c r="E119" s="171">
        <f>1023375+295103</f>
        <v>1318478</v>
      </c>
      <c r="F119" s="498">
        <f>E119/D119</f>
        <v>1.2592913085004775</v>
      </c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  <c r="AW119" s="197"/>
      <c r="AX119" s="197"/>
      <c r="AY119" s="197"/>
      <c r="AZ119" s="197"/>
      <c r="BA119" s="197"/>
      <c r="BB119" s="197"/>
      <c r="BC119" s="197"/>
      <c r="BD119" s="197"/>
      <c r="BE119" s="197"/>
      <c r="BF119" s="197"/>
      <c r="BG119" s="197"/>
      <c r="BH119" s="197"/>
      <c r="BI119" s="197"/>
      <c r="BJ119" s="197"/>
      <c r="BK119" s="197"/>
      <c r="BL119" s="197"/>
      <c r="BM119" s="197"/>
      <c r="BN119" s="197"/>
      <c r="BO119" s="197"/>
      <c r="BP119" s="197"/>
      <c r="BQ119" s="197"/>
      <c r="BR119" s="197"/>
      <c r="BS119" s="197"/>
      <c r="BT119" s="197"/>
      <c r="BU119" s="197"/>
    </row>
    <row r="120" spans="1:73" s="199" customFormat="1" ht="30.75" customHeight="1" thickBot="1">
      <c r="A120" s="169" t="s">
        <v>276</v>
      </c>
      <c r="B120" s="170"/>
      <c r="C120" s="171">
        <v>500000</v>
      </c>
      <c r="D120" s="171">
        <f>500000+906165</f>
        <v>1406165</v>
      </c>
      <c r="E120" s="171">
        <f>182778</f>
        <v>182778</v>
      </c>
      <c r="F120" s="498">
        <f t="shared" ref="F120:F123" si="3">E120/D120</f>
        <v>0.12998332343643881</v>
      </c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7"/>
      <c r="BR120" s="197"/>
      <c r="BS120" s="197"/>
      <c r="BT120" s="197"/>
      <c r="BU120" s="197"/>
    </row>
    <row r="121" spans="1:73" s="196" customFormat="1" ht="32.25" customHeight="1" thickBot="1">
      <c r="A121" s="341" t="s">
        <v>264</v>
      </c>
      <c r="B121" s="24"/>
      <c r="C121" s="25">
        <v>5000000</v>
      </c>
      <c r="D121" s="25">
        <f>5000000+12655000</f>
        <v>17655000</v>
      </c>
      <c r="E121" s="25">
        <v>15155000</v>
      </c>
      <c r="F121" s="498">
        <f t="shared" si="3"/>
        <v>0.85839705465873695</v>
      </c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4"/>
      <c r="BN121" s="194"/>
      <c r="BO121" s="194"/>
      <c r="BP121" s="194"/>
      <c r="BQ121" s="194"/>
      <c r="BR121" s="194"/>
      <c r="BS121" s="194"/>
      <c r="BT121" s="194"/>
      <c r="BU121" s="194"/>
    </row>
    <row r="122" spans="1:73" s="196" customFormat="1" ht="38.25" thickBot="1">
      <c r="A122" s="341" t="s">
        <v>263</v>
      </c>
      <c r="B122" s="24"/>
      <c r="C122" s="25">
        <v>3750000</v>
      </c>
      <c r="D122" s="25">
        <v>3750000</v>
      </c>
      <c r="E122" s="25">
        <v>1875000</v>
      </c>
      <c r="F122" s="498">
        <f t="shared" si="3"/>
        <v>0.5</v>
      </c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4"/>
      <c r="AT122" s="194"/>
      <c r="AU122" s="194"/>
      <c r="AV122" s="194"/>
      <c r="AW122" s="194"/>
      <c r="AX122" s="194"/>
      <c r="AY122" s="194"/>
      <c r="AZ122" s="194"/>
      <c r="BA122" s="194"/>
      <c r="BB122" s="194"/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  <c r="BM122" s="194"/>
      <c r="BN122" s="194"/>
      <c r="BO122" s="194"/>
      <c r="BP122" s="194"/>
      <c r="BQ122" s="194"/>
      <c r="BR122" s="194"/>
      <c r="BS122" s="194"/>
      <c r="BT122" s="194"/>
      <c r="BU122" s="194"/>
    </row>
    <row r="123" spans="1:73" s="196" customFormat="1" ht="26.25" customHeight="1" thickBot="1">
      <c r="A123" s="341" t="s">
        <v>101</v>
      </c>
      <c r="B123" s="24"/>
      <c r="C123" s="25">
        <v>1369000</v>
      </c>
      <c r="D123" s="25">
        <f>SUM(B124:B130)</f>
        <v>1369000</v>
      </c>
      <c r="E123" s="25">
        <v>835725</v>
      </c>
      <c r="F123" s="498">
        <f t="shared" si="3"/>
        <v>0.61046384222059902</v>
      </c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94"/>
      <c r="AK123" s="194"/>
      <c r="AL123" s="194"/>
      <c r="AM123" s="194"/>
      <c r="AN123" s="194"/>
      <c r="AO123" s="194"/>
      <c r="AP123" s="194"/>
      <c r="AQ123" s="194"/>
      <c r="AR123" s="194"/>
      <c r="AS123" s="194"/>
      <c r="AT123" s="194"/>
      <c r="AU123" s="194"/>
      <c r="AV123" s="194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T123" s="194"/>
      <c r="BU123" s="194"/>
    </row>
    <row r="124" spans="1:73" s="196" customFormat="1" ht="38.25" thickBot="1">
      <c r="A124" s="23" t="s">
        <v>270</v>
      </c>
      <c r="B124" s="21">
        <v>723000</v>
      </c>
      <c r="C124" s="25"/>
      <c r="D124" s="25"/>
      <c r="E124" s="25"/>
      <c r="F124" s="498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4"/>
      <c r="AK124" s="194"/>
      <c r="AL124" s="194"/>
      <c r="AM124" s="194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4"/>
      <c r="BQ124" s="194"/>
      <c r="BR124" s="194"/>
      <c r="BS124" s="194"/>
      <c r="BT124" s="194"/>
      <c r="BU124" s="194"/>
    </row>
    <row r="125" spans="1:73" s="196" customFormat="1" ht="24" customHeight="1" thickBot="1">
      <c r="A125" s="23" t="s">
        <v>102</v>
      </c>
      <c r="B125" s="21">
        <v>25000</v>
      </c>
      <c r="C125" s="25"/>
      <c r="D125" s="25"/>
      <c r="E125" s="25"/>
      <c r="F125" s="498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4"/>
      <c r="AK125" s="194"/>
      <c r="AL125" s="194"/>
      <c r="AM125" s="194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4"/>
      <c r="BQ125" s="194"/>
      <c r="BR125" s="194"/>
      <c r="BS125" s="194"/>
      <c r="BT125" s="194"/>
      <c r="BU125" s="194"/>
    </row>
    <row r="126" spans="1:73" s="196" customFormat="1" ht="24" customHeight="1" thickBot="1">
      <c r="A126" s="23" t="s">
        <v>271</v>
      </c>
      <c r="B126" s="21">
        <v>50000</v>
      </c>
      <c r="C126" s="25"/>
      <c r="D126" s="25"/>
      <c r="E126" s="25"/>
      <c r="F126" s="498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  <c r="AL126" s="194"/>
      <c r="AM126" s="194"/>
      <c r="AN126" s="194"/>
      <c r="AO126" s="194"/>
      <c r="AP126" s="194"/>
      <c r="AQ126" s="194"/>
      <c r="AR126" s="194"/>
      <c r="AS126" s="194"/>
      <c r="AT126" s="194"/>
      <c r="AU126" s="194"/>
      <c r="AV126" s="194"/>
      <c r="AW126" s="194"/>
      <c r="AX126" s="194"/>
      <c r="AY126" s="194"/>
      <c r="AZ126" s="194"/>
      <c r="BA126" s="194"/>
      <c r="BB126" s="194"/>
      <c r="BC126" s="194"/>
      <c r="BD126" s="194"/>
      <c r="BE126" s="194"/>
      <c r="BF126" s="194"/>
      <c r="BG126" s="194"/>
      <c r="BH126" s="194"/>
      <c r="BI126" s="194"/>
      <c r="BJ126" s="194"/>
      <c r="BK126" s="194"/>
      <c r="BL126" s="194"/>
      <c r="BM126" s="194"/>
      <c r="BN126" s="194"/>
      <c r="BO126" s="194"/>
      <c r="BP126" s="194"/>
      <c r="BQ126" s="194"/>
      <c r="BR126" s="194"/>
      <c r="BS126" s="194"/>
      <c r="BT126" s="194"/>
      <c r="BU126" s="194"/>
    </row>
    <row r="127" spans="1:73" s="196" customFormat="1" ht="62.25" customHeight="1" thickBot="1">
      <c r="A127" s="23" t="s">
        <v>272</v>
      </c>
      <c r="B127" s="21">
        <v>543000</v>
      </c>
      <c r="C127" s="25"/>
      <c r="D127" s="25"/>
      <c r="E127" s="25"/>
      <c r="F127" s="498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94"/>
      <c r="AI127" s="194"/>
      <c r="AJ127" s="194"/>
      <c r="AK127" s="194"/>
      <c r="AL127" s="194"/>
      <c r="AM127" s="194"/>
      <c r="AN127" s="194"/>
      <c r="AO127" s="194"/>
      <c r="AP127" s="194"/>
      <c r="AQ127" s="194"/>
      <c r="AR127" s="194"/>
      <c r="AS127" s="194"/>
      <c r="AT127" s="194"/>
      <c r="AU127" s="194"/>
      <c r="AV127" s="194"/>
      <c r="AW127" s="194"/>
      <c r="AX127" s="194"/>
      <c r="AY127" s="194"/>
      <c r="AZ127" s="194"/>
      <c r="BA127" s="194"/>
      <c r="BB127" s="194"/>
      <c r="BC127" s="194"/>
      <c r="BD127" s="194"/>
      <c r="BE127" s="194"/>
      <c r="BF127" s="194"/>
      <c r="BG127" s="194"/>
      <c r="BH127" s="194"/>
      <c r="BI127" s="194"/>
      <c r="BJ127" s="194"/>
      <c r="BK127" s="194"/>
      <c r="BL127" s="194"/>
      <c r="BM127" s="194"/>
      <c r="BN127" s="194"/>
      <c r="BO127" s="194"/>
      <c r="BP127" s="194"/>
      <c r="BQ127" s="194"/>
      <c r="BR127" s="194"/>
      <c r="BS127" s="194"/>
      <c r="BT127" s="194"/>
      <c r="BU127" s="194"/>
    </row>
    <row r="128" spans="1:73" s="196" customFormat="1" ht="30.75" customHeight="1" thickBot="1">
      <c r="A128" s="23" t="s">
        <v>273</v>
      </c>
      <c r="B128" s="21">
        <v>22000</v>
      </c>
      <c r="C128" s="25"/>
      <c r="D128" s="25"/>
      <c r="E128" s="25"/>
      <c r="F128" s="498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4"/>
      <c r="AL128" s="194"/>
      <c r="AM128" s="194"/>
      <c r="AN128" s="194"/>
      <c r="AO128" s="194"/>
      <c r="AP128" s="194"/>
      <c r="AQ128" s="194"/>
      <c r="AR128" s="194"/>
      <c r="AS128" s="194"/>
      <c r="AT128" s="194"/>
      <c r="AU128" s="194"/>
      <c r="AV128" s="194"/>
      <c r="AW128" s="194"/>
      <c r="AX128" s="194"/>
      <c r="AY128" s="194"/>
      <c r="AZ128" s="194"/>
      <c r="BA128" s="194"/>
      <c r="BB128" s="194"/>
      <c r="BC128" s="194"/>
      <c r="BD128" s="194"/>
      <c r="BE128" s="194"/>
      <c r="BF128" s="194"/>
      <c r="BG128" s="194"/>
      <c r="BH128" s="194"/>
      <c r="BI128" s="194"/>
      <c r="BJ128" s="194"/>
      <c r="BK128" s="194"/>
      <c r="BL128" s="194"/>
      <c r="BM128" s="194"/>
      <c r="BN128" s="194"/>
      <c r="BO128" s="194"/>
      <c r="BP128" s="194"/>
      <c r="BQ128" s="194"/>
      <c r="BR128" s="194"/>
      <c r="BS128" s="194"/>
      <c r="BT128" s="194"/>
      <c r="BU128" s="194"/>
    </row>
    <row r="129" spans="1:73" s="196" customFormat="1" ht="37.5" customHeight="1" thickBot="1">
      <c r="A129" s="23" t="s">
        <v>103</v>
      </c>
      <c r="B129" s="21">
        <v>1000</v>
      </c>
      <c r="C129" s="25"/>
      <c r="D129" s="25"/>
      <c r="E129" s="25"/>
      <c r="F129" s="498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4"/>
      <c r="AL129" s="194"/>
      <c r="AM129" s="194"/>
      <c r="AN129" s="194"/>
      <c r="AO129" s="194"/>
      <c r="AP129" s="194"/>
      <c r="AQ129" s="194"/>
      <c r="AR129" s="194"/>
      <c r="AS129" s="194"/>
      <c r="AT129" s="194"/>
      <c r="AU129" s="194"/>
      <c r="AV129" s="194"/>
      <c r="AW129" s="194"/>
      <c r="AX129" s="194"/>
      <c r="AY129" s="194"/>
      <c r="AZ129" s="194"/>
      <c r="BA129" s="194"/>
      <c r="BB129" s="194"/>
      <c r="BC129" s="194"/>
      <c r="BD129" s="194"/>
      <c r="BE129" s="194"/>
      <c r="BF129" s="194"/>
      <c r="BG129" s="194"/>
      <c r="BH129" s="194"/>
      <c r="BI129" s="194"/>
      <c r="BJ129" s="194"/>
      <c r="BK129" s="194"/>
      <c r="BL129" s="194"/>
      <c r="BM129" s="194"/>
      <c r="BN129" s="194"/>
      <c r="BO129" s="194"/>
      <c r="BP129" s="194"/>
      <c r="BQ129" s="194"/>
      <c r="BR129" s="194"/>
      <c r="BS129" s="194"/>
      <c r="BT129" s="194"/>
      <c r="BU129" s="194"/>
    </row>
    <row r="130" spans="1:73" s="196" customFormat="1" ht="24" customHeight="1" thickBot="1">
      <c r="A130" s="23" t="s">
        <v>104</v>
      </c>
      <c r="B130" s="21">
        <v>5000</v>
      </c>
      <c r="C130" s="25"/>
      <c r="D130" s="25"/>
      <c r="E130" s="25"/>
      <c r="F130" s="498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  <c r="AL130" s="194"/>
      <c r="AM130" s="194"/>
      <c r="AN130" s="194"/>
      <c r="AO130" s="194"/>
      <c r="AP130" s="194"/>
      <c r="AQ130" s="194"/>
      <c r="AR130" s="194"/>
      <c r="AS130" s="194"/>
      <c r="AT130" s="194"/>
      <c r="AU130" s="194"/>
      <c r="AV130" s="194"/>
      <c r="AW130" s="194"/>
      <c r="AX130" s="194"/>
      <c r="AY130" s="194"/>
      <c r="AZ130" s="194"/>
      <c r="BA130" s="194"/>
      <c r="BB130" s="194"/>
      <c r="BC130" s="194"/>
      <c r="BD130" s="194"/>
      <c r="BE130" s="194"/>
      <c r="BF130" s="194"/>
      <c r="BG130" s="194"/>
      <c r="BH130" s="194"/>
      <c r="BI130" s="194"/>
      <c r="BJ130" s="194"/>
      <c r="BK130" s="194"/>
      <c r="BL130" s="194"/>
      <c r="BM130" s="194"/>
      <c r="BN130" s="194"/>
      <c r="BO130" s="194"/>
      <c r="BP130" s="194"/>
      <c r="BQ130" s="194"/>
      <c r="BR130" s="194"/>
      <c r="BS130" s="194"/>
      <c r="BT130" s="194"/>
      <c r="BU130" s="194"/>
    </row>
    <row r="131" spans="1:73" s="196" customFormat="1" ht="27.75" customHeight="1" thickBot="1">
      <c r="A131" s="341" t="s">
        <v>252</v>
      </c>
      <c r="B131" s="24"/>
      <c r="C131" s="25">
        <v>7505000</v>
      </c>
      <c r="D131" s="25">
        <f>SUM(B132)</f>
        <v>7505000</v>
      </c>
      <c r="E131" s="25">
        <v>2005545</v>
      </c>
      <c r="F131" s="498">
        <f>E131/D131</f>
        <v>0.26722784810126582</v>
      </c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4"/>
      <c r="AJ131" s="194"/>
      <c r="AK131" s="194"/>
      <c r="AL131" s="194"/>
      <c r="AM131" s="194"/>
      <c r="AN131" s="194"/>
      <c r="AO131" s="194"/>
      <c r="AP131" s="194"/>
      <c r="AQ131" s="194"/>
      <c r="AR131" s="194"/>
      <c r="AS131" s="194"/>
      <c r="AT131" s="194"/>
      <c r="AU131" s="194"/>
      <c r="AV131" s="194"/>
      <c r="AW131" s="194"/>
      <c r="AX131" s="194"/>
      <c r="AY131" s="194"/>
      <c r="AZ131" s="194"/>
      <c r="BA131" s="194"/>
      <c r="BB131" s="194"/>
      <c r="BC131" s="194"/>
      <c r="BD131" s="194"/>
      <c r="BE131" s="194"/>
      <c r="BF131" s="194"/>
      <c r="BG131" s="194"/>
      <c r="BH131" s="194"/>
      <c r="BI131" s="194"/>
      <c r="BJ131" s="194"/>
      <c r="BK131" s="194"/>
      <c r="BL131" s="194"/>
      <c r="BM131" s="194"/>
      <c r="BN131" s="194"/>
      <c r="BO131" s="194"/>
      <c r="BP131" s="194"/>
      <c r="BQ131" s="194"/>
      <c r="BR131" s="194"/>
      <c r="BS131" s="194"/>
      <c r="BT131" s="194"/>
      <c r="BU131" s="194"/>
    </row>
    <row r="132" spans="1:73" s="196" customFormat="1" ht="24" customHeight="1" thickBot="1">
      <c r="A132" s="23" t="s">
        <v>105</v>
      </c>
      <c r="B132" s="21">
        <v>7505000</v>
      </c>
      <c r="C132" s="25"/>
      <c r="D132" s="25"/>
      <c r="E132" s="25"/>
      <c r="F132" s="498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194"/>
      <c r="AW132" s="194"/>
      <c r="AX132" s="194"/>
      <c r="AY132" s="194"/>
      <c r="AZ132" s="194"/>
      <c r="BA132" s="194"/>
      <c r="BB132" s="194"/>
      <c r="BC132" s="194"/>
      <c r="BD132" s="194"/>
      <c r="BE132" s="194"/>
      <c r="BF132" s="194"/>
      <c r="BG132" s="194"/>
      <c r="BH132" s="194"/>
      <c r="BI132" s="194"/>
      <c r="BJ132" s="194"/>
      <c r="BK132" s="194"/>
      <c r="BL132" s="194"/>
      <c r="BM132" s="194"/>
      <c r="BN132" s="194"/>
      <c r="BO132" s="194"/>
      <c r="BP132" s="194"/>
      <c r="BQ132" s="194"/>
      <c r="BR132" s="194"/>
      <c r="BS132" s="194"/>
      <c r="BT132" s="194"/>
      <c r="BU132" s="194"/>
    </row>
    <row r="133" spans="1:73" s="199" customFormat="1" ht="44.25" customHeight="1" thickBot="1">
      <c r="A133" s="341" t="s">
        <v>106</v>
      </c>
      <c r="B133" s="24"/>
      <c r="C133" s="25">
        <v>27151000</v>
      </c>
      <c r="D133" s="25">
        <f>SUM(B134:B135)</f>
        <v>27151000</v>
      </c>
      <c r="E133" s="25">
        <f>10662069+2669761</f>
        <v>13331830</v>
      </c>
      <c r="F133" s="498">
        <f>E133/D133</f>
        <v>0.49102537659754703</v>
      </c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  <c r="BK133" s="197"/>
      <c r="BL133" s="197"/>
      <c r="BM133" s="197"/>
      <c r="BN133" s="197"/>
      <c r="BO133" s="197"/>
      <c r="BP133" s="197"/>
      <c r="BQ133" s="197"/>
      <c r="BR133" s="197"/>
      <c r="BS133" s="197"/>
      <c r="BT133" s="197"/>
      <c r="BU133" s="197"/>
    </row>
    <row r="134" spans="1:73" s="196" customFormat="1" ht="24" customHeight="1" thickBot="1">
      <c r="A134" s="23" t="s">
        <v>107</v>
      </c>
      <c r="B134" s="21">
        <v>5530000</v>
      </c>
      <c r="C134" s="25"/>
      <c r="D134" s="25"/>
      <c r="E134" s="25"/>
      <c r="F134" s="498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194"/>
      <c r="BG134" s="194"/>
      <c r="BH134" s="194"/>
      <c r="BI134" s="194"/>
      <c r="BJ134" s="194"/>
      <c r="BK134" s="194"/>
      <c r="BL134" s="194"/>
      <c r="BM134" s="194"/>
      <c r="BN134" s="194"/>
      <c r="BO134" s="194"/>
      <c r="BP134" s="194"/>
      <c r="BQ134" s="194"/>
      <c r="BR134" s="194"/>
      <c r="BS134" s="194"/>
      <c r="BT134" s="194"/>
      <c r="BU134" s="194"/>
    </row>
    <row r="135" spans="1:73" s="196" customFormat="1" ht="24" customHeight="1" thickBot="1">
      <c r="A135" s="23" t="s">
        <v>108</v>
      </c>
      <c r="B135" s="21">
        <v>21621000</v>
      </c>
      <c r="C135" s="25"/>
      <c r="D135" s="25"/>
      <c r="E135" s="25"/>
      <c r="F135" s="498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4"/>
      <c r="AS135" s="194"/>
      <c r="AT135" s="194"/>
      <c r="AU135" s="194"/>
      <c r="AV135" s="194"/>
      <c r="AW135" s="194"/>
      <c r="AX135" s="194"/>
      <c r="AY135" s="194"/>
      <c r="AZ135" s="194"/>
      <c r="BA135" s="194"/>
      <c r="BB135" s="194"/>
      <c r="BC135" s="194"/>
      <c r="BD135" s="194"/>
      <c r="BE135" s="194"/>
      <c r="BF135" s="194"/>
      <c r="BG135" s="194"/>
      <c r="BH135" s="194"/>
      <c r="BI135" s="194"/>
      <c r="BJ135" s="194"/>
      <c r="BK135" s="194"/>
      <c r="BL135" s="194"/>
      <c r="BM135" s="194"/>
      <c r="BN135" s="194"/>
      <c r="BO135" s="194"/>
      <c r="BP135" s="194"/>
      <c r="BQ135" s="194"/>
      <c r="BR135" s="194"/>
      <c r="BS135" s="194"/>
      <c r="BT135" s="194"/>
      <c r="BU135" s="194"/>
    </row>
    <row r="136" spans="1:73" s="196" customFormat="1" ht="42.75" customHeight="1" thickBot="1">
      <c r="A136" s="654" t="s">
        <v>93</v>
      </c>
      <c r="B136" s="655"/>
      <c r="C136" s="25">
        <v>1961000</v>
      </c>
      <c r="D136" s="25">
        <f>SUM(B137:B145)</f>
        <v>2496150</v>
      </c>
      <c r="E136" s="25">
        <f>733450+6275025</f>
        <v>7008475</v>
      </c>
      <c r="F136" s="498">
        <f>E136/D136</f>
        <v>2.8077138793742362</v>
      </c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4"/>
      <c r="BC136" s="194"/>
      <c r="BD136" s="194"/>
      <c r="BE136" s="194"/>
      <c r="BF136" s="194"/>
      <c r="BG136" s="194"/>
      <c r="BH136" s="194"/>
      <c r="BI136" s="194"/>
      <c r="BJ136" s="194"/>
      <c r="BK136" s="194"/>
      <c r="BL136" s="194"/>
      <c r="BM136" s="194"/>
      <c r="BN136" s="194"/>
      <c r="BO136" s="194"/>
      <c r="BP136" s="194"/>
      <c r="BQ136" s="194"/>
      <c r="BR136" s="194"/>
      <c r="BS136" s="194"/>
      <c r="BT136" s="194"/>
      <c r="BU136" s="194"/>
    </row>
    <row r="137" spans="1:73" s="196" customFormat="1" ht="22.5" customHeight="1" thickBot="1">
      <c r="A137" s="23" t="s">
        <v>109</v>
      </c>
      <c r="B137" s="21">
        <v>138000</v>
      </c>
      <c r="C137" s="25"/>
      <c r="D137" s="25"/>
      <c r="E137" s="25"/>
      <c r="F137" s="498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4"/>
      <c r="BT137" s="194"/>
      <c r="BU137" s="194"/>
    </row>
    <row r="138" spans="1:73" s="196" customFormat="1" ht="22.5" customHeight="1" thickBot="1">
      <c r="A138" s="23" t="s">
        <v>110</v>
      </c>
      <c r="B138" s="21">
        <f>132000+33000</f>
        <v>165000</v>
      </c>
      <c r="C138" s="25"/>
      <c r="D138" s="25"/>
      <c r="E138" s="25"/>
      <c r="F138" s="498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4"/>
      <c r="BC138" s="194"/>
      <c r="BD138" s="194"/>
      <c r="BE138" s="194"/>
      <c r="BF138" s="194"/>
      <c r="BG138" s="194"/>
      <c r="BH138" s="194"/>
      <c r="BI138" s="194"/>
      <c r="BJ138" s="194"/>
      <c r="BK138" s="194"/>
      <c r="BL138" s="194"/>
      <c r="BM138" s="194"/>
      <c r="BN138" s="194"/>
      <c r="BO138" s="194"/>
      <c r="BP138" s="194"/>
      <c r="BQ138" s="194"/>
      <c r="BR138" s="194"/>
      <c r="BS138" s="194"/>
      <c r="BT138" s="194"/>
      <c r="BU138" s="194"/>
    </row>
    <row r="139" spans="1:73" s="196" customFormat="1" ht="22.5" customHeight="1" thickBot="1">
      <c r="A139" s="23" t="s">
        <v>111</v>
      </c>
      <c r="B139" s="21">
        <v>445000</v>
      </c>
      <c r="C139" s="25"/>
      <c r="D139" s="25"/>
      <c r="E139" s="25"/>
      <c r="F139" s="498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  <c r="AL139" s="194"/>
      <c r="AM139" s="194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4"/>
      <c r="BC139" s="194"/>
      <c r="BD139" s="194"/>
      <c r="BE139" s="194"/>
      <c r="BF139" s="194"/>
      <c r="BG139" s="194"/>
      <c r="BH139" s="194"/>
      <c r="BI139" s="194"/>
      <c r="BJ139" s="194"/>
      <c r="BK139" s="194"/>
      <c r="BL139" s="194"/>
      <c r="BM139" s="194"/>
      <c r="BN139" s="194"/>
      <c r="BO139" s="194"/>
      <c r="BP139" s="194"/>
      <c r="BQ139" s="194"/>
      <c r="BR139" s="194"/>
      <c r="BS139" s="194"/>
      <c r="BT139" s="194"/>
      <c r="BU139" s="194"/>
    </row>
    <row r="140" spans="1:73" s="196" customFormat="1" ht="22.5" customHeight="1" thickBot="1">
      <c r="A140" s="23" t="s">
        <v>132</v>
      </c>
      <c r="B140" s="21">
        <v>51000</v>
      </c>
      <c r="C140" s="25"/>
      <c r="D140" s="25"/>
      <c r="E140" s="25"/>
      <c r="F140" s="498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194"/>
      <c r="AK140" s="194"/>
      <c r="AL140" s="194"/>
      <c r="AM140" s="194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4"/>
      <c r="BC140" s="194"/>
      <c r="BD140" s="194"/>
      <c r="BE140" s="194"/>
      <c r="BF140" s="194"/>
      <c r="BG140" s="194"/>
      <c r="BH140" s="194"/>
      <c r="BI140" s="194"/>
      <c r="BJ140" s="194"/>
      <c r="BK140" s="194"/>
      <c r="BL140" s="194"/>
      <c r="BM140" s="194"/>
      <c r="BN140" s="194"/>
      <c r="BO140" s="194"/>
      <c r="BP140" s="194"/>
      <c r="BQ140" s="194"/>
      <c r="BR140" s="194"/>
      <c r="BS140" s="194"/>
      <c r="BT140" s="194"/>
      <c r="BU140" s="194"/>
    </row>
    <row r="141" spans="1:73" s="196" customFormat="1" ht="22.5" customHeight="1" thickBot="1">
      <c r="A141" s="23" t="s">
        <v>133</v>
      </c>
      <c r="B141" s="21">
        <v>412000</v>
      </c>
      <c r="C141" s="25"/>
      <c r="D141" s="25"/>
      <c r="E141" s="25"/>
      <c r="F141" s="498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  <c r="AA141" s="194"/>
      <c r="AB141" s="194"/>
      <c r="AC141" s="194"/>
      <c r="AD141" s="194"/>
      <c r="AE141" s="194"/>
      <c r="AF141" s="194"/>
      <c r="AG141" s="194"/>
      <c r="AH141" s="194"/>
      <c r="AI141" s="194"/>
      <c r="AJ141" s="194"/>
      <c r="AK141" s="194"/>
      <c r="AL141" s="194"/>
      <c r="AM141" s="194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4"/>
      <c r="BC141" s="194"/>
      <c r="BD141" s="194"/>
      <c r="BE141" s="194"/>
      <c r="BF141" s="194"/>
      <c r="BG141" s="194"/>
      <c r="BH141" s="194"/>
      <c r="BI141" s="194"/>
      <c r="BJ141" s="194"/>
      <c r="BK141" s="194"/>
      <c r="BL141" s="194"/>
      <c r="BM141" s="194"/>
      <c r="BN141" s="194"/>
      <c r="BO141" s="194"/>
      <c r="BP141" s="194"/>
      <c r="BQ141" s="194"/>
      <c r="BR141" s="194"/>
      <c r="BS141" s="194"/>
      <c r="BT141" s="194"/>
      <c r="BU141" s="194"/>
    </row>
    <row r="142" spans="1:73" s="196" customFormat="1" ht="22.5" customHeight="1" thickBot="1">
      <c r="A142" s="23" t="s">
        <v>134</v>
      </c>
      <c r="B142" s="21">
        <v>283000</v>
      </c>
      <c r="C142" s="25"/>
      <c r="D142" s="25"/>
      <c r="E142" s="25"/>
      <c r="F142" s="498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  <c r="AA142" s="194"/>
      <c r="AB142" s="194"/>
      <c r="AC142" s="194"/>
      <c r="AD142" s="194"/>
      <c r="AE142" s="194"/>
      <c r="AF142" s="194"/>
      <c r="AG142" s="194"/>
      <c r="AH142" s="194"/>
      <c r="AI142" s="194"/>
      <c r="AJ142" s="194"/>
      <c r="AK142" s="194"/>
      <c r="AL142" s="194"/>
      <c r="AM142" s="194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4"/>
      <c r="BC142" s="194"/>
      <c r="BD142" s="194"/>
      <c r="BE142" s="194"/>
      <c r="BF142" s="194"/>
      <c r="BG142" s="194"/>
      <c r="BH142" s="194"/>
      <c r="BI142" s="194"/>
      <c r="BJ142" s="194"/>
      <c r="BK142" s="194"/>
      <c r="BL142" s="194"/>
      <c r="BM142" s="194"/>
      <c r="BN142" s="194"/>
      <c r="BO142" s="194"/>
      <c r="BP142" s="194"/>
      <c r="BQ142" s="194"/>
      <c r="BR142" s="194"/>
      <c r="BS142" s="194"/>
      <c r="BT142" s="194"/>
      <c r="BU142" s="194"/>
    </row>
    <row r="143" spans="1:73" s="196" customFormat="1" ht="21.75" customHeight="1" thickBot="1">
      <c r="A143" s="23" t="s">
        <v>376</v>
      </c>
      <c r="B143" s="21">
        <v>378150</v>
      </c>
      <c r="C143" s="177"/>
      <c r="D143" s="177"/>
      <c r="E143" s="177"/>
      <c r="F143" s="500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194"/>
      <c r="AG143" s="194"/>
      <c r="AH143" s="194"/>
      <c r="AI143" s="194"/>
      <c r="AJ143" s="194"/>
      <c r="AK143" s="194"/>
      <c r="AL143" s="194"/>
      <c r="AM143" s="194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4"/>
      <c r="BC143" s="194"/>
      <c r="BD143" s="194"/>
      <c r="BE143" s="194"/>
      <c r="BF143" s="194"/>
      <c r="BG143" s="194"/>
      <c r="BH143" s="194"/>
      <c r="BI143" s="194"/>
      <c r="BJ143" s="194"/>
      <c r="BK143" s="194"/>
      <c r="BL143" s="194"/>
      <c r="BM143" s="194"/>
      <c r="BN143" s="194"/>
      <c r="BO143" s="194"/>
      <c r="BP143" s="194"/>
      <c r="BQ143" s="194"/>
      <c r="BR143" s="194"/>
      <c r="BS143" s="194"/>
      <c r="BT143" s="194"/>
      <c r="BU143" s="194"/>
    </row>
    <row r="144" spans="1:73" s="196" customFormat="1" ht="21.75" customHeight="1" thickBot="1">
      <c r="A144" s="303" t="s">
        <v>377</v>
      </c>
      <c r="B144" s="193">
        <v>124000</v>
      </c>
      <c r="C144" s="177"/>
      <c r="D144" s="177"/>
      <c r="E144" s="177"/>
      <c r="F144" s="500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/>
      <c r="AG144" s="194"/>
      <c r="AH144" s="194"/>
      <c r="AI144" s="194"/>
      <c r="AJ144" s="194"/>
      <c r="AK144" s="194"/>
      <c r="AL144" s="194"/>
      <c r="AM144" s="194"/>
      <c r="AN144" s="194"/>
      <c r="AO144" s="194"/>
      <c r="AP144" s="194"/>
      <c r="AQ144" s="194"/>
      <c r="AR144" s="194"/>
      <c r="AS144" s="194"/>
      <c r="AT144" s="194"/>
      <c r="AU144" s="194"/>
      <c r="AV144" s="194"/>
      <c r="AW144" s="194"/>
      <c r="AX144" s="194"/>
      <c r="AY144" s="194"/>
      <c r="AZ144" s="194"/>
      <c r="BA144" s="194"/>
      <c r="BB144" s="194"/>
      <c r="BC144" s="194"/>
      <c r="BD144" s="194"/>
      <c r="BE144" s="194"/>
      <c r="BF144" s="194"/>
      <c r="BG144" s="194"/>
      <c r="BH144" s="194"/>
      <c r="BI144" s="194"/>
      <c r="BJ144" s="194"/>
      <c r="BK144" s="194"/>
      <c r="BL144" s="194"/>
      <c r="BM144" s="194"/>
      <c r="BN144" s="194"/>
      <c r="BO144" s="194"/>
      <c r="BP144" s="194"/>
      <c r="BQ144" s="194"/>
      <c r="BR144" s="194"/>
      <c r="BS144" s="194"/>
      <c r="BT144" s="194"/>
      <c r="BU144" s="194"/>
    </row>
    <row r="145" spans="1:73" s="196" customFormat="1" ht="19.5" thickBot="1">
      <c r="A145" s="303" t="s">
        <v>290</v>
      </c>
      <c r="B145" s="193">
        <v>500000</v>
      </c>
      <c r="C145" s="25"/>
      <c r="D145" s="25"/>
      <c r="E145" s="25"/>
      <c r="F145" s="498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194"/>
      <c r="AF145" s="194"/>
      <c r="AG145" s="194"/>
      <c r="AH145" s="194"/>
      <c r="AI145" s="194"/>
      <c r="AJ145" s="194"/>
      <c r="AK145" s="194"/>
      <c r="AL145" s="194"/>
      <c r="AM145" s="194"/>
      <c r="AN145" s="194"/>
      <c r="AO145" s="194"/>
      <c r="AP145" s="194"/>
      <c r="AQ145" s="194"/>
      <c r="AR145" s="194"/>
      <c r="AS145" s="194"/>
      <c r="AT145" s="194"/>
      <c r="AU145" s="194"/>
      <c r="AV145" s="194"/>
      <c r="AW145" s="194"/>
      <c r="AX145" s="194"/>
      <c r="AY145" s="194"/>
      <c r="AZ145" s="194"/>
      <c r="BA145" s="194"/>
      <c r="BB145" s="194"/>
      <c r="BC145" s="194"/>
      <c r="BD145" s="194"/>
      <c r="BE145" s="194"/>
      <c r="BF145" s="194"/>
      <c r="BG145" s="194"/>
      <c r="BH145" s="194"/>
      <c r="BI145" s="194"/>
      <c r="BJ145" s="194"/>
      <c r="BK145" s="194"/>
      <c r="BL145" s="194"/>
      <c r="BM145" s="194"/>
      <c r="BN145" s="194"/>
      <c r="BO145" s="194"/>
      <c r="BP145" s="194"/>
      <c r="BQ145" s="194"/>
      <c r="BR145" s="194"/>
      <c r="BS145" s="194"/>
      <c r="BT145" s="194"/>
      <c r="BU145" s="194"/>
    </row>
    <row r="146" spans="1:73" s="199" customFormat="1" ht="35.25" customHeight="1" thickBot="1">
      <c r="A146" s="169" t="s">
        <v>253</v>
      </c>
      <c r="B146" s="170"/>
      <c r="C146" s="25">
        <v>5000000</v>
      </c>
      <c r="D146" s="25">
        <v>5000000</v>
      </c>
      <c r="E146" s="25">
        <v>0</v>
      </c>
      <c r="F146" s="498">
        <v>0</v>
      </c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7"/>
      <c r="AS146" s="197"/>
      <c r="AT146" s="197"/>
      <c r="AU146" s="197"/>
      <c r="AV146" s="197"/>
      <c r="AW146" s="197"/>
      <c r="AX146" s="197"/>
      <c r="AY146" s="197"/>
      <c r="AZ146" s="197"/>
      <c r="BA146" s="197"/>
      <c r="BB146" s="197"/>
      <c r="BC146" s="197"/>
      <c r="BD146" s="197"/>
      <c r="BE146" s="197"/>
      <c r="BF146" s="197"/>
      <c r="BG146" s="197"/>
      <c r="BH146" s="197"/>
      <c r="BI146" s="197"/>
      <c r="BJ146" s="197"/>
      <c r="BK146" s="197"/>
      <c r="BL146" s="197"/>
      <c r="BM146" s="197"/>
      <c r="BN146" s="197"/>
      <c r="BO146" s="197"/>
      <c r="BP146" s="197"/>
      <c r="BQ146" s="197"/>
      <c r="BR146" s="197"/>
      <c r="BS146" s="197"/>
      <c r="BT146" s="197"/>
      <c r="BU146" s="197"/>
    </row>
    <row r="147" spans="1:73" s="199" customFormat="1" ht="35.25" customHeight="1" thickBot="1">
      <c r="A147" s="654" t="s">
        <v>262</v>
      </c>
      <c r="B147" s="655"/>
      <c r="C147" s="25">
        <v>16000000</v>
      </c>
      <c r="D147" s="25">
        <v>16000000</v>
      </c>
      <c r="E147" s="25">
        <v>300300</v>
      </c>
      <c r="F147" s="498">
        <f>E147/D147</f>
        <v>1.8768750000000001E-2</v>
      </c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97"/>
      <c r="AT147" s="197"/>
      <c r="AU147" s="197"/>
      <c r="AV147" s="197"/>
      <c r="AW147" s="197"/>
      <c r="AX147" s="197"/>
      <c r="AY147" s="197"/>
      <c r="AZ147" s="197"/>
      <c r="BA147" s="197"/>
      <c r="BB147" s="197"/>
      <c r="BC147" s="197"/>
      <c r="BD147" s="197"/>
      <c r="BE147" s="197"/>
      <c r="BF147" s="197"/>
      <c r="BG147" s="197"/>
      <c r="BH147" s="197"/>
      <c r="BI147" s="197"/>
      <c r="BJ147" s="197"/>
      <c r="BK147" s="197"/>
      <c r="BL147" s="197"/>
      <c r="BM147" s="197"/>
      <c r="BN147" s="197"/>
      <c r="BO147" s="197"/>
      <c r="BP147" s="197"/>
      <c r="BQ147" s="197"/>
      <c r="BR147" s="197"/>
      <c r="BS147" s="197"/>
      <c r="BT147" s="197"/>
      <c r="BU147" s="197"/>
    </row>
    <row r="148" spans="1:73" s="199" customFormat="1" ht="35.25" customHeight="1" thickBot="1">
      <c r="A148" s="341" t="s">
        <v>378</v>
      </c>
      <c r="B148" s="342"/>
      <c r="C148" s="25"/>
      <c r="D148" s="25">
        <v>10000000</v>
      </c>
      <c r="E148" s="25"/>
      <c r="F148" s="498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7"/>
      <c r="AX148" s="197"/>
      <c r="AY148" s="197"/>
      <c r="AZ148" s="197"/>
      <c r="BA148" s="197"/>
      <c r="BB148" s="197"/>
      <c r="BC148" s="197"/>
      <c r="BD148" s="197"/>
      <c r="BE148" s="197"/>
      <c r="BF148" s="197"/>
      <c r="BG148" s="197"/>
      <c r="BH148" s="197"/>
      <c r="BI148" s="197"/>
      <c r="BJ148" s="197"/>
      <c r="BK148" s="197"/>
      <c r="BL148" s="197"/>
      <c r="BM148" s="197"/>
      <c r="BN148" s="197"/>
      <c r="BO148" s="197"/>
      <c r="BP148" s="197"/>
      <c r="BQ148" s="197"/>
      <c r="BR148" s="197"/>
      <c r="BS148" s="197"/>
      <c r="BT148" s="197"/>
      <c r="BU148" s="197"/>
    </row>
    <row r="149" spans="1:73" s="199" customFormat="1" ht="33.75" customHeight="1" thickBot="1">
      <c r="A149" s="341" t="s">
        <v>112</v>
      </c>
      <c r="B149" s="24"/>
      <c r="C149" s="25">
        <v>3000000</v>
      </c>
      <c r="D149" s="25">
        <v>3000000</v>
      </c>
      <c r="E149" s="25">
        <v>1401210</v>
      </c>
      <c r="F149" s="498">
        <f>E149/D149</f>
        <v>0.46706999999999999</v>
      </c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97"/>
      <c r="AT149" s="197"/>
      <c r="AU149" s="197"/>
      <c r="AV149" s="197"/>
      <c r="AW149" s="197"/>
      <c r="AX149" s="197"/>
      <c r="AY149" s="197"/>
      <c r="AZ149" s="197"/>
      <c r="BA149" s="197"/>
      <c r="BB149" s="197"/>
      <c r="BC149" s="197"/>
      <c r="BD149" s="197"/>
      <c r="BE149" s="197"/>
      <c r="BF149" s="197"/>
      <c r="BG149" s="197"/>
      <c r="BH149" s="197"/>
      <c r="BI149" s="197"/>
      <c r="BJ149" s="197"/>
      <c r="BK149" s="197"/>
      <c r="BL149" s="197"/>
      <c r="BM149" s="197"/>
      <c r="BN149" s="197"/>
      <c r="BO149" s="197"/>
      <c r="BP149" s="197"/>
      <c r="BQ149" s="197"/>
      <c r="BR149" s="197"/>
      <c r="BS149" s="197"/>
      <c r="BT149" s="197"/>
      <c r="BU149" s="197"/>
    </row>
    <row r="150" spans="1:73" s="218" customFormat="1" ht="66.75" customHeight="1" thickBot="1">
      <c r="A150" s="305" t="s">
        <v>244</v>
      </c>
      <c r="B150" s="304"/>
      <c r="C150" s="295" t="s">
        <v>311</v>
      </c>
      <c r="D150" s="295" t="s">
        <v>352</v>
      </c>
      <c r="E150" s="295" t="s">
        <v>311</v>
      </c>
      <c r="F150" s="496" t="s">
        <v>352</v>
      </c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6"/>
      <c r="AY150" s="216"/>
      <c r="AZ150" s="216"/>
      <c r="BA150" s="216"/>
      <c r="BB150" s="216"/>
      <c r="BC150" s="216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</row>
    <row r="151" spans="1:73" s="203" customFormat="1" ht="33" customHeight="1" thickBot="1">
      <c r="A151" s="183" t="s">
        <v>113</v>
      </c>
      <c r="B151" s="186"/>
      <c r="C151" s="187">
        <f>SUM(C69:C149)</f>
        <v>397924000</v>
      </c>
      <c r="D151" s="187">
        <f>SUM(D69:D149)</f>
        <v>895919272</v>
      </c>
      <c r="E151" s="187">
        <f>SUM(E69:E149)</f>
        <v>187010529</v>
      </c>
      <c r="F151" s="505">
        <f>E151/D151</f>
        <v>0.20873591499212665</v>
      </c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1"/>
      <c r="AT151" s="201"/>
      <c r="AU151" s="201"/>
      <c r="AV151" s="201"/>
      <c r="AW151" s="201"/>
      <c r="AX151" s="201"/>
      <c r="AY151" s="201"/>
      <c r="AZ151" s="201"/>
      <c r="BA151" s="201"/>
      <c r="BB151" s="201"/>
      <c r="BC151" s="201"/>
      <c r="BD151" s="201"/>
      <c r="BE151" s="201"/>
      <c r="BF151" s="201"/>
      <c r="BG151" s="201"/>
      <c r="BH151" s="201"/>
      <c r="BI151" s="201"/>
      <c r="BJ151" s="201"/>
      <c r="BK151" s="201"/>
      <c r="BL151" s="201"/>
      <c r="BM151" s="201"/>
      <c r="BN151" s="201"/>
      <c r="BO151" s="201"/>
      <c r="BP151" s="201"/>
      <c r="BQ151" s="201"/>
      <c r="BR151" s="201"/>
      <c r="BS151" s="201"/>
      <c r="BT151" s="201"/>
      <c r="BU151" s="201"/>
    </row>
    <row r="152" spans="1:73" s="152" customFormat="1" ht="31.5" customHeight="1" thickBot="1">
      <c r="A152" s="298" t="s">
        <v>114</v>
      </c>
      <c r="B152" s="299"/>
      <c r="C152" s="300">
        <f>SUM(C67+C151)</f>
        <v>1266308000</v>
      </c>
      <c r="D152" s="300">
        <f>SUM(D67+D151)</f>
        <v>1828239731</v>
      </c>
      <c r="E152" s="300">
        <f>SUM(E67+E151)</f>
        <v>686104125</v>
      </c>
      <c r="F152" s="506">
        <f>E152/D152</f>
        <v>0.3752812682966466</v>
      </c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  <c r="BI152" s="151"/>
      <c r="BJ152" s="151"/>
      <c r="BK152" s="151"/>
      <c r="BL152" s="151"/>
      <c r="BM152" s="151"/>
      <c r="BN152" s="151"/>
      <c r="BO152" s="151"/>
      <c r="BP152" s="151"/>
      <c r="BQ152" s="151"/>
      <c r="BR152" s="151"/>
      <c r="BS152" s="151"/>
      <c r="BT152" s="151"/>
      <c r="BU152" s="151"/>
    </row>
    <row r="153" spans="1:73" s="203" customFormat="1" ht="47.25" customHeight="1" thickBot="1">
      <c r="A153" s="183" t="s">
        <v>115</v>
      </c>
      <c r="B153" s="186"/>
      <c r="C153" s="187">
        <v>1233052000</v>
      </c>
      <c r="D153" s="187">
        <v>1233052000</v>
      </c>
      <c r="E153" s="187">
        <v>651124019</v>
      </c>
      <c r="F153" s="505">
        <f>E153/D153</f>
        <v>0.5280588482886367</v>
      </c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1"/>
      <c r="AT153" s="201"/>
      <c r="AU153" s="201"/>
      <c r="AV153" s="201"/>
      <c r="AW153" s="201"/>
      <c r="AX153" s="201"/>
      <c r="AY153" s="201"/>
      <c r="AZ153" s="201"/>
      <c r="BA153" s="201"/>
      <c r="BB153" s="201"/>
      <c r="BC153" s="201"/>
      <c r="BD153" s="201"/>
      <c r="BE153" s="201"/>
      <c r="BF153" s="201"/>
      <c r="BG153" s="201"/>
      <c r="BH153" s="201"/>
      <c r="BI153" s="201"/>
      <c r="BJ153" s="201"/>
      <c r="BK153" s="201"/>
      <c r="BL153" s="201"/>
      <c r="BM153" s="201"/>
      <c r="BN153" s="201"/>
      <c r="BO153" s="201"/>
      <c r="BP153" s="201"/>
      <c r="BQ153" s="201"/>
      <c r="BR153" s="201"/>
      <c r="BS153" s="201"/>
      <c r="BT153" s="201"/>
      <c r="BU153" s="201"/>
    </row>
    <row r="154" spans="1:73" s="188" customFormat="1" ht="38.25" customHeight="1" thickBot="1">
      <c r="A154" s="183" t="s">
        <v>129</v>
      </c>
      <c r="B154" s="186"/>
      <c r="C154" s="187">
        <v>50000000</v>
      </c>
      <c r="D154" s="187">
        <f>50000000-3950435</f>
        <v>46049565</v>
      </c>
      <c r="E154" s="187"/>
      <c r="F154" s="505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  <c r="AZ154" s="201"/>
      <c r="BA154" s="201"/>
      <c r="BB154" s="201"/>
      <c r="BC154" s="201"/>
      <c r="BD154" s="201"/>
      <c r="BE154" s="201"/>
      <c r="BF154" s="201"/>
      <c r="BG154" s="201"/>
      <c r="BH154" s="201"/>
      <c r="BI154" s="201"/>
      <c r="BJ154" s="201"/>
      <c r="BK154" s="201"/>
      <c r="BL154" s="201"/>
      <c r="BM154" s="201"/>
      <c r="BN154" s="201"/>
      <c r="BO154" s="201"/>
      <c r="BP154" s="201"/>
      <c r="BQ154" s="201"/>
      <c r="BR154" s="201"/>
      <c r="BS154" s="201"/>
      <c r="BT154" s="201"/>
      <c r="BU154" s="201"/>
    </row>
    <row r="155" spans="1:73" s="188" customFormat="1" ht="38.25" customHeight="1" thickBot="1">
      <c r="A155" s="31" t="s">
        <v>130</v>
      </c>
      <c r="B155" s="190"/>
      <c r="C155" s="191">
        <v>231934000</v>
      </c>
      <c r="D155" s="191">
        <f>SUM(B156+B158+B159+B163+B164+B165)</f>
        <v>856172620</v>
      </c>
      <c r="E155" s="191"/>
      <c r="F155" s="507"/>
      <c r="G155" s="145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  <c r="AZ155" s="201"/>
      <c r="BA155" s="201"/>
      <c r="BB155" s="201"/>
      <c r="BC155" s="201"/>
      <c r="BD155" s="201"/>
      <c r="BE155" s="201"/>
      <c r="BF155" s="201"/>
      <c r="BG155" s="201"/>
      <c r="BH155" s="201"/>
      <c r="BI155" s="201"/>
      <c r="BJ155" s="201"/>
      <c r="BK155" s="201"/>
      <c r="BL155" s="201"/>
      <c r="BM155" s="201"/>
      <c r="BN155" s="201"/>
      <c r="BO155" s="201"/>
      <c r="BP155" s="201"/>
      <c r="BQ155" s="201"/>
      <c r="BR155" s="201"/>
      <c r="BS155" s="201"/>
      <c r="BT155" s="201"/>
      <c r="BU155" s="201"/>
    </row>
    <row r="156" spans="1:73" s="196" customFormat="1" ht="44.25" customHeight="1" thickBot="1">
      <c r="A156" s="341" t="s">
        <v>379</v>
      </c>
      <c r="B156" s="21">
        <f>3875000-73+8870741</f>
        <v>12745668</v>
      </c>
      <c r="C156" s="25"/>
      <c r="D156" s="25"/>
      <c r="E156" s="25"/>
      <c r="F156" s="498"/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194"/>
      <c r="AT156" s="194"/>
      <c r="AU156" s="194"/>
      <c r="AV156" s="194"/>
      <c r="AW156" s="194"/>
      <c r="AX156" s="194"/>
      <c r="AY156" s="194"/>
      <c r="AZ156" s="194"/>
      <c r="BA156" s="194"/>
      <c r="BB156" s="194"/>
      <c r="BC156" s="194"/>
      <c r="BD156" s="194"/>
      <c r="BE156" s="194"/>
      <c r="BF156" s="194"/>
      <c r="BG156" s="194"/>
      <c r="BH156" s="194"/>
      <c r="BI156" s="194"/>
      <c r="BJ156" s="194"/>
      <c r="BK156" s="194"/>
      <c r="BL156" s="194"/>
      <c r="BM156" s="194"/>
      <c r="BN156" s="194"/>
      <c r="BO156" s="194"/>
      <c r="BP156" s="194"/>
      <c r="BQ156" s="194"/>
      <c r="BR156" s="194"/>
      <c r="BS156" s="194"/>
      <c r="BT156" s="194"/>
      <c r="BU156" s="194"/>
    </row>
    <row r="157" spans="1:73" s="199" customFormat="1" ht="41.25" customHeight="1" thickBot="1">
      <c r="A157" s="341" t="s">
        <v>131</v>
      </c>
      <c r="B157" s="24"/>
      <c r="C157" s="25"/>
      <c r="D157" s="25"/>
      <c r="E157" s="25"/>
      <c r="F157" s="498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197"/>
      <c r="AU157" s="197"/>
      <c r="AV157" s="197"/>
      <c r="AW157" s="197"/>
      <c r="AX157" s="197"/>
      <c r="AY157" s="197"/>
      <c r="AZ157" s="197"/>
      <c r="BA157" s="197"/>
      <c r="BB157" s="197"/>
      <c r="BC157" s="197"/>
      <c r="BD157" s="197"/>
      <c r="BE157" s="197"/>
      <c r="BF157" s="197"/>
      <c r="BG157" s="197"/>
      <c r="BH157" s="197"/>
      <c r="BI157" s="197"/>
      <c r="BJ157" s="197"/>
      <c r="BK157" s="197"/>
      <c r="BL157" s="197"/>
      <c r="BM157" s="197"/>
      <c r="BN157" s="197"/>
      <c r="BO157" s="197"/>
      <c r="BP157" s="197"/>
      <c r="BQ157" s="197"/>
      <c r="BR157" s="197"/>
      <c r="BS157" s="197"/>
      <c r="BT157" s="197"/>
      <c r="BU157" s="197"/>
    </row>
    <row r="158" spans="1:73" s="196" customFormat="1" ht="59.25" customHeight="1" thickBot="1">
      <c r="A158" s="23" t="s">
        <v>128</v>
      </c>
      <c r="B158" s="21">
        <f>12155000-434</f>
        <v>12154566</v>
      </c>
      <c r="C158" s="25"/>
      <c r="D158" s="25"/>
      <c r="E158" s="25"/>
      <c r="F158" s="498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194"/>
      <c r="AT158" s="194"/>
      <c r="AU158" s="194"/>
      <c r="AV158" s="194"/>
      <c r="AW158" s="194"/>
      <c r="AX158" s="194"/>
      <c r="AY158" s="194"/>
      <c r="AZ158" s="194"/>
      <c r="BA158" s="194"/>
      <c r="BB158" s="194"/>
      <c r="BC158" s="194"/>
      <c r="BD158" s="194"/>
      <c r="BE158" s="194"/>
      <c r="BF158" s="194"/>
      <c r="BG158" s="194"/>
      <c r="BH158" s="194"/>
      <c r="BI158" s="194"/>
      <c r="BJ158" s="194"/>
      <c r="BK158" s="194"/>
      <c r="BL158" s="194"/>
      <c r="BM158" s="194"/>
      <c r="BN158" s="194"/>
      <c r="BO158" s="194"/>
      <c r="BP158" s="194"/>
      <c r="BQ158" s="194"/>
      <c r="BR158" s="194"/>
      <c r="BS158" s="194"/>
      <c r="BT158" s="194"/>
      <c r="BU158" s="194"/>
    </row>
    <row r="159" spans="1:73" s="196" customFormat="1" ht="38.25" thickBot="1">
      <c r="A159" s="341" t="s">
        <v>88</v>
      </c>
      <c r="B159" s="21">
        <f>SUM(B161:B162)</f>
        <v>215443253</v>
      </c>
      <c r="C159" s="25"/>
      <c r="D159" s="25"/>
      <c r="E159" s="25"/>
      <c r="F159" s="498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194"/>
      <c r="AT159" s="194"/>
      <c r="AU159" s="194"/>
      <c r="AV159" s="194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4"/>
      <c r="BQ159" s="194"/>
      <c r="BR159" s="194"/>
      <c r="BS159" s="194"/>
      <c r="BT159" s="194"/>
      <c r="BU159" s="194"/>
    </row>
    <row r="160" spans="1:73" s="196" customFormat="1" ht="22.5" customHeight="1" thickBot="1">
      <c r="A160" s="23" t="s">
        <v>53</v>
      </c>
      <c r="B160" s="21"/>
      <c r="C160" s="25"/>
      <c r="D160" s="25"/>
      <c r="E160" s="25"/>
      <c r="F160" s="498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194"/>
      <c r="AT160" s="194"/>
      <c r="AU160" s="194"/>
      <c r="AV160" s="194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</row>
    <row r="161" spans="1:73" s="196" customFormat="1" ht="22.5" customHeight="1" thickBot="1">
      <c r="A161" s="23" t="s">
        <v>301</v>
      </c>
      <c r="B161" s="21">
        <v>49950000</v>
      </c>
      <c r="C161" s="25"/>
      <c r="D161" s="25"/>
      <c r="E161" s="25"/>
      <c r="F161" s="498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4"/>
      <c r="AK161" s="194"/>
      <c r="AL161" s="194"/>
      <c r="AM161" s="194"/>
      <c r="AN161" s="194"/>
      <c r="AO161" s="194"/>
      <c r="AP161" s="194"/>
      <c r="AQ161" s="194"/>
      <c r="AR161" s="194"/>
      <c r="AS161" s="194"/>
      <c r="AT161" s="194"/>
      <c r="AU161" s="194"/>
      <c r="AV161" s="194"/>
      <c r="AW161" s="194"/>
      <c r="AX161" s="194"/>
      <c r="AY161" s="194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N161" s="194"/>
      <c r="BO161" s="194"/>
      <c r="BP161" s="194"/>
      <c r="BQ161" s="194"/>
      <c r="BR161" s="194"/>
      <c r="BS161" s="194"/>
      <c r="BT161" s="194"/>
      <c r="BU161" s="194"/>
    </row>
    <row r="162" spans="1:73" s="196" customFormat="1" ht="37.5" customHeight="1" thickBot="1">
      <c r="A162" s="23" t="s">
        <v>302</v>
      </c>
      <c r="B162" s="21">
        <f>165954000-328-460419</f>
        <v>165493253</v>
      </c>
      <c r="C162" s="25"/>
      <c r="D162" s="25"/>
      <c r="E162" s="25"/>
      <c r="F162" s="498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4"/>
      <c r="AL162" s="194"/>
      <c r="AM162" s="194"/>
      <c r="AN162" s="194"/>
      <c r="AO162" s="194"/>
      <c r="AP162" s="194"/>
      <c r="AQ162" s="194"/>
      <c r="AR162" s="194"/>
      <c r="AS162" s="194"/>
      <c r="AT162" s="194"/>
      <c r="AU162" s="194"/>
      <c r="AV162" s="194"/>
      <c r="AW162" s="194"/>
      <c r="AX162" s="194"/>
      <c r="AY162" s="194"/>
      <c r="AZ162" s="194"/>
      <c r="BA162" s="194"/>
      <c r="BB162" s="194"/>
      <c r="BC162" s="194"/>
      <c r="BD162" s="194"/>
      <c r="BE162" s="194"/>
      <c r="BF162" s="194"/>
      <c r="BG162" s="194"/>
      <c r="BH162" s="194"/>
      <c r="BI162" s="194"/>
      <c r="BJ162" s="194"/>
      <c r="BK162" s="194"/>
      <c r="BL162" s="194"/>
      <c r="BM162" s="194"/>
      <c r="BN162" s="194"/>
      <c r="BO162" s="194"/>
      <c r="BP162" s="194"/>
      <c r="BQ162" s="194"/>
      <c r="BR162" s="194"/>
      <c r="BS162" s="194"/>
      <c r="BT162" s="194"/>
      <c r="BU162" s="194"/>
    </row>
    <row r="163" spans="1:73" s="210" customFormat="1" ht="37.5" customHeight="1" thickBot="1">
      <c r="A163" s="341" t="s">
        <v>380</v>
      </c>
      <c r="B163" s="21">
        <v>119456054</v>
      </c>
      <c r="C163" s="25"/>
      <c r="D163" s="25"/>
      <c r="E163" s="25"/>
      <c r="F163" s="498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  <c r="BG163" s="197"/>
      <c r="BH163" s="197"/>
      <c r="BI163" s="197"/>
      <c r="BJ163" s="197"/>
      <c r="BK163" s="197"/>
      <c r="BL163" s="197"/>
      <c r="BM163" s="197"/>
      <c r="BN163" s="197"/>
      <c r="BO163" s="197"/>
      <c r="BP163" s="197"/>
      <c r="BQ163" s="197"/>
      <c r="BR163" s="197"/>
      <c r="BS163" s="197"/>
      <c r="BT163" s="197"/>
      <c r="BU163" s="197"/>
    </row>
    <row r="164" spans="1:73" s="210" customFormat="1" ht="64.5" customHeight="1" thickBot="1">
      <c r="A164" s="341" t="s">
        <v>381</v>
      </c>
      <c r="B164" s="21">
        <v>28337952</v>
      </c>
      <c r="C164" s="25"/>
      <c r="D164" s="25"/>
      <c r="E164" s="25"/>
      <c r="F164" s="498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7"/>
      <c r="AX164" s="197"/>
      <c r="AY164" s="197"/>
      <c r="AZ164" s="197"/>
      <c r="BA164" s="197"/>
      <c r="BB164" s="197"/>
      <c r="BC164" s="197"/>
      <c r="BD164" s="197"/>
      <c r="BE164" s="197"/>
      <c r="BF164" s="197"/>
      <c r="BG164" s="197"/>
      <c r="BH164" s="197"/>
      <c r="BI164" s="197"/>
      <c r="BJ164" s="197"/>
      <c r="BK164" s="197"/>
      <c r="BL164" s="197"/>
      <c r="BM164" s="197"/>
      <c r="BN164" s="197"/>
      <c r="BO164" s="197"/>
      <c r="BP164" s="197"/>
      <c r="BQ164" s="197"/>
      <c r="BR164" s="197"/>
      <c r="BS164" s="197"/>
      <c r="BT164" s="197"/>
      <c r="BU164" s="197"/>
    </row>
    <row r="165" spans="1:73" s="210" customFormat="1" ht="37.5" customHeight="1" thickBot="1">
      <c r="A165" s="384" t="s">
        <v>360</v>
      </c>
      <c r="B165" s="385">
        <v>468035127</v>
      </c>
      <c r="C165" s="386"/>
      <c r="D165" s="386"/>
      <c r="E165" s="386"/>
      <c r="F165" s="508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7"/>
      <c r="AT165" s="197"/>
      <c r="AU165" s="197"/>
      <c r="AV165" s="197"/>
      <c r="AW165" s="197"/>
      <c r="AX165" s="197"/>
      <c r="AY165" s="197"/>
      <c r="AZ165" s="197"/>
      <c r="BA165" s="197"/>
      <c r="BB165" s="197"/>
      <c r="BC165" s="197"/>
      <c r="BD165" s="197"/>
      <c r="BE165" s="197"/>
      <c r="BF165" s="197"/>
      <c r="BG165" s="197"/>
      <c r="BH165" s="197"/>
      <c r="BI165" s="197"/>
      <c r="BJ165" s="197"/>
      <c r="BK165" s="197"/>
      <c r="BL165" s="197"/>
      <c r="BM165" s="197"/>
      <c r="BN165" s="197"/>
      <c r="BO165" s="197"/>
      <c r="BP165" s="197"/>
      <c r="BQ165" s="197"/>
      <c r="BR165" s="197"/>
      <c r="BS165" s="197"/>
      <c r="BT165" s="197"/>
      <c r="BU165" s="197"/>
    </row>
    <row r="166" spans="1:73" s="188" customFormat="1" ht="38.25" customHeight="1" thickBot="1">
      <c r="A166" s="183" t="s">
        <v>116</v>
      </c>
      <c r="B166" s="186"/>
      <c r="C166" s="187">
        <v>52044000</v>
      </c>
      <c r="D166" s="187">
        <f>SUM(B167)</f>
        <v>52044365</v>
      </c>
      <c r="E166" s="187">
        <v>52044365</v>
      </c>
      <c r="F166" s="505">
        <f>SUM(E166/D166)</f>
        <v>1</v>
      </c>
      <c r="G166" s="201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1"/>
      <c r="V166" s="201"/>
      <c r="W166" s="201"/>
      <c r="X166" s="201"/>
      <c r="Y166" s="20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  <c r="AZ166" s="201"/>
      <c r="BA166" s="201"/>
      <c r="BB166" s="201"/>
      <c r="BC166" s="201"/>
      <c r="BD166" s="201"/>
      <c r="BE166" s="201"/>
      <c r="BF166" s="201"/>
      <c r="BG166" s="201"/>
      <c r="BH166" s="201"/>
      <c r="BI166" s="201"/>
      <c r="BJ166" s="201"/>
      <c r="BK166" s="201"/>
      <c r="BL166" s="201"/>
      <c r="BM166" s="201"/>
      <c r="BN166" s="201"/>
      <c r="BO166" s="201"/>
      <c r="BP166" s="201"/>
      <c r="BQ166" s="201"/>
      <c r="BR166" s="201"/>
      <c r="BS166" s="201"/>
      <c r="BT166" s="201"/>
      <c r="BU166" s="201"/>
    </row>
    <row r="167" spans="1:73" s="188" customFormat="1" ht="38.25" customHeight="1" thickBot="1">
      <c r="A167" s="183" t="s">
        <v>303</v>
      </c>
      <c r="B167" s="189">
        <f>52044000+365</f>
        <v>52044365</v>
      </c>
      <c r="C167" s="187"/>
      <c r="D167" s="187"/>
      <c r="E167" s="187"/>
      <c r="F167" s="505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201"/>
      <c r="AD167" s="201"/>
      <c r="AE167" s="201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  <c r="AZ167" s="201"/>
      <c r="BA167" s="201"/>
      <c r="BB167" s="201"/>
      <c r="BC167" s="201"/>
      <c r="BD167" s="201"/>
      <c r="BE167" s="201"/>
      <c r="BF167" s="201"/>
      <c r="BG167" s="201"/>
      <c r="BH167" s="201"/>
      <c r="BI167" s="201"/>
      <c r="BJ167" s="201"/>
      <c r="BK167" s="201"/>
      <c r="BL167" s="201"/>
      <c r="BM167" s="201"/>
      <c r="BN167" s="201"/>
      <c r="BO167" s="201"/>
      <c r="BP167" s="201"/>
      <c r="BQ167" s="201"/>
      <c r="BR167" s="201"/>
      <c r="BS167" s="201"/>
      <c r="BT167" s="201"/>
      <c r="BU167" s="201"/>
    </row>
    <row r="168" spans="1:73" s="153" customFormat="1" ht="33" customHeight="1" thickBot="1">
      <c r="A168" s="301" t="s">
        <v>117</v>
      </c>
      <c r="B168" s="302"/>
      <c r="C168" s="300">
        <f>SUM(C152:C166)</f>
        <v>2833338000</v>
      </c>
      <c r="D168" s="300">
        <f>SUM(D152:D166)</f>
        <v>4015558281</v>
      </c>
      <c r="E168" s="300">
        <f>SUM(E152:E166)</f>
        <v>1389272509</v>
      </c>
      <c r="F168" s="506">
        <f>E168/D168</f>
        <v>0.34597244312788994</v>
      </c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  <c r="BI168" s="151"/>
      <c r="BJ168" s="151"/>
      <c r="BK168" s="151"/>
      <c r="BL168" s="151"/>
      <c r="BM168" s="151"/>
      <c r="BN168" s="151"/>
      <c r="BO168" s="151"/>
      <c r="BP168" s="151"/>
      <c r="BQ168" s="151"/>
      <c r="BR168" s="151"/>
      <c r="BS168" s="151"/>
      <c r="BT168" s="151"/>
      <c r="BU168" s="151"/>
    </row>
    <row r="169" spans="1:73" s="194" customFormat="1" ht="93" customHeight="1" thickBot="1">
      <c r="A169" s="204"/>
      <c r="B169" s="204"/>
      <c r="C169" s="205"/>
      <c r="D169" s="205"/>
      <c r="E169" s="205">
        <f>SUM(E168-'7. sz. melléklet'!E233)</f>
        <v>0</v>
      </c>
      <c r="F169" s="509"/>
    </row>
    <row r="170" spans="1:73" s="158" customFormat="1" ht="33" customHeight="1" thickBot="1">
      <c r="A170" s="154"/>
      <c r="B170" s="155"/>
      <c r="C170" s="156"/>
      <c r="D170" s="156"/>
      <c r="E170" s="156"/>
      <c r="F170" s="510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  <c r="AY170" s="157"/>
      <c r="AZ170" s="157"/>
      <c r="BA170" s="157"/>
      <c r="BB170" s="157"/>
      <c r="BC170" s="157"/>
      <c r="BD170" s="157"/>
      <c r="BE170" s="157"/>
      <c r="BF170" s="157"/>
      <c r="BG170" s="157"/>
      <c r="BH170" s="157"/>
      <c r="BI170" s="157"/>
      <c r="BJ170" s="157"/>
      <c r="BK170" s="157"/>
      <c r="BL170" s="157"/>
      <c r="BM170" s="157"/>
      <c r="BN170" s="157"/>
      <c r="BO170" s="157"/>
      <c r="BP170" s="157"/>
      <c r="BQ170" s="157"/>
      <c r="BR170" s="157"/>
      <c r="BS170" s="157"/>
      <c r="BT170" s="157"/>
      <c r="BU170" s="157"/>
    </row>
    <row r="171" spans="1:73" s="158" customFormat="1" ht="30.75" customHeight="1" thickBot="1">
      <c r="A171" s="159"/>
      <c r="B171" s="160"/>
      <c r="C171" s="156"/>
      <c r="D171" s="156"/>
      <c r="E171" s="156"/>
      <c r="F171" s="510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57"/>
      <c r="BS171" s="157"/>
      <c r="BT171" s="157"/>
      <c r="BU171" s="157"/>
    </row>
    <row r="172" spans="1:73" s="158" customFormat="1" ht="34.5" customHeight="1" thickBot="1">
      <c r="A172" s="154"/>
      <c r="B172" s="161"/>
      <c r="C172" s="162"/>
      <c r="D172" s="162"/>
      <c r="E172" s="162"/>
      <c r="F172" s="511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57"/>
      <c r="BS172" s="157"/>
      <c r="BT172" s="157"/>
      <c r="BU172" s="157"/>
    </row>
    <row r="173" spans="1:73" s="158" customFormat="1" ht="15.75" customHeight="1" thickBot="1">
      <c r="A173" s="159"/>
      <c r="B173" s="160"/>
      <c r="C173" s="162"/>
      <c r="D173" s="162"/>
      <c r="E173" s="162"/>
      <c r="F173" s="511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57"/>
      <c r="BA173" s="157"/>
      <c r="BB173" s="157"/>
      <c r="BC173" s="157"/>
      <c r="BD173" s="157"/>
      <c r="BE173" s="157"/>
      <c r="BF173" s="157"/>
      <c r="BG173" s="157"/>
      <c r="BH173" s="157"/>
      <c r="BI173" s="157"/>
      <c r="BJ173" s="157"/>
      <c r="BK173" s="157"/>
      <c r="BL173" s="157"/>
      <c r="BM173" s="157"/>
      <c r="BN173" s="157"/>
      <c r="BO173" s="157"/>
      <c r="BP173" s="157"/>
      <c r="BQ173" s="157"/>
      <c r="BR173" s="157"/>
      <c r="BS173" s="157"/>
      <c r="BT173" s="157"/>
      <c r="BU173" s="157"/>
    </row>
    <row r="174" spans="1:73" s="158" customFormat="1" ht="15.75" customHeight="1" thickBot="1">
      <c r="A174" s="159"/>
      <c r="B174" s="160"/>
      <c r="C174" s="162"/>
      <c r="D174" s="162"/>
      <c r="E174" s="162"/>
      <c r="F174" s="511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157"/>
      <c r="AW174" s="157"/>
      <c r="AX174" s="157"/>
      <c r="AY174" s="157"/>
      <c r="AZ174" s="157"/>
      <c r="BA174" s="157"/>
      <c r="BB174" s="157"/>
      <c r="BC174" s="157"/>
      <c r="BD174" s="157"/>
      <c r="BE174" s="157"/>
      <c r="BF174" s="157"/>
      <c r="BG174" s="157"/>
      <c r="BH174" s="157"/>
      <c r="BI174" s="157"/>
      <c r="BJ174" s="157"/>
      <c r="BK174" s="157"/>
      <c r="BL174" s="157"/>
      <c r="BM174" s="157"/>
      <c r="BN174" s="157"/>
      <c r="BO174" s="157"/>
      <c r="BP174" s="157"/>
      <c r="BQ174" s="157"/>
      <c r="BR174" s="157"/>
      <c r="BS174" s="157"/>
      <c r="BT174" s="157"/>
      <c r="BU174" s="157"/>
    </row>
    <row r="175" spans="1:73" s="158" customFormat="1" ht="15.75" customHeight="1" thickBot="1">
      <c r="A175" s="159"/>
      <c r="B175" s="160"/>
      <c r="C175" s="162"/>
      <c r="D175" s="162"/>
      <c r="E175" s="162"/>
      <c r="F175" s="511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157"/>
      <c r="AW175" s="157"/>
      <c r="AX175" s="157"/>
      <c r="AY175" s="157"/>
      <c r="AZ175" s="157"/>
      <c r="BA175" s="157"/>
      <c r="BB175" s="157"/>
      <c r="BC175" s="157"/>
      <c r="BD175" s="157"/>
      <c r="BE175" s="157"/>
      <c r="BF175" s="157"/>
      <c r="BG175" s="157"/>
      <c r="BH175" s="157"/>
      <c r="BI175" s="157"/>
      <c r="BJ175" s="157"/>
      <c r="BK175" s="157"/>
      <c r="BL175" s="157"/>
      <c r="BM175" s="157"/>
      <c r="BN175" s="157"/>
      <c r="BO175" s="157"/>
      <c r="BP175" s="157"/>
      <c r="BQ175" s="157"/>
      <c r="BR175" s="157"/>
      <c r="BS175" s="157"/>
      <c r="BT175" s="157"/>
      <c r="BU175" s="157"/>
    </row>
    <row r="176" spans="1:73" s="158" customFormat="1" ht="15.75" customHeight="1" thickBot="1">
      <c r="A176" s="159"/>
      <c r="B176" s="159"/>
      <c r="C176" s="162"/>
      <c r="D176" s="162"/>
      <c r="E176" s="162"/>
      <c r="F176" s="511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W176" s="157"/>
      <c r="AX176" s="157"/>
      <c r="AY176" s="157"/>
      <c r="AZ176" s="157"/>
      <c r="BA176" s="157"/>
      <c r="BB176" s="157"/>
      <c r="BC176" s="157"/>
      <c r="BD176" s="157"/>
      <c r="BE176" s="157"/>
      <c r="BF176" s="157"/>
      <c r="BG176" s="157"/>
      <c r="BH176" s="157"/>
      <c r="BI176" s="157"/>
      <c r="BJ176" s="157"/>
      <c r="BK176" s="157"/>
      <c r="BL176" s="157"/>
      <c r="BM176" s="157"/>
      <c r="BN176" s="157"/>
      <c r="BO176" s="157"/>
      <c r="BP176" s="157"/>
      <c r="BQ176" s="157"/>
      <c r="BR176" s="157"/>
      <c r="BS176" s="157"/>
      <c r="BT176" s="157"/>
      <c r="BU176" s="157"/>
    </row>
    <row r="177" spans="1:73" s="158" customFormat="1" ht="15.75" customHeight="1" thickBot="1">
      <c r="A177" s="159"/>
      <c r="B177" s="159"/>
      <c r="C177" s="162"/>
      <c r="D177" s="162"/>
      <c r="E177" s="162"/>
      <c r="F177" s="511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157"/>
      <c r="AW177" s="157"/>
      <c r="AX177" s="157"/>
      <c r="AY177" s="157"/>
      <c r="AZ177" s="157"/>
      <c r="BA177" s="157"/>
      <c r="BB177" s="157"/>
      <c r="BC177" s="157"/>
      <c r="BD177" s="157"/>
      <c r="BE177" s="157"/>
      <c r="BF177" s="157"/>
      <c r="BG177" s="157"/>
      <c r="BH177" s="157"/>
      <c r="BI177" s="157"/>
      <c r="BJ177" s="157"/>
      <c r="BK177" s="157"/>
      <c r="BL177" s="157"/>
      <c r="BM177" s="157"/>
      <c r="BN177" s="157"/>
      <c r="BO177" s="157"/>
      <c r="BP177" s="157"/>
      <c r="BQ177" s="157"/>
      <c r="BR177" s="157"/>
      <c r="BS177" s="157"/>
      <c r="BT177" s="157"/>
      <c r="BU177" s="157"/>
    </row>
    <row r="178" spans="1:73" s="158" customFormat="1" ht="15.75" customHeight="1" thickBot="1">
      <c r="A178" s="159"/>
      <c r="B178" s="159"/>
      <c r="C178" s="162"/>
      <c r="D178" s="162"/>
      <c r="E178" s="162"/>
      <c r="F178" s="511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7"/>
      <c r="AU178" s="157"/>
      <c r="AV178" s="157"/>
      <c r="AW178" s="157"/>
      <c r="AX178" s="157"/>
      <c r="AY178" s="157"/>
      <c r="AZ178" s="157"/>
      <c r="BA178" s="157"/>
      <c r="BB178" s="157"/>
      <c r="BC178" s="157"/>
      <c r="BD178" s="157"/>
      <c r="BE178" s="157"/>
      <c r="BF178" s="157"/>
      <c r="BG178" s="157"/>
      <c r="BH178" s="157"/>
      <c r="BI178" s="157"/>
      <c r="BJ178" s="157"/>
      <c r="BK178" s="157"/>
      <c r="BL178" s="157"/>
      <c r="BM178" s="157"/>
      <c r="BN178" s="157"/>
      <c r="BO178" s="157"/>
      <c r="BP178" s="157"/>
      <c r="BQ178" s="157"/>
      <c r="BR178" s="157"/>
      <c r="BS178" s="157"/>
      <c r="BT178" s="157"/>
      <c r="BU178" s="157"/>
    </row>
    <row r="179" spans="1:73" s="158" customFormat="1" ht="15.75" customHeight="1" thickBot="1">
      <c r="A179" s="159"/>
      <c r="B179" s="159"/>
      <c r="C179" s="162"/>
      <c r="D179" s="162"/>
      <c r="E179" s="162"/>
      <c r="F179" s="511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/>
      <c r="AV179" s="157"/>
      <c r="AW179" s="157"/>
      <c r="AX179" s="157"/>
      <c r="AY179" s="157"/>
      <c r="AZ179" s="157"/>
      <c r="BA179" s="157"/>
      <c r="BB179" s="157"/>
      <c r="BC179" s="157"/>
      <c r="BD179" s="157"/>
      <c r="BE179" s="157"/>
      <c r="BF179" s="157"/>
      <c r="BG179" s="157"/>
      <c r="BH179" s="157"/>
      <c r="BI179" s="157"/>
      <c r="BJ179" s="157"/>
      <c r="BK179" s="157"/>
      <c r="BL179" s="157"/>
      <c r="BM179" s="157"/>
      <c r="BN179" s="157"/>
      <c r="BO179" s="157"/>
      <c r="BP179" s="157"/>
      <c r="BQ179" s="157"/>
      <c r="BR179" s="157"/>
      <c r="BS179" s="157"/>
      <c r="BT179" s="157"/>
      <c r="BU179" s="157"/>
    </row>
    <row r="180" spans="1:73" s="158" customFormat="1" ht="15.75" customHeight="1" thickBot="1">
      <c r="A180" s="159"/>
      <c r="B180" s="159"/>
      <c r="C180" s="162"/>
      <c r="D180" s="162"/>
      <c r="E180" s="162"/>
      <c r="F180" s="511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157"/>
      <c r="AZ180" s="157"/>
      <c r="BA180" s="157"/>
      <c r="BB180" s="157"/>
      <c r="BC180" s="157"/>
      <c r="BD180" s="157"/>
      <c r="BE180" s="157"/>
      <c r="BF180" s="157"/>
      <c r="BG180" s="157"/>
      <c r="BH180" s="157"/>
      <c r="BI180" s="157"/>
      <c r="BJ180" s="157"/>
      <c r="BK180" s="157"/>
      <c r="BL180" s="157"/>
      <c r="BM180" s="157"/>
      <c r="BN180" s="157"/>
      <c r="BO180" s="157"/>
      <c r="BP180" s="157"/>
      <c r="BQ180" s="157"/>
      <c r="BR180" s="157"/>
      <c r="BS180" s="157"/>
      <c r="BT180" s="157"/>
      <c r="BU180" s="157"/>
    </row>
    <row r="181" spans="1:73" s="158" customFormat="1" ht="15.75" customHeight="1" thickBot="1">
      <c r="A181" s="159"/>
      <c r="B181" s="159"/>
      <c r="C181" s="162"/>
      <c r="D181" s="162"/>
      <c r="E181" s="162"/>
      <c r="F181" s="511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  <c r="AY181" s="157"/>
      <c r="AZ181" s="157"/>
      <c r="BA181" s="157"/>
      <c r="BB181" s="157"/>
      <c r="BC181" s="157"/>
      <c r="BD181" s="157"/>
      <c r="BE181" s="157"/>
      <c r="BF181" s="157"/>
      <c r="BG181" s="157"/>
      <c r="BH181" s="157"/>
      <c r="BI181" s="157"/>
      <c r="BJ181" s="157"/>
      <c r="BK181" s="157"/>
      <c r="BL181" s="157"/>
      <c r="BM181" s="157"/>
      <c r="BN181" s="157"/>
      <c r="BO181" s="157"/>
      <c r="BP181" s="157"/>
      <c r="BQ181" s="157"/>
      <c r="BR181" s="157"/>
      <c r="BS181" s="157"/>
      <c r="BT181" s="157"/>
      <c r="BU181" s="157"/>
    </row>
    <row r="182" spans="1:73" s="158" customFormat="1" ht="15.75" customHeight="1" thickBot="1">
      <c r="A182" s="159"/>
      <c r="B182" s="159"/>
      <c r="C182" s="162"/>
      <c r="D182" s="162"/>
      <c r="E182" s="162"/>
      <c r="F182" s="511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  <c r="AY182" s="157"/>
      <c r="AZ182" s="157"/>
      <c r="BA182" s="157"/>
      <c r="BB182" s="157"/>
      <c r="BC182" s="157"/>
      <c r="BD182" s="157"/>
      <c r="BE182" s="157"/>
      <c r="BF182" s="157"/>
      <c r="BG182" s="157"/>
      <c r="BH182" s="157"/>
      <c r="BI182" s="157"/>
      <c r="BJ182" s="157"/>
      <c r="BK182" s="157"/>
      <c r="BL182" s="157"/>
      <c r="BM182" s="157"/>
      <c r="BN182" s="157"/>
      <c r="BO182" s="157"/>
      <c r="BP182" s="157"/>
      <c r="BQ182" s="157"/>
      <c r="BR182" s="157"/>
      <c r="BS182" s="157"/>
      <c r="BT182" s="157"/>
      <c r="BU182" s="157"/>
    </row>
    <row r="183" spans="1:73" s="158" customFormat="1" ht="15.75" customHeight="1" thickBot="1">
      <c r="A183" s="159"/>
      <c r="B183" s="159"/>
      <c r="C183" s="162"/>
      <c r="D183" s="162"/>
      <c r="E183" s="162"/>
      <c r="F183" s="511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  <c r="AY183" s="157"/>
      <c r="AZ183" s="157"/>
      <c r="BA183" s="157"/>
      <c r="BB183" s="157"/>
      <c r="BC183" s="157"/>
      <c r="BD183" s="157"/>
      <c r="BE183" s="157"/>
      <c r="BF183" s="157"/>
      <c r="BG183" s="157"/>
      <c r="BH183" s="157"/>
      <c r="BI183" s="157"/>
      <c r="BJ183" s="157"/>
      <c r="BK183" s="157"/>
      <c r="BL183" s="157"/>
      <c r="BM183" s="157"/>
      <c r="BN183" s="157"/>
      <c r="BO183" s="157"/>
      <c r="BP183" s="157"/>
      <c r="BQ183" s="157"/>
      <c r="BR183" s="157"/>
      <c r="BS183" s="157"/>
      <c r="BT183" s="157"/>
      <c r="BU183" s="157"/>
    </row>
    <row r="184" spans="1:73" s="158" customFormat="1" ht="15.75" customHeight="1" thickBot="1">
      <c r="A184" s="159"/>
      <c r="B184" s="159"/>
      <c r="C184" s="162"/>
      <c r="D184" s="162"/>
      <c r="E184" s="162"/>
      <c r="F184" s="511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  <c r="AY184" s="157"/>
      <c r="AZ184" s="157"/>
      <c r="BA184" s="157"/>
      <c r="BB184" s="157"/>
      <c r="BC184" s="157"/>
      <c r="BD184" s="157"/>
      <c r="BE184" s="157"/>
      <c r="BF184" s="157"/>
      <c r="BG184" s="157"/>
      <c r="BH184" s="157"/>
      <c r="BI184" s="157"/>
      <c r="BJ184" s="157"/>
      <c r="BK184" s="157"/>
      <c r="BL184" s="157"/>
      <c r="BM184" s="157"/>
      <c r="BN184" s="157"/>
      <c r="BO184" s="157"/>
      <c r="BP184" s="157"/>
      <c r="BQ184" s="157"/>
      <c r="BR184" s="157"/>
      <c r="BS184" s="157"/>
      <c r="BT184" s="157"/>
      <c r="BU184" s="157"/>
    </row>
    <row r="185" spans="1:73" s="158" customFormat="1" ht="15.75" customHeight="1" thickBot="1">
      <c r="A185" s="159"/>
      <c r="B185" s="159"/>
      <c r="C185" s="162"/>
      <c r="D185" s="162"/>
      <c r="E185" s="162"/>
      <c r="F185" s="511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  <c r="AY185" s="157"/>
      <c r="AZ185" s="157"/>
      <c r="BA185" s="157"/>
      <c r="BB185" s="157"/>
      <c r="BC185" s="157"/>
      <c r="BD185" s="157"/>
      <c r="BE185" s="157"/>
      <c r="BF185" s="157"/>
      <c r="BG185" s="157"/>
      <c r="BH185" s="157"/>
      <c r="BI185" s="157"/>
      <c r="BJ185" s="157"/>
      <c r="BK185" s="157"/>
      <c r="BL185" s="157"/>
      <c r="BM185" s="157"/>
      <c r="BN185" s="157"/>
      <c r="BO185" s="157"/>
      <c r="BP185" s="157"/>
      <c r="BQ185" s="157"/>
      <c r="BR185" s="157"/>
      <c r="BS185" s="157"/>
      <c r="BT185" s="157"/>
      <c r="BU185" s="157"/>
    </row>
    <row r="186" spans="1:73" s="158" customFormat="1" ht="15.75" customHeight="1" thickBot="1">
      <c r="A186" s="159"/>
      <c r="B186" s="159"/>
      <c r="C186" s="162"/>
      <c r="D186" s="162"/>
      <c r="E186" s="162"/>
      <c r="F186" s="511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157"/>
      <c r="AW186" s="157"/>
      <c r="AX186" s="157"/>
      <c r="AY186" s="157"/>
      <c r="AZ186" s="157"/>
      <c r="BA186" s="157"/>
      <c r="BB186" s="157"/>
      <c r="BC186" s="157"/>
      <c r="BD186" s="157"/>
      <c r="BE186" s="157"/>
      <c r="BF186" s="157"/>
      <c r="BG186" s="157"/>
      <c r="BH186" s="157"/>
      <c r="BI186" s="157"/>
      <c r="BJ186" s="157"/>
      <c r="BK186" s="157"/>
      <c r="BL186" s="157"/>
      <c r="BM186" s="157"/>
      <c r="BN186" s="157"/>
      <c r="BO186" s="157"/>
      <c r="BP186" s="157"/>
      <c r="BQ186" s="157"/>
      <c r="BR186" s="157"/>
      <c r="BS186" s="157"/>
      <c r="BT186" s="157"/>
      <c r="BU186" s="157"/>
    </row>
    <row r="187" spans="1:73" s="158" customFormat="1" ht="15.75" customHeight="1" thickBot="1">
      <c r="A187" s="159"/>
      <c r="B187" s="159"/>
      <c r="C187" s="162"/>
      <c r="D187" s="162"/>
      <c r="E187" s="162"/>
      <c r="F187" s="511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7"/>
      <c r="AU187" s="157"/>
      <c r="AV187" s="157"/>
      <c r="AW187" s="157"/>
      <c r="AX187" s="157"/>
      <c r="AY187" s="157"/>
      <c r="AZ187" s="157"/>
      <c r="BA187" s="157"/>
      <c r="BB187" s="157"/>
      <c r="BC187" s="157"/>
      <c r="BD187" s="157"/>
      <c r="BE187" s="157"/>
      <c r="BF187" s="157"/>
      <c r="BG187" s="157"/>
      <c r="BH187" s="157"/>
      <c r="BI187" s="157"/>
      <c r="BJ187" s="157"/>
      <c r="BK187" s="157"/>
      <c r="BL187" s="157"/>
      <c r="BM187" s="157"/>
      <c r="BN187" s="157"/>
      <c r="BO187" s="157"/>
      <c r="BP187" s="157"/>
      <c r="BQ187" s="157"/>
      <c r="BR187" s="157"/>
      <c r="BS187" s="157"/>
      <c r="BT187" s="157"/>
      <c r="BU187" s="157"/>
    </row>
    <row r="188" spans="1:73" s="158" customFormat="1" ht="15.75" customHeight="1" thickBot="1">
      <c r="A188" s="159"/>
      <c r="B188" s="159"/>
      <c r="C188" s="162"/>
      <c r="D188" s="162"/>
      <c r="E188" s="162"/>
      <c r="F188" s="511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7"/>
      <c r="AU188" s="157"/>
      <c r="AV188" s="157"/>
      <c r="AW188" s="157"/>
      <c r="AX188" s="157"/>
      <c r="AY188" s="157"/>
      <c r="AZ188" s="157"/>
      <c r="BA188" s="157"/>
      <c r="BB188" s="157"/>
      <c r="BC188" s="157"/>
      <c r="BD188" s="157"/>
      <c r="BE188" s="157"/>
      <c r="BF188" s="157"/>
      <c r="BG188" s="157"/>
      <c r="BH188" s="157"/>
      <c r="BI188" s="157"/>
      <c r="BJ188" s="157"/>
      <c r="BK188" s="157"/>
      <c r="BL188" s="157"/>
      <c r="BM188" s="157"/>
      <c r="BN188" s="157"/>
      <c r="BO188" s="157"/>
      <c r="BP188" s="157"/>
      <c r="BQ188" s="157"/>
      <c r="BR188" s="157"/>
      <c r="BS188" s="157"/>
      <c r="BT188" s="157"/>
      <c r="BU188" s="157"/>
    </row>
    <row r="189" spans="1:73" s="158" customFormat="1" ht="15.75" customHeight="1" thickBot="1">
      <c r="A189" s="159"/>
      <c r="B189" s="159"/>
      <c r="C189" s="162"/>
      <c r="D189" s="162"/>
      <c r="E189" s="162"/>
      <c r="F189" s="511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  <c r="AR189" s="157"/>
      <c r="AS189" s="157"/>
      <c r="AT189" s="157"/>
      <c r="AU189" s="157"/>
      <c r="AV189" s="157"/>
      <c r="AW189" s="157"/>
      <c r="AX189" s="157"/>
      <c r="AY189" s="157"/>
      <c r="AZ189" s="157"/>
      <c r="BA189" s="157"/>
      <c r="BB189" s="157"/>
      <c r="BC189" s="157"/>
      <c r="BD189" s="157"/>
      <c r="BE189" s="157"/>
      <c r="BF189" s="157"/>
      <c r="BG189" s="157"/>
      <c r="BH189" s="157"/>
      <c r="BI189" s="157"/>
      <c r="BJ189" s="157"/>
      <c r="BK189" s="157"/>
      <c r="BL189" s="157"/>
      <c r="BM189" s="157"/>
      <c r="BN189" s="157"/>
      <c r="BO189" s="157"/>
      <c r="BP189" s="157"/>
      <c r="BQ189" s="157"/>
      <c r="BR189" s="157"/>
      <c r="BS189" s="157"/>
      <c r="BT189" s="157"/>
      <c r="BU189" s="157"/>
    </row>
    <row r="190" spans="1:73" s="158" customFormat="1" ht="15.75" customHeight="1" thickBot="1">
      <c r="A190" s="159"/>
      <c r="B190" s="159"/>
      <c r="C190" s="162"/>
      <c r="D190" s="162"/>
      <c r="E190" s="162"/>
      <c r="F190" s="511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7"/>
      <c r="AU190" s="157"/>
      <c r="AV190" s="157"/>
      <c r="AW190" s="157"/>
      <c r="AX190" s="157"/>
      <c r="AY190" s="157"/>
      <c r="AZ190" s="157"/>
      <c r="BA190" s="157"/>
      <c r="BB190" s="157"/>
      <c r="BC190" s="157"/>
      <c r="BD190" s="157"/>
      <c r="BE190" s="157"/>
      <c r="BF190" s="157"/>
      <c r="BG190" s="157"/>
      <c r="BH190" s="157"/>
      <c r="BI190" s="157"/>
      <c r="BJ190" s="157"/>
      <c r="BK190" s="157"/>
      <c r="BL190" s="157"/>
      <c r="BM190" s="157"/>
      <c r="BN190" s="157"/>
      <c r="BO190" s="157"/>
      <c r="BP190" s="157"/>
      <c r="BQ190" s="157"/>
      <c r="BR190" s="157"/>
      <c r="BS190" s="157"/>
      <c r="BT190" s="157"/>
      <c r="BU190" s="157"/>
    </row>
    <row r="191" spans="1:73" s="158" customFormat="1" ht="15.75" customHeight="1" thickBot="1">
      <c r="A191" s="159"/>
      <c r="B191" s="159"/>
      <c r="C191" s="162"/>
      <c r="D191" s="162"/>
      <c r="E191" s="162"/>
      <c r="F191" s="511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7"/>
      <c r="AU191" s="157"/>
      <c r="AV191" s="157"/>
      <c r="AW191" s="157"/>
      <c r="AX191" s="157"/>
      <c r="AY191" s="157"/>
      <c r="AZ191" s="157"/>
      <c r="BA191" s="157"/>
      <c r="BB191" s="157"/>
      <c r="BC191" s="157"/>
      <c r="BD191" s="157"/>
      <c r="BE191" s="157"/>
      <c r="BF191" s="157"/>
      <c r="BG191" s="157"/>
      <c r="BH191" s="157"/>
      <c r="BI191" s="157"/>
      <c r="BJ191" s="157"/>
      <c r="BK191" s="157"/>
      <c r="BL191" s="157"/>
      <c r="BM191" s="157"/>
      <c r="BN191" s="157"/>
      <c r="BO191" s="157"/>
      <c r="BP191" s="157"/>
      <c r="BQ191" s="157"/>
      <c r="BR191" s="157"/>
      <c r="BS191" s="157"/>
      <c r="BT191" s="157"/>
      <c r="BU191" s="157"/>
    </row>
    <row r="192" spans="1:73" s="158" customFormat="1" ht="15.75" customHeight="1" thickBot="1">
      <c r="A192" s="159"/>
      <c r="B192" s="159"/>
      <c r="C192" s="162"/>
      <c r="D192" s="162"/>
      <c r="E192" s="162"/>
      <c r="F192" s="511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  <c r="AR192" s="157"/>
      <c r="AS192" s="157"/>
      <c r="AT192" s="157"/>
      <c r="AU192" s="157"/>
      <c r="AV192" s="157"/>
      <c r="AW192" s="157"/>
      <c r="AX192" s="157"/>
      <c r="AY192" s="157"/>
      <c r="AZ192" s="157"/>
      <c r="BA192" s="157"/>
      <c r="BB192" s="157"/>
      <c r="BC192" s="157"/>
      <c r="BD192" s="157"/>
      <c r="BE192" s="157"/>
      <c r="BF192" s="157"/>
      <c r="BG192" s="157"/>
      <c r="BH192" s="157"/>
      <c r="BI192" s="157"/>
      <c r="BJ192" s="157"/>
      <c r="BK192" s="157"/>
      <c r="BL192" s="157"/>
      <c r="BM192" s="157"/>
      <c r="BN192" s="157"/>
      <c r="BO192" s="157"/>
      <c r="BP192" s="157"/>
      <c r="BQ192" s="157"/>
      <c r="BR192" s="157"/>
      <c r="BS192" s="157"/>
      <c r="BT192" s="157"/>
      <c r="BU192" s="157"/>
    </row>
    <row r="193" spans="1:73" s="158" customFormat="1" ht="15.75" customHeight="1" thickBot="1">
      <c r="A193" s="159"/>
      <c r="B193" s="159"/>
      <c r="C193" s="162"/>
      <c r="D193" s="162"/>
      <c r="E193" s="162"/>
      <c r="F193" s="511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  <c r="AR193" s="157"/>
      <c r="AS193" s="157"/>
      <c r="AT193" s="157"/>
      <c r="AU193" s="157"/>
      <c r="AV193" s="157"/>
      <c r="AW193" s="157"/>
      <c r="AX193" s="157"/>
      <c r="AY193" s="157"/>
      <c r="AZ193" s="157"/>
      <c r="BA193" s="157"/>
      <c r="BB193" s="157"/>
      <c r="BC193" s="157"/>
      <c r="BD193" s="157"/>
      <c r="BE193" s="157"/>
      <c r="BF193" s="157"/>
      <c r="BG193" s="157"/>
      <c r="BH193" s="157"/>
      <c r="BI193" s="157"/>
      <c r="BJ193" s="157"/>
      <c r="BK193" s="157"/>
      <c r="BL193" s="157"/>
      <c r="BM193" s="157"/>
      <c r="BN193" s="157"/>
      <c r="BO193" s="157"/>
      <c r="BP193" s="157"/>
      <c r="BQ193" s="157"/>
      <c r="BR193" s="157"/>
      <c r="BS193" s="157"/>
      <c r="BT193" s="157"/>
      <c r="BU193" s="157"/>
    </row>
    <row r="194" spans="1:73" s="158" customFormat="1" ht="15.75" customHeight="1" thickBot="1">
      <c r="A194" s="159"/>
      <c r="B194" s="159"/>
      <c r="C194" s="162"/>
      <c r="D194" s="162"/>
      <c r="E194" s="162"/>
      <c r="F194" s="511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  <c r="AR194" s="157"/>
      <c r="AS194" s="157"/>
      <c r="AT194" s="157"/>
      <c r="AU194" s="157"/>
      <c r="AV194" s="157"/>
      <c r="AW194" s="157"/>
      <c r="AX194" s="157"/>
      <c r="AY194" s="157"/>
      <c r="AZ194" s="157"/>
      <c r="BA194" s="157"/>
      <c r="BB194" s="157"/>
      <c r="BC194" s="157"/>
      <c r="BD194" s="157"/>
      <c r="BE194" s="157"/>
      <c r="BF194" s="157"/>
      <c r="BG194" s="157"/>
      <c r="BH194" s="157"/>
      <c r="BI194" s="157"/>
      <c r="BJ194" s="157"/>
      <c r="BK194" s="157"/>
      <c r="BL194" s="157"/>
      <c r="BM194" s="157"/>
      <c r="BN194" s="157"/>
      <c r="BO194" s="157"/>
      <c r="BP194" s="157"/>
      <c r="BQ194" s="157"/>
      <c r="BR194" s="157"/>
      <c r="BS194" s="157"/>
      <c r="BT194" s="157"/>
      <c r="BU194" s="157"/>
    </row>
    <row r="195" spans="1:73" s="158" customFormat="1" ht="15.75" customHeight="1" thickBot="1">
      <c r="A195" s="159"/>
      <c r="B195" s="159"/>
      <c r="C195" s="162"/>
      <c r="D195" s="162"/>
      <c r="E195" s="162"/>
      <c r="F195" s="511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  <c r="AR195" s="157"/>
      <c r="AS195" s="157"/>
      <c r="AT195" s="157"/>
      <c r="AU195" s="157"/>
      <c r="AV195" s="157"/>
      <c r="AW195" s="157"/>
      <c r="AX195" s="157"/>
      <c r="AY195" s="157"/>
      <c r="AZ195" s="157"/>
      <c r="BA195" s="157"/>
      <c r="BB195" s="157"/>
      <c r="BC195" s="157"/>
      <c r="BD195" s="157"/>
      <c r="BE195" s="157"/>
      <c r="BF195" s="157"/>
      <c r="BG195" s="157"/>
      <c r="BH195" s="157"/>
      <c r="BI195" s="157"/>
      <c r="BJ195" s="157"/>
      <c r="BK195" s="157"/>
      <c r="BL195" s="157"/>
      <c r="BM195" s="157"/>
      <c r="BN195" s="157"/>
      <c r="BO195" s="157"/>
      <c r="BP195" s="157"/>
      <c r="BQ195" s="157"/>
      <c r="BR195" s="157"/>
      <c r="BS195" s="157"/>
      <c r="BT195" s="157"/>
      <c r="BU195" s="157"/>
    </row>
    <row r="196" spans="1:73" s="158" customFormat="1" ht="15.75" customHeight="1" thickBot="1">
      <c r="A196" s="159"/>
      <c r="B196" s="159"/>
      <c r="C196" s="162"/>
      <c r="D196" s="162"/>
      <c r="E196" s="162"/>
      <c r="F196" s="511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  <c r="AR196" s="157"/>
      <c r="AS196" s="157"/>
      <c r="AT196" s="157"/>
      <c r="AU196" s="157"/>
      <c r="AV196" s="157"/>
      <c r="AW196" s="157"/>
      <c r="AX196" s="157"/>
      <c r="AY196" s="157"/>
      <c r="AZ196" s="157"/>
      <c r="BA196" s="157"/>
      <c r="BB196" s="157"/>
      <c r="BC196" s="157"/>
      <c r="BD196" s="157"/>
      <c r="BE196" s="157"/>
      <c r="BF196" s="157"/>
      <c r="BG196" s="157"/>
      <c r="BH196" s="157"/>
      <c r="BI196" s="157"/>
      <c r="BJ196" s="157"/>
      <c r="BK196" s="157"/>
      <c r="BL196" s="157"/>
      <c r="BM196" s="157"/>
      <c r="BN196" s="157"/>
      <c r="BO196" s="157"/>
      <c r="BP196" s="157"/>
      <c r="BQ196" s="157"/>
      <c r="BR196" s="157"/>
      <c r="BS196" s="157"/>
      <c r="BT196" s="157"/>
      <c r="BU196" s="157"/>
    </row>
    <row r="197" spans="1:73" s="158" customFormat="1" ht="15.75" customHeight="1" thickBot="1">
      <c r="A197" s="159"/>
      <c r="B197" s="159"/>
      <c r="C197" s="162"/>
      <c r="D197" s="162"/>
      <c r="E197" s="162"/>
      <c r="F197" s="511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  <c r="AR197" s="157"/>
      <c r="AS197" s="157"/>
      <c r="AT197" s="157"/>
      <c r="AU197" s="157"/>
      <c r="AV197" s="157"/>
      <c r="AW197" s="157"/>
      <c r="AX197" s="157"/>
      <c r="AY197" s="157"/>
      <c r="AZ197" s="157"/>
      <c r="BA197" s="157"/>
      <c r="BB197" s="157"/>
      <c r="BC197" s="157"/>
      <c r="BD197" s="157"/>
      <c r="BE197" s="157"/>
      <c r="BF197" s="157"/>
      <c r="BG197" s="157"/>
      <c r="BH197" s="157"/>
      <c r="BI197" s="157"/>
      <c r="BJ197" s="157"/>
      <c r="BK197" s="157"/>
      <c r="BL197" s="157"/>
      <c r="BM197" s="157"/>
      <c r="BN197" s="157"/>
      <c r="BO197" s="157"/>
      <c r="BP197" s="157"/>
      <c r="BQ197" s="157"/>
      <c r="BR197" s="157"/>
      <c r="BS197" s="157"/>
      <c r="BT197" s="157"/>
      <c r="BU197" s="157"/>
    </row>
    <row r="198" spans="1:73" s="158" customFormat="1" ht="15.75" customHeight="1" thickBot="1">
      <c r="A198" s="159"/>
      <c r="B198" s="159"/>
      <c r="C198" s="162"/>
      <c r="D198" s="162"/>
      <c r="E198" s="162"/>
      <c r="F198" s="511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  <c r="AR198" s="157"/>
      <c r="AS198" s="157"/>
      <c r="AT198" s="157"/>
      <c r="AU198" s="157"/>
      <c r="AV198" s="157"/>
      <c r="AW198" s="157"/>
      <c r="AX198" s="157"/>
      <c r="AY198" s="157"/>
      <c r="AZ198" s="157"/>
      <c r="BA198" s="157"/>
      <c r="BB198" s="157"/>
      <c r="BC198" s="157"/>
      <c r="BD198" s="157"/>
      <c r="BE198" s="157"/>
      <c r="BF198" s="157"/>
      <c r="BG198" s="157"/>
      <c r="BH198" s="157"/>
      <c r="BI198" s="157"/>
      <c r="BJ198" s="157"/>
      <c r="BK198" s="157"/>
      <c r="BL198" s="157"/>
      <c r="BM198" s="157"/>
      <c r="BN198" s="157"/>
      <c r="BO198" s="157"/>
      <c r="BP198" s="157"/>
      <c r="BQ198" s="157"/>
      <c r="BR198" s="157"/>
      <c r="BS198" s="157"/>
      <c r="BT198" s="157"/>
      <c r="BU198" s="157"/>
    </row>
    <row r="199" spans="1:73" s="158" customFormat="1" ht="15.75" customHeight="1" thickBot="1">
      <c r="A199" s="159"/>
      <c r="B199" s="159"/>
      <c r="C199" s="162"/>
      <c r="D199" s="162"/>
      <c r="E199" s="162"/>
      <c r="F199" s="511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  <c r="AR199" s="157"/>
      <c r="AS199" s="157"/>
      <c r="AT199" s="157"/>
      <c r="AU199" s="157"/>
      <c r="AV199" s="157"/>
      <c r="AW199" s="157"/>
      <c r="AX199" s="157"/>
      <c r="AY199" s="157"/>
      <c r="AZ199" s="157"/>
      <c r="BA199" s="157"/>
      <c r="BB199" s="157"/>
      <c r="BC199" s="157"/>
      <c r="BD199" s="157"/>
      <c r="BE199" s="157"/>
      <c r="BF199" s="157"/>
      <c r="BG199" s="157"/>
      <c r="BH199" s="157"/>
      <c r="BI199" s="157"/>
      <c r="BJ199" s="157"/>
      <c r="BK199" s="157"/>
      <c r="BL199" s="157"/>
      <c r="BM199" s="157"/>
      <c r="BN199" s="157"/>
      <c r="BO199" s="157"/>
      <c r="BP199" s="157"/>
      <c r="BQ199" s="157"/>
      <c r="BR199" s="157"/>
      <c r="BS199" s="157"/>
      <c r="BT199" s="157"/>
      <c r="BU199" s="157"/>
    </row>
    <row r="200" spans="1:73" s="158" customFormat="1" ht="15.75" customHeight="1" thickBot="1">
      <c r="A200" s="159"/>
      <c r="B200" s="159"/>
      <c r="C200" s="162"/>
      <c r="D200" s="162"/>
      <c r="E200" s="162"/>
      <c r="F200" s="511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  <c r="AR200" s="157"/>
      <c r="AS200" s="157"/>
      <c r="AT200" s="157"/>
      <c r="AU200" s="157"/>
      <c r="AV200" s="157"/>
      <c r="AW200" s="157"/>
      <c r="AX200" s="157"/>
      <c r="AY200" s="157"/>
      <c r="AZ200" s="157"/>
      <c r="BA200" s="157"/>
      <c r="BB200" s="157"/>
      <c r="BC200" s="157"/>
      <c r="BD200" s="157"/>
      <c r="BE200" s="157"/>
      <c r="BF200" s="157"/>
      <c r="BG200" s="157"/>
      <c r="BH200" s="157"/>
      <c r="BI200" s="157"/>
      <c r="BJ200" s="157"/>
      <c r="BK200" s="157"/>
      <c r="BL200" s="157"/>
      <c r="BM200" s="157"/>
      <c r="BN200" s="157"/>
      <c r="BO200" s="157"/>
      <c r="BP200" s="157"/>
      <c r="BQ200" s="157"/>
      <c r="BR200" s="157"/>
      <c r="BS200" s="157"/>
      <c r="BT200" s="157"/>
      <c r="BU200" s="157"/>
    </row>
    <row r="201" spans="1:73" s="158" customFormat="1" ht="15.75" customHeight="1" thickBot="1">
      <c r="A201" s="159"/>
      <c r="B201" s="159"/>
      <c r="C201" s="162"/>
      <c r="D201" s="162"/>
      <c r="E201" s="162"/>
      <c r="F201" s="511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  <c r="AR201" s="157"/>
      <c r="AS201" s="157"/>
      <c r="AT201" s="157"/>
      <c r="AU201" s="157"/>
      <c r="AV201" s="157"/>
      <c r="AW201" s="157"/>
      <c r="AX201" s="157"/>
      <c r="AY201" s="157"/>
      <c r="AZ201" s="157"/>
      <c r="BA201" s="157"/>
      <c r="BB201" s="157"/>
      <c r="BC201" s="157"/>
      <c r="BD201" s="157"/>
      <c r="BE201" s="157"/>
      <c r="BF201" s="157"/>
      <c r="BG201" s="157"/>
      <c r="BH201" s="157"/>
      <c r="BI201" s="157"/>
      <c r="BJ201" s="157"/>
      <c r="BK201" s="157"/>
      <c r="BL201" s="157"/>
      <c r="BM201" s="157"/>
      <c r="BN201" s="157"/>
      <c r="BO201" s="157"/>
      <c r="BP201" s="157"/>
      <c r="BQ201" s="157"/>
      <c r="BR201" s="157"/>
      <c r="BS201" s="157"/>
      <c r="BT201" s="157"/>
      <c r="BU201" s="157"/>
    </row>
    <row r="202" spans="1:73" s="158" customFormat="1" ht="15.75" customHeight="1" thickBot="1">
      <c r="A202" s="159"/>
      <c r="B202" s="159"/>
      <c r="C202" s="162"/>
      <c r="D202" s="162"/>
      <c r="E202" s="162"/>
      <c r="F202" s="511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  <c r="AR202" s="157"/>
      <c r="AS202" s="157"/>
      <c r="AT202" s="157"/>
      <c r="AU202" s="157"/>
      <c r="AV202" s="157"/>
      <c r="AW202" s="157"/>
      <c r="AX202" s="157"/>
      <c r="AY202" s="157"/>
      <c r="AZ202" s="157"/>
      <c r="BA202" s="157"/>
      <c r="BB202" s="157"/>
      <c r="BC202" s="157"/>
      <c r="BD202" s="157"/>
      <c r="BE202" s="157"/>
      <c r="BF202" s="157"/>
      <c r="BG202" s="157"/>
      <c r="BH202" s="157"/>
      <c r="BI202" s="157"/>
      <c r="BJ202" s="157"/>
      <c r="BK202" s="157"/>
      <c r="BL202" s="157"/>
      <c r="BM202" s="157"/>
      <c r="BN202" s="157"/>
      <c r="BO202" s="157"/>
      <c r="BP202" s="157"/>
      <c r="BQ202" s="157"/>
      <c r="BR202" s="157"/>
      <c r="BS202" s="157"/>
      <c r="BT202" s="157"/>
      <c r="BU202" s="157"/>
    </row>
    <row r="203" spans="1:73" s="158" customFormat="1" ht="15.75" customHeight="1" thickBot="1">
      <c r="A203" s="159"/>
      <c r="B203" s="159"/>
      <c r="C203" s="162"/>
      <c r="D203" s="162"/>
      <c r="E203" s="162"/>
      <c r="F203" s="511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  <c r="AR203" s="157"/>
      <c r="AS203" s="157"/>
      <c r="AT203" s="157"/>
      <c r="AU203" s="157"/>
      <c r="AV203" s="157"/>
      <c r="AW203" s="157"/>
      <c r="AX203" s="157"/>
      <c r="AY203" s="157"/>
      <c r="AZ203" s="157"/>
      <c r="BA203" s="157"/>
      <c r="BB203" s="157"/>
      <c r="BC203" s="157"/>
      <c r="BD203" s="157"/>
      <c r="BE203" s="157"/>
      <c r="BF203" s="157"/>
      <c r="BG203" s="157"/>
      <c r="BH203" s="157"/>
      <c r="BI203" s="157"/>
      <c r="BJ203" s="157"/>
      <c r="BK203" s="157"/>
      <c r="BL203" s="157"/>
      <c r="BM203" s="157"/>
      <c r="BN203" s="157"/>
      <c r="BO203" s="157"/>
      <c r="BP203" s="157"/>
      <c r="BQ203" s="157"/>
      <c r="BR203" s="157"/>
      <c r="BS203" s="157"/>
      <c r="BT203" s="157"/>
      <c r="BU203" s="157"/>
    </row>
    <row r="204" spans="1:73" s="158" customFormat="1" ht="15.75" customHeight="1" thickBot="1">
      <c r="A204" s="159"/>
      <c r="B204" s="159"/>
      <c r="C204" s="162"/>
      <c r="D204" s="162"/>
      <c r="E204" s="162"/>
      <c r="F204" s="511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  <c r="AR204" s="157"/>
      <c r="AS204" s="157"/>
      <c r="AT204" s="157"/>
      <c r="AU204" s="157"/>
      <c r="AV204" s="157"/>
      <c r="AW204" s="157"/>
      <c r="AX204" s="157"/>
      <c r="AY204" s="157"/>
      <c r="AZ204" s="157"/>
      <c r="BA204" s="157"/>
      <c r="BB204" s="157"/>
      <c r="BC204" s="157"/>
      <c r="BD204" s="157"/>
      <c r="BE204" s="157"/>
      <c r="BF204" s="157"/>
      <c r="BG204" s="157"/>
      <c r="BH204" s="157"/>
      <c r="BI204" s="157"/>
      <c r="BJ204" s="157"/>
      <c r="BK204" s="157"/>
      <c r="BL204" s="157"/>
      <c r="BM204" s="157"/>
      <c r="BN204" s="157"/>
      <c r="BO204" s="157"/>
      <c r="BP204" s="157"/>
      <c r="BQ204" s="157"/>
      <c r="BR204" s="157"/>
      <c r="BS204" s="157"/>
      <c r="BT204" s="157"/>
      <c r="BU204" s="157"/>
    </row>
    <row r="205" spans="1:73" s="158" customFormat="1" ht="15.75" customHeight="1" thickBot="1">
      <c r="A205" s="159"/>
      <c r="B205" s="159"/>
      <c r="C205" s="162"/>
      <c r="D205" s="162"/>
      <c r="E205" s="162"/>
      <c r="F205" s="511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  <c r="AR205" s="157"/>
      <c r="AS205" s="157"/>
      <c r="AT205" s="157"/>
      <c r="AU205" s="157"/>
      <c r="AV205" s="157"/>
      <c r="AW205" s="157"/>
      <c r="AX205" s="157"/>
      <c r="AY205" s="157"/>
      <c r="AZ205" s="157"/>
      <c r="BA205" s="157"/>
      <c r="BB205" s="157"/>
      <c r="BC205" s="157"/>
      <c r="BD205" s="157"/>
      <c r="BE205" s="157"/>
      <c r="BF205" s="157"/>
      <c r="BG205" s="157"/>
      <c r="BH205" s="157"/>
      <c r="BI205" s="157"/>
      <c r="BJ205" s="157"/>
      <c r="BK205" s="157"/>
      <c r="BL205" s="157"/>
      <c r="BM205" s="157"/>
      <c r="BN205" s="157"/>
      <c r="BO205" s="157"/>
      <c r="BP205" s="157"/>
      <c r="BQ205" s="157"/>
      <c r="BR205" s="157"/>
      <c r="BS205" s="157"/>
      <c r="BT205" s="157"/>
      <c r="BU205" s="157"/>
    </row>
    <row r="206" spans="1:73" s="158" customFormat="1" ht="15.75" customHeight="1" thickBot="1">
      <c r="A206" s="159"/>
      <c r="B206" s="159"/>
      <c r="C206" s="162"/>
      <c r="D206" s="162"/>
      <c r="E206" s="162"/>
      <c r="F206" s="511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  <c r="AR206" s="157"/>
      <c r="AS206" s="157"/>
      <c r="AT206" s="157"/>
      <c r="AU206" s="157"/>
      <c r="AV206" s="157"/>
      <c r="AW206" s="157"/>
      <c r="AX206" s="157"/>
      <c r="AY206" s="157"/>
      <c r="AZ206" s="157"/>
      <c r="BA206" s="157"/>
      <c r="BB206" s="157"/>
      <c r="BC206" s="157"/>
      <c r="BD206" s="157"/>
      <c r="BE206" s="157"/>
      <c r="BF206" s="157"/>
      <c r="BG206" s="157"/>
      <c r="BH206" s="157"/>
      <c r="BI206" s="157"/>
      <c r="BJ206" s="157"/>
      <c r="BK206" s="157"/>
      <c r="BL206" s="157"/>
      <c r="BM206" s="157"/>
      <c r="BN206" s="157"/>
      <c r="BO206" s="157"/>
      <c r="BP206" s="157"/>
      <c r="BQ206" s="157"/>
      <c r="BR206" s="157"/>
      <c r="BS206" s="157"/>
      <c r="BT206" s="157"/>
      <c r="BU206" s="157"/>
    </row>
    <row r="207" spans="1:73" s="158" customFormat="1" ht="15.75" customHeight="1" thickBot="1">
      <c r="A207" s="159"/>
      <c r="B207" s="159"/>
      <c r="C207" s="162"/>
      <c r="D207" s="162"/>
      <c r="E207" s="162"/>
      <c r="F207" s="511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  <c r="AR207" s="157"/>
      <c r="AS207" s="157"/>
      <c r="AT207" s="157"/>
      <c r="AU207" s="157"/>
      <c r="AV207" s="157"/>
      <c r="AW207" s="157"/>
      <c r="AX207" s="157"/>
      <c r="AY207" s="157"/>
      <c r="AZ207" s="157"/>
      <c r="BA207" s="157"/>
      <c r="BB207" s="157"/>
      <c r="BC207" s="157"/>
      <c r="BD207" s="157"/>
      <c r="BE207" s="157"/>
      <c r="BF207" s="157"/>
      <c r="BG207" s="157"/>
      <c r="BH207" s="157"/>
      <c r="BI207" s="157"/>
      <c r="BJ207" s="157"/>
      <c r="BK207" s="157"/>
      <c r="BL207" s="157"/>
      <c r="BM207" s="157"/>
      <c r="BN207" s="157"/>
      <c r="BO207" s="157"/>
      <c r="BP207" s="157"/>
      <c r="BQ207" s="157"/>
      <c r="BR207" s="157"/>
      <c r="BS207" s="157"/>
      <c r="BT207" s="157"/>
      <c r="BU207" s="157"/>
    </row>
    <row r="208" spans="1:73" s="158" customFormat="1" ht="15.75" customHeight="1" thickBot="1">
      <c r="A208" s="159"/>
      <c r="B208" s="159"/>
      <c r="C208" s="162"/>
      <c r="D208" s="162"/>
      <c r="E208" s="162"/>
      <c r="F208" s="511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  <c r="AR208" s="157"/>
      <c r="AS208" s="157"/>
      <c r="AT208" s="157"/>
      <c r="AU208" s="157"/>
      <c r="AV208" s="157"/>
      <c r="AW208" s="157"/>
      <c r="AX208" s="157"/>
      <c r="AY208" s="157"/>
      <c r="AZ208" s="157"/>
      <c r="BA208" s="157"/>
      <c r="BB208" s="157"/>
      <c r="BC208" s="157"/>
      <c r="BD208" s="157"/>
      <c r="BE208" s="157"/>
      <c r="BF208" s="157"/>
      <c r="BG208" s="157"/>
      <c r="BH208" s="157"/>
      <c r="BI208" s="157"/>
      <c r="BJ208" s="157"/>
      <c r="BK208" s="157"/>
      <c r="BL208" s="157"/>
      <c r="BM208" s="157"/>
      <c r="BN208" s="157"/>
      <c r="BO208" s="157"/>
      <c r="BP208" s="157"/>
      <c r="BQ208" s="157"/>
      <c r="BR208" s="157"/>
      <c r="BS208" s="157"/>
      <c r="BT208" s="157"/>
      <c r="BU208" s="157"/>
    </row>
    <row r="209" spans="1:73" s="158" customFormat="1" ht="15.75" customHeight="1" thickBot="1">
      <c r="A209" s="159"/>
      <c r="B209" s="159"/>
      <c r="C209" s="162"/>
      <c r="D209" s="162"/>
      <c r="E209" s="162"/>
      <c r="F209" s="511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  <c r="AR209" s="157"/>
      <c r="AS209" s="157"/>
      <c r="AT209" s="157"/>
      <c r="AU209" s="157"/>
      <c r="AV209" s="157"/>
      <c r="AW209" s="157"/>
      <c r="AX209" s="157"/>
      <c r="AY209" s="157"/>
      <c r="AZ209" s="157"/>
      <c r="BA209" s="157"/>
      <c r="BB209" s="157"/>
      <c r="BC209" s="157"/>
      <c r="BD209" s="157"/>
      <c r="BE209" s="157"/>
      <c r="BF209" s="157"/>
      <c r="BG209" s="157"/>
      <c r="BH209" s="157"/>
      <c r="BI209" s="157"/>
      <c r="BJ209" s="157"/>
      <c r="BK209" s="157"/>
      <c r="BL209" s="157"/>
      <c r="BM209" s="157"/>
      <c r="BN209" s="157"/>
      <c r="BO209" s="157"/>
      <c r="BP209" s="157"/>
      <c r="BQ209" s="157"/>
      <c r="BR209" s="157"/>
      <c r="BS209" s="157"/>
      <c r="BT209" s="157"/>
      <c r="BU209" s="157"/>
    </row>
    <row r="210" spans="1:73" s="158" customFormat="1" ht="15.75" customHeight="1" thickBot="1">
      <c r="A210" s="159"/>
      <c r="B210" s="159"/>
      <c r="C210" s="162"/>
      <c r="D210" s="162"/>
      <c r="E210" s="162"/>
      <c r="F210" s="511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  <c r="AR210" s="157"/>
      <c r="AS210" s="157"/>
      <c r="AT210" s="157"/>
      <c r="AU210" s="157"/>
      <c r="AV210" s="157"/>
      <c r="AW210" s="157"/>
      <c r="AX210" s="157"/>
      <c r="AY210" s="157"/>
      <c r="AZ210" s="157"/>
      <c r="BA210" s="157"/>
      <c r="BB210" s="157"/>
      <c r="BC210" s="157"/>
      <c r="BD210" s="157"/>
      <c r="BE210" s="157"/>
      <c r="BF210" s="157"/>
      <c r="BG210" s="157"/>
      <c r="BH210" s="157"/>
      <c r="BI210" s="157"/>
      <c r="BJ210" s="157"/>
      <c r="BK210" s="157"/>
      <c r="BL210" s="157"/>
      <c r="BM210" s="157"/>
      <c r="BN210" s="157"/>
      <c r="BO210" s="157"/>
      <c r="BP210" s="157"/>
      <c r="BQ210" s="157"/>
      <c r="BR210" s="157"/>
      <c r="BS210" s="157"/>
      <c r="BT210" s="157"/>
      <c r="BU210" s="157"/>
    </row>
    <row r="211" spans="1:73" s="158" customFormat="1" ht="15.75" customHeight="1" thickBot="1">
      <c r="A211" s="159"/>
      <c r="B211" s="159"/>
      <c r="C211" s="162"/>
      <c r="D211" s="162"/>
      <c r="E211" s="162"/>
      <c r="F211" s="511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157"/>
      <c r="AU211" s="157"/>
      <c r="AV211" s="157"/>
      <c r="AW211" s="157"/>
      <c r="AX211" s="157"/>
      <c r="AY211" s="157"/>
      <c r="AZ211" s="157"/>
      <c r="BA211" s="157"/>
      <c r="BB211" s="157"/>
      <c r="BC211" s="157"/>
      <c r="BD211" s="157"/>
      <c r="BE211" s="157"/>
      <c r="BF211" s="157"/>
      <c r="BG211" s="157"/>
      <c r="BH211" s="157"/>
      <c r="BI211" s="157"/>
      <c r="BJ211" s="157"/>
      <c r="BK211" s="157"/>
      <c r="BL211" s="157"/>
      <c r="BM211" s="157"/>
      <c r="BN211" s="157"/>
      <c r="BO211" s="157"/>
      <c r="BP211" s="157"/>
      <c r="BQ211" s="157"/>
      <c r="BR211" s="157"/>
      <c r="BS211" s="157"/>
      <c r="BT211" s="157"/>
      <c r="BU211" s="157"/>
    </row>
    <row r="212" spans="1:73" s="158" customFormat="1" ht="15.75" customHeight="1" thickBot="1">
      <c r="A212" s="159"/>
      <c r="B212" s="159"/>
      <c r="C212" s="162"/>
      <c r="D212" s="162"/>
      <c r="E212" s="162"/>
      <c r="F212" s="511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  <c r="AR212" s="157"/>
      <c r="AS212" s="157"/>
      <c r="AT212" s="157"/>
      <c r="AU212" s="157"/>
      <c r="AV212" s="157"/>
      <c r="AW212" s="157"/>
      <c r="AX212" s="157"/>
      <c r="AY212" s="157"/>
      <c r="AZ212" s="157"/>
      <c r="BA212" s="157"/>
      <c r="BB212" s="157"/>
      <c r="BC212" s="157"/>
      <c r="BD212" s="157"/>
      <c r="BE212" s="157"/>
      <c r="BF212" s="157"/>
      <c r="BG212" s="157"/>
      <c r="BH212" s="157"/>
      <c r="BI212" s="157"/>
      <c r="BJ212" s="157"/>
      <c r="BK212" s="157"/>
      <c r="BL212" s="157"/>
      <c r="BM212" s="157"/>
      <c r="BN212" s="157"/>
      <c r="BO212" s="157"/>
      <c r="BP212" s="157"/>
      <c r="BQ212" s="157"/>
      <c r="BR212" s="157"/>
      <c r="BS212" s="157"/>
      <c r="BT212" s="157"/>
      <c r="BU212" s="157"/>
    </row>
    <row r="213" spans="1:73" s="158" customFormat="1" ht="15.75" customHeight="1" thickBot="1">
      <c r="A213" s="159"/>
      <c r="B213" s="159"/>
      <c r="C213" s="162"/>
      <c r="D213" s="162"/>
      <c r="E213" s="162"/>
      <c r="F213" s="511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157"/>
      <c r="AT213" s="157"/>
      <c r="AU213" s="157"/>
      <c r="AV213" s="157"/>
      <c r="AW213" s="157"/>
      <c r="AX213" s="157"/>
      <c r="AY213" s="157"/>
      <c r="AZ213" s="157"/>
      <c r="BA213" s="157"/>
      <c r="BB213" s="157"/>
      <c r="BC213" s="157"/>
      <c r="BD213" s="157"/>
      <c r="BE213" s="157"/>
      <c r="BF213" s="157"/>
      <c r="BG213" s="157"/>
      <c r="BH213" s="157"/>
      <c r="BI213" s="157"/>
      <c r="BJ213" s="157"/>
      <c r="BK213" s="157"/>
      <c r="BL213" s="157"/>
      <c r="BM213" s="157"/>
      <c r="BN213" s="157"/>
      <c r="BO213" s="157"/>
      <c r="BP213" s="157"/>
      <c r="BQ213" s="157"/>
      <c r="BR213" s="157"/>
      <c r="BS213" s="157"/>
      <c r="BT213" s="157"/>
      <c r="BU213" s="157"/>
    </row>
    <row r="214" spans="1:73" s="158" customFormat="1" ht="15.75" customHeight="1" thickBot="1">
      <c r="A214" s="159"/>
      <c r="B214" s="159"/>
      <c r="C214" s="162"/>
      <c r="D214" s="162"/>
      <c r="E214" s="162"/>
      <c r="F214" s="511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  <c r="AR214" s="157"/>
      <c r="AS214" s="157"/>
      <c r="AT214" s="157"/>
      <c r="AU214" s="157"/>
      <c r="AV214" s="157"/>
      <c r="AW214" s="157"/>
      <c r="AX214" s="157"/>
      <c r="AY214" s="157"/>
      <c r="AZ214" s="157"/>
      <c r="BA214" s="157"/>
      <c r="BB214" s="157"/>
      <c r="BC214" s="157"/>
      <c r="BD214" s="157"/>
      <c r="BE214" s="157"/>
      <c r="BF214" s="157"/>
      <c r="BG214" s="157"/>
      <c r="BH214" s="157"/>
      <c r="BI214" s="157"/>
      <c r="BJ214" s="157"/>
      <c r="BK214" s="157"/>
      <c r="BL214" s="157"/>
      <c r="BM214" s="157"/>
      <c r="BN214" s="157"/>
      <c r="BO214" s="157"/>
      <c r="BP214" s="157"/>
      <c r="BQ214" s="157"/>
      <c r="BR214" s="157"/>
      <c r="BS214" s="157"/>
      <c r="BT214" s="157"/>
      <c r="BU214" s="157"/>
    </row>
    <row r="215" spans="1:73" s="158" customFormat="1" ht="15.75" customHeight="1" thickBot="1">
      <c r="A215" s="159"/>
      <c r="B215" s="159"/>
      <c r="C215" s="162"/>
      <c r="D215" s="162"/>
      <c r="E215" s="162"/>
      <c r="F215" s="511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  <c r="AR215" s="157"/>
      <c r="AS215" s="157"/>
      <c r="AT215" s="157"/>
      <c r="AU215" s="157"/>
      <c r="AV215" s="157"/>
      <c r="AW215" s="157"/>
      <c r="AX215" s="157"/>
      <c r="AY215" s="157"/>
      <c r="AZ215" s="157"/>
      <c r="BA215" s="157"/>
      <c r="BB215" s="157"/>
      <c r="BC215" s="157"/>
      <c r="BD215" s="157"/>
      <c r="BE215" s="157"/>
      <c r="BF215" s="157"/>
      <c r="BG215" s="157"/>
      <c r="BH215" s="157"/>
      <c r="BI215" s="157"/>
      <c r="BJ215" s="157"/>
      <c r="BK215" s="157"/>
      <c r="BL215" s="157"/>
      <c r="BM215" s="157"/>
      <c r="BN215" s="157"/>
      <c r="BO215" s="157"/>
      <c r="BP215" s="157"/>
      <c r="BQ215" s="157"/>
      <c r="BR215" s="157"/>
      <c r="BS215" s="157"/>
      <c r="BT215" s="157"/>
      <c r="BU215" s="157"/>
    </row>
    <row r="216" spans="1:73" s="158" customFormat="1" ht="15.75" customHeight="1" thickBot="1">
      <c r="A216" s="159"/>
      <c r="B216" s="159"/>
      <c r="C216" s="162"/>
      <c r="D216" s="162"/>
      <c r="E216" s="162"/>
      <c r="F216" s="511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  <c r="AR216" s="157"/>
      <c r="AS216" s="157"/>
      <c r="AT216" s="157"/>
      <c r="AU216" s="157"/>
      <c r="AV216" s="157"/>
      <c r="AW216" s="157"/>
      <c r="AX216" s="157"/>
      <c r="AY216" s="157"/>
      <c r="AZ216" s="157"/>
      <c r="BA216" s="157"/>
      <c r="BB216" s="157"/>
      <c r="BC216" s="157"/>
      <c r="BD216" s="157"/>
      <c r="BE216" s="157"/>
      <c r="BF216" s="157"/>
      <c r="BG216" s="157"/>
      <c r="BH216" s="157"/>
      <c r="BI216" s="157"/>
      <c r="BJ216" s="157"/>
      <c r="BK216" s="157"/>
      <c r="BL216" s="157"/>
      <c r="BM216" s="157"/>
      <c r="BN216" s="157"/>
      <c r="BO216" s="157"/>
      <c r="BP216" s="157"/>
      <c r="BQ216" s="157"/>
      <c r="BR216" s="157"/>
      <c r="BS216" s="157"/>
      <c r="BT216" s="157"/>
      <c r="BU216" s="157"/>
    </row>
    <row r="217" spans="1:73" s="158" customFormat="1" ht="15.75" customHeight="1" thickBot="1">
      <c r="A217" s="159"/>
      <c r="B217" s="159"/>
      <c r="C217" s="162"/>
      <c r="D217" s="162"/>
      <c r="E217" s="162"/>
      <c r="F217" s="511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  <c r="AR217" s="157"/>
      <c r="AS217" s="157"/>
      <c r="AT217" s="157"/>
      <c r="AU217" s="157"/>
      <c r="AV217" s="157"/>
      <c r="AW217" s="157"/>
      <c r="AX217" s="157"/>
      <c r="AY217" s="157"/>
      <c r="AZ217" s="157"/>
      <c r="BA217" s="157"/>
      <c r="BB217" s="157"/>
      <c r="BC217" s="157"/>
      <c r="BD217" s="157"/>
      <c r="BE217" s="157"/>
      <c r="BF217" s="157"/>
      <c r="BG217" s="157"/>
      <c r="BH217" s="157"/>
      <c r="BI217" s="157"/>
      <c r="BJ217" s="157"/>
      <c r="BK217" s="157"/>
      <c r="BL217" s="157"/>
      <c r="BM217" s="157"/>
      <c r="BN217" s="157"/>
      <c r="BO217" s="157"/>
      <c r="BP217" s="157"/>
      <c r="BQ217" s="157"/>
      <c r="BR217" s="157"/>
      <c r="BS217" s="157"/>
      <c r="BT217" s="157"/>
      <c r="BU217" s="157"/>
    </row>
    <row r="218" spans="1:73" s="158" customFormat="1" ht="15.75" customHeight="1" thickBot="1">
      <c r="A218" s="159"/>
      <c r="B218" s="159"/>
      <c r="C218" s="162"/>
      <c r="D218" s="162"/>
      <c r="E218" s="162"/>
      <c r="F218" s="511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  <c r="AR218" s="157"/>
      <c r="AS218" s="157"/>
      <c r="AT218" s="157"/>
      <c r="AU218" s="157"/>
      <c r="AV218" s="157"/>
      <c r="AW218" s="157"/>
      <c r="AX218" s="157"/>
      <c r="AY218" s="157"/>
      <c r="AZ218" s="157"/>
      <c r="BA218" s="157"/>
      <c r="BB218" s="157"/>
      <c r="BC218" s="157"/>
      <c r="BD218" s="157"/>
      <c r="BE218" s="157"/>
      <c r="BF218" s="157"/>
      <c r="BG218" s="157"/>
      <c r="BH218" s="157"/>
      <c r="BI218" s="157"/>
      <c r="BJ218" s="157"/>
      <c r="BK218" s="157"/>
      <c r="BL218" s="157"/>
      <c r="BM218" s="157"/>
      <c r="BN218" s="157"/>
      <c r="BO218" s="157"/>
      <c r="BP218" s="157"/>
      <c r="BQ218" s="157"/>
      <c r="BR218" s="157"/>
      <c r="BS218" s="157"/>
      <c r="BT218" s="157"/>
      <c r="BU218" s="157"/>
    </row>
    <row r="219" spans="1:73" s="158" customFormat="1" ht="15.75" customHeight="1" thickBot="1">
      <c r="A219" s="159"/>
      <c r="B219" s="159"/>
      <c r="C219" s="162"/>
      <c r="D219" s="162"/>
      <c r="E219" s="162"/>
      <c r="F219" s="511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  <c r="AR219" s="157"/>
      <c r="AS219" s="157"/>
      <c r="AT219" s="157"/>
      <c r="AU219" s="157"/>
      <c r="AV219" s="157"/>
      <c r="AW219" s="157"/>
      <c r="AX219" s="157"/>
      <c r="AY219" s="157"/>
      <c r="AZ219" s="157"/>
      <c r="BA219" s="157"/>
      <c r="BB219" s="157"/>
      <c r="BC219" s="157"/>
      <c r="BD219" s="157"/>
      <c r="BE219" s="157"/>
      <c r="BF219" s="157"/>
      <c r="BG219" s="157"/>
      <c r="BH219" s="157"/>
      <c r="BI219" s="157"/>
      <c r="BJ219" s="157"/>
      <c r="BK219" s="157"/>
      <c r="BL219" s="157"/>
      <c r="BM219" s="157"/>
      <c r="BN219" s="157"/>
      <c r="BO219" s="157"/>
      <c r="BP219" s="157"/>
      <c r="BQ219" s="157"/>
      <c r="BR219" s="157"/>
      <c r="BS219" s="157"/>
      <c r="BT219" s="157"/>
      <c r="BU219" s="157"/>
    </row>
    <row r="220" spans="1:73" s="158" customFormat="1" ht="15.75" customHeight="1" thickBot="1">
      <c r="A220" s="159"/>
      <c r="B220" s="159"/>
      <c r="C220" s="162"/>
      <c r="D220" s="162"/>
      <c r="E220" s="162"/>
      <c r="F220" s="511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  <c r="AR220" s="157"/>
      <c r="AS220" s="157"/>
      <c r="AT220" s="157"/>
      <c r="AU220" s="157"/>
      <c r="AV220" s="157"/>
      <c r="AW220" s="157"/>
      <c r="AX220" s="157"/>
      <c r="AY220" s="157"/>
      <c r="AZ220" s="157"/>
      <c r="BA220" s="157"/>
      <c r="BB220" s="157"/>
      <c r="BC220" s="157"/>
      <c r="BD220" s="157"/>
      <c r="BE220" s="157"/>
      <c r="BF220" s="157"/>
      <c r="BG220" s="157"/>
      <c r="BH220" s="157"/>
      <c r="BI220" s="157"/>
      <c r="BJ220" s="157"/>
      <c r="BK220" s="157"/>
      <c r="BL220" s="157"/>
      <c r="BM220" s="157"/>
      <c r="BN220" s="157"/>
      <c r="BO220" s="157"/>
      <c r="BP220" s="157"/>
      <c r="BQ220" s="157"/>
      <c r="BR220" s="157"/>
      <c r="BS220" s="157"/>
      <c r="BT220" s="157"/>
      <c r="BU220" s="157"/>
    </row>
    <row r="221" spans="1:73" s="158" customFormat="1" ht="15.75" customHeight="1" thickBot="1">
      <c r="A221" s="159"/>
      <c r="B221" s="159"/>
      <c r="C221" s="162"/>
      <c r="D221" s="162"/>
      <c r="E221" s="162"/>
      <c r="F221" s="511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  <c r="AR221" s="157"/>
      <c r="AS221" s="157"/>
      <c r="AT221" s="157"/>
      <c r="AU221" s="157"/>
      <c r="AV221" s="157"/>
      <c r="AW221" s="157"/>
      <c r="AX221" s="157"/>
      <c r="AY221" s="157"/>
      <c r="AZ221" s="157"/>
      <c r="BA221" s="157"/>
      <c r="BB221" s="157"/>
      <c r="BC221" s="157"/>
      <c r="BD221" s="157"/>
      <c r="BE221" s="157"/>
      <c r="BF221" s="157"/>
      <c r="BG221" s="157"/>
      <c r="BH221" s="157"/>
      <c r="BI221" s="157"/>
      <c r="BJ221" s="157"/>
      <c r="BK221" s="157"/>
      <c r="BL221" s="157"/>
      <c r="BM221" s="157"/>
      <c r="BN221" s="157"/>
      <c r="BO221" s="157"/>
      <c r="BP221" s="157"/>
      <c r="BQ221" s="157"/>
      <c r="BR221" s="157"/>
      <c r="BS221" s="157"/>
      <c r="BT221" s="157"/>
      <c r="BU221" s="157"/>
    </row>
    <row r="222" spans="1:73" s="158" customFormat="1" ht="15.75" customHeight="1" thickBot="1">
      <c r="A222" s="159"/>
      <c r="B222" s="159"/>
      <c r="C222" s="162"/>
      <c r="D222" s="162"/>
      <c r="E222" s="162"/>
      <c r="F222" s="511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  <c r="AR222" s="157"/>
      <c r="AS222" s="157"/>
      <c r="AT222" s="157"/>
      <c r="AU222" s="157"/>
      <c r="AV222" s="157"/>
      <c r="AW222" s="157"/>
      <c r="AX222" s="157"/>
      <c r="AY222" s="157"/>
      <c r="AZ222" s="157"/>
      <c r="BA222" s="157"/>
      <c r="BB222" s="157"/>
      <c r="BC222" s="157"/>
      <c r="BD222" s="157"/>
      <c r="BE222" s="157"/>
      <c r="BF222" s="157"/>
      <c r="BG222" s="157"/>
      <c r="BH222" s="157"/>
      <c r="BI222" s="157"/>
      <c r="BJ222" s="157"/>
      <c r="BK222" s="157"/>
      <c r="BL222" s="157"/>
      <c r="BM222" s="157"/>
      <c r="BN222" s="157"/>
      <c r="BO222" s="157"/>
      <c r="BP222" s="157"/>
      <c r="BQ222" s="157"/>
      <c r="BR222" s="157"/>
      <c r="BS222" s="157"/>
      <c r="BT222" s="157"/>
      <c r="BU222" s="157"/>
    </row>
    <row r="223" spans="1:73" s="158" customFormat="1" ht="15.75" customHeight="1" thickBot="1">
      <c r="A223" s="159"/>
      <c r="B223" s="159"/>
      <c r="C223" s="162"/>
      <c r="D223" s="162"/>
      <c r="E223" s="162"/>
      <c r="F223" s="511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  <c r="AR223" s="157"/>
      <c r="AS223" s="157"/>
      <c r="AT223" s="157"/>
      <c r="AU223" s="157"/>
      <c r="AV223" s="157"/>
      <c r="AW223" s="157"/>
      <c r="AX223" s="157"/>
      <c r="AY223" s="157"/>
      <c r="AZ223" s="157"/>
      <c r="BA223" s="157"/>
      <c r="BB223" s="157"/>
      <c r="BC223" s="157"/>
      <c r="BD223" s="157"/>
      <c r="BE223" s="157"/>
      <c r="BF223" s="157"/>
      <c r="BG223" s="157"/>
      <c r="BH223" s="157"/>
      <c r="BI223" s="157"/>
      <c r="BJ223" s="157"/>
      <c r="BK223" s="157"/>
      <c r="BL223" s="157"/>
      <c r="BM223" s="157"/>
      <c r="BN223" s="157"/>
      <c r="BO223" s="157"/>
      <c r="BP223" s="157"/>
      <c r="BQ223" s="157"/>
      <c r="BR223" s="157"/>
      <c r="BS223" s="157"/>
      <c r="BT223" s="157"/>
      <c r="BU223" s="157"/>
    </row>
    <row r="224" spans="1:73" s="158" customFormat="1" ht="15.75" customHeight="1" thickBot="1">
      <c r="A224" s="159"/>
      <c r="B224" s="159"/>
      <c r="C224" s="162"/>
      <c r="D224" s="162"/>
      <c r="E224" s="162"/>
      <c r="F224" s="511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  <c r="AR224" s="157"/>
      <c r="AS224" s="157"/>
      <c r="AT224" s="157"/>
      <c r="AU224" s="157"/>
      <c r="AV224" s="157"/>
      <c r="AW224" s="157"/>
      <c r="AX224" s="157"/>
      <c r="AY224" s="157"/>
      <c r="AZ224" s="157"/>
      <c r="BA224" s="157"/>
      <c r="BB224" s="157"/>
      <c r="BC224" s="157"/>
      <c r="BD224" s="157"/>
      <c r="BE224" s="157"/>
      <c r="BF224" s="157"/>
      <c r="BG224" s="157"/>
      <c r="BH224" s="157"/>
      <c r="BI224" s="157"/>
      <c r="BJ224" s="157"/>
      <c r="BK224" s="157"/>
      <c r="BL224" s="157"/>
      <c r="BM224" s="157"/>
      <c r="BN224" s="157"/>
      <c r="BO224" s="157"/>
      <c r="BP224" s="157"/>
      <c r="BQ224" s="157"/>
      <c r="BR224" s="157"/>
      <c r="BS224" s="157"/>
      <c r="BT224" s="157"/>
      <c r="BU224" s="157"/>
    </row>
    <row r="225" spans="1:73" s="158" customFormat="1" ht="15.75" customHeight="1" thickBot="1">
      <c r="A225" s="159"/>
      <c r="B225" s="159"/>
      <c r="C225" s="162"/>
      <c r="D225" s="162"/>
      <c r="E225" s="162"/>
      <c r="F225" s="511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  <c r="AR225" s="157"/>
      <c r="AS225" s="157"/>
      <c r="AT225" s="157"/>
      <c r="AU225" s="157"/>
      <c r="AV225" s="157"/>
      <c r="AW225" s="157"/>
      <c r="AX225" s="157"/>
      <c r="AY225" s="157"/>
      <c r="AZ225" s="157"/>
      <c r="BA225" s="157"/>
      <c r="BB225" s="157"/>
      <c r="BC225" s="157"/>
      <c r="BD225" s="157"/>
      <c r="BE225" s="157"/>
      <c r="BF225" s="157"/>
      <c r="BG225" s="157"/>
      <c r="BH225" s="157"/>
      <c r="BI225" s="157"/>
      <c r="BJ225" s="157"/>
      <c r="BK225" s="157"/>
      <c r="BL225" s="157"/>
      <c r="BM225" s="157"/>
      <c r="BN225" s="157"/>
      <c r="BO225" s="157"/>
      <c r="BP225" s="157"/>
      <c r="BQ225" s="157"/>
      <c r="BR225" s="157"/>
      <c r="BS225" s="157"/>
      <c r="BT225" s="157"/>
      <c r="BU225" s="157"/>
    </row>
    <row r="226" spans="1:73" s="158" customFormat="1" ht="15.75" customHeight="1" thickBot="1">
      <c r="A226" s="159"/>
      <c r="B226" s="159"/>
      <c r="C226" s="162"/>
      <c r="D226" s="162"/>
      <c r="E226" s="162"/>
      <c r="F226" s="511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  <c r="AR226" s="157"/>
      <c r="AS226" s="157"/>
      <c r="AT226" s="157"/>
      <c r="AU226" s="157"/>
      <c r="AV226" s="157"/>
      <c r="AW226" s="157"/>
      <c r="AX226" s="157"/>
      <c r="AY226" s="157"/>
      <c r="AZ226" s="157"/>
      <c r="BA226" s="157"/>
      <c r="BB226" s="157"/>
      <c r="BC226" s="157"/>
      <c r="BD226" s="157"/>
      <c r="BE226" s="157"/>
      <c r="BF226" s="157"/>
      <c r="BG226" s="157"/>
      <c r="BH226" s="157"/>
      <c r="BI226" s="157"/>
      <c r="BJ226" s="157"/>
      <c r="BK226" s="157"/>
      <c r="BL226" s="157"/>
      <c r="BM226" s="157"/>
      <c r="BN226" s="157"/>
      <c r="BO226" s="157"/>
      <c r="BP226" s="157"/>
      <c r="BQ226" s="157"/>
      <c r="BR226" s="157"/>
      <c r="BS226" s="157"/>
      <c r="BT226" s="157"/>
      <c r="BU226" s="157"/>
    </row>
    <row r="227" spans="1:73" s="158" customFormat="1" ht="15.75" customHeight="1" thickBot="1">
      <c r="A227" s="159"/>
      <c r="B227" s="159"/>
      <c r="C227" s="162"/>
      <c r="D227" s="162"/>
      <c r="E227" s="162"/>
      <c r="F227" s="511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  <c r="AR227" s="157"/>
      <c r="AS227" s="157"/>
      <c r="AT227" s="157"/>
      <c r="AU227" s="157"/>
      <c r="AV227" s="157"/>
      <c r="AW227" s="157"/>
      <c r="AX227" s="157"/>
      <c r="AY227" s="157"/>
      <c r="AZ227" s="157"/>
      <c r="BA227" s="157"/>
      <c r="BB227" s="157"/>
      <c r="BC227" s="157"/>
      <c r="BD227" s="157"/>
      <c r="BE227" s="157"/>
      <c r="BF227" s="157"/>
      <c r="BG227" s="157"/>
      <c r="BH227" s="157"/>
      <c r="BI227" s="157"/>
      <c r="BJ227" s="157"/>
      <c r="BK227" s="157"/>
      <c r="BL227" s="157"/>
      <c r="BM227" s="157"/>
      <c r="BN227" s="157"/>
      <c r="BO227" s="157"/>
      <c r="BP227" s="157"/>
      <c r="BQ227" s="157"/>
      <c r="BR227" s="157"/>
      <c r="BS227" s="157"/>
      <c r="BT227" s="157"/>
      <c r="BU227" s="157"/>
    </row>
    <row r="228" spans="1:73" s="158" customFormat="1" ht="15.75" customHeight="1" thickBot="1">
      <c r="A228" s="159"/>
      <c r="B228" s="159"/>
      <c r="C228" s="162"/>
      <c r="D228" s="162"/>
      <c r="E228" s="162"/>
      <c r="F228" s="511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  <c r="AR228" s="157"/>
      <c r="AS228" s="157"/>
      <c r="AT228" s="157"/>
      <c r="AU228" s="157"/>
      <c r="AV228" s="157"/>
      <c r="AW228" s="157"/>
      <c r="AX228" s="157"/>
      <c r="AY228" s="157"/>
      <c r="AZ228" s="157"/>
      <c r="BA228" s="157"/>
      <c r="BB228" s="157"/>
      <c r="BC228" s="157"/>
      <c r="BD228" s="157"/>
      <c r="BE228" s="157"/>
      <c r="BF228" s="157"/>
      <c r="BG228" s="157"/>
      <c r="BH228" s="157"/>
      <c r="BI228" s="157"/>
      <c r="BJ228" s="157"/>
      <c r="BK228" s="157"/>
      <c r="BL228" s="157"/>
      <c r="BM228" s="157"/>
      <c r="BN228" s="157"/>
      <c r="BO228" s="157"/>
      <c r="BP228" s="157"/>
      <c r="BQ228" s="157"/>
      <c r="BR228" s="157"/>
      <c r="BS228" s="157"/>
      <c r="BT228" s="157"/>
      <c r="BU228" s="157"/>
    </row>
    <row r="229" spans="1:73" s="158" customFormat="1" ht="15.75" customHeight="1" thickBot="1">
      <c r="A229" s="159"/>
      <c r="B229" s="159"/>
      <c r="C229" s="162"/>
      <c r="D229" s="162"/>
      <c r="E229" s="162"/>
      <c r="F229" s="511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  <c r="Z229" s="157"/>
      <c r="AA229" s="157"/>
      <c r="AB229" s="157"/>
      <c r="AC229" s="157"/>
      <c r="AD229" s="157"/>
      <c r="AE229" s="157"/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  <c r="AR229" s="157"/>
      <c r="AS229" s="157"/>
      <c r="AT229" s="157"/>
      <c r="AU229" s="157"/>
      <c r="AV229" s="157"/>
      <c r="AW229" s="157"/>
      <c r="AX229" s="157"/>
      <c r="AY229" s="157"/>
      <c r="AZ229" s="157"/>
      <c r="BA229" s="157"/>
      <c r="BB229" s="157"/>
      <c r="BC229" s="157"/>
      <c r="BD229" s="157"/>
      <c r="BE229" s="157"/>
      <c r="BF229" s="157"/>
      <c r="BG229" s="157"/>
      <c r="BH229" s="157"/>
      <c r="BI229" s="157"/>
      <c r="BJ229" s="157"/>
      <c r="BK229" s="157"/>
      <c r="BL229" s="157"/>
      <c r="BM229" s="157"/>
      <c r="BN229" s="157"/>
      <c r="BO229" s="157"/>
      <c r="BP229" s="157"/>
      <c r="BQ229" s="157"/>
      <c r="BR229" s="157"/>
      <c r="BS229" s="157"/>
      <c r="BT229" s="157"/>
      <c r="BU229" s="157"/>
    </row>
    <row r="230" spans="1:73" s="158" customFormat="1" ht="15.75" customHeight="1" thickBot="1">
      <c r="A230" s="159"/>
      <c r="B230" s="159"/>
      <c r="C230" s="162"/>
      <c r="D230" s="162"/>
      <c r="E230" s="162"/>
      <c r="F230" s="511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  <c r="AR230" s="157"/>
      <c r="AS230" s="157"/>
      <c r="AT230" s="157"/>
      <c r="AU230" s="157"/>
      <c r="AV230" s="157"/>
      <c r="AW230" s="157"/>
      <c r="AX230" s="157"/>
      <c r="AY230" s="157"/>
      <c r="AZ230" s="157"/>
      <c r="BA230" s="157"/>
      <c r="BB230" s="157"/>
      <c r="BC230" s="157"/>
      <c r="BD230" s="157"/>
      <c r="BE230" s="157"/>
      <c r="BF230" s="157"/>
      <c r="BG230" s="157"/>
      <c r="BH230" s="157"/>
      <c r="BI230" s="157"/>
      <c r="BJ230" s="157"/>
      <c r="BK230" s="157"/>
      <c r="BL230" s="157"/>
      <c r="BM230" s="157"/>
      <c r="BN230" s="157"/>
      <c r="BO230" s="157"/>
      <c r="BP230" s="157"/>
      <c r="BQ230" s="157"/>
      <c r="BR230" s="157"/>
      <c r="BS230" s="157"/>
      <c r="BT230" s="157"/>
      <c r="BU230" s="157"/>
    </row>
    <row r="231" spans="1:73" s="158" customFormat="1" ht="15.75" customHeight="1" thickBot="1">
      <c r="A231" s="159"/>
      <c r="B231" s="159"/>
      <c r="C231" s="162"/>
      <c r="D231" s="162"/>
      <c r="E231" s="162"/>
      <c r="F231" s="511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  <c r="AR231" s="157"/>
      <c r="AS231" s="157"/>
      <c r="AT231" s="157"/>
      <c r="AU231" s="157"/>
      <c r="AV231" s="157"/>
      <c r="AW231" s="157"/>
      <c r="AX231" s="157"/>
      <c r="AY231" s="157"/>
      <c r="AZ231" s="157"/>
      <c r="BA231" s="157"/>
      <c r="BB231" s="157"/>
      <c r="BC231" s="157"/>
      <c r="BD231" s="157"/>
      <c r="BE231" s="157"/>
      <c r="BF231" s="157"/>
      <c r="BG231" s="157"/>
      <c r="BH231" s="157"/>
      <c r="BI231" s="157"/>
      <c r="BJ231" s="157"/>
      <c r="BK231" s="157"/>
      <c r="BL231" s="157"/>
      <c r="BM231" s="157"/>
      <c r="BN231" s="157"/>
      <c r="BO231" s="157"/>
      <c r="BP231" s="157"/>
      <c r="BQ231" s="157"/>
      <c r="BR231" s="157"/>
      <c r="BS231" s="157"/>
      <c r="BT231" s="157"/>
      <c r="BU231" s="157"/>
    </row>
    <row r="232" spans="1:73" s="158" customFormat="1" ht="15.75" customHeight="1" thickBot="1">
      <c r="A232" s="159"/>
      <c r="B232" s="159"/>
      <c r="C232" s="162"/>
      <c r="D232" s="162"/>
      <c r="E232" s="162"/>
      <c r="F232" s="511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  <c r="AR232" s="157"/>
      <c r="AS232" s="157"/>
      <c r="AT232" s="157"/>
      <c r="AU232" s="157"/>
      <c r="AV232" s="157"/>
      <c r="AW232" s="157"/>
      <c r="AX232" s="157"/>
      <c r="AY232" s="157"/>
      <c r="AZ232" s="157"/>
      <c r="BA232" s="157"/>
      <c r="BB232" s="157"/>
      <c r="BC232" s="157"/>
      <c r="BD232" s="157"/>
      <c r="BE232" s="157"/>
      <c r="BF232" s="157"/>
      <c r="BG232" s="157"/>
      <c r="BH232" s="157"/>
      <c r="BI232" s="157"/>
      <c r="BJ232" s="157"/>
      <c r="BK232" s="157"/>
      <c r="BL232" s="157"/>
      <c r="BM232" s="157"/>
      <c r="BN232" s="157"/>
      <c r="BO232" s="157"/>
      <c r="BP232" s="157"/>
      <c r="BQ232" s="157"/>
      <c r="BR232" s="157"/>
      <c r="BS232" s="157"/>
      <c r="BT232" s="157"/>
      <c r="BU232" s="157"/>
    </row>
    <row r="233" spans="1:73" s="158" customFormat="1" ht="15.75" customHeight="1" thickBot="1">
      <c r="A233" s="159"/>
      <c r="B233" s="159"/>
      <c r="C233" s="162"/>
      <c r="D233" s="162"/>
      <c r="E233" s="162"/>
      <c r="F233" s="511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  <c r="AR233" s="157"/>
      <c r="AS233" s="157"/>
      <c r="AT233" s="157"/>
      <c r="AU233" s="157"/>
      <c r="AV233" s="157"/>
      <c r="AW233" s="157"/>
      <c r="AX233" s="157"/>
      <c r="AY233" s="157"/>
      <c r="AZ233" s="157"/>
      <c r="BA233" s="157"/>
      <c r="BB233" s="157"/>
      <c r="BC233" s="157"/>
      <c r="BD233" s="157"/>
      <c r="BE233" s="157"/>
      <c r="BF233" s="157"/>
      <c r="BG233" s="157"/>
      <c r="BH233" s="157"/>
      <c r="BI233" s="157"/>
      <c r="BJ233" s="157"/>
      <c r="BK233" s="157"/>
      <c r="BL233" s="157"/>
      <c r="BM233" s="157"/>
      <c r="BN233" s="157"/>
      <c r="BO233" s="157"/>
      <c r="BP233" s="157"/>
      <c r="BQ233" s="157"/>
      <c r="BR233" s="157"/>
      <c r="BS233" s="157"/>
      <c r="BT233" s="157"/>
      <c r="BU233" s="157"/>
    </row>
    <row r="234" spans="1:73" s="158" customFormat="1" ht="15.75" customHeight="1" thickBot="1">
      <c r="A234" s="159"/>
      <c r="B234" s="159"/>
      <c r="C234" s="162"/>
      <c r="D234" s="162"/>
      <c r="E234" s="162"/>
      <c r="F234" s="511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  <c r="AR234" s="157"/>
      <c r="AS234" s="157"/>
      <c r="AT234" s="157"/>
      <c r="AU234" s="157"/>
      <c r="AV234" s="157"/>
      <c r="AW234" s="157"/>
      <c r="AX234" s="157"/>
      <c r="AY234" s="157"/>
      <c r="AZ234" s="157"/>
      <c r="BA234" s="157"/>
      <c r="BB234" s="157"/>
      <c r="BC234" s="157"/>
      <c r="BD234" s="157"/>
      <c r="BE234" s="157"/>
      <c r="BF234" s="157"/>
      <c r="BG234" s="157"/>
      <c r="BH234" s="157"/>
      <c r="BI234" s="157"/>
      <c r="BJ234" s="157"/>
      <c r="BK234" s="157"/>
      <c r="BL234" s="157"/>
      <c r="BM234" s="157"/>
      <c r="BN234" s="157"/>
      <c r="BO234" s="157"/>
      <c r="BP234" s="157"/>
      <c r="BQ234" s="157"/>
      <c r="BR234" s="157"/>
      <c r="BS234" s="157"/>
      <c r="BT234" s="157"/>
      <c r="BU234" s="157"/>
    </row>
    <row r="235" spans="1:73" s="158" customFormat="1" ht="15.75" customHeight="1" thickBot="1">
      <c r="A235" s="159"/>
      <c r="B235" s="159"/>
      <c r="C235" s="162"/>
      <c r="D235" s="162"/>
      <c r="E235" s="162"/>
      <c r="F235" s="511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  <c r="AR235" s="157"/>
      <c r="AS235" s="157"/>
      <c r="AT235" s="157"/>
      <c r="AU235" s="157"/>
      <c r="AV235" s="157"/>
      <c r="AW235" s="157"/>
      <c r="AX235" s="157"/>
      <c r="AY235" s="157"/>
      <c r="AZ235" s="157"/>
      <c r="BA235" s="157"/>
      <c r="BB235" s="157"/>
      <c r="BC235" s="157"/>
      <c r="BD235" s="157"/>
      <c r="BE235" s="157"/>
      <c r="BF235" s="157"/>
      <c r="BG235" s="157"/>
      <c r="BH235" s="157"/>
      <c r="BI235" s="157"/>
      <c r="BJ235" s="157"/>
      <c r="BK235" s="157"/>
      <c r="BL235" s="157"/>
      <c r="BM235" s="157"/>
      <c r="BN235" s="157"/>
      <c r="BO235" s="157"/>
      <c r="BP235" s="157"/>
      <c r="BQ235" s="157"/>
      <c r="BR235" s="157"/>
      <c r="BS235" s="157"/>
      <c r="BT235" s="157"/>
      <c r="BU235" s="157"/>
    </row>
    <row r="236" spans="1:73" s="158" customFormat="1" ht="15.75" customHeight="1" thickBot="1">
      <c r="A236" s="159"/>
      <c r="B236" s="159"/>
      <c r="C236" s="162"/>
      <c r="D236" s="162"/>
      <c r="E236" s="162"/>
      <c r="F236" s="511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  <c r="AR236" s="157"/>
      <c r="AS236" s="157"/>
      <c r="AT236" s="157"/>
      <c r="AU236" s="157"/>
      <c r="AV236" s="157"/>
      <c r="AW236" s="157"/>
      <c r="AX236" s="157"/>
      <c r="AY236" s="157"/>
      <c r="AZ236" s="157"/>
      <c r="BA236" s="157"/>
      <c r="BB236" s="157"/>
      <c r="BC236" s="157"/>
      <c r="BD236" s="157"/>
      <c r="BE236" s="157"/>
      <c r="BF236" s="157"/>
      <c r="BG236" s="157"/>
      <c r="BH236" s="157"/>
      <c r="BI236" s="157"/>
      <c r="BJ236" s="157"/>
      <c r="BK236" s="157"/>
      <c r="BL236" s="157"/>
      <c r="BM236" s="157"/>
      <c r="BN236" s="157"/>
      <c r="BO236" s="157"/>
      <c r="BP236" s="157"/>
      <c r="BQ236" s="157"/>
      <c r="BR236" s="157"/>
      <c r="BS236" s="157"/>
      <c r="BT236" s="157"/>
      <c r="BU236" s="157"/>
    </row>
    <row r="237" spans="1:73" s="158" customFormat="1" ht="15.75" customHeight="1" thickBot="1">
      <c r="A237" s="159"/>
      <c r="B237" s="159"/>
      <c r="C237" s="162"/>
      <c r="D237" s="162"/>
      <c r="E237" s="162"/>
      <c r="F237" s="511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  <c r="AR237" s="157"/>
      <c r="AS237" s="157"/>
      <c r="AT237" s="157"/>
      <c r="AU237" s="157"/>
      <c r="AV237" s="157"/>
      <c r="AW237" s="157"/>
      <c r="AX237" s="157"/>
      <c r="AY237" s="157"/>
      <c r="AZ237" s="157"/>
      <c r="BA237" s="157"/>
      <c r="BB237" s="157"/>
      <c r="BC237" s="157"/>
      <c r="BD237" s="157"/>
      <c r="BE237" s="157"/>
      <c r="BF237" s="157"/>
      <c r="BG237" s="157"/>
      <c r="BH237" s="157"/>
      <c r="BI237" s="157"/>
      <c r="BJ237" s="157"/>
      <c r="BK237" s="157"/>
      <c r="BL237" s="157"/>
      <c r="BM237" s="157"/>
      <c r="BN237" s="157"/>
      <c r="BO237" s="157"/>
      <c r="BP237" s="157"/>
      <c r="BQ237" s="157"/>
      <c r="BR237" s="157"/>
      <c r="BS237" s="157"/>
      <c r="BT237" s="157"/>
      <c r="BU237" s="157"/>
    </row>
    <row r="238" spans="1:73" s="158" customFormat="1" ht="15.75" customHeight="1" thickBot="1">
      <c r="A238" s="159"/>
      <c r="B238" s="159"/>
      <c r="C238" s="162"/>
      <c r="D238" s="162"/>
      <c r="E238" s="162"/>
      <c r="F238" s="511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  <c r="AR238" s="157"/>
      <c r="AS238" s="157"/>
      <c r="AT238" s="157"/>
      <c r="AU238" s="157"/>
      <c r="AV238" s="157"/>
      <c r="AW238" s="157"/>
      <c r="AX238" s="157"/>
      <c r="AY238" s="157"/>
      <c r="AZ238" s="157"/>
      <c r="BA238" s="157"/>
      <c r="BB238" s="157"/>
      <c r="BC238" s="157"/>
      <c r="BD238" s="157"/>
      <c r="BE238" s="157"/>
      <c r="BF238" s="157"/>
      <c r="BG238" s="157"/>
      <c r="BH238" s="157"/>
      <c r="BI238" s="157"/>
      <c r="BJ238" s="157"/>
      <c r="BK238" s="157"/>
      <c r="BL238" s="157"/>
      <c r="BM238" s="157"/>
      <c r="BN238" s="157"/>
      <c r="BO238" s="157"/>
      <c r="BP238" s="157"/>
      <c r="BQ238" s="157"/>
      <c r="BR238" s="157"/>
      <c r="BS238" s="157"/>
      <c r="BT238" s="157"/>
      <c r="BU238" s="157"/>
    </row>
    <row r="239" spans="1:73" ht="15.75" customHeight="1" thickBot="1">
      <c r="A239" s="26"/>
      <c r="B239" s="26"/>
      <c r="C239" s="18"/>
      <c r="D239" s="18"/>
      <c r="E239" s="18"/>
      <c r="F239" s="512"/>
    </row>
    <row r="240" spans="1:73" ht="15.75" customHeight="1" thickBot="1">
      <c r="A240" s="26"/>
      <c r="B240" s="26"/>
      <c r="C240" s="18"/>
      <c r="D240" s="18"/>
      <c r="E240" s="18"/>
      <c r="F240" s="512"/>
    </row>
    <row r="241" spans="1:6" ht="15.75" customHeight="1" thickBot="1">
      <c r="A241" s="26"/>
      <c r="B241" s="26"/>
      <c r="C241" s="18"/>
      <c r="D241" s="18"/>
      <c r="E241" s="18"/>
      <c r="F241" s="512"/>
    </row>
    <row r="242" spans="1:6" ht="15.75" customHeight="1" thickBot="1">
      <c r="A242" s="26"/>
      <c r="B242" s="26"/>
      <c r="C242" s="18"/>
      <c r="D242" s="18"/>
      <c r="E242" s="18"/>
      <c r="F242" s="512"/>
    </row>
    <row r="243" spans="1:6" ht="15.75" customHeight="1" thickBot="1">
      <c r="A243" s="26"/>
      <c r="B243" s="26"/>
      <c r="C243" s="18"/>
      <c r="D243" s="18"/>
      <c r="E243" s="18"/>
      <c r="F243" s="512"/>
    </row>
    <row r="244" spans="1:6" ht="15.75" customHeight="1" thickBot="1">
      <c r="A244" s="26"/>
      <c r="B244" s="26"/>
      <c r="C244" s="18"/>
      <c r="D244" s="18"/>
      <c r="E244" s="18"/>
      <c r="F244" s="512"/>
    </row>
    <row r="245" spans="1:6" ht="15.75" customHeight="1" thickBot="1">
      <c r="A245" s="26"/>
      <c r="B245" s="26"/>
      <c r="C245" s="18"/>
      <c r="D245" s="18"/>
      <c r="E245" s="18"/>
      <c r="F245" s="512"/>
    </row>
    <row r="246" spans="1:6" ht="15.75" customHeight="1" thickBot="1">
      <c r="A246" s="26"/>
      <c r="B246" s="26"/>
      <c r="C246" s="18"/>
      <c r="D246" s="18"/>
      <c r="E246" s="18"/>
      <c r="F246" s="512"/>
    </row>
    <row r="247" spans="1:6" ht="15.75" customHeight="1" thickBot="1">
      <c r="A247" s="26"/>
      <c r="B247" s="26"/>
      <c r="C247" s="18"/>
      <c r="D247" s="18"/>
      <c r="E247" s="18"/>
      <c r="F247" s="512"/>
    </row>
    <row r="248" spans="1:6" ht="15.75" customHeight="1" thickBot="1">
      <c r="A248" s="26"/>
      <c r="B248" s="26"/>
      <c r="C248" s="18"/>
      <c r="D248" s="18"/>
      <c r="E248" s="18"/>
      <c r="F248" s="512"/>
    </row>
    <row r="249" spans="1:6" ht="15.75" customHeight="1" thickBot="1">
      <c r="A249" s="26"/>
      <c r="B249" s="26"/>
      <c r="C249" s="18"/>
      <c r="D249" s="18"/>
      <c r="E249" s="18"/>
      <c r="F249" s="512"/>
    </row>
    <row r="250" spans="1:6" ht="15.75" customHeight="1" thickBot="1">
      <c r="A250" s="26"/>
      <c r="B250" s="26"/>
      <c r="C250" s="18"/>
      <c r="D250" s="18"/>
      <c r="E250" s="18"/>
      <c r="F250" s="512"/>
    </row>
    <row r="251" spans="1:6" ht="15.75" customHeight="1" thickBot="1">
      <c r="A251" s="26"/>
      <c r="B251" s="26"/>
      <c r="C251" s="18"/>
      <c r="D251" s="18"/>
      <c r="E251" s="18"/>
      <c r="F251" s="512"/>
    </row>
    <row r="252" spans="1:6" ht="15.75" customHeight="1" thickBot="1">
      <c r="A252" s="26"/>
      <c r="B252" s="26"/>
      <c r="C252" s="18"/>
      <c r="D252" s="18"/>
      <c r="E252" s="18"/>
      <c r="F252" s="512"/>
    </row>
    <row r="253" spans="1:6" ht="15.75" customHeight="1" thickBot="1">
      <c r="A253" s="26"/>
      <c r="B253" s="26"/>
      <c r="C253" s="18"/>
      <c r="D253" s="18"/>
      <c r="E253" s="18"/>
      <c r="F253" s="512"/>
    </row>
    <row r="254" spans="1:6" ht="15.75" customHeight="1" thickBot="1">
      <c r="A254" s="26"/>
      <c r="B254" s="26"/>
      <c r="C254" s="18"/>
      <c r="D254" s="18"/>
      <c r="E254" s="18"/>
      <c r="F254" s="512"/>
    </row>
    <row r="255" spans="1:6" ht="15.75" customHeight="1" thickBot="1">
      <c r="A255" s="26"/>
      <c r="B255" s="26"/>
      <c r="C255" s="18"/>
      <c r="D255" s="18"/>
      <c r="E255" s="18"/>
      <c r="F255" s="512"/>
    </row>
    <row r="256" spans="1:6" ht="15.75" customHeight="1" thickBot="1">
      <c r="A256" s="26"/>
      <c r="B256" s="26"/>
      <c r="C256" s="18"/>
      <c r="D256" s="18"/>
      <c r="E256" s="18"/>
      <c r="F256" s="512"/>
    </row>
    <row r="257" spans="1:6" ht="15.75" customHeight="1" thickBot="1">
      <c r="A257" s="26"/>
      <c r="B257" s="26"/>
      <c r="C257" s="18"/>
      <c r="D257" s="18"/>
      <c r="E257" s="18"/>
      <c r="F257" s="512"/>
    </row>
    <row r="258" spans="1:6" ht="15.75" customHeight="1" thickBot="1">
      <c r="A258" s="26"/>
      <c r="B258" s="26"/>
      <c r="C258" s="18"/>
      <c r="D258" s="18"/>
      <c r="E258" s="18"/>
      <c r="F258" s="512"/>
    </row>
    <row r="259" spans="1:6" ht="15.75" customHeight="1" thickBot="1">
      <c r="A259" s="26"/>
      <c r="B259" s="26"/>
      <c r="C259" s="18"/>
      <c r="D259" s="18"/>
      <c r="E259" s="18"/>
      <c r="F259" s="512"/>
    </row>
    <row r="260" spans="1:6" ht="15.75" customHeight="1" thickBot="1">
      <c r="A260" s="26"/>
      <c r="B260" s="26"/>
      <c r="C260" s="18"/>
      <c r="D260" s="18"/>
      <c r="E260" s="18"/>
      <c r="F260" s="512"/>
    </row>
    <row r="261" spans="1:6" ht="15.75" customHeight="1" thickBot="1">
      <c r="A261" s="26"/>
      <c r="B261" s="26"/>
      <c r="C261" s="18"/>
      <c r="D261" s="18"/>
      <c r="E261" s="18"/>
      <c r="F261" s="512"/>
    </row>
    <row r="262" spans="1:6" ht="15.75" customHeight="1" thickBot="1">
      <c r="A262" s="26"/>
      <c r="B262" s="26"/>
      <c r="C262" s="18"/>
      <c r="D262" s="18"/>
      <c r="E262" s="18"/>
      <c r="F262" s="512"/>
    </row>
    <row r="263" spans="1:6" ht="15.75" customHeight="1" thickBot="1">
      <c r="A263" s="26"/>
      <c r="B263" s="26"/>
      <c r="C263" s="18"/>
      <c r="D263" s="18"/>
      <c r="E263" s="18"/>
      <c r="F263" s="512"/>
    </row>
    <row r="264" spans="1:6" ht="15.75" customHeight="1" thickBot="1">
      <c r="A264" s="26"/>
      <c r="B264" s="26"/>
      <c r="C264" s="18"/>
      <c r="D264" s="18"/>
      <c r="E264" s="18"/>
      <c r="F264" s="512"/>
    </row>
    <row r="265" spans="1:6" ht="15.75" customHeight="1" thickBot="1">
      <c r="A265" s="26"/>
      <c r="B265" s="26"/>
      <c r="C265" s="18"/>
      <c r="D265" s="18"/>
      <c r="E265" s="18"/>
      <c r="F265" s="512"/>
    </row>
    <row r="266" spans="1:6" ht="15.75" customHeight="1" thickBot="1">
      <c r="A266" s="26"/>
      <c r="B266" s="26"/>
      <c r="C266" s="18"/>
      <c r="D266" s="18"/>
      <c r="E266" s="18"/>
      <c r="F266" s="512"/>
    </row>
    <row r="267" spans="1:6" ht="15.75" customHeight="1" thickBot="1">
      <c r="A267" s="26"/>
      <c r="B267" s="26"/>
      <c r="C267" s="18"/>
      <c r="D267" s="18"/>
      <c r="E267" s="18"/>
      <c r="F267" s="512"/>
    </row>
    <row r="268" spans="1:6" ht="15.75" customHeight="1" thickBot="1">
      <c r="A268" s="26"/>
      <c r="B268" s="26"/>
      <c r="C268" s="18"/>
      <c r="D268" s="18"/>
      <c r="E268" s="18"/>
      <c r="F268" s="512"/>
    </row>
    <row r="269" spans="1:6" ht="15.75" customHeight="1" thickBot="1">
      <c r="A269" s="26"/>
      <c r="B269" s="26"/>
      <c r="C269" s="18"/>
      <c r="D269" s="18"/>
      <c r="E269" s="18"/>
      <c r="F269" s="512"/>
    </row>
    <row r="270" spans="1:6" ht="15.75" customHeight="1" thickBot="1">
      <c r="A270" s="26"/>
      <c r="B270" s="26"/>
      <c r="C270" s="18"/>
      <c r="D270" s="18"/>
      <c r="E270" s="18"/>
      <c r="F270" s="512"/>
    </row>
    <row r="271" spans="1:6" ht="15.75" customHeight="1" thickBot="1">
      <c r="A271" s="26"/>
      <c r="B271" s="26"/>
      <c r="C271" s="18"/>
      <c r="D271" s="18"/>
      <c r="E271" s="18"/>
      <c r="F271" s="512"/>
    </row>
    <row r="272" spans="1:6" ht="15.75" customHeight="1" thickBot="1">
      <c r="A272" s="26"/>
      <c r="B272" s="26"/>
      <c r="C272" s="18"/>
      <c r="D272" s="18"/>
      <c r="E272" s="18"/>
      <c r="F272" s="512"/>
    </row>
    <row r="273" spans="1:6" ht="15.75" customHeight="1" thickBot="1">
      <c r="A273" s="26"/>
      <c r="B273" s="26"/>
      <c r="C273" s="18"/>
      <c r="D273" s="18"/>
      <c r="E273" s="18"/>
      <c r="F273" s="512"/>
    </row>
    <row r="274" spans="1:6" ht="15.75" customHeight="1" thickBot="1">
      <c r="A274" s="26"/>
      <c r="B274" s="26"/>
      <c r="C274" s="18"/>
      <c r="D274" s="18"/>
      <c r="E274" s="18"/>
      <c r="F274" s="512"/>
    </row>
    <row r="275" spans="1:6" ht="15.75" customHeight="1" thickBot="1">
      <c r="A275" s="26"/>
      <c r="B275" s="26"/>
      <c r="C275" s="18"/>
      <c r="D275" s="18"/>
      <c r="E275" s="18"/>
      <c r="F275" s="512"/>
    </row>
    <row r="276" spans="1:6" ht="15.75" customHeight="1" thickBot="1">
      <c r="A276" s="26"/>
      <c r="B276" s="26"/>
      <c r="C276" s="18"/>
      <c r="D276" s="18"/>
      <c r="E276" s="18"/>
      <c r="F276" s="512"/>
    </row>
    <row r="277" spans="1:6" ht="15.75" customHeight="1" thickBot="1">
      <c r="A277" s="26"/>
      <c r="B277" s="26"/>
      <c r="C277" s="18"/>
      <c r="D277" s="18"/>
      <c r="E277" s="18"/>
      <c r="F277" s="512"/>
    </row>
    <row r="278" spans="1:6" ht="15.75" customHeight="1" thickBot="1">
      <c r="A278" s="26"/>
      <c r="B278" s="26"/>
      <c r="C278" s="18"/>
      <c r="D278" s="18"/>
      <c r="E278" s="18"/>
      <c r="F278" s="512"/>
    </row>
    <row r="279" spans="1:6" ht="15.75" customHeight="1" thickBot="1">
      <c r="A279" s="26"/>
      <c r="B279" s="26"/>
      <c r="C279" s="18"/>
      <c r="D279" s="18"/>
      <c r="E279" s="18"/>
      <c r="F279" s="512"/>
    </row>
    <row r="280" spans="1:6" ht="15.75" customHeight="1" thickBot="1">
      <c r="A280" s="26"/>
      <c r="B280" s="26"/>
      <c r="C280" s="18"/>
      <c r="D280" s="18"/>
      <c r="E280" s="18"/>
      <c r="F280" s="512"/>
    </row>
    <row r="281" spans="1:6" ht="15.75" customHeight="1" thickBot="1">
      <c r="A281" s="26"/>
      <c r="B281" s="26"/>
      <c r="C281" s="18"/>
      <c r="D281" s="18"/>
      <c r="E281" s="18"/>
      <c r="F281" s="512"/>
    </row>
    <row r="282" spans="1:6" ht="15.75" customHeight="1" thickBot="1">
      <c r="A282" s="26"/>
      <c r="B282" s="26"/>
      <c r="C282" s="18"/>
      <c r="D282" s="18"/>
      <c r="E282" s="18"/>
      <c r="F282" s="512"/>
    </row>
    <row r="283" spans="1:6" ht="15.75" customHeight="1" thickBot="1">
      <c r="A283" s="26"/>
      <c r="B283" s="26"/>
      <c r="C283" s="18"/>
      <c r="D283" s="18"/>
      <c r="E283" s="18"/>
      <c r="F283" s="512"/>
    </row>
    <row r="284" spans="1:6" ht="15.75" customHeight="1" thickBot="1">
      <c r="A284" s="26"/>
      <c r="B284" s="26"/>
      <c r="C284" s="18"/>
      <c r="D284" s="18"/>
      <c r="E284" s="18"/>
      <c r="F284" s="512"/>
    </row>
    <row r="285" spans="1:6" ht="15.75" customHeight="1" thickBot="1">
      <c r="A285" s="26"/>
      <c r="B285" s="26"/>
      <c r="C285" s="18"/>
      <c r="D285" s="18"/>
      <c r="E285" s="18"/>
      <c r="F285" s="512"/>
    </row>
    <row r="286" spans="1:6" ht="15.75" customHeight="1" thickBot="1">
      <c r="A286" s="26"/>
      <c r="B286" s="26"/>
      <c r="C286" s="18"/>
      <c r="D286" s="18"/>
      <c r="E286" s="18"/>
      <c r="F286" s="512"/>
    </row>
    <row r="287" spans="1:6" ht="15.75" customHeight="1" thickBot="1">
      <c r="A287" s="26"/>
      <c r="B287" s="26"/>
      <c r="C287" s="18"/>
      <c r="D287" s="18"/>
      <c r="E287" s="18"/>
      <c r="F287" s="512"/>
    </row>
    <row r="288" spans="1:6" ht="15.75" customHeight="1" thickBot="1">
      <c r="A288" s="26"/>
      <c r="B288" s="26"/>
      <c r="C288" s="18"/>
      <c r="D288" s="18"/>
      <c r="E288" s="18"/>
      <c r="F288" s="512"/>
    </row>
    <row r="289" spans="1:6" ht="15.75" customHeight="1" thickBot="1">
      <c r="A289" s="26"/>
      <c r="B289" s="26"/>
      <c r="C289" s="18"/>
      <c r="D289" s="18"/>
      <c r="E289" s="18"/>
      <c r="F289" s="512"/>
    </row>
    <row r="290" spans="1:6" ht="15.75" customHeight="1" thickBot="1">
      <c r="A290" s="26"/>
      <c r="B290" s="26"/>
      <c r="C290" s="18"/>
      <c r="D290" s="18"/>
      <c r="E290" s="18"/>
      <c r="F290" s="512"/>
    </row>
    <row r="291" spans="1:6" ht="15.75" customHeight="1" thickBot="1">
      <c r="A291" s="26"/>
      <c r="B291" s="26"/>
      <c r="C291" s="18"/>
      <c r="D291" s="18"/>
      <c r="E291" s="18"/>
      <c r="F291" s="512"/>
    </row>
    <row r="292" spans="1:6" ht="15.75" customHeight="1" thickBot="1">
      <c r="A292" s="26"/>
      <c r="B292" s="26"/>
      <c r="C292" s="18"/>
      <c r="D292" s="18"/>
      <c r="E292" s="18"/>
      <c r="F292" s="512"/>
    </row>
    <row r="293" spans="1:6" ht="15.75" customHeight="1" thickBot="1">
      <c r="A293" s="26"/>
      <c r="B293" s="26"/>
      <c r="C293" s="18"/>
      <c r="D293" s="18"/>
      <c r="E293" s="18"/>
      <c r="F293" s="512"/>
    </row>
    <row r="294" spans="1:6" ht="15.75" customHeight="1" thickBot="1">
      <c r="A294" s="26"/>
      <c r="B294" s="26"/>
      <c r="C294" s="18"/>
      <c r="D294" s="18"/>
      <c r="E294" s="18"/>
      <c r="F294" s="512"/>
    </row>
    <row r="295" spans="1:6" ht="15.75" customHeight="1" thickBot="1">
      <c r="A295" s="26"/>
      <c r="B295" s="26"/>
      <c r="C295" s="18"/>
      <c r="D295" s="18"/>
      <c r="E295" s="18"/>
      <c r="F295" s="512"/>
    </row>
    <row r="296" spans="1:6" ht="15.75" customHeight="1" thickBot="1">
      <c r="A296" s="26"/>
      <c r="B296" s="26"/>
      <c r="C296" s="18"/>
      <c r="D296" s="18"/>
      <c r="E296" s="18"/>
      <c r="F296" s="512"/>
    </row>
    <row r="297" spans="1:6" ht="15.75" customHeight="1" thickBot="1">
      <c r="A297" s="26"/>
      <c r="B297" s="26"/>
      <c r="C297" s="18"/>
      <c r="D297" s="18"/>
      <c r="E297" s="18"/>
      <c r="F297" s="512"/>
    </row>
    <row r="298" spans="1:6" ht="15.75" customHeight="1" thickBot="1">
      <c r="A298" s="26"/>
      <c r="B298" s="26"/>
      <c r="C298" s="18"/>
      <c r="D298" s="18"/>
      <c r="E298" s="18"/>
      <c r="F298" s="512"/>
    </row>
    <row r="299" spans="1:6" ht="15.75" customHeight="1" thickBot="1">
      <c r="A299" s="26"/>
      <c r="B299" s="26"/>
      <c r="C299" s="18"/>
      <c r="D299" s="18"/>
      <c r="E299" s="18"/>
      <c r="F299" s="512"/>
    </row>
    <row r="300" spans="1:6" ht="15.75" customHeight="1" thickBot="1">
      <c r="A300" s="26"/>
      <c r="B300" s="26"/>
      <c r="C300" s="18"/>
      <c r="D300" s="18"/>
      <c r="E300" s="18"/>
      <c r="F300" s="512"/>
    </row>
    <row r="301" spans="1:6" ht="15.75" customHeight="1" thickBot="1">
      <c r="A301" s="26"/>
      <c r="B301" s="26"/>
      <c r="C301" s="18"/>
      <c r="D301" s="18"/>
      <c r="E301" s="18"/>
      <c r="F301" s="512"/>
    </row>
    <row r="302" spans="1:6" ht="15.75" customHeight="1" thickBot="1">
      <c r="A302" s="26"/>
      <c r="B302" s="26"/>
      <c r="C302" s="18"/>
      <c r="D302" s="18"/>
      <c r="E302" s="18"/>
      <c r="F302" s="512"/>
    </row>
    <row r="303" spans="1:6" ht="15.75" customHeight="1" thickBot="1">
      <c r="A303" s="26"/>
      <c r="B303" s="26"/>
      <c r="C303" s="18"/>
      <c r="D303" s="18"/>
      <c r="E303" s="18"/>
      <c r="F303" s="512"/>
    </row>
    <row r="304" spans="1:6" ht="15.75" customHeight="1" thickBot="1">
      <c r="A304" s="26"/>
      <c r="B304" s="26"/>
      <c r="C304" s="18"/>
      <c r="D304" s="18"/>
      <c r="E304" s="18"/>
      <c r="F304" s="512"/>
    </row>
    <row r="305" spans="1:6" ht="15.75" customHeight="1" thickBot="1">
      <c r="A305" s="26"/>
      <c r="B305" s="26"/>
      <c r="C305" s="18"/>
      <c r="D305" s="18"/>
      <c r="E305" s="18"/>
      <c r="F305" s="512"/>
    </row>
    <row r="306" spans="1:6" ht="15.75" customHeight="1" thickBot="1">
      <c r="A306" s="26"/>
      <c r="B306" s="26"/>
      <c r="C306" s="18"/>
      <c r="D306" s="18"/>
      <c r="E306" s="18"/>
      <c r="F306" s="512"/>
    </row>
    <row r="307" spans="1:6" ht="15.75" customHeight="1" thickBot="1">
      <c r="A307" s="26"/>
      <c r="B307" s="26"/>
      <c r="C307" s="18"/>
      <c r="D307" s="18"/>
      <c r="E307" s="18"/>
      <c r="F307" s="512"/>
    </row>
    <row r="308" spans="1:6" ht="15.75" customHeight="1" thickBot="1">
      <c r="A308" s="26"/>
      <c r="B308" s="26"/>
      <c r="C308" s="18"/>
      <c r="D308" s="18"/>
      <c r="E308" s="18"/>
      <c r="F308" s="512"/>
    </row>
    <row r="309" spans="1:6" ht="15.75" customHeight="1" thickBot="1">
      <c r="A309" s="26"/>
      <c r="B309" s="26"/>
      <c r="C309" s="18"/>
      <c r="D309" s="18"/>
      <c r="E309" s="18"/>
      <c r="F309" s="512"/>
    </row>
    <row r="310" spans="1:6" ht="15.75" customHeight="1" thickBot="1">
      <c r="A310" s="26"/>
      <c r="B310" s="26"/>
      <c r="C310" s="18"/>
      <c r="D310" s="18"/>
      <c r="E310" s="18"/>
      <c r="F310" s="512"/>
    </row>
    <row r="311" spans="1:6" ht="15.75" customHeight="1" thickBot="1">
      <c r="A311" s="26"/>
      <c r="B311" s="26"/>
      <c r="C311" s="18"/>
      <c r="D311" s="18"/>
      <c r="E311" s="18"/>
      <c r="F311" s="512"/>
    </row>
    <row r="312" spans="1:6" ht="15.75" customHeight="1" thickBot="1">
      <c r="A312" s="26"/>
      <c r="B312" s="26"/>
      <c r="C312" s="18"/>
      <c r="D312" s="18"/>
      <c r="E312" s="18"/>
      <c r="F312" s="512"/>
    </row>
    <row r="313" spans="1:6" ht="15.75" customHeight="1" thickBot="1">
      <c r="A313" s="26"/>
      <c r="B313" s="26"/>
      <c r="C313" s="18"/>
      <c r="D313" s="18"/>
      <c r="E313" s="18"/>
      <c r="F313" s="512"/>
    </row>
    <row r="314" spans="1:6" ht="15.75" customHeight="1" thickBot="1">
      <c r="A314" s="26"/>
      <c r="B314" s="26"/>
      <c r="C314" s="18"/>
      <c r="D314" s="18"/>
      <c r="E314" s="18"/>
      <c r="F314" s="512"/>
    </row>
    <row r="315" spans="1:6" ht="15.75" customHeight="1" thickBot="1">
      <c r="A315" s="26"/>
      <c r="B315" s="26"/>
      <c r="C315" s="18"/>
      <c r="D315" s="18"/>
      <c r="E315" s="18"/>
      <c r="F315" s="512"/>
    </row>
    <row r="316" spans="1:6" ht="15.75" customHeight="1" thickBot="1">
      <c r="A316" s="26"/>
      <c r="B316" s="26"/>
      <c r="C316" s="18"/>
      <c r="D316" s="18"/>
      <c r="E316" s="18"/>
      <c r="F316" s="512"/>
    </row>
    <row r="317" spans="1:6" ht="15.75" customHeight="1" thickBot="1">
      <c r="A317" s="26"/>
      <c r="B317" s="26"/>
      <c r="C317" s="18"/>
      <c r="D317" s="18"/>
      <c r="E317" s="18"/>
      <c r="F317" s="512"/>
    </row>
    <row r="318" spans="1:6" ht="15.75" customHeight="1" thickBot="1">
      <c r="A318" s="26"/>
      <c r="B318" s="26"/>
      <c r="C318" s="18"/>
      <c r="D318" s="18"/>
      <c r="E318" s="18"/>
      <c r="F318" s="512"/>
    </row>
    <row r="319" spans="1:6" ht="15.75" customHeight="1" thickBot="1">
      <c r="A319" s="26"/>
      <c r="B319" s="26"/>
      <c r="C319" s="18"/>
      <c r="D319" s="18"/>
      <c r="E319" s="18"/>
      <c r="F319" s="512"/>
    </row>
    <row r="320" spans="1:6" ht="15.75" customHeight="1" thickBot="1">
      <c r="A320" s="26"/>
      <c r="B320" s="26"/>
      <c r="C320" s="18"/>
      <c r="D320" s="18"/>
      <c r="E320" s="18"/>
      <c r="F320" s="512"/>
    </row>
    <row r="321" spans="1:6" ht="15.75" customHeight="1" thickBot="1">
      <c r="A321" s="26"/>
      <c r="B321" s="26"/>
      <c r="C321" s="18"/>
      <c r="D321" s="18"/>
      <c r="E321" s="18"/>
      <c r="F321" s="512"/>
    </row>
    <row r="322" spans="1:6" ht="15.75" customHeight="1" thickBot="1">
      <c r="A322" s="26"/>
      <c r="B322" s="26"/>
      <c r="C322" s="18"/>
      <c r="D322" s="18"/>
      <c r="E322" s="18"/>
      <c r="F322" s="512"/>
    </row>
    <row r="323" spans="1:6" ht="15.75" customHeight="1" thickBot="1">
      <c r="A323" s="26"/>
      <c r="B323" s="26"/>
      <c r="C323" s="18"/>
      <c r="D323" s="18"/>
      <c r="E323" s="18"/>
      <c r="F323" s="512"/>
    </row>
    <row r="324" spans="1:6" ht="15.75" customHeight="1" thickBot="1">
      <c r="A324" s="26"/>
      <c r="B324" s="26"/>
      <c r="C324" s="18"/>
      <c r="D324" s="18"/>
      <c r="E324" s="18"/>
      <c r="F324" s="512"/>
    </row>
    <row r="325" spans="1:6" ht="15.75" customHeight="1" thickBot="1">
      <c r="A325" s="26"/>
      <c r="B325" s="26"/>
      <c r="C325" s="18"/>
      <c r="D325" s="18"/>
      <c r="E325" s="18"/>
      <c r="F325" s="512"/>
    </row>
    <row r="326" spans="1:6" ht="15.75" customHeight="1" thickBot="1">
      <c r="A326" s="26"/>
      <c r="B326" s="26"/>
      <c r="C326" s="18"/>
      <c r="D326" s="18"/>
      <c r="E326" s="18"/>
      <c r="F326" s="512"/>
    </row>
    <row r="327" spans="1:6" ht="15.75" customHeight="1" thickBot="1">
      <c r="A327" s="26"/>
      <c r="B327" s="26"/>
      <c r="C327" s="18"/>
      <c r="D327" s="18"/>
      <c r="E327" s="18"/>
      <c r="F327" s="512"/>
    </row>
    <row r="328" spans="1:6" ht="15.75" customHeight="1" thickBot="1">
      <c r="A328" s="26"/>
      <c r="B328" s="26"/>
      <c r="C328" s="18"/>
      <c r="D328" s="18"/>
      <c r="E328" s="18"/>
      <c r="F328" s="512"/>
    </row>
    <row r="329" spans="1:6" ht="15.75" customHeight="1" thickBot="1">
      <c r="A329" s="26"/>
      <c r="B329" s="26"/>
      <c r="C329" s="18"/>
      <c r="D329" s="18"/>
      <c r="E329" s="18"/>
      <c r="F329" s="512"/>
    </row>
    <row r="330" spans="1:6" ht="15.75" customHeight="1" thickBot="1">
      <c r="A330" s="26"/>
      <c r="B330" s="26"/>
      <c r="C330" s="18"/>
      <c r="D330" s="18"/>
      <c r="E330" s="18"/>
      <c r="F330" s="512"/>
    </row>
    <row r="331" spans="1:6" ht="15.75" customHeight="1" thickBot="1">
      <c r="A331" s="26"/>
      <c r="B331" s="26"/>
      <c r="C331" s="18"/>
      <c r="D331" s="18"/>
      <c r="E331" s="18"/>
      <c r="F331" s="512"/>
    </row>
    <row r="332" spans="1:6" ht="15.75" customHeight="1" thickBot="1">
      <c r="A332" s="26"/>
      <c r="B332" s="26"/>
      <c r="C332" s="18"/>
      <c r="D332" s="18"/>
      <c r="E332" s="18"/>
      <c r="F332" s="512"/>
    </row>
    <row r="333" spans="1:6" ht="15.75" customHeight="1" thickBot="1">
      <c r="A333" s="26"/>
      <c r="B333" s="26"/>
      <c r="C333" s="18"/>
      <c r="D333" s="18"/>
      <c r="E333" s="18"/>
      <c r="F333" s="512"/>
    </row>
    <row r="334" spans="1:6" ht="15.75" customHeight="1" thickBot="1">
      <c r="A334" s="26"/>
      <c r="B334" s="26"/>
      <c r="C334" s="18"/>
      <c r="D334" s="18"/>
      <c r="E334" s="18"/>
      <c r="F334" s="512"/>
    </row>
    <row r="335" spans="1:6" ht="15.75" customHeight="1" thickBot="1">
      <c r="A335" s="26"/>
      <c r="B335" s="26"/>
      <c r="C335" s="18"/>
      <c r="D335" s="18"/>
      <c r="E335" s="18"/>
      <c r="F335" s="512"/>
    </row>
    <row r="336" spans="1:6" ht="15.75" customHeight="1" thickBot="1">
      <c r="A336" s="26"/>
      <c r="B336" s="26"/>
      <c r="C336" s="18"/>
      <c r="D336" s="18"/>
      <c r="E336" s="18"/>
      <c r="F336" s="512"/>
    </row>
    <row r="337" spans="1:6" ht="15.75" customHeight="1" thickBot="1">
      <c r="A337" s="26"/>
      <c r="B337" s="26"/>
      <c r="C337" s="18"/>
      <c r="D337" s="18"/>
      <c r="E337" s="18"/>
      <c r="F337" s="512"/>
    </row>
    <row r="338" spans="1:6" ht="15.75" customHeight="1" thickBot="1">
      <c r="A338" s="26"/>
      <c r="B338" s="26"/>
      <c r="C338" s="18"/>
      <c r="D338" s="18"/>
      <c r="E338" s="18"/>
      <c r="F338" s="512"/>
    </row>
    <row r="339" spans="1:6" ht="15.75" customHeight="1" thickBot="1">
      <c r="A339" s="26"/>
      <c r="B339" s="26"/>
      <c r="C339" s="18"/>
      <c r="D339" s="18"/>
      <c r="E339" s="18"/>
      <c r="F339" s="512"/>
    </row>
    <row r="340" spans="1:6" ht="15.75" customHeight="1" thickBot="1">
      <c r="A340" s="26"/>
      <c r="B340" s="26"/>
      <c r="C340" s="18"/>
      <c r="D340" s="18"/>
      <c r="E340" s="18"/>
      <c r="F340" s="512"/>
    </row>
    <row r="341" spans="1:6" ht="15.75" customHeight="1" thickBot="1">
      <c r="A341" s="26"/>
      <c r="B341" s="26"/>
      <c r="C341" s="18"/>
      <c r="D341" s="18"/>
      <c r="E341" s="18"/>
      <c r="F341" s="512"/>
    </row>
    <row r="342" spans="1:6" ht="15.75" customHeight="1" thickBot="1">
      <c r="A342" s="26"/>
      <c r="B342" s="26"/>
      <c r="C342" s="18"/>
      <c r="D342" s="18"/>
      <c r="E342" s="18"/>
      <c r="F342" s="512"/>
    </row>
    <row r="343" spans="1:6" ht="15.75" customHeight="1" thickBot="1">
      <c r="A343" s="26"/>
      <c r="B343" s="26"/>
      <c r="C343" s="18"/>
      <c r="D343" s="18"/>
      <c r="E343" s="18"/>
      <c r="F343" s="512"/>
    </row>
    <row r="344" spans="1:6" ht="15.75" customHeight="1" thickBot="1">
      <c r="A344" s="26"/>
      <c r="B344" s="26"/>
      <c r="C344" s="18"/>
      <c r="D344" s="18"/>
      <c r="E344" s="18"/>
      <c r="F344" s="512"/>
    </row>
    <row r="345" spans="1:6" ht="15.75" customHeight="1" thickBot="1">
      <c r="A345" s="26"/>
      <c r="B345" s="26"/>
      <c r="C345" s="18"/>
      <c r="D345" s="18"/>
      <c r="E345" s="18"/>
      <c r="F345" s="512"/>
    </row>
    <row r="346" spans="1:6" ht="15.75" customHeight="1" thickBot="1">
      <c r="A346" s="26"/>
      <c r="B346" s="26"/>
      <c r="C346" s="18"/>
      <c r="D346" s="18"/>
      <c r="E346" s="18"/>
      <c r="F346" s="512"/>
    </row>
    <row r="347" spans="1:6" ht="15.75" customHeight="1" thickBot="1">
      <c r="A347" s="26"/>
      <c r="B347" s="26"/>
      <c r="C347" s="18"/>
      <c r="D347" s="18"/>
      <c r="E347" s="18"/>
      <c r="F347" s="512"/>
    </row>
    <row r="348" spans="1:6" ht="15.75" customHeight="1" thickBot="1">
      <c r="A348" s="26"/>
      <c r="B348" s="26"/>
      <c r="C348" s="18"/>
      <c r="D348" s="18"/>
      <c r="E348" s="18"/>
      <c r="F348" s="512"/>
    </row>
    <row r="349" spans="1:6" ht="15.75" customHeight="1" thickBot="1">
      <c r="A349" s="26"/>
      <c r="B349" s="26"/>
      <c r="C349" s="18"/>
      <c r="D349" s="18"/>
      <c r="E349" s="18"/>
      <c r="F349" s="512"/>
    </row>
    <row r="350" spans="1:6" ht="15.75" customHeight="1" thickBot="1">
      <c r="A350" s="26"/>
      <c r="B350" s="26"/>
      <c r="C350" s="18"/>
      <c r="D350" s="18"/>
      <c r="E350" s="18"/>
      <c r="F350" s="512"/>
    </row>
    <row r="351" spans="1:6" ht="15.75" customHeight="1" thickBot="1">
      <c r="A351" s="26"/>
      <c r="B351" s="26"/>
      <c r="C351" s="18"/>
      <c r="D351" s="18"/>
      <c r="E351" s="18"/>
      <c r="F351" s="512"/>
    </row>
    <row r="352" spans="1:6" ht="15.75" customHeight="1" thickBot="1">
      <c r="A352" s="26"/>
      <c r="B352" s="26"/>
      <c r="C352" s="18"/>
      <c r="D352" s="18"/>
      <c r="E352" s="18"/>
      <c r="F352" s="512"/>
    </row>
    <row r="353" spans="1:6" ht="15.75" customHeight="1" thickBot="1">
      <c r="A353" s="26"/>
      <c r="B353" s="26"/>
      <c r="C353" s="18"/>
      <c r="D353" s="18"/>
      <c r="E353" s="18"/>
      <c r="F353" s="512"/>
    </row>
    <row r="354" spans="1:6" ht="15.75" customHeight="1" thickBot="1">
      <c r="A354" s="26"/>
      <c r="B354" s="26"/>
      <c r="C354" s="18"/>
      <c r="D354" s="18"/>
      <c r="E354" s="18"/>
      <c r="F354" s="512"/>
    </row>
    <row r="355" spans="1:6" ht="15.75" customHeight="1" thickBot="1">
      <c r="A355" s="26"/>
      <c r="B355" s="26"/>
      <c r="C355" s="18"/>
      <c r="D355" s="18"/>
      <c r="E355" s="18"/>
      <c r="F355" s="512"/>
    </row>
    <row r="356" spans="1:6" ht="15.75" customHeight="1" thickBot="1">
      <c r="A356" s="26"/>
      <c r="B356" s="26"/>
      <c r="C356" s="18"/>
      <c r="D356" s="18"/>
      <c r="E356" s="18"/>
      <c r="F356" s="512"/>
    </row>
    <row r="357" spans="1:6" ht="15.75" customHeight="1" thickBot="1">
      <c r="A357" s="26"/>
      <c r="B357" s="26"/>
      <c r="C357" s="18"/>
      <c r="D357" s="18"/>
      <c r="E357" s="18"/>
      <c r="F357" s="512"/>
    </row>
    <row r="358" spans="1:6" ht="15.75" customHeight="1" thickBot="1">
      <c r="A358" s="26"/>
      <c r="B358" s="26"/>
      <c r="C358" s="18"/>
      <c r="D358" s="18"/>
      <c r="E358" s="18"/>
      <c r="F358" s="512"/>
    </row>
    <row r="359" spans="1:6" ht="15.75" customHeight="1" thickBot="1">
      <c r="A359" s="26"/>
      <c r="B359" s="26"/>
      <c r="C359" s="18"/>
      <c r="D359" s="18"/>
      <c r="E359" s="18"/>
      <c r="F359" s="512"/>
    </row>
    <row r="360" spans="1:6" ht="15.75" customHeight="1" thickBot="1">
      <c r="A360" s="26"/>
      <c r="B360" s="26"/>
      <c r="C360" s="18"/>
      <c r="D360" s="18"/>
      <c r="E360" s="18"/>
      <c r="F360" s="512"/>
    </row>
    <row r="361" spans="1:6" ht="15.75" customHeight="1" thickBot="1">
      <c r="A361" s="26"/>
      <c r="B361" s="26"/>
      <c r="C361" s="18"/>
      <c r="D361" s="18"/>
      <c r="E361" s="18"/>
      <c r="F361" s="512"/>
    </row>
    <row r="362" spans="1:6" ht="15.75" customHeight="1" thickBot="1">
      <c r="A362" s="26"/>
      <c r="B362" s="26"/>
      <c r="C362" s="18"/>
      <c r="D362" s="18"/>
      <c r="E362" s="18"/>
      <c r="F362" s="512"/>
    </row>
    <row r="363" spans="1:6" ht="15.75" customHeight="1" thickBot="1">
      <c r="A363" s="26"/>
      <c r="B363" s="26"/>
      <c r="C363" s="18"/>
      <c r="D363" s="18"/>
      <c r="E363" s="18"/>
      <c r="F363" s="512"/>
    </row>
    <row r="364" spans="1:6" ht="15.75" customHeight="1" thickBot="1">
      <c r="A364" s="26"/>
      <c r="B364" s="26"/>
      <c r="C364" s="18"/>
      <c r="D364" s="18"/>
      <c r="E364" s="18"/>
      <c r="F364" s="512"/>
    </row>
    <row r="365" spans="1:6" ht="15.75" customHeight="1" thickBot="1">
      <c r="A365" s="26"/>
      <c r="B365" s="26"/>
      <c r="C365" s="18"/>
      <c r="D365" s="18"/>
      <c r="E365" s="18"/>
      <c r="F365" s="512"/>
    </row>
    <row r="366" spans="1:6" ht="15.75" customHeight="1" thickBot="1">
      <c r="A366" s="26"/>
      <c r="B366" s="26"/>
      <c r="C366" s="18"/>
      <c r="D366" s="18"/>
      <c r="E366" s="18"/>
      <c r="F366" s="512"/>
    </row>
    <row r="367" spans="1:6" ht="15.75" customHeight="1" thickBot="1">
      <c r="A367" s="26"/>
      <c r="B367" s="26"/>
      <c r="C367" s="18"/>
      <c r="D367" s="18"/>
      <c r="E367" s="18"/>
      <c r="F367" s="512"/>
    </row>
    <row r="368" spans="1:6" ht="15.75" customHeight="1" thickBot="1">
      <c r="A368" s="26"/>
      <c r="B368" s="26"/>
      <c r="C368" s="18"/>
      <c r="D368" s="18"/>
      <c r="E368" s="18"/>
      <c r="F368" s="512"/>
    </row>
    <row r="369" spans="1:6" ht="15.75" customHeight="1" thickBot="1">
      <c r="A369" s="26"/>
      <c r="B369" s="26"/>
      <c r="C369" s="18"/>
      <c r="D369" s="18"/>
      <c r="E369" s="18"/>
      <c r="F369" s="512"/>
    </row>
    <row r="370" spans="1:6" ht="15.75" customHeight="1" thickBot="1">
      <c r="A370" s="26"/>
      <c r="B370" s="26"/>
      <c r="C370" s="18"/>
      <c r="D370" s="18"/>
      <c r="E370" s="18"/>
      <c r="F370" s="512"/>
    </row>
    <row r="371" spans="1:6" ht="15.75" customHeight="1" thickBot="1">
      <c r="A371" s="26"/>
      <c r="B371" s="26"/>
      <c r="C371" s="18"/>
      <c r="D371" s="13"/>
      <c r="E371" s="18"/>
      <c r="F371" s="494"/>
    </row>
    <row r="372" spans="1:6" ht="15.75" customHeight="1" thickBot="1">
      <c r="A372" s="26"/>
      <c r="B372" s="26"/>
      <c r="C372" s="18"/>
      <c r="D372" s="13"/>
      <c r="E372" s="18"/>
      <c r="F372" s="494"/>
    </row>
    <row r="373" spans="1:6" ht="15.75" customHeight="1" thickBot="1">
      <c r="A373" s="26"/>
      <c r="B373" s="26"/>
      <c r="C373" s="18"/>
      <c r="D373" s="13"/>
      <c r="E373" s="18"/>
      <c r="F373" s="494"/>
    </row>
    <row r="374" spans="1:6" ht="15.75" customHeight="1" thickBot="1">
      <c r="A374" s="26"/>
      <c r="B374" s="26"/>
      <c r="C374" s="18"/>
      <c r="D374" s="13"/>
      <c r="E374" s="18"/>
      <c r="F374" s="494"/>
    </row>
    <row r="375" spans="1:6" ht="15.75" customHeight="1" thickBot="1">
      <c r="A375" s="26"/>
      <c r="B375" s="26"/>
      <c r="C375" s="18"/>
      <c r="D375" s="13"/>
      <c r="E375" s="18"/>
      <c r="F375" s="494"/>
    </row>
    <row r="376" spans="1:6" ht="15.75" customHeight="1" thickBot="1">
      <c r="A376" s="26"/>
      <c r="B376" s="26"/>
      <c r="C376" s="18"/>
      <c r="D376" s="13"/>
      <c r="E376" s="18"/>
      <c r="F376" s="494"/>
    </row>
    <row r="377" spans="1:6" ht="15.75" customHeight="1" thickBot="1">
      <c r="A377" s="26"/>
      <c r="B377" s="26"/>
      <c r="C377" s="18"/>
      <c r="D377" s="13"/>
      <c r="E377" s="18"/>
      <c r="F377" s="494"/>
    </row>
    <row r="378" spans="1:6" ht="15.75" customHeight="1" thickBot="1">
      <c r="A378" s="26"/>
      <c r="B378" s="26"/>
      <c r="C378" s="18"/>
      <c r="D378" s="13"/>
      <c r="E378" s="18"/>
      <c r="F378" s="494"/>
    </row>
    <row r="379" spans="1:6" ht="15.75" customHeight="1" thickBot="1">
      <c r="A379" s="26"/>
      <c r="B379" s="26"/>
      <c r="C379" s="18"/>
      <c r="D379" s="13"/>
      <c r="E379" s="18"/>
      <c r="F379" s="494"/>
    </row>
    <row r="380" spans="1:6" ht="15.75" customHeight="1" thickBot="1">
      <c r="A380" s="26"/>
      <c r="B380" s="26"/>
      <c r="C380" s="18"/>
      <c r="D380" s="13"/>
      <c r="E380" s="18"/>
      <c r="F380" s="494"/>
    </row>
    <row r="381" spans="1:6" ht="15.75" customHeight="1" thickBot="1">
      <c r="A381" s="26"/>
      <c r="B381" s="26"/>
      <c r="C381" s="18"/>
      <c r="D381" s="13"/>
      <c r="E381" s="18"/>
      <c r="F381" s="494"/>
    </row>
    <row r="382" spans="1:6" ht="15.75" customHeight="1" thickBot="1">
      <c r="A382" s="26"/>
      <c r="B382" s="26"/>
      <c r="C382" s="18"/>
      <c r="D382" s="13"/>
      <c r="E382" s="18"/>
      <c r="F382" s="494"/>
    </row>
    <row r="383" spans="1:6" ht="15.75" customHeight="1" thickBot="1">
      <c r="A383" s="26"/>
      <c r="B383" s="26"/>
      <c r="C383" s="18"/>
      <c r="D383" s="13"/>
      <c r="E383" s="18"/>
      <c r="F383" s="494"/>
    </row>
    <row r="384" spans="1:6" ht="15.75" customHeight="1" thickBot="1">
      <c r="A384" s="26"/>
      <c r="B384" s="26"/>
      <c r="C384" s="18"/>
      <c r="D384" s="13"/>
      <c r="E384" s="18"/>
      <c r="F384" s="494"/>
    </row>
    <row r="385" spans="1:6" ht="15.75" customHeight="1" thickBot="1">
      <c r="A385" s="26"/>
      <c r="B385" s="26"/>
      <c r="C385" s="18"/>
      <c r="D385" s="13"/>
      <c r="E385" s="18"/>
      <c r="F385" s="494"/>
    </row>
    <row r="386" spans="1:6" ht="15.75" customHeight="1" thickBot="1">
      <c r="A386" s="26"/>
      <c r="B386" s="26"/>
      <c r="C386" s="18"/>
      <c r="D386" s="13"/>
      <c r="E386" s="18"/>
      <c r="F386" s="494"/>
    </row>
    <row r="387" spans="1:6" ht="15.75" customHeight="1" thickBot="1">
      <c r="A387" s="26"/>
      <c r="B387" s="26"/>
      <c r="C387" s="18"/>
      <c r="D387" s="13"/>
      <c r="E387" s="18"/>
      <c r="F387" s="494"/>
    </row>
    <row r="388" spans="1:6" ht="15.75" customHeight="1" thickBot="1">
      <c r="A388" s="26"/>
      <c r="B388" s="26"/>
      <c r="C388" s="18"/>
      <c r="D388" s="13"/>
      <c r="E388" s="18"/>
      <c r="F388" s="494"/>
    </row>
    <row r="389" spans="1:6" ht="15.75" customHeight="1" thickBot="1">
      <c r="A389" s="26"/>
      <c r="B389" s="26"/>
      <c r="C389" s="18"/>
      <c r="D389" s="13"/>
      <c r="E389" s="18"/>
      <c r="F389" s="494"/>
    </row>
    <row r="390" spans="1:6" ht="15.75" customHeight="1" thickBot="1">
      <c r="A390" s="26"/>
      <c r="B390" s="26"/>
      <c r="C390" s="18"/>
      <c r="D390" s="13"/>
      <c r="E390" s="18"/>
      <c r="F390" s="494"/>
    </row>
    <row r="391" spans="1:6" ht="15.75" customHeight="1" thickBot="1">
      <c r="A391" s="26"/>
      <c r="B391" s="26"/>
      <c r="C391" s="18"/>
      <c r="D391" s="13"/>
      <c r="E391" s="18"/>
      <c r="F391" s="494"/>
    </row>
    <row r="392" spans="1:6" ht="15.75" customHeight="1" thickBot="1">
      <c r="A392" s="26"/>
      <c r="B392" s="26"/>
      <c r="C392" s="18"/>
      <c r="D392" s="13"/>
      <c r="E392" s="18"/>
      <c r="F392" s="494"/>
    </row>
    <row r="393" spans="1:6" ht="15.75" customHeight="1" thickBot="1">
      <c r="A393" s="26"/>
      <c r="B393" s="26"/>
      <c r="C393" s="18"/>
      <c r="D393" s="13"/>
      <c r="E393" s="18"/>
      <c r="F393" s="494"/>
    </row>
    <row r="394" spans="1:6" ht="15.75" customHeight="1" thickBot="1">
      <c r="A394" s="26"/>
      <c r="B394" s="26"/>
      <c r="C394" s="18"/>
      <c r="D394" s="13"/>
      <c r="E394" s="18"/>
      <c r="F394" s="494"/>
    </row>
    <row r="395" spans="1:6" ht="15.75" customHeight="1" thickBot="1">
      <c r="A395" s="26"/>
      <c r="B395" s="26"/>
      <c r="C395" s="18"/>
      <c r="D395" s="13"/>
      <c r="E395" s="18"/>
      <c r="F395" s="494"/>
    </row>
    <row r="396" spans="1:6" ht="15.75" customHeight="1" thickBot="1">
      <c r="A396" s="26"/>
      <c r="B396" s="26"/>
      <c r="C396" s="18"/>
      <c r="D396" s="13"/>
      <c r="E396" s="18"/>
      <c r="F396" s="494"/>
    </row>
    <row r="397" spans="1:6" ht="15.75" customHeight="1" thickBot="1">
      <c r="A397" s="26"/>
      <c r="B397" s="26"/>
      <c r="C397" s="18"/>
      <c r="D397" s="13"/>
      <c r="E397" s="18"/>
      <c r="F397" s="494"/>
    </row>
    <row r="398" spans="1:6" ht="15.75" customHeight="1" thickBot="1">
      <c r="A398" s="26"/>
      <c r="B398" s="26"/>
      <c r="C398" s="18"/>
      <c r="D398" s="13"/>
      <c r="E398" s="18"/>
      <c r="F398" s="494"/>
    </row>
    <row r="399" spans="1:6" ht="15.75" customHeight="1" thickBot="1">
      <c r="A399" s="26"/>
      <c r="B399" s="26"/>
      <c r="C399" s="18"/>
      <c r="D399" s="13"/>
      <c r="E399" s="18"/>
      <c r="F399" s="494"/>
    </row>
    <row r="400" spans="1:6" ht="15.75" customHeight="1" thickBot="1">
      <c r="A400" s="26"/>
      <c r="B400" s="26"/>
      <c r="C400" s="18"/>
      <c r="D400" s="13"/>
      <c r="E400" s="18"/>
      <c r="F400" s="494"/>
    </row>
    <row r="401" spans="1:6" ht="15.75" customHeight="1" thickBot="1">
      <c r="A401" s="26"/>
      <c r="B401" s="26"/>
      <c r="C401" s="18"/>
      <c r="D401" s="13"/>
      <c r="E401" s="18"/>
      <c r="F401" s="494"/>
    </row>
    <row r="402" spans="1:6" ht="15.75" customHeight="1" thickBot="1">
      <c r="A402" s="26"/>
      <c r="B402" s="26"/>
      <c r="C402" s="18"/>
      <c r="D402" s="13"/>
      <c r="E402" s="18"/>
      <c r="F402" s="494"/>
    </row>
    <row r="403" spans="1:6" ht="15.75" customHeight="1" thickBot="1">
      <c r="A403" s="26"/>
      <c r="B403" s="26"/>
      <c r="C403" s="18"/>
      <c r="D403" s="13"/>
      <c r="E403" s="18"/>
      <c r="F403" s="494"/>
    </row>
    <row r="404" spans="1:6" ht="15.75" customHeight="1" thickBot="1">
      <c r="A404" s="26"/>
      <c r="B404" s="26"/>
      <c r="C404" s="18"/>
      <c r="D404" s="13"/>
      <c r="E404" s="18"/>
      <c r="F404" s="494"/>
    </row>
    <row r="405" spans="1:6" ht="15.75" customHeight="1" thickBot="1">
      <c r="A405" s="26"/>
      <c r="B405" s="26"/>
      <c r="C405" s="18"/>
      <c r="D405" s="13"/>
      <c r="E405" s="18"/>
      <c r="F405" s="494"/>
    </row>
    <row r="406" spans="1:6" ht="15.75" customHeight="1" thickBot="1">
      <c r="A406" s="26"/>
      <c r="B406" s="26"/>
      <c r="C406" s="18"/>
      <c r="D406" s="13"/>
      <c r="E406" s="18"/>
      <c r="F406" s="494"/>
    </row>
    <row r="407" spans="1:6" ht="15.75" customHeight="1" thickBot="1">
      <c r="A407" s="26"/>
      <c r="B407" s="26"/>
      <c r="C407" s="18"/>
      <c r="D407" s="13"/>
      <c r="E407" s="18"/>
      <c r="F407" s="494"/>
    </row>
    <row r="408" spans="1:6" ht="15.75" customHeight="1" thickBot="1">
      <c r="A408" s="26"/>
      <c r="B408" s="26"/>
      <c r="C408" s="18"/>
      <c r="D408" s="13"/>
      <c r="E408" s="18"/>
      <c r="F408" s="494"/>
    </row>
    <row r="409" spans="1:6" ht="15.75" customHeight="1" thickBot="1">
      <c r="A409" s="26"/>
      <c r="B409" s="26"/>
      <c r="C409" s="18"/>
      <c r="D409" s="13"/>
      <c r="E409" s="18"/>
      <c r="F409" s="494"/>
    </row>
    <row r="410" spans="1:6" ht="15.75" customHeight="1" thickBot="1">
      <c r="A410" s="26"/>
      <c r="B410" s="26"/>
      <c r="C410" s="18"/>
      <c r="D410" s="13"/>
      <c r="E410" s="18"/>
      <c r="F410" s="494"/>
    </row>
    <row r="411" spans="1:6" ht="15.75" customHeight="1" thickBot="1">
      <c r="A411" s="26"/>
      <c r="B411" s="26"/>
      <c r="C411" s="18"/>
      <c r="D411" s="13"/>
      <c r="E411" s="18"/>
      <c r="F411" s="494"/>
    </row>
    <row r="412" spans="1:6" ht="15.75" customHeight="1" thickBot="1">
      <c r="A412" s="26"/>
      <c r="B412" s="26"/>
      <c r="C412" s="18"/>
      <c r="D412" s="13"/>
      <c r="E412" s="18"/>
      <c r="F412" s="494"/>
    </row>
    <row r="413" spans="1:6" ht="15.75" customHeight="1" thickBot="1">
      <c r="A413" s="26"/>
      <c r="B413" s="26"/>
      <c r="C413" s="18"/>
      <c r="D413" s="13"/>
      <c r="E413" s="18"/>
      <c r="F413" s="494"/>
    </row>
    <row r="414" spans="1:6" ht="15.75" customHeight="1" thickBot="1">
      <c r="A414" s="26"/>
      <c r="B414" s="26"/>
      <c r="C414" s="18"/>
      <c r="D414" s="13"/>
      <c r="E414" s="18"/>
      <c r="F414" s="494"/>
    </row>
    <row r="415" spans="1:6" ht="15.75" customHeight="1" thickBot="1">
      <c r="A415" s="26"/>
      <c r="B415" s="26"/>
      <c r="C415" s="18"/>
      <c r="D415" s="13"/>
      <c r="E415" s="18"/>
      <c r="F415" s="494"/>
    </row>
    <row r="416" spans="1:6" ht="15.75" customHeight="1" thickBot="1">
      <c r="A416" s="26"/>
      <c r="B416" s="26"/>
      <c r="C416" s="18"/>
      <c r="D416" s="13"/>
      <c r="E416" s="18"/>
      <c r="F416" s="494"/>
    </row>
    <row r="417" spans="1:6" ht="15.75" customHeight="1" thickBot="1">
      <c r="A417" s="26"/>
      <c r="B417" s="26"/>
      <c r="C417" s="18"/>
      <c r="D417" s="13"/>
      <c r="E417" s="18"/>
      <c r="F417" s="494"/>
    </row>
    <row r="418" spans="1:6" ht="15.75" customHeight="1" thickBot="1">
      <c r="A418" s="26"/>
      <c r="B418" s="26"/>
      <c r="C418" s="18"/>
      <c r="D418" s="13"/>
      <c r="E418" s="18"/>
      <c r="F418" s="494"/>
    </row>
    <row r="419" spans="1:6" ht="15.75" customHeight="1" thickBot="1">
      <c r="A419" s="26"/>
      <c r="B419" s="26"/>
      <c r="C419" s="18"/>
      <c r="D419" s="13"/>
      <c r="E419" s="18"/>
      <c r="F419" s="494"/>
    </row>
    <row r="420" spans="1:6" ht="15.75" customHeight="1" thickBot="1">
      <c r="A420" s="26"/>
      <c r="B420" s="26"/>
      <c r="C420" s="18"/>
      <c r="D420" s="13"/>
      <c r="E420" s="18"/>
      <c r="F420" s="494"/>
    </row>
    <row r="421" spans="1:6" ht="15.75" customHeight="1" thickBot="1">
      <c r="A421" s="26"/>
      <c r="B421" s="26"/>
      <c r="C421" s="18"/>
      <c r="D421" s="13"/>
      <c r="E421" s="18"/>
      <c r="F421" s="494"/>
    </row>
    <row r="422" spans="1:6" ht="15.75" customHeight="1" thickBot="1">
      <c r="A422" s="26"/>
      <c r="B422" s="26"/>
      <c r="C422" s="18"/>
      <c r="D422" s="13"/>
      <c r="E422" s="18"/>
      <c r="F422" s="494"/>
    </row>
    <row r="423" spans="1:6" ht="15.75" customHeight="1" thickBot="1">
      <c r="A423" s="26"/>
      <c r="B423" s="26"/>
      <c r="C423" s="18"/>
      <c r="D423" s="13"/>
      <c r="E423" s="18"/>
      <c r="F423" s="494"/>
    </row>
    <row r="424" spans="1:6" ht="15.75" customHeight="1" thickBot="1">
      <c r="A424" s="26"/>
      <c r="B424" s="26"/>
      <c r="C424" s="18"/>
      <c r="D424" s="13"/>
      <c r="E424" s="18"/>
      <c r="F424" s="494"/>
    </row>
    <row r="425" spans="1:6" ht="15.75" customHeight="1" thickBot="1">
      <c r="A425" s="26"/>
      <c r="B425" s="26"/>
      <c r="C425" s="18"/>
      <c r="D425" s="13"/>
      <c r="E425" s="18"/>
      <c r="F425" s="494"/>
    </row>
    <row r="426" spans="1:6" ht="15.75" customHeight="1" thickBot="1">
      <c r="A426" s="26"/>
      <c r="B426" s="26"/>
      <c r="C426" s="18"/>
      <c r="D426" s="13"/>
      <c r="E426" s="18"/>
      <c r="F426" s="494"/>
    </row>
    <row r="427" spans="1:6" ht="15.75" customHeight="1" thickBot="1">
      <c r="A427" s="26"/>
      <c r="B427" s="26"/>
      <c r="C427" s="18"/>
      <c r="D427" s="13"/>
      <c r="E427" s="18"/>
      <c r="F427" s="494"/>
    </row>
    <row r="428" spans="1:6" ht="15.75" customHeight="1" thickBot="1">
      <c r="A428" s="26"/>
      <c r="B428" s="26"/>
      <c r="C428" s="18"/>
      <c r="D428" s="13"/>
      <c r="E428" s="18"/>
      <c r="F428" s="494"/>
    </row>
    <row r="429" spans="1:6" ht="15.75" customHeight="1" thickBot="1">
      <c r="A429" s="26"/>
      <c r="B429" s="26"/>
      <c r="C429" s="18"/>
      <c r="D429" s="13"/>
      <c r="E429" s="18"/>
      <c r="F429" s="494"/>
    </row>
    <row r="430" spans="1:6" ht="15.75" customHeight="1" thickBot="1">
      <c r="A430" s="26"/>
      <c r="B430" s="26"/>
      <c r="C430" s="18"/>
      <c r="D430" s="13"/>
      <c r="E430" s="18"/>
      <c r="F430" s="494"/>
    </row>
    <row r="431" spans="1:6" ht="15.75" customHeight="1" thickBot="1">
      <c r="A431" s="26"/>
      <c r="B431" s="26"/>
      <c r="C431" s="18"/>
      <c r="D431" s="13"/>
      <c r="E431" s="18"/>
      <c r="F431" s="494"/>
    </row>
    <row r="432" spans="1:6" ht="15.75" customHeight="1" thickBot="1">
      <c r="A432" s="26"/>
      <c r="B432" s="26"/>
      <c r="C432" s="18"/>
      <c r="D432" s="13"/>
      <c r="E432" s="18"/>
      <c r="F432" s="494"/>
    </row>
    <row r="433" spans="1:6" ht="15.75" customHeight="1" thickBot="1">
      <c r="A433" s="26"/>
      <c r="B433" s="26"/>
      <c r="C433" s="18"/>
      <c r="D433" s="13"/>
      <c r="E433" s="18"/>
      <c r="F433" s="494"/>
    </row>
    <row r="434" spans="1:6" ht="15.75" customHeight="1" thickBot="1">
      <c r="A434" s="26"/>
      <c r="B434" s="26"/>
      <c r="C434" s="18"/>
      <c r="D434" s="13"/>
      <c r="E434" s="18"/>
      <c r="F434" s="494"/>
    </row>
    <row r="435" spans="1:6" ht="15.75" customHeight="1" thickBot="1">
      <c r="A435" s="26"/>
      <c r="B435" s="26"/>
      <c r="C435" s="18"/>
      <c r="D435" s="13"/>
      <c r="E435" s="18"/>
      <c r="F435" s="494"/>
    </row>
    <row r="436" spans="1:6" ht="15.75" customHeight="1" thickBot="1">
      <c r="A436" s="26"/>
      <c r="B436" s="26"/>
      <c r="C436" s="18"/>
      <c r="D436" s="13"/>
      <c r="E436" s="18"/>
      <c r="F436" s="494"/>
    </row>
    <row r="437" spans="1:6" ht="15.75" customHeight="1" thickBot="1">
      <c r="A437" s="26"/>
      <c r="B437" s="26"/>
      <c r="C437" s="18"/>
      <c r="D437" s="13"/>
      <c r="E437" s="18"/>
      <c r="F437" s="494"/>
    </row>
    <row r="438" spans="1:6" ht="15.75" customHeight="1" thickBot="1">
      <c r="A438" s="26"/>
      <c r="B438" s="26"/>
      <c r="C438" s="18"/>
      <c r="D438" s="13"/>
      <c r="E438" s="18"/>
      <c r="F438" s="494"/>
    </row>
    <row r="439" spans="1:6" ht="15.75" customHeight="1" thickBot="1">
      <c r="A439" s="26"/>
      <c r="B439" s="26"/>
      <c r="C439" s="18"/>
      <c r="D439" s="13"/>
      <c r="E439" s="18"/>
      <c r="F439" s="494"/>
    </row>
    <row r="440" spans="1:6" ht="15.75" customHeight="1" thickBot="1">
      <c r="A440" s="26"/>
      <c r="B440" s="26"/>
      <c r="C440" s="18"/>
      <c r="D440" s="13"/>
      <c r="E440" s="18"/>
      <c r="F440" s="494"/>
    </row>
    <row r="441" spans="1:6" ht="15.75" customHeight="1" thickBot="1">
      <c r="A441" s="26"/>
      <c r="B441" s="26"/>
      <c r="C441" s="18"/>
      <c r="D441" s="13"/>
      <c r="E441" s="18"/>
      <c r="F441" s="494"/>
    </row>
    <row r="442" spans="1:6" ht="15.75" customHeight="1" thickBot="1">
      <c r="A442" s="26"/>
      <c r="B442" s="26"/>
      <c r="C442" s="18"/>
      <c r="D442" s="13"/>
      <c r="E442" s="18"/>
      <c r="F442" s="494"/>
    </row>
    <row r="443" spans="1:6" ht="15.75" customHeight="1" thickBot="1">
      <c r="A443" s="26"/>
      <c r="B443" s="26"/>
      <c r="C443" s="18"/>
      <c r="D443" s="13"/>
      <c r="E443" s="18"/>
      <c r="F443" s="494"/>
    </row>
    <row r="444" spans="1:6" ht="15.75" customHeight="1" thickBot="1">
      <c r="A444" s="26"/>
      <c r="B444" s="26"/>
      <c r="C444" s="18"/>
      <c r="D444" s="13"/>
      <c r="E444" s="18"/>
      <c r="F444" s="494"/>
    </row>
    <row r="445" spans="1:6" ht="15.75" customHeight="1" thickBot="1">
      <c r="A445" s="26"/>
      <c r="B445" s="26"/>
      <c r="C445" s="18"/>
      <c r="D445" s="13"/>
      <c r="E445" s="18"/>
      <c r="F445" s="494"/>
    </row>
    <row r="446" spans="1:6" ht="15.75" customHeight="1" thickBot="1">
      <c r="A446" s="26"/>
      <c r="B446" s="26"/>
      <c r="C446" s="18"/>
      <c r="D446" s="13"/>
      <c r="E446" s="18"/>
      <c r="F446" s="494"/>
    </row>
    <row r="447" spans="1:6" ht="15.75" customHeight="1" thickBot="1">
      <c r="A447" s="26"/>
      <c r="B447" s="26"/>
      <c r="C447" s="18"/>
      <c r="D447" s="13"/>
      <c r="E447" s="18"/>
      <c r="F447" s="494"/>
    </row>
    <row r="448" spans="1:6" ht="15.75" customHeight="1" thickBot="1">
      <c r="A448" s="26"/>
      <c r="B448" s="26"/>
      <c r="C448" s="18"/>
      <c r="D448" s="13"/>
      <c r="E448" s="18"/>
      <c r="F448" s="494"/>
    </row>
    <row r="449" spans="1:6" ht="15.75" customHeight="1" thickBot="1">
      <c r="A449" s="26"/>
      <c r="B449" s="26"/>
      <c r="C449" s="18"/>
      <c r="D449" s="13"/>
      <c r="E449" s="18"/>
      <c r="F449" s="494"/>
    </row>
    <row r="450" spans="1:6" ht="15.75" customHeight="1" thickBot="1">
      <c r="A450" s="26"/>
      <c r="B450" s="26"/>
      <c r="C450" s="18"/>
      <c r="D450" s="13"/>
      <c r="E450" s="18"/>
      <c r="F450" s="494"/>
    </row>
    <row r="451" spans="1:6" ht="15.75" customHeight="1" thickBot="1">
      <c r="A451" s="26"/>
      <c r="B451" s="26"/>
      <c r="C451" s="18"/>
      <c r="D451" s="13"/>
      <c r="E451" s="18"/>
      <c r="F451" s="494"/>
    </row>
    <row r="452" spans="1:6" ht="15.75" customHeight="1" thickBot="1">
      <c r="A452" s="26"/>
      <c r="B452" s="26"/>
      <c r="C452" s="18"/>
      <c r="D452" s="13"/>
      <c r="E452" s="18"/>
      <c r="F452" s="494"/>
    </row>
    <row r="453" spans="1:6" ht="15.75" customHeight="1" thickBot="1">
      <c r="A453" s="26"/>
      <c r="B453" s="26"/>
      <c r="C453" s="18"/>
      <c r="D453" s="13"/>
      <c r="E453" s="18"/>
      <c r="F453" s="494"/>
    </row>
    <row r="454" spans="1:6" ht="15.75" customHeight="1" thickBot="1">
      <c r="A454" s="26"/>
      <c r="B454" s="26"/>
      <c r="C454" s="18"/>
      <c r="D454" s="13"/>
      <c r="E454" s="18"/>
      <c r="F454" s="494"/>
    </row>
    <row r="455" spans="1:6" ht="15.75" customHeight="1" thickBot="1">
      <c r="A455" s="26"/>
      <c r="B455" s="26"/>
      <c r="C455" s="18"/>
      <c r="D455" s="13"/>
      <c r="E455" s="18"/>
      <c r="F455" s="494"/>
    </row>
    <row r="456" spans="1:6" ht="15.75" customHeight="1" thickBot="1">
      <c r="A456" s="26"/>
      <c r="B456" s="26"/>
      <c r="C456" s="18"/>
      <c r="D456" s="13"/>
      <c r="E456" s="18"/>
      <c r="F456" s="494"/>
    </row>
    <row r="457" spans="1:6" ht="15.75" customHeight="1" thickBot="1">
      <c r="A457" s="26"/>
      <c r="B457" s="26"/>
      <c r="C457" s="18"/>
      <c r="D457" s="13"/>
      <c r="E457" s="18"/>
      <c r="F457" s="494"/>
    </row>
    <row r="458" spans="1:6" ht="15.75" customHeight="1" thickBot="1">
      <c r="A458" s="26"/>
      <c r="B458" s="26"/>
      <c r="C458" s="18"/>
      <c r="D458" s="13"/>
      <c r="E458" s="18"/>
      <c r="F458" s="494"/>
    </row>
    <row r="459" spans="1:6" ht="15.75" customHeight="1" thickBot="1">
      <c r="A459" s="26"/>
      <c r="B459" s="26"/>
      <c r="C459" s="18"/>
      <c r="D459" s="13"/>
      <c r="E459" s="18"/>
      <c r="F459" s="494"/>
    </row>
    <row r="460" spans="1:6" ht="15.75" customHeight="1" thickBot="1">
      <c r="A460" s="26"/>
      <c r="B460" s="26"/>
      <c r="C460" s="18"/>
      <c r="D460" s="13"/>
      <c r="E460" s="18"/>
      <c r="F460" s="494"/>
    </row>
    <row r="461" spans="1:6" ht="15.75" customHeight="1" thickBot="1">
      <c r="A461" s="26"/>
      <c r="B461" s="26"/>
      <c r="C461" s="18"/>
      <c r="D461" s="13"/>
      <c r="E461" s="18"/>
      <c r="F461" s="494"/>
    </row>
    <row r="462" spans="1:6" ht="15.75" customHeight="1" thickBot="1">
      <c r="A462" s="26"/>
      <c r="B462" s="26"/>
      <c r="C462" s="18"/>
      <c r="D462" s="13"/>
      <c r="E462" s="18"/>
      <c r="F462" s="494"/>
    </row>
    <row r="463" spans="1:6" ht="15.75" customHeight="1" thickBot="1">
      <c r="A463" s="26"/>
      <c r="B463" s="26"/>
      <c r="C463" s="18"/>
      <c r="D463" s="13"/>
      <c r="E463" s="18"/>
      <c r="F463" s="494"/>
    </row>
    <row r="464" spans="1:6" ht="15.75" customHeight="1" thickBot="1">
      <c r="A464" s="26"/>
      <c r="B464" s="26"/>
      <c r="C464" s="18"/>
      <c r="D464" s="13"/>
      <c r="E464" s="18"/>
      <c r="F464" s="494"/>
    </row>
    <row r="465" spans="1:6" ht="15.75" customHeight="1" thickBot="1">
      <c r="A465" s="26"/>
      <c r="B465" s="26"/>
      <c r="C465" s="18"/>
      <c r="D465" s="13"/>
      <c r="E465" s="18"/>
      <c r="F465" s="494"/>
    </row>
    <row r="466" spans="1:6" ht="15.75" customHeight="1" thickBot="1">
      <c r="A466" s="26"/>
      <c r="B466" s="26"/>
      <c r="C466" s="18"/>
      <c r="D466" s="13"/>
      <c r="E466" s="18"/>
      <c r="F466" s="494"/>
    </row>
    <row r="467" spans="1:6" ht="15.75" customHeight="1" thickBot="1">
      <c r="A467" s="26"/>
      <c r="B467" s="26"/>
      <c r="C467" s="18"/>
      <c r="D467" s="13"/>
      <c r="E467" s="18"/>
      <c r="F467" s="494"/>
    </row>
    <row r="468" spans="1:6" ht="15.75" customHeight="1" thickBot="1">
      <c r="A468" s="26"/>
      <c r="B468" s="26"/>
      <c r="C468" s="18"/>
      <c r="D468" s="13"/>
      <c r="E468" s="18"/>
      <c r="F468" s="494"/>
    </row>
    <row r="469" spans="1:6" ht="15.75" customHeight="1" thickBot="1">
      <c r="A469" s="26"/>
      <c r="B469" s="26"/>
      <c r="C469" s="18"/>
      <c r="D469" s="13"/>
      <c r="E469" s="18"/>
      <c r="F469" s="494"/>
    </row>
    <row r="470" spans="1:6" ht="15.75" customHeight="1" thickBot="1">
      <c r="A470" s="26"/>
      <c r="B470" s="26"/>
      <c r="C470" s="18"/>
      <c r="D470" s="13"/>
      <c r="E470" s="18"/>
      <c r="F470" s="494"/>
    </row>
    <row r="471" spans="1:6" ht="15.75" customHeight="1" thickBot="1">
      <c r="A471" s="26"/>
      <c r="B471" s="26"/>
      <c r="C471" s="18"/>
      <c r="D471" s="13"/>
      <c r="E471" s="18"/>
      <c r="F471" s="494"/>
    </row>
    <row r="472" spans="1:6" ht="15.75" customHeight="1" thickBot="1">
      <c r="A472" s="26"/>
      <c r="B472" s="26"/>
      <c r="C472" s="18"/>
      <c r="D472" s="13"/>
      <c r="E472" s="18"/>
      <c r="F472" s="494"/>
    </row>
    <row r="473" spans="1:6" ht="15.75" customHeight="1" thickBot="1">
      <c r="A473" s="26"/>
      <c r="B473" s="26"/>
      <c r="C473" s="18"/>
      <c r="D473" s="13"/>
      <c r="E473" s="18"/>
      <c r="F473" s="494"/>
    </row>
    <row r="474" spans="1:6" ht="15.75" customHeight="1" thickBot="1">
      <c r="A474" s="26"/>
      <c r="B474" s="26"/>
      <c r="C474" s="18"/>
      <c r="D474" s="13"/>
      <c r="E474" s="18"/>
      <c r="F474" s="494"/>
    </row>
    <row r="475" spans="1:6" ht="15.75" customHeight="1" thickBot="1">
      <c r="A475" s="26"/>
      <c r="B475" s="26"/>
      <c r="C475" s="18"/>
      <c r="D475" s="13"/>
      <c r="E475" s="18"/>
      <c r="F475" s="494"/>
    </row>
    <row r="476" spans="1:6" ht="15.75" customHeight="1" thickBot="1">
      <c r="A476" s="26"/>
      <c r="B476" s="26"/>
      <c r="C476" s="18"/>
      <c r="D476" s="13"/>
      <c r="E476" s="18"/>
      <c r="F476" s="494"/>
    </row>
    <row r="477" spans="1:6" ht="15.75" customHeight="1" thickBot="1">
      <c r="A477" s="26"/>
      <c r="B477" s="26"/>
      <c r="C477" s="18"/>
      <c r="D477" s="13"/>
      <c r="E477" s="18"/>
      <c r="F477" s="494"/>
    </row>
    <row r="478" spans="1:6" ht="15.75" customHeight="1" thickBot="1">
      <c r="A478" s="26"/>
      <c r="B478" s="26"/>
      <c r="C478" s="18"/>
      <c r="D478" s="13"/>
      <c r="E478" s="18"/>
      <c r="F478" s="494"/>
    </row>
    <row r="479" spans="1:6" ht="15.75" customHeight="1" thickBot="1">
      <c r="A479" s="26"/>
      <c r="B479" s="26"/>
      <c r="C479" s="18"/>
      <c r="D479" s="13"/>
      <c r="E479" s="18"/>
      <c r="F479" s="494"/>
    </row>
    <row r="480" spans="1:6" ht="15.75" customHeight="1" thickBot="1">
      <c r="A480" s="26"/>
      <c r="B480" s="26"/>
      <c r="C480" s="18"/>
      <c r="D480" s="13"/>
      <c r="E480" s="18"/>
      <c r="F480" s="494"/>
    </row>
    <row r="481" spans="1:6" ht="15.75" customHeight="1" thickBot="1">
      <c r="A481" s="26"/>
      <c r="B481" s="26"/>
      <c r="C481" s="18"/>
      <c r="D481" s="13"/>
      <c r="E481" s="18"/>
      <c r="F481" s="494"/>
    </row>
    <row r="482" spans="1:6" ht="15.75" customHeight="1" thickBot="1">
      <c r="A482" s="26"/>
      <c r="B482" s="26"/>
      <c r="C482" s="18"/>
      <c r="D482" s="13"/>
      <c r="E482" s="18"/>
      <c r="F482" s="494"/>
    </row>
    <row r="483" spans="1:6" ht="15.75" customHeight="1" thickBot="1">
      <c r="A483" s="26"/>
      <c r="B483" s="26"/>
      <c r="C483" s="18"/>
      <c r="D483" s="13"/>
      <c r="E483" s="18"/>
      <c r="F483" s="494"/>
    </row>
    <row r="484" spans="1:6" ht="15.75" customHeight="1" thickBot="1">
      <c r="A484" s="26"/>
      <c r="B484" s="26"/>
      <c r="C484" s="18"/>
      <c r="D484" s="13"/>
      <c r="E484" s="18"/>
      <c r="F484" s="494"/>
    </row>
    <row r="485" spans="1:6" ht="15.75" customHeight="1" thickBot="1">
      <c r="A485" s="26"/>
      <c r="B485" s="26"/>
      <c r="C485" s="18"/>
      <c r="D485" s="13"/>
      <c r="E485" s="18"/>
      <c r="F485" s="494"/>
    </row>
    <row r="486" spans="1:6" ht="15.75" customHeight="1" thickBot="1">
      <c r="A486" s="26"/>
      <c r="B486" s="26"/>
      <c r="C486" s="18"/>
      <c r="D486" s="13"/>
      <c r="E486" s="18"/>
      <c r="F486" s="494"/>
    </row>
    <row r="487" spans="1:6" ht="15.75" customHeight="1" thickBot="1">
      <c r="A487" s="26"/>
      <c r="B487" s="26"/>
      <c r="C487" s="18"/>
      <c r="D487" s="13"/>
      <c r="E487" s="18"/>
      <c r="F487" s="494"/>
    </row>
    <row r="488" spans="1:6" ht="15.75" customHeight="1" thickBot="1">
      <c r="A488" s="26"/>
      <c r="B488" s="26"/>
      <c r="C488" s="18"/>
      <c r="D488" s="13"/>
      <c r="E488" s="18"/>
      <c r="F488" s="494"/>
    </row>
    <row r="489" spans="1:6" ht="15.75" customHeight="1" thickBot="1">
      <c r="A489" s="26"/>
      <c r="B489" s="26"/>
      <c r="C489" s="18"/>
      <c r="D489" s="13"/>
      <c r="E489" s="18"/>
      <c r="F489" s="494"/>
    </row>
    <row r="490" spans="1:6" ht="15.75" customHeight="1" thickBot="1">
      <c r="A490" s="26"/>
      <c r="B490" s="26"/>
      <c r="C490" s="18"/>
      <c r="D490" s="13"/>
      <c r="E490" s="18"/>
      <c r="F490" s="494"/>
    </row>
    <row r="491" spans="1:6" ht="15.75" customHeight="1" thickBot="1">
      <c r="A491" s="26"/>
      <c r="B491" s="26"/>
      <c r="C491" s="18"/>
      <c r="D491" s="13"/>
      <c r="E491" s="18"/>
      <c r="F491" s="494"/>
    </row>
    <row r="492" spans="1:6" ht="15.75" customHeight="1" thickBot="1">
      <c r="A492" s="26"/>
      <c r="B492" s="26"/>
      <c r="C492" s="18"/>
      <c r="D492" s="13"/>
      <c r="E492" s="18"/>
      <c r="F492" s="494"/>
    </row>
    <row r="493" spans="1:6" ht="15.75" customHeight="1" thickBot="1">
      <c r="A493" s="26"/>
      <c r="B493" s="26"/>
      <c r="C493" s="18"/>
      <c r="D493" s="13"/>
      <c r="E493" s="18"/>
      <c r="F493" s="494"/>
    </row>
    <row r="494" spans="1:6" ht="15.75" customHeight="1" thickBot="1">
      <c r="A494" s="26"/>
      <c r="B494" s="26"/>
      <c r="C494" s="18"/>
      <c r="D494" s="13"/>
      <c r="E494" s="18"/>
      <c r="F494" s="494"/>
    </row>
    <row r="495" spans="1:6" ht="15.75" customHeight="1" thickBot="1">
      <c r="A495" s="26"/>
      <c r="B495" s="26"/>
      <c r="C495" s="18"/>
      <c r="D495" s="13"/>
      <c r="E495" s="18"/>
      <c r="F495" s="494"/>
    </row>
    <row r="496" spans="1:6" ht="15.75" customHeight="1" thickBot="1">
      <c r="A496" s="26"/>
      <c r="B496" s="26"/>
      <c r="C496" s="18"/>
      <c r="D496" s="13"/>
      <c r="E496" s="18"/>
      <c r="F496" s="494"/>
    </row>
    <row r="497" spans="1:6" ht="15.75" customHeight="1" thickBot="1">
      <c r="A497" s="26"/>
      <c r="B497" s="26"/>
      <c r="C497" s="18"/>
      <c r="D497" s="13"/>
      <c r="E497" s="18"/>
      <c r="F497" s="494"/>
    </row>
    <row r="498" spans="1:6" ht="15.75" customHeight="1" thickBot="1">
      <c r="A498" s="26"/>
      <c r="B498" s="26"/>
      <c r="C498" s="18"/>
      <c r="D498" s="13"/>
      <c r="E498" s="18"/>
      <c r="F498" s="494"/>
    </row>
    <row r="499" spans="1:6" ht="15.75" customHeight="1" thickBot="1">
      <c r="A499" s="26"/>
      <c r="B499" s="26"/>
      <c r="C499" s="18"/>
      <c r="D499" s="13"/>
      <c r="E499" s="18"/>
      <c r="F499" s="494"/>
    </row>
    <row r="500" spans="1:6" ht="15.75" customHeight="1" thickBot="1">
      <c r="A500" s="26"/>
      <c r="B500" s="26"/>
      <c r="C500" s="18"/>
      <c r="D500" s="13"/>
      <c r="E500" s="18"/>
      <c r="F500" s="494"/>
    </row>
    <row r="501" spans="1:6" ht="15.75" customHeight="1" thickBot="1">
      <c r="A501" s="26"/>
      <c r="B501" s="26"/>
      <c r="C501" s="18"/>
      <c r="D501" s="13"/>
      <c r="E501" s="18"/>
      <c r="F501" s="494"/>
    </row>
    <row r="502" spans="1:6" ht="15.75" customHeight="1" thickBot="1">
      <c r="A502" s="26"/>
      <c r="B502" s="26"/>
      <c r="C502" s="18"/>
      <c r="D502" s="13"/>
      <c r="E502" s="18"/>
      <c r="F502" s="494"/>
    </row>
    <row r="503" spans="1:6" ht="15.75" customHeight="1" thickBot="1">
      <c r="A503" s="26"/>
      <c r="B503" s="26"/>
      <c r="C503" s="18"/>
      <c r="D503" s="13"/>
      <c r="E503" s="18"/>
      <c r="F503" s="494"/>
    </row>
    <row r="504" spans="1:6" ht="15.75" customHeight="1" thickBot="1">
      <c r="A504" s="26"/>
      <c r="B504" s="26"/>
      <c r="C504" s="18"/>
      <c r="D504" s="13"/>
      <c r="E504" s="18"/>
      <c r="F504" s="494"/>
    </row>
    <row r="505" spans="1:6" ht="15.75" customHeight="1" thickBot="1">
      <c r="A505" s="26"/>
      <c r="B505" s="26"/>
      <c r="C505" s="18"/>
      <c r="D505" s="13"/>
      <c r="E505" s="18"/>
      <c r="F505" s="494"/>
    </row>
    <row r="506" spans="1:6" ht="15.75" customHeight="1" thickBot="1">
      <c r="A506" s="26"/>
      <c r="B506" s="26"/>
      <c r="C506" s="18"/>
      <c r="D506" s="13"/>
      <c r="E506" s="18"/>
      <c r="F506" s="494"/>
    </row>
    <row r="507" spans="1:6" ht="15.75" customHeight="1" thickBot="1">
      <c r="A507" s="26"/>
      <c r="B507" s="26"/>
      <c r="C507" s="18"/>
      <c r="D507" s="13"/>
      <c r="E507" s="18"/>
      <c r="F507" s="494"/>
    </row>
    <row r="508" spans="1:6" ht="15.75" customHeight="1" thickBot="1">
      <c r="A508" s="26"/>
      <c r="B508" s="26"/>
      <c r="C508" s="18"/>
      <c r="D508" s="13"/>
      <c r="E508" s="18"/>
      <c r="F508" s="494"/>
    </row>
    <row r="509" spans="1:6" ht="15.75" customHeight="1" thickBot="1">
      <c r="A509" s="26"/>
      <c r="B509" s="26"/>
      <c r="C509" s="18"/>
      <c r="D509" s="13"/>
      <c r="E509" s="18"/>
      <c r="F509" s="494"/>
    </row>
    <row r="510" spans="1:6" ht="15.75" customHeight="1" thickBot="1">
      <c r="A510" s="26"/>
      <c r="B510" s="26"/>
      <c r="C510" s="18"/>
      <c r="D510" s="13"/>
      <c r="E510" s="18"/>
      <c r="F510" s="494"/>
    </row>
    <row r="511" spans="1:6" ht="15.75" customHeight="1" thickBot="1">
      <c r="A511" s="26"/>
      <c r="B511" s="26"/>
      <c r="C511" s="18"/>
      <c r="D511" s="13"/>
      <c r="E511" s="18"/>
      <c r="F511" s="494"/>
    </row>
    <row r="512" spans="1:6" ht="15.75" customHeight="1" thickBot="1">
      <c r="A512" s="26"/>
      <c r="B512" s="26"/>
      <c r="C512" s="18"/>
      <c r="D512" s="13"/>
      <c r="E512" s="18"/>
      <c r="F512" s="494"/>
    </row>
    <row r="513" spans="1:6" ht="15.75" customHeight="1" thickBot="1">
      <c r="A513" s="26"/>
      <c r="B513" s="26"/>
      <c r="C513" s="18"/>
      <c r="D513" s="13"/>
      <c r="E513" s="18"/>
      <c r="F513" s="494"/>
    </row>
    <row r="514" spans="1:6" ht="15.75" customHeight="1" thickBot="1">
      <c r="A514" s="26"/>
      <c r="B514" s="26"/>
      <c r="C514" s="18"/>
      <c r="D514" s="13"/>
      <c r="E514" s="18"/>
      <c r="F514" s="494"/>
    </row>
    <row r="515" spans="1:6" ht="15.75" customHeight="1" thickBot="1">
      <c r="A515" s="26"/>
      <c r="B515" s="26"/>
      <c r="C515" s="18"/>
      <c r="D515" s="13"/>
      <c r="E515" s="18"/>
      <c r="F515" s="494"/>
    </row>
    <row r="516" spans="1:6" ht="15.75" customHeight="1" thickBot="1">
      <c r="A516" s="26"/>
      <c r="B516" s="26"/>
      <c r="C516" s="18"/>
      <c r="D516" s="13"/>
      <c r="E516" s="18"/>
      <c r="F516" s="494"/>
    </row>
    <row r="517" spans="1:6" ht="15.75" customHeight="1" thickBot="1">
      <c r="A517" s="26"/>
      <c r="B517" s="26"/>
      <c r="C517" s="18"/>
      <c r="D517" s="13"/>
      <c r="E517" s="18"/>
      <c r="F517" s="494"/>
    </row>
    <row r="518" spans="1:6" ht="15.75" customHeight="1" thickBot="1">
      <c r="A518" s="26"/>
      <c r="B518" s="26"/>
      <c r="C518" s="18"/>
      <c r="D518" s="13"/>
      <c r="E518" s="18"/>
      <c r="F518" s="494"/>
    </row>
    <row r="519" spans="1:6" ht="15.75" customHeight="1" thickBot="1">
      <c r="A519" s="26"/>
      <c r="B519" s="26"/>
      <c r="C519" s="18"/>
      <c r="D519" s="13"/>
      <c r="E519" s="18"/>
      <c r="F519" s="494"/>
    </row>
    <row r="520" spans="1:6" ht="15.75" customHeight="1" thickBot="1">
      <c r="A520" s="26"/>
      <c r="B520" s="26"/>
      <c r="C520" s="18"/>
      <c r="D520" s="13"/>
      <c r="E520" s="18"/>
      <c r="F520" s="494"/>
    </row>
    <row r="521" spans="1:6" ht="15.75" customHeight="1" thickBot="1">
      <c r="A521" s="26"/>
      <c r="B521" s="26"/>
      <c r="C521" s="18"/>
      <c r="D521" s="13"/>
      <c r="E521" s="18"/>
      <c r="F521" s="494"/>
    </row>
    <row r="522" spans="1:6" ht="15.75" customHeight="1" thickBot="1">
      <c r="A522" s="26"/>
      <c r="B522" s="26"/>
      <c r="C522" s="18"/>
      <c r="D522" s="13"/>
      <c r="E522" s="18"/>
      <c r="F522" s="494"/>
    </row>
    <row r="523" spans="1:6" ht="15.75" customHeight="1" thickBot="1">
      <c r="A523" s="26"/>
      <c r="B523" s="26"/>
      <c r="C523" s="18"/>
      <c r="D523" s="13"/>
      <c r="E523" s="18"/>
      <c r="F523" s="494"/>
    </row>
    <row r="524" spans="1:6" ht="15.75" customHeight="1" thickBot="1">
      <c r="A524" s="26"/>
      <c r="B524" s="26"/>
      <c r="C524" s="18"/>
      <c r="D524" s="13"/>
      <c r="E524" s="18"/>
      <c r="F524" s="494"/>
    </row>
    <row r="525" spans="1:6" ht="15.75" customHeight="1" thickBot="1">
      <c r="A525" s="26"/>
      <c r="B525" s="26"/>
      <c r="C525" s="18"/>
      <c r="D525" s="13"/>
      <c r="E525" s="18"/>
      <c r="F525" s="494"/>
    </row>
    <row r="526" spans="1:6" ht="15.75" customHeight="1" thickBot="1">
      <c r="A526" s="26"/>
      <c r="B526" s="26"/>
      <c r="C526" s="18"/>
      <c r="D526" s="13"/>
      <c r="E526" s="18"/>
      <c r="F526" s="494"/>
    </row>
    <row r="527" spans="1:6" ht="15.75" customHeight="1" thickBot="1">
      <c r="A527" s="26"/>
      <c r="B527" s="26"/>
      <c r="C527" s="18"/>
      <c r="D527" s="13"/>
      <c r="E527" s="18"/>
      <c r="F527" s="494"/>
    </row>
    <row r="528" spans="1:6" ht="15.75" customHeight="1" thickBot="1">
      <c r="A528" s="26"/>
      <c r="B528" s="26"/>
      <c r="C528" s="18"/>
      <c r="D528" s="13"/>
      <c r="E528" s="18"/>
      <c r="F528" s="494"/>
    </row>
    <row r="529" spans="1:6" ht="15.75" customHeight="1" thickBot="1">
      <c r="A529" s="26"/>
      <c r="B529" s="26"/>
      <c r="C529" s="18"/>
      <c r="D529" s="13"/>
      <c r="E529" s="18"/>
      <c r="F529" s="494"/>
    </row>
    <row r="530" spans="1:6" ht="15.75" customHeight="1" thickBot="1">
      <c r="A530" s="26"/>
      <c r="B530" s="26"/>
      <c r="C530" s="18"/>
      <c r="D530" s="13"/>
      <c r="E530" s="18"/>
      <c r="F530" s="494"/>
    </row>
    <row r="531" spans="1:6" ht="15.75" customHeight="1" thickBot="1">
      <c r="A531" s="26"/>
      <c r="B531" s="26"/>
      <c r="C531" s="18"/>
      <c r="D531" s="13"/>
      <c r="E531" s="18"/>
      <c r="F531" s="494"/>
    </row>
    <row r="532" spans="1:6" ht="15.75" customHeight="1" thickBot="1">
      <c r="A532" s="26"/>
      <c r="B532" s="26"/>
      <c r="C532" s="18"/>
      <c r="D532" s="13"/>
      <c r="E532" s="18"/>
      <c r="F532" s="494"/>
    </row>
    <row r="533" spans="1:6" ht="15.75" customHeight="1" thickBot="1">
      <c r="A533" s="26"/>
      <c r="B533" s="26"/>
      <c r="C533" s="18"/>
      <c r="D533" s="13"/>
      <c r="E533" s="18"/>
      <c r="F533" s="494"/>
    </row>
    <row r="534" spans="1:6" ht="15.75" customHeight="1" thickBot="1">
      <c r="A534" s="26"/>
      <c r="B534" s="26"/>
      <c r="C534" s="18"/>
      <c r="D534" s="13"/>
      <c r="E534" s="18"/>
      <c r="F534" s="494"/>
    </row>
    <row r="535" spans="1:6" ht="15.75" customHeight="1" thickBot="1">
      <c r="A535" s="26"/>
      <c r="B535" s="26"/>
      <c r="C535" s="18"/>
      <c r="D535" s="13"/>
      <c r="E535" s="18"/>
      <c r="F535" s="494"/>
    </row>
    <row r="536" spans="1:6" ht="15.75" customHeight="1" thickBot="1">
      <c r="A536" s="26"/>
      <c r="B536" s="26"/>
      <c r="C536" s="18"/>
      <c r="D536" s="13"/>
      <c r="E536" s="18"/>
      <c r="F536" s="494"/>
    </row>
    <row r="537" spans="1:6" ht="15.75" customHeight="1" thickBot="1">
      <c r="A537" s="26"/>
      <c r="B537" s="26"/>
      <c r="C537" s="18"/>
      <c r="D537" s="13"/>
      <c r="E537" s="18"/>
      <c r="F537" s="494"/>
    </row>
    <row r="538" spans="1:6" ht="15.75" customHeight="1" thickBot="1">
      <c r="A538" s="26"/>
      <c r="B538" s="26"/>
      <c r="C538" s="18"/>
      <c r="D538" s="13"/>
      <c r="E538" s="18"/>
      <c r="F538" s="494"/>
    </row>
    <row r="539" spans="1:6" ht="15.75" customHeight="1" thickBot="1">
      <c r="A539" s="26"/>
      <c r="B539" s="26"/>
      <c r="C539" s="18"/>
      <c r="D539" s="13"/>
      <c r="E539" s="18"/>
      <c r="F539" s="494"/>
    </row>
    <row r="540" spans="1:6" ht="15.75" customHeight="1" thickBot="1">
      <c r="A540" s="26"/>
      <c r="B540" s="26"/>
      <c r="C540" s="18"/>
      <c r="D540" s="13"/>
      <c r="E540" s="18"/>
      <c r="F540" s="494"/>
    </row>
    <row r="541" spans="1:6" ht="15.75" customHeight="1" thickBot="1">
      <c r="A541" s="26"/>
      <c r="B541" s="26"/>
      <c r="C541" s="18"/>
      <c r="D541" s="13"/>
      <c r="E541" s="18"/>
      <c r="F541" s="494"/>
    </row>
    <row r="542" spans="1:6" ht="15.75" customHeight="1" thickBot="1">
      <c r="A542" s="26"/>
      <c r="B542" s="26"/>
      <c r="C542" s="18"/>
      <c r="D542" s="13"/>
      <c r="E542" s="18"/>
      <c r="F542" s="494"/>
    </row>
    <row r="543" spans="1:6" ht="15.75" customHeight="1" thickBot="1">
      <c r="A543" s="26"/>
      <c r="B543" s="26"/>
      <c r="C543" s="18"/>
      <c r="D543" s="13"/>
      <c r="E543" s="18"/>
      <c r="F543" s="494"/>
    </row>
    <row r="544" spans="1:6" ht="15.75" customHeight="1" thickBot="1">
      <c r="A544" s="26"/>
      <c r="B544" s="26"/>
      <c r="C544" s="18"/>
      <c r="D544" s="13"/>
      <c r="E544" s="18"/>
      <c r="F544" s="494"/>
    </row>
    <row r="545" spans="1:6" ht="15.75" customHeight="1" thickBot="1">
      <c r="A545" s="26"/>
      <c r="B545" s="26"/>
      <c r="C545" s="18"/>
      <c r="D545" s="13"/>
      <c r="E545" s="18"/>
      <c r="F545" s="494"/>
    </row>
    <row r="546" spans="1:6" ht="15.75" customHeight="1" thickBot="1">
      <c r="A546" s="26"/>
      <c r="B546" s="26"/>
      <c r="C546" s="18"/>
      <c r="D546" s="13"/>
      <c r="E546" s="18"/>
      <c r="F546" s="494"/>
    </row>
    <row r="547" spans="1:6" ht="15.75" customHeight="1" thickBot="1">
      <c r="A547" s="26"/>
      <c r="B547" s="26"/>
      <c r="C547" s="18"/>
      <c r="D547" s="13"/>
      <c r="E547" s="18"/>
      <c r="F547" s="494"/>
    </row>
    <row r="548" spans="1:6" ht="15.75" customHeight="1" thickBot="1">
      <c r="A548" s="26"/>
      <c r="B548" s="26"/>
      <c r="C548" s="18"/>
      <c r="D548" s="13"/>
      <c r="E548" s="18"/>
      <c r="F548" s="494"/>
    </row>
    <row r="549" spans="1:6" ht="15.75" customHeight="1" thickBot="1">
      <c r="A549" s="26"/>
      <c r="B549" s="26"/>
      <c r="C549" s="18"/>
      <c r="D549" s="13"/>
      <c r="E549" s="18"/>
      <c r="F549" s="494"/>
    </row>
    <row r="550" spans="1:6" ht="15.75" customHeight="1" thickBot="1">
      <c r="A550" s="26"/>
      <c r="B550" s="26"/>
      <c r="C550" s="18"/>
      <c r="D550" s="13"/>
      <c r="E550" s="18"/>
      <c r="F550" s="494"/>
    </row>
    <row r="551" spans="1:6" ht="15.75" customHeight="1" thickBot="1">
      <c r="A551" s="26"/>
      <c r="B551" s="26"/>
      <c r="C551" s="18"/>
      <c r="D551" s="13"/>
      <c r="E551" s="18"/>
      <c r="F551" s="494"/>
    </row>
    <row r="552" spans="1:6" ht="15.75" customHeight="1" thickBot="1">
      <c r="A552" s="26"/>
      <c r="B552" s="26"/>
      <c r="C552" s="18"/>
      <c r="D552" s="13"/>
      <c r="E552" s="18"/>
      <c r="F552" s="494"/>
    </row>
    <row r="553" spans="1:6" ht="15.75" customHeight="1" thickBot="1">
      <c r="A553" s="26"/>
      <c r="B553" s="26"/>
      <c r="C553" s="18"/>
      <c r="D553" s="13"/>
      <c r="E553" s="18"/>
      <c r="F553" s="494"/>
    </row>
    <row r="554" spans="1:6" ht="15.75" customHeight="1" thickBot="1">
      <c r="A554" s="26"/>
      <c r="B554" s="26"/>
      <c r="C554" s="18"/>
      <c r="D554" s="13"/>
      <c r="E554" s="18"/>
      <c r="F554" s="494"/>
    </row>
    <row r="555" spans="1:6" ht="15.75" customHeight="1" thickBot="1">
      <c r="A555" s="26"/>
      <c r="B555" s="26"/>
      <c r="C555" s="18"/>
      <c r="D555" s="13"/>
      <c r="E555" s="18"/>
      <c r="F555" s="494"/>
    </row>
    <row r="556" spans="1:6" ht="15.75" customHeight="1" thickBot="1">
      <c r="A556" s="26"/>
      <c r="B556" s="26"/>
      <c r="C556" s="18"/>
      <c r="D556" s="13"/>
      <c r="E556" s="18"/>
      <c r="F556" s="494"/>
    </row>
    <row r="557" spans="1:6" ht="15.75" customHeight="1" thickBot="1">
      <c r="A557" s="26"/>
      <c r="B557" s="26"/>
      <c r="C557" s="18"/>
      <c r="D557" s="13"/>
      <c r="E557" s="18"/>
      <c r="F557" s="494"/>
    </row>
    <row r="558" spans="1:6" ht="15.75" customHeight="1" thickBot="1">
      <c r="A558" s="26"/>
      <c r="B558" s="26"/>
      <c r="C558" s="18"/>
      <c r="D558" s="13"/>
      <c r="E558" s="18"/>
      <c r="F558" s="494"/>
    </row>
    <row r="559" spans="1:6" ht="15.75" customHeight="1" thickBot="1">
      <c r="A559" s="26"/>
      <c r="B559" s="26"/>
      <c r="C559" s="18"/>
      <c r="D559" s="13"/>
      <c r="E559" s="18"/>
      <c r="F559" s="494"/>
    </row>
    <row r="560" spans="1:6" ht="15.75" customHeight="1" thickBot="1">
      <c r="A560" s="26"/>
      <c r="B560" s="26"/>
      <c r="C560" s="18"/>
      <c r="D560" s="13"/>
      <c r="E560" s="18"/>
      <c r="F560" s="494"/>
    </row>
    <row r="561" spans="1:6" ht="15.75" customHeight="1" thickBot="1">
      <c r="A561" s="26"/>
      <c r="B561" s="26"/>
      <c r="C561" s="18"/>
      <c r="D561" s="13"/>
      <c r="E561" s="18"/>
      <c r="F561" s="494"/>
    </row>
    <row r="562" spans="1:6" ht="15.75" customHeight="1" thickBot="1">
      <c r="A562" s="26"/>
      <c r="B562" s="26"/>
      <c r="C562" s="18"/>
      <c r="D562" s="13"/>
      <c r="E562" s="18"/>
      <c r="F562" s="494"/>
    </row>
    <row r="563" spans="1:6" ht="15.75" customHeight="1" thickBot="1">
      <c r="A563" s="26"/>
      <c r="B563" s="26"/>
      <c r="C563" s="18"/>
      <c r="D563" s="13"/>
      <c r="E563" s="18"/>
      <c r="F563" s="494"/>
    </row>
    <row r="564" spans="1:6" ht="15.75" customHeight="1" thickBot="1">
      <c r="A564" s="26"/>
      <c r="B564" s="26"/>
      <c r="C564" s="18"/>
      <c r="D564" s="13"/>
      <c r="E564" s="18"/>
      <c r="F564" s="494"/>
    </row>
    <row r="565" spans="1:6" ht="15.75" customHeight="1" thickBot="1">
      <c r="A565" s="26"/>
      <c r="B565" s="26"/>
      <c r="C565" s="18"/>
      <c r="D565" s="13"/>
      <c r="E565" s="18"/>
      <c r="F565" s="494"/>
    </row>
    <row r="566" spans="1:6" ht="15.75" customHeight="1" thickBot="1">
      <c r="A566" s="26"/>
      <c r="B566" s="26"/>
      <c r="C566" s="18"/>
      <c r="D566" s="13"/>
      <c r="E566" s="18"/>
      <c r="F566" s="494"/>
    </row>
    <row r="567" spans="1:6" ht="15.75" customHeight="1" thickBot="1">
      <c r="A567" s="26"/>
      <c r="B567" s="26"/>
      <c r="C567" s="18"/>
      <c r="D567" s="13"/>
      <c r="E567" s="18"/>
      <c r="F567" s="494"/>
    </row>
    <row r="568" spans="1:6" ht="15.75" customHeight="1" thickBot="1">
      <c r="A568" s="26"/>
      <c r="B568" s="26"/>
      <c r="C568" s="18"/>
      <c r="D568" s="13"/>
      <c r="E568" s="18"/>
      <c r="F568" s="494"/>
    </row>
    <row r="569" spans="1:6" ht="15.75" customHeight="1" thickBot="1">
      <c r="A569" s="26"/>
      <c r="B569" s="26"/>
      <c r="C569" s="18"/>
      <c r="D569" s="13"/>
      <c r="E569" s="18"/>
      <c r="F569" s="494"/>
    </row>
    <row r="570" spans="1:6" ht="15.75" customHeight="1" thickBot="1">
      <c r="A570" s="26"/>
      <c r="B570" s="26"/>
      <c r="C570" s="18"/>
      <c r="D570" s="13"/>
      <c r="E570" s="18"/>
      <c r="F570" s="494"/>
    </row>
    <row r="571" spans="1:6" ht="15.75" customHeight="1" thickBot="1">
      <c r="A571" s="26"/>
      <c r="B571" s="26"/>
      <c r="C571" s="18"/>
      <c r="D571" s="13"/>
      <c r="E571" s="18"/>
      <c r="F571" s="494"/>
    </row>
    <row r="572" spans="1:6" ht="15.75" customHeight="1" thickBot="1">
      <c r="A572" s="26"/>
      <c r="B572" s="26"/>
      <c r="C572" s="18"/>
      <c r="D572" s="13"/>
      <c r="E572" s="18"/>
      <c r="F572" s="494"/>
    </row>
    <row r="573" spans="1:6" ht="15.75" customHeight="1" thickBot="1">
      <c r="A573" s="26"/>
      <c r="B573" s="26"/>
      <c r="C573" s="18"/>
      <c r="D573" s="13"/>
      <c r="E573" s="18"/>
      <c r="F573" s="494"/>
    </row>
    <row r="574" spans="1:6" ht="15.75" customHeight="1" thickBot="1">
      <c r="A574" s="26"/>
      <c r="B574" s="26"/>
      <c r="C574" s="18"/>
      <c r="D574" s="13"/>
      <c r="E574" s="18"/>
      <c r="F574" s="494"/>
    </row>
    <row r="575" spans="1:6" ht="15.75" customHeight="1" thickBot="1">
      <c r="A575" s="26"/>
      <c r="B575" s="26"/>
      <c r="C575" s="18"/>
      <c r="D575" s="13"/>
      <c r="E575" s="18"/>
      <c r="F575" s="494"/>
    </row>
    <row r="576" spans="1:6" ht="15.75" customHeight="1" thickBot="1">
      <c r="A576" s="26"/>
      <c r="B576" s="26"/>
      <c r="C576" s="18"/>
      <c r="D576" s="13"/>
      <c r="E576" s="18"/>
      <c r="F576" s="494"/>
    </row>
    <row r="577" spans="1:6" ht="15.75" customHeight="1" thickBot="1">
      <c r="A577" s="26"/>
      <c r="B577" s="26"/>
      <c r="C577" s="18"/>
      <c r="D577" s="13"/>
      <c r="E577" s="18"/>
      <c r="F577" s="494"/>
    </row>
    <row r="578" spans="1:6" ht="15.75" customHeight="1" thickBot="1">
      <c r="A578" s="26"/>
      <c r="B578" s="26"/>
      <c r="C578" s="18"/>
      <c r="D578" s="13"/>
      <c r="E578" s="18"/>
      <c r="F578" s="494"/>
    </row>
    <row r="579" spans="1:6" ht="15.75" customHeight="1" thickBot="1">
      <c r="A579" s="26"/>
      <c r="B579" s="26"/>
      <c r="C579" s="18"/>
      <c r="D579" s="13"/>
      <c r="E579" s="18"/>
      <c r="F579" s="494"/>
    </row>
    <row r="580" spans="1:6" ht="15.75" customHeight="1" thickBot="1">
      <c r="A580" s="26"/>
      <c r="B580" s="26"/>
      <c r="C580" s="18"/>
      <c r="D580" s="13"/>
      <c r="E580" s="18"/>
      <c r="F580" s="494"/>
    </row>
    <row r="581" spans="1:6" ht="15.75" customHeight="1" thickBot="1">
      <c r="A581" s="26"/>
      <c r="B581" s="26"/>
      <c r="C581" s="18"/>
      <c r="D581" s="13"/>
      <c r="E581" s="18"/>
      <c r="F581" s="494"/>
    </row>
    <row r="582" spans="1:6" ht="15.75" customHeight="1" thickBot="1">
      <c r="A582" s="26"/>
      <c r="B582" s="26"/>
      <c r="C582" s="18"/>
      <c r="D582" s="13"/>
      <c r="E582" s="18"/>
      <c r="F582" s="494"/>
    </row>
    <row r="583" spans="1:6" ht="15.75" customHeight="1" thickBot="1">
      <c r="A583" s="26"/>
      <c r="B583" s="26"/>
      <c r="C583" s="18"/>
      <c r="D583" s="13"/>
      <c r="E583" s="18"/>
      <c r="F583" s="494"/>
    </row>
    <row r="584" spans="1:6" ht="15.75" customHeight="1" thickBot="1">
      <c r="A584" s="26"/>
      <c r="B584" s="26"/>
      <c r="C584" s="18"/>
      <c r="D584" s="13"/>
      <c r="E584" s="18"/>
      <c r="F584" s="494"/>
    </row>
    <row r="585" spans="1:6" ht="15.75" customHeight="1" thickBot="1">
      <c r="A585" s="26"/>
      <c r="B585" s="26"/>
      <c r="C585" s="18"/>
      <c r="D585" s="13"/>
      <c r="E585" s="18"/>
      <c r="F585" s="494"/>
    </row>
    <row r="586" spans="1:6" ht="15.75" customHeight="1" thickBot="1">
      <c r="A586" s="26"/>
      <c r="B586" s="26"/>
      <c r="C586" s="18"/>
      <c r="D586" s="13"/>
      <c r="E586" s="18"/>
      <c r="F586" s="494"/>
    </row>
    <row r="587" spans="1:6" ht="15.75" customHeight="1" thickBot="1">
      <c r="A587" s="26"/>
      <c r="B587" s="26"/>
      <c r="C587" s="18"/>
      <c r="D587" s="13"/>
      <c r="E587" s="18"/>
      <c r="F587" s="494"/>
    </row>
    <row r="588" spans="1:6" ht="15.75" customHeight="1" thickBot="1">
      <c r="A588" s="26"/>
      <c r="B588" s="26"/>
      <c r="C588" s="18"/>
      <c r="D588" s="13"/>
      <c r="E588" s="18"/>
      <c r="F588" s="494"/>
    </row>
    <row r="589" spans="1:6" ht="15.75" customHeight="1" thickBot="1">
      <c r="A589" s="26"/>
      <c r="B589" s="26"/>
      <c r="C589" s="18"/>
      <c r="D589" s="13"/>
      <c r="E589" s="18"/>
      <c r="F589" s="494"/>
    </row>
    <row r="590" spans="1:6" ht="15.75" customHeight="1" thickBot="1">
      <c r="A590" s="26"/>
      <c r="B590" s="26"/>
      <c r="C590" s="18"/>
      <c r="D590" s="13"/>
      <c r="E590" s="18"/>
      <c r="F590" s="494"/>
    </row>
    <row r="591" spans="1:6" ht="15.75" customHeight="1" thickBot="1">
      <c r="A591" s="26"/>
      <c r="B591" s="26"/>
      <c r="C591" s="18"/>
      <c r="D591" s="13"/>
      <c r="E591" s="18"/>
      <c r="F591" s="494"/>
    </row>
    <row r="592" spans="1:6" ht="15.75" customHeight="1" thickBot="1">
      <c r="A592" s="26"/>
      <c r="B592" s="26"/>
      <c r="C592" s="18"/>
      <c r="D592" s="13"/>
      <c r="E592" s="18"/>
      <c r="F592" s="494"/>
    </row>
    <row r="593" spans="1:6" ht="15.75" customHeight="1" thickBot="1">
      <c r="A593" s="26"/>
      <c r="B593" s="26"/>
      <c r="C593" s="18"/>
      <c r="D593" s="13"/>
      <c r="E593" s="18"/>
      <c r="F593" s="494"/>
    </row>
    <row r="594" spans="1:6" ht="15.75" customHeight="1" thickBot="1">
      <c r="A594" s="26"/>
      <c r="B594" s="26"/>
      <c r="C594" s="18"/>
      <c r="D594" s="13"/>
      <c r="E594" s="18"/>
      <c r="F594" s="494"/>
    </row>
    <row r="595" spans="1:6" ht="15.75" customHeight="1" thickBot="1">
      <c r="A595" s="26"/>
      <c r="B595" s="26"/>
      <c r="C595" s="18"/>
      <c r="D595" s="13"/>
      <c r="E595" s="18"/>
      <c r="F595" s="494"/>
    </row>
    <row r="596" spans="1:6" ht="15.75" customHeight="1" thickBot="1">
      <c r="A596" s="26"/>
      <c r="B596" s="26"/>
      <c r="C596" s="18"/>
      <c r="D596" s="13"/>
      <c r="E596" s="18"/>
      <c r="F596" s="494"/>
    </row>
    <row r="597" spans="1:6" ht="15.75" customHeight="1" thickBot="1">
      <c r="A597" s="26"/>
      <c r="B597" s="26"/>
      <c r="C597" s="18"/>
      <c r="D597" s="13"/>
      <c r="E597" s="18"/>
      <c r="F597" s="494"/>
    </row>
    <row r="598" spans="1:6" ht="15.75" customHeight="1" thickBot="1">
      <c r="A598" s="26"/>
      <c r="B598" s="26"/>
      <c r="C598" s="18"/>
      <c r="D598" s="13"/>
      <c r="E598" s="18"/>
      <c r="F598" s="494"/>
    </row>
    <row r="599" spans="1:6" ht="15.75" customHeight="1" thickBot="1">
      <c r="A599" s="26"/>
      <c r="B599" s="26"/>
      <c r="C599" s="18"/>
      <c r="D599" s="13"/>
      <c r="E599" s="18"/>
      <c r="F599" s="494"/>
    </row>
    <row r="600" spans="1:6" ht="15.75" customHeight="1" thickBot="1">
      <c r="A600" s="26"/>
      <c r="B600" s="26"/>
      <c r="C600" s="18"/>
      <c r="D600" s="13"/>
      <c r="E600" s="18"/>
      <c r="F600" s="494"/>
    </row>
    <row r="601" spans="1:6" ht="15.75" customHeight="1" thickBot="1">
      <c r="A601" s="26"/>
      <c r="B601" s="26"/>
      <c r="C601" s="18"/>
      <c r="D601" s="13"/>
      <c r="E601" s="18"/>
      <c r="F601" s="494"/>
    </row>
    <row r="602" spans="1:6" ht="15.75" customHeight="1" thickBot="1">
      <c r="A602" s="26"/>
      <c r="B602" s="26"/>
      <c r="C602" s="18"/>
      <c r="D602" s="13"/>
      <c r="E602" s="18"/>
      <c r="F602" s="494"/>
    </row>
    <row r="603" spans="1:6" ht="15.75" customHeight="1" thickBot="1">
      <c r="A603" s="26"/>
      <c r="B603" s="26"/>
      <c r="C603" s="18"/>
      <c r="D603" s="13"/>
      <c r="E603" s="18"/>
      <c r="F603" s="494"/>
    </row>
    <row r="604" spans="1:6" ht="15.75" customHeight="1" thickBot="1">
      <c r="A604" s="26"/>
      <c r="B604" s="26"/>
      <c r="C604" s="18"/>
      <c r="D604" s="13"/>
      <c r="E604" s="18"/>
      <c r="F604" s="494"/>
    </row>
    <row r="605" spans="1:6" ht="15.75" customHeight="1" thickBot="1">
      <c r="A605" s="26"/>
      <c r="B605" s="26"/>
      <c r="C605" s="18"/>
      <c r="D605" s="13"/>
      <c r="E605" s="18"/>
      <c r="F605" s="494"/>
    </row>
    <row r="606" spans="1:6" ht="15.75" customHeight="1" thickBot="1">
      <c r="A606" s="26"/>
      <c r="B606" s="26"/>
      <c r="C606" s="18"/>
      <c r="D606" s="13"/>
      <c r="E606" s="18"/>
      <c r="F606" s="494"/>
    </row>
    <row r="607" spans="1:6" ht="15.75" customHeight="1" thickBot="1">
      <c r="A607" s="26"/>
      <c r="B607" s="26"/>
      <c r="C607" s="18"/>
      <c r="D607" s="13"/>
      <c r="E607" s="18"/>
      <c r="F607" s="494"/>
    </row>
    <row r="608" spans="1:6" ht="15.75" customHeight="1" thickBot="1">
      <c r="A608" s="26"/>
      <c r="B608" s="26"/>
      <c r="C608" s="18"/>
      <c r="D608" s="13"/>
      <c r="E608" s="18"/>
      <c r="F608" s="494"/>
    </row>
    <row r="609" spans="1:6" ht="15.75" customHeight="1" thickBot="1">
      <c r="A609" s="26"/>
      <c r="B609" s="26"/>
      <c r="C609" s="18"/>
      <c r="D609" s="13"/>
      <c r="E609" s="18"/>
      <c r="F609" s="494"/>
    </row>
    <row r="610" spans="1:6" ht="15.75" customHeight="1" thickBot="1">
      <c r="A610" s="26"/>
      <c r="B610" s="26"/>
      <c r="C610" s="18"/>
      <c r="D610" s="13"/>
      <c r="E610" s="18"/>
      <c r="F610" s="494"/>
    </row>
    <row r="611" spans="1:6" ht="15.75" customHeight="1" thickBot="1">
      <c r="A611" s="26"/>
      <c r="B611" s="26"/>
      <c r="C611" s="18"/>
      <c r="D611" s="13"/>
      <c r="E611" s="18"/>
      <c r="F611" s="494"/>
    </row>
    <row r="612" spans="1:6" ht="15.75" customHeight="1" thickBot="1">
      <c r="A612" s="26"/>
      <c r="B612" s="26"/>
      <c r="C612" s="18"/>
      <c r="D612" s="13"/>
      <c r="E612" s="18"/>
      <c r="F612" s="494"/>
    </row>
    <row r="613" spans="1:6" ht="15.75" customHeight="1" thickBot="1">
      <c r="A613" s="26"/>
      <c r="B613" s="26"/>
      <c r="C613" s="18"/>
      <c r="D613" s="13"/>
      <c r="E613" s="18"/>
      <c r="F613" s="494"/>
    </row>
    <row r="614" spans="1:6" ht="15.75" customHeight="1" thickBot="1">
      <c r="A614" s="26"/>
      <c r="B614" s="26"/>
      <c r="C614" s="18"/>
      <c r="D614" s="13"/>
      <c r="E614" s="18"/>
      <c r="F614" s="494"/>
    </row>
    <row r="615" spans="1:6" ht="15.75" customHeight="1" thickBot="1">
      <c r="A615" s="26"/>
      <c r="B615" s="26"/>
      <c r="C615" s="18"/>
      <c r="D615" s="13"/>
      <c r="E615" s="18"/>
      <c r="F615" s="494"/>
    </row>
    <row r="616" spans="1:6" ht="15.75" customHeight="1" thickBot="1">
      <c r="A616" s="26"/>
      <c r="B616" s="26"/>
      <c r="C616" s="18"/>
      <c r="D616" s="13"/>
      <c r="E616" s="18"/>
      <c r="F616" s="494"/>
    </row>
    <row r="617" spans="1:6" ht="15.75" customHeight="1" thickBot="1">
      <c r="A617" s="26"/>
      <c r="B617" s="26"/>
      <c r="C617" s="18"/>
      <c r="D617" s="13"/>
      <c r="E617" s="18"/>
      <c r="F617" s="494"/>
    </row>
    <row r="618" spans="1:6" ht="15.75" customHeight="1" thickBot="1">
      <c r="A618" s="26"/>
      <c r="B618" s="26"/>
      <c r="C618" s="18"/>
      <c r="D618" s="13"/>
      <c r="E618" s="18"/>
      <c r="F618" s="494"/>
    </row>
    <row r="619" spans="1:6" ht="15.75" customHeight="1" thickBot="1">
      <c r="A619" s="26"/>
      <c r="B619" s="26"/>
      <c r="C619" s="18"/>
      <c r="D619" s="13"/>
      <c r="E619" s="18"/>
      <c r="F619" s="494"/>
    </row>
    <row r="620" spans="1:6" ht="15.75" customHeight="1" thickBot="1">
      <c r="A620" s="26"/>
      <c r="B620" s="26"/>
      <c r="C620" s="18"/>
      <c r="D620" s="13"/>
      <c r="E620" s="18"/>
      <c r="F620" s="494"/>
    </row>
    <row r="621" spans="1:6" ht="15.75" customHeight="1" thickBot="1">
      <c r="A621" s="26"/>
      <c r="B621" s="26"/>
      <c r="C621" s="18"/>
      <c r="D621" s="13"/>
      <c r="E621" s="18"/>
      <c r="F621" s="494"/>
    </row>
    <row r="622" spans="1:6" ht="15.75" customHeight="1" thickBot="1">
      <c r="A622" s="26"/>
      <c r="B622" s="26"/>
      <c r="C622" s="18"/>
      <c r="D622" s="13"/>
      <c r="E622" s="18"/>
      <c r="F622" s="494"/>
    </row>
    <row r="623" spans="1:6" ht="15.75" customHeight="1" thickBot="1">
      <c r="A623" s="26"/>
      <c r="B623" s="26"/>
      <c r="C623" s="18"/>
      <c r="D623" s="13"/>
      <c r="E623" s="18"/>
      <c r="F623" s="494"/>
    </row>
    <row r="624" spans="1:6" ht="15.75" customHeight="1" thickBot="1">
      <c r="A624" s="26"/>
      <c r="B624" s="26"/>
      <c r="C624" s="18"/>
      <c r="D624" s="13"/>
      <c r="E624" s="18"/>
      <c r="F624" s="494"/>
    </row>
    <row r="625" spans="1:6" ht="15.75" customHeight="1" thickBot="1">
      <c r="A625" s="26"/>
      <c r="B625" s="26"/>
      <c r="C625" s="18"/>
      <c r="D625" s="13"/>
      <c r="E625" s="18"/>
      <c r="F625" s="494"/>
    </row>
    <row r="626" spans="1:6" ht="15.75" customHeight="1" thickBot="1">
      <c r="A626" s="26"/>
      <c r="B626" s="26"/>
      <c r="C626" s="18"/>
      <c r="D626" s="13"/>
      <c r="E626" s="18"/>
      <c r="F626" s="494"/>
    </row>
    <row r="627" spans="1:6" ht="15.75" customHeight="1" thickBot="1">
      <c r="A627" s="26"/>
      <c r="B627" s="26"/>
      <c r="C627" s="18"/>
      <c r="D627" s="13"/>
      <c r="E627" s="18"/>
      <c r="F627" s="494"/>
    </row>
    <row r="628" spans="1:6" ht="15.75" customHeight="1" thickBot="1">
      <c r="A628" s="26"/>
      <c r="B628" s="26"/>
      <c r="C628" s="18"/>
      <c r="D628" s="13"/>
      <c r="E628" s="18"/>
      <c r="F628" s="494"/>
    </row>
    <row r="629" spans="1:6" ht="15.75" customHeight="1" thickBot="1">
      <c r="A629" s="26"/>
      <c r="B629" s="26"/>
      <c r="C629" s="18"/>
      <c r="D629" s="13"/>
      <c r="E629" s="18"/>
      <c r="F629" s="494"/>
    </row>
    <row r="630" spans="1:6" ht="15.75" customHeight="1" thickBot="1">
      <c r="A630" s="26"/>
      <c r="B630" s="26"/>
      <c r="C630" s="18"/>
      <c r="D630" s="13"/>
      <c r="E630" s="18"/>
      <c r="F630" s="494"/>
    </row>
    <row r="631" spans="1:6" ht="15.75" customHeight="1" thickBot="1">
      <c r="A631" s="26"/>
      <c r="B631" s="26"/>
      <c r="C631" s="18"/>
      <c r="D631" s="13"/>
      <c r="E631" s="18"/>
      <c r="F631" s="494"/>
    </row>
    <row r="632" spans="1:6" ht="15.75" customHeight="1" thickBot="1">
      <c r="A632" s="26"/>
      <c r="B632" s="26"/>
      <c r="C632" s="18"/>
      <c r="D632" s="13"/>
      <c r="E632" s="18"/>
      <c r="F632" s="494"/>
    </row>
    <row r="633" spans="1:6" ht="15.75" customHeight="1" thickBot="1">
      <c r="A633" s="26"/>
      <c r="B633" s="26"/>
      <c r="C633" s="18"/>
      <c r="D633" s="13"/>
      <c r="E633" s="18"/>
      <c r="F633" s="494"/>
    </row>
    <row r="634" spans="1:6" ht="15.75" customHeight="1" thickBot="1">
      <c r="A634" s="26"/>
      <c r="B634" s="26"/>
      <c r="C634" s="18"/>
      <c r="D634" s="13"/>
      <c r="E634" s="18"/>
      <c r="F634" s="494"/>
    </row>
    <row r="635" spans="1:6" ht="15.75" customHeight="1" thickBot="1">
      <c r="A635" s="26"/>
      <c r="B635" s="26"/>
      <c r="C635" s="18"/>
      <c r="D635" s="13"/>
      <c r="E635" s="18"/>
      <c r="F635" s="494"/>
    </row>
    <row r="636" spans="1:6" ht="15.75" customHeight="1" thickBot="1">
      <c r="A636" s="26"/>
      <c r="B636" s="26"/>
      <c r="C636" s="18"/>
      <c r="D636" s="13"/>
      <c r="E636" s="18"/>
      <c r="F636" s="494"/>
    </row>
    <row r="637" spans="1:6" ht="15.75" customHeight="1" thickBot="1">
      <c r="A637" s="26"/>
      <c r="B637" s="26"/>
      <c r="C637" s="18"/>
      <c r="D637" s="13"/>
      <c r="E637" s="18"/>
      <c r="F637" s="494"/>
    </row>
    <row r="638" spans="1:6" ht="15.75" customHeight="1" thickBot="1">
      <c r="A638" s="26"/>
      <c r="B638" s="26"/>
      <c r="C638" s="18"/>
      <c r="D638" s="13"/>
      <c r="E638" s="18"/>
      <c r="F638" s="494"/>
    </row>
    <row r="639" spans="1:6" ht="15.75" customHeight="1" thickBot="1">
      <c r="A639" s="26"/>
      <c r="B639" s="26"/>
      <c r="C639" s="18"/>
      <c r="D639" s="13"/>
      <c r="E639" s="18"/>
      <c r="F639" s="494"/>
    </row>
    <row r="640" spans="1:6" ht="15.75" customHeight="1" thickBot="1">
      <c r="A640" s="26"/>
      <c r="B640" s="26"/>
      <c r="C640" s="18"/>
      <c r="D640" s="13"/>
      <c r="E640" s="18"/>
      <c r="F640" s="494"/>
    </row>
    <row r="641" spans="1:6" ht="15.75" customHeight="1" thickBot="1">
      <c r="A641" s="26"/>
      <c r="B641" s="26"/>
      <c r="C641" s="18"/>
      <c r="D641" s="13"/>
      <c r="E641" s="18"/>
      <c r="F641" s="494"/>
    </row>
    <row r="642" spans="1:6" ht="15.75" customHeight="1" thickBot="1">
      <c r="A642" s="26"/>
      <c r="B642" s="26"/>
      <c r="C642" s="18"/>
      <c r="D642" s="13"/>
      <c r="E642" s="18"/>
      <c r="F642" s="494"/>
    </row>
    <row r="643" spans="1:6" ht="15.75" customHeight="1" thickBot="1">
      <c r="A643" s="26"/>
      <c r="B643" s="26"/>
      <c r="C643" s="18"/>
      <c r="D643" s="13"/>
      <c r="E643" s="18"/>
      <c r="F643" s="494"/>
    </row>
    <row r="644" spans="1:6" ht="15.75" customHeight="1" thickBot="1">
      <c r="A644" s="26"/>
      <c r="B644" s="26"/>
      <c r="C644" s="18"/>
      <c r="D644" s="13"/>
      <c r="E644" s="18"/>
      <c r="F644" s="494"/>
    </row>
    <row r="645" spans="1:6" ht="15.75" customHeight="1" thickBot="1">
      <c r="A645" s="26"/>
      <c r="B645" s="26"/>
      <c r="C645" s="18"/>
      <c r="D645" s="13"/>
      <c r="E645" s="18"/>
      <c r="F645" s="494"/>
    </row>
    <row r="646" spans="1:6" ht="15.75" customHeight="1" thickBot="1">
      <c r="A646" s="26"/>
      <c r="B646" s="26"/>
      <c r="C646" s="18"/>
      <c r="D646" s="13"/>
      <c r="E646" s="18"/>
      <c r="F646" s="494"/>
    </row>
    <row r="647" spans="1:6" ht="15.75" customHeight="1" thickBot="1">
      <c r="A647" s="26"/>
      <c r="B647" s="26"/>
      <c r="C647" s="18"/>
      <c r="D647" s="13"/>
      <c r="E647" s="18"/>
      <c r="F647" s="494"/>
    </row>
    <row r="648" spans="1:6" ht="15.75" customHeight="1" thickBot="1">
      <c r="A648" s="26"/>
      <c r="B648" s="26"/>
      <c r="C648" s="18"/>
      <c r="D648" s="13"/>
      <c r="E648" s="18"/>
      <c r="F648" s="494"/>
    </row>
    <row r="649" spans="1:6" ht="15.75" customHeight="1" thickBot="1">
      <c r="A649" s="26"/>
      <c r="B649" s="26"/>
      <c r="C649" s="18"/>
      <c r="D649" s="13"/>
      <c r="E649" s="18"/>
      <c r="F649" s="494"/>
    </row>
    <row r="650" spans="1:6" ht="15.75" customHeight="1" thickBot="1">
      <c r="A650" s="26"/>
      <c r="B650" s="26"/>
      <c r="C650" s="18"/>
      <c r="D650" s="13"/>
      <c r="E650" s="18"/>
      <c r="F650" s="494"/>
    </row>
    <row r="651" spans="1:6" ht="15.75" customHeight="1" thickBot="1">
      <c r="A651" s="26"/>
      <c r="B651" s="26"/>
      <c r="C651" s="18"/>
      <c r="D651" s="13"/>
      <c r="E651" s="18"/>
      <c r="F651" s="494"/>
    </row>
    <row r="652" spans="1:6" ht="15.75" customHeight="1" thickBot="1">
      <c r="A652" s="26"/>
      <c r="B652" s="26"/>
      <c r="C652" s="18"/>
      <c r="D652" s="13"/>
      <c r="E652" s="18"/>
      <c r="F652" s="494"/>
    </row>
    <row r="653" spans="1:6" ht="15.75" customHeight="1" thickBot="1">
      <c r="A653" s="26"/>
      <c r="B653" s="26"/>
      <c r="C653" s="18"/>
      <c r="D653" s="13"/>
      <c r="E653" s="18"/>
      <c r="F653" s="494"/>
    </row>
    <row r="654" spans="1:6" ht="15.75" customHeight="1" thickBot="1">
      <c r="A654" s="26"/>
      <c r="B654" s="26"/>
      <c r="C654" s="18"/>
      <c r="D654" s="13"/>
      <c r="E654" s="18"/>
      <c r="F654" s="494"/>
    </row>
    <row r="655" spans="1:6" ht="15.75" customHeight="1" thickBot="1">
      <c r="A655" s="26"/>
      <c r="B655" s="26"/>
      <c r="C655" s="18"/>
      <c r="D655" s="13"/>
      <c r="E655" s="18"/>
      <c r="F655" s="494"/>
    </row>
    <row r="656" spans="1:6" ht="15.75" customHeight="1" thickBot="1">
      <c r="A656" s="26"/>
      <c r="B656" s="26"/>
      <c r="C656" s="18"/>
      <c r="D656" s="13"/>
      <c r="E656" s="18"/>
      <c r="F656" s="494"/>
    </row>
    <row r="657" spans="1:6" ht="15.75" customHeight="1" thickBot="1">
      <c r="A657" s="26"/>
      <c r="B657" s="26"/>
      <c r="C657" s="18"/>
      <c r="D657" s="13"/>
      <c r="E657" s="18"/>
      <c r="F657" s="494"/>
    </row>
    <row r="658" spans="1:6" ht="15.75" customHeight="1" thickBot="1">
      <c r="A658" s="26"/>
      <c r="B658" s="26"/>
      <c r="C658" s="18"/>
      <c r="D658" s="13"/>
      <c r="E658" s="18"/>
      <c r="F658" s="494"/>
    </row>
    <row r="659" spans="1:6" ht="15.75" customHeight="1" thickBot="1">
      <c r="A659" s="26"/>
      <c r="B659" s="26"/>
      <c r="C659" s="18"/>
      <c r="D659" s="13"/>
      <c r="E659" s="18"/>
      <c r="F659" s="494"/>
    </row>
    <row r="660" spans="1:6" ht="15.75" customHeight="1" thickBot="1">
      <c r="A660" s="26"/>
      <c r="B660" s="26"/>
      <c r="C660" s="18"/>
      <c r="D660" s="13"/>
      <c r="E660" s="18"/>
      <c r="F660" s="494"/>
    </row>
    <row r="661" spans="1:6" ht="15.75" customHeight="1" thickBot="1">
      <c r="A661" s="26"/>
      <c r="B661" s="26"/>
      <c r="C661" s="18"/>
      <c r="D661" s="13"/>
      <c r="E661" s="18"/>
      <c r="F661" s="494"/>
    </row>
    <row r="662" spans="1:6" ht="15.75" customHeight="1" thickBot="1">
      <c r="A662" s="26"/>
      <c r="B662" s="26"/>
      <c r="C662" s="18"/>
      <c r="D662" s="13"/>
      <c r="E662" s="18"/>
      <c r="F662" s="494"/>
    </row>
    <row r="663" spans="1:6" ht="15.75" customHeight="1" thickBot="1">
      <c r="A663" s="26"/>
      <c r="B663" s="26"/>
      <c r="C663" s="18"/>
      <c r="D663" s="13"/>
      <c r="E663" s="18"/>
      <c r="F663" s="494"/>
    </row>
    <row r="664" spans="1:6" ht="15.75" customHeight="1" thickBot="1">
      <c r="A664" s="26"/>
      <c r="B664" s="26"/>
      <c r="C664" s="18"/>
      <c r="D664" s="13"/>
      <c r="E664" s="18"/>
      <c r="F664" s="494"/>
    </row>
    <row r="665" spans="1:6" ht="15.75" customHeight="1" thickBot="1">
      <c r="A665" s="26"/>
      <c r="B665" s="26"/>
      <c r="C665" s="18"/>
      <c r="D665" s="13"/>
      <c r="E665" s="18"/>
      <c r="F665" s="494"/>
    </row>
    <row r="666" spans="1:6" ht="15.75" customHeight="1" thickBot="1">
      <c r="A666" s="26"/>
      <c r="B666" s="26"/>
      <c r="C666" s="18"/>
      <c r="D666" s="13"/>
      <c r="E666" s="18"/>
      <c r="F666" s="494"/>
    </row>
    <row r="667" spans="1:6" ht="15.75" customHeight="1" thickBot="1">
      <c r="A667" s="26"/>
      <c r="B667" s="26"/>
      <c r="C667" s="18"/>
      <c r="D667" s="13"/>
      <c r="E667" s="18"/>
      <c r="F667" s="494"/>
    </row>
    <row r="668" spans="1:6" ht="15.75" customHeight="1" thickBot="1">
      <c r="A668" s="26"/>
      <c r="B668" s="26"/>
      <c r="C668" s="18"/>
      <c r="D668" s="13"/>
      <c r="E668" s="18"/>
      <c r="F668" s="494"/>
    </row>
    <row r="669" spans="1:6" ht="15.75" customHeight="1" thickBot="1">
      <c r="A669" s="26"/>
      <c r="B669" s="26"/>
      <c r="C669" s="18"/>
      <c r="D669" s="13"/>
      <c r="E669" s="18"/>
      <c r="F669" s="494"/>
    </row>
    <row r="670" spans="1:6" ht="15.75" customHeight="1" thickBot="1">
      <c r="A670" s="26"/>
      <c r="B670" s="26"/>
      <c r="C670" s="18"/>
      <c r="D670" s="13"/>
      <c r="E670" s="18"/>
      <c r="F670" s="494"/>
    </row>
    <row r="671" spans="1:6" ht="15.75" customHeight="1" thickBot="1">
      <c r="A671" s="26"/>
      <c r="B671" s="26"/>
      <c r="C671" s="18"/>
      <c r="D671" s="13"/>
      <c r="E671" s="18"/>
      <c r="F671" s="494"/>
    </row>
    <row r="672" spans="1:6" ht="15.75" customHeight="1" thickBot="1">
      <c r="A672" s="26"/>
      <c r="B672" s="26"/>
      <c r="C672" s="18"/>
      <c r="D672" s="13"/>
      <c r="E672" s="18"/>
      <c r="F672" s="494"/>
    </row>
    <row r="673" spans="1:6" ht="15.75" customHeight="1" thickBot="1">
      <c r="A673" s="26"/>
      <c r="B673" s="26"/>
      <c r="C673" s="18"/>
      <c r="D673" s="13"/>
      <c r="E673" s="18"/>
      <c r="F673" s="494"/>
    </row>
    <row r="674" spans="1:6" ht="15.75" customHeight="1" thickBot="1">
      <c r="A674" s="26"/>
      <c r="B674" s="26"/>
      <c r="C674" s="18"/>
      <c r="D674" s="13"/>
      <c r="E674" s="18"/>
      <c r="F674" s="494"/>
    </row>
    <row r="675" spans="1:6" ht="15.75" customHeight="1" thickBot="1">
      <c r="A675" s="26"/>
      <c r="B675" s="26"/>
      <c r="C675" s="18"/>
      <c r="D675" s="13"/>
      <c r="E675" s="18"/>
      <c r="F675" s="494"/>
    </row>
    <row r="676" spans="1:6" ht="15.75" customHeight="1" thickBot="1">
      <c r="A676" s="26"/>
      <c r="B676" s="26"/>
      <c r="C676" s="18"/>
      <c r="D676" s="13"/>
      <c r="E676" s="18"/>
      <c r="F676" s="494"/>
    </row>
    <row r="677" spans="1:6" ht="15.75" customHeight="1" thickBot="1">
      <c r="A677" s="26"/>
      <c r="B677" s="26"/>
      <c r="C677" s="18"/>
      <c r="D677" s="13"/>
      <c r="E677" s="18"/>
      <c r="F677" s="494"/>
    </row>
    <row r="678" spans="1:6" ht="15.75" customHeight="1" thickBot="1">
      <c r="A678" s="26"/>
      <c r="B678" s="26"/>
      <c r="C678" s="18"/>
      <c r="D678" s="13"/>
      <c r="E678" s="18"/>
      <c r="F678" s="494"/>
    </row>
    <row r="679" spans="1:6" ht="15.75" customHeight="1" thickBot="1">
      <c r="A679" s="26"/>
      <c r="B679" s="26"/>
      <c r="C679" s="18"/>
      <c r="D679" s="13"/>
      <c r="E679" s="18"/>
      <c r="F679" s="494"/>
    </row>
    <row r="680" spans="1:6" ht="15.75" customHeight="1" thickBot="1">
      <c r="A680" s="26"/>
      <c r="B680" s="26"/>
      <c r="C680" s="18"/>
      <c r="D680" s="13"/>
      <c r="E680" s="18"/>
      <c r="F680" s="494"/>
    </row>
    <row r="681" spans="1:6" ht="15.75" customHeight="1" thickBot="1">
      <c r="A681" s="26"/>
      <c r="B681" s="26"/>
      <c r="C681" s="18"/>
      <c r="D681" s="13"/>
      <c r="E681" s="18"/>
      <c r="F681" s="494"/>
    </row>
    <row r="682" spans="1:6" ht="15.75" customHeight="1" thickBot="1">
      <c r="A682" s="26"/>
      <c r="B682" s="26"/>
      <c r="C682" s="18"/>
      <c r="D682" s="13"/>
      <c r="E682" s="18"/>
      <c r="F682" s="494"/>
    </row>
    <row r="683" spans="1:6" ht="15.75" customHeight="1" thickBot="1">
      <c r="A683" s="26"/>
      <c r="B683" s="26"/>
      <c r="C683" s="18"/>
      <c r="D683" s="13"/>
      <c r="E683" s="18"/>
      <c r="F683" s="494"/>
    </row>
    <row r="684" spans="1:6" ht="15.75" customHeight="1" thickBot="1">
      <c r="A684" s="26"/>
      <c r="B684" s="26"/>
      <c r="C684" s="18"/>
      <c r="D684" s="13"/>
      <c r="E684" s="18"/>
      <c r="F684" s="494"/>
    </row>
    <row r="685" spans="1:6" ht="15.75" customHeight="1" thickBot="1">
      <c r="A685" s="26"/>
      <c r="B685" s="26"/>
      <c r="C685" s="18"/>
      <c r="D685" s="13"/>
      <c r="E685" s="18"/>
      <c r="F685" s="494"/>
    </row>
    <row r="686" spans="1:6" ht="15.75" customHeight="1" thickBot="1">
      <c r="A686" s="26"/>
      <c r="B686" s="26"/>
      <c r="C686" s="18"/>
      <c r="D686" s="13"/>
      <c r="E686" s="18"/>
      <c r="F686" s="494"/>
    </row>
    <row r="687" spans="1:6" ht="15.75" customHeight="1" thickBot="1">
      <c r="A687" s="26"/>
      <c r="B687" s="26"/>
      <c r="C687" s="18"/>
      <c r="D687" s="13"/>
      <c r="E687" s="18"/>
      <c r="F687" s="494"/>
    </row>
    <row r="688" spans="1:6" ht="15.75" customHeight="1" thickBot="1">
      <c r="A688" s="26"/>
      <c r="B688" s="26"/>
      <c r="C688" s="18"/>
      <c r="D688" s="13"/>
      <c r="E688" s="18"/>
      <c r="F688" s="494"/>
    </row>
    <row r="689" spans="1:6" ht="15.75" customHeight="1" thickBot="1">
      <c r="A689" s="26"/>
      <c r="B689" s="26"/>
      <c r="C689" s="18"/>
      <c r="D689" s="13"/>
      <c r="E689" s="18"/>
      <c r="F689" s="494"/>
    </row>
    <row r="690" spans="1:6" ht="15.75" customHeight="1" thickBot="1">
      <c r="A690" s="26"/>
      <c r="B690" s="26"/>
      <c r="C690" s="18"/>
      <c r="D690" s="13"/>
      <c r="E690" s="18"/>
      <c r="F690" s="494"/>
    </row>
    <row r="691" spans="1:6" ht="15.75" customHeight="1" thickBot="1">
      <c r="A691" s="26"/>
      <c r="B691" s="26"/>
      <c r="C691" s="18"/>
      <c r="D691" s="13"/>
      <c r="E691" s="18"/>
      <c r="F691" s="494"/>
    </row>
    <row r="692" spans="1:6" ht="15.75" customHeight="1" thickBot="1">
      <c r="A692" s="26"/>
      <c r="B692" s="26"/>
      <c r="C692" s="18"/>
      <c r="D692" s="13"/>
      <c r="E692" s="18"/>
      <c r="F692" s="494"/>
    </row>
    <row r="693" spans="1:6" ht="15.75" customHeight="1" thickBot="1">
      <c r="A693" s="26"/>
      <c r="B693" s="26"/>
      <c r="C693" s="18"/>
      <c r="D693" s="13"/>
      <c r="E693" s="18"/>
      <c r="F693" s="494"/>
    </row>
    <row r="694" spans="1:6" ht="15.75" customHeight="1" thickBot="1">
      <c r="A694" s="26"/>
      <c r="B694" s="26"/>
      <c r="C694" s="18"/>
      <c r="D694" s="13"/>
      <c r="E694" s="18"/>
      <c r="F694" s="494"/>
    </row>
    <row r="695" spans="1:6" ht="15.75" customHeight="1" thickBot="1">
      <c r="A695" s="26"/>
      <c r="B695" s="26"/>
      <c r="C695" s="18"/>
      <c r="D695" s="13"/>
      <c r="E695" s="18"/>
      <c r="F695" s="494"/>
    </row>
    <row r="696" spans="1:6" ht="15.75" customHeight="1" thickBot="1">
      <c r="A696" s="26"/>
      <c r="B696" s="26"/>
      <c r="C696" s="18"/>
      <c r="D696" s="13"/>
      <c r="E696" s="18"/>
      <c r="F696" s="494"/>
    </row>
    <row r="697" spans="1:6" ht="15.75" customHeight="1" thickBot="1">
      <c r="A697" s="26"/>
      <c r="B697" s="26"/>
      <c r="C697" s="18"/>
      <c r="D697" s="13"/>
      <c r="E697" s="18"/>
      <c r="F697" s="494"/>
    </row>
    <row r="698" spans="1:6" ht="15.75" customHeight="1" thickBot="1">
      <c r="A698" s="26"/>
      <c r="B698" s="26"/>
      <c r="C698" s="18"/>
      <c r="D698" s="13"/>
      <c r="E698" s="18"/>
      <c r="F698" s="494"/>
    </row>
    <row r="699" spans="1:6" ht="15.75" customHeight="1" thickBot="1">
      <c r="A699" s="26"/>
      <c r="B699" s="26"/>
      <c r="C699" s="18"/>
      <c r="D699" s="13"/>
      <c r="E699" s="18"/>
      <c r="F699" s="494"/>
    </row>
    <row r="700" spans="1:6" ht="15.75" customHeight="1" thickBot="1">
      <c r="A700" s="26"/>
      <c r="B700" s="26"/>
      <c r="C700" s="18"/>
      <c r="D700" s="13"/>
      <c r="E700" s="18"/>
      <c r="F700" s="494"/>
    </row>
    <row r="701" spans="1:6" ht="15.75" customHeight="1" thickBot="1">
      <c r="A701" s="26"/>
      <c r="B701" s="26"/>
      <c r="C701" s="18"/>
      <c r="D701" s="13"/>
      <c r="E701" s="18"/>
      <c r="F701" s="494"/>
    </row>
    <row r="702" spans="1:6" ht="15.75" customHeight="1" thickBot="1">
      <c r="A702" s="26"/>
      <c r="B702" s="26"/>
      <c r="C702" s="18"/>
      <c r="D702" s="13"/>
      <c r="E702" s="18"/>
      <c r="F702" s="494"/>
    </row>
    <row r="703" spans="1:6" ht="15.75" customHeight="1" thickBot="1">
      <c r="A703" s="26"/>
      <c r="B703" s="26"/>
      <c r="C703" s="18"/>
      <c r="D703" s="13"/>
      <c r="E703" s="18"/>
      <c r="F703" s="494"/>
    </row>
    <row r="704" spans="1:6" ht="15.75" customHeight="1" thickBot="1">
      <c r="A704" s="26"/>
      <c r="B704" s="26"/>
      <c r="C704" s="18"/>
      <c r="D704" s="13"/>
      <c r="E704" s="18"/>
      <c r="F704" s="494"/>
    </row>
    <row r="705" spans="1:6" ht="15.75" customHeight="1" thickBot="1">
      <c r="A705" s="26"/>
      <c r="B705" s="26"/>
      <c r="C705" s="18"/>
      <c r="D705" s="13"/>
      <c r="E705" s="18"/>
      <c r="F705" s="494"/>
    </row>
    <row r="706" spans="1:6" ht="15.75" customHeight="1" thickBot="1">
      <c r="A706" s="26"/>
      <c r="B706" s="26"/>
      <c r="C706" s="18"/>
      <c r="D706" s="13"/>
      <c r="E706" s="18"/>
      <c r="F706" s="494"/>
    </row>
    <row r="707" spans="1:6" ht="15.75" customHeight="1" thickBot="1">
      <c r="A707" s="26"/>
      <c r="B707" s="26"/>
      <c r="C707" s="18"/>
      <c r="D707" s="13"/>
      <c r="E707" s="18"/>
      <c r="F707" s="494"/>
    </row>
    <row r="708" spans="1:6" ht="15.75" customHeight="1" thickBot="1">
      <c r="A708" s="26"/>
      <c r="B708" s="26"/>
      <c r="C708" s="18"/>
      <c r="D708" s="13"/>
      <c r="E708" s="18"/>
      <c r="F708" s="494"/>
    </row>
    <row r="709" spans="1:6" ht="15.75" customHeight="1" thickBot="1">
      <c r="A709" s="26"/>
      <c r="B709" s="26"/>
      <c r="C709" s="18"/>
      <c r="D709" s="13"/>
      <c r="E709" s="18"/>
      <c r="F709" s="494"/>
    </row>
    <row r="710" spans="1:6" ht="15.75" customHeight="1" thickBot="1">
      <c r="A710" s="26"/>
      <c r="B710" s="26"/>
      <c r="C710" s="18"/>
      <c r="D710" s="13"/>
      <c r="E710" s="18"/>
      <c r="F710" s="494"/>
    </row>
    <row r="711" spans="1:6" ht="15.75" customHeight="1" thickBot="1">
      <c r="A711" s="26"/>
      <c r="B711" s="26"/>
      <c r="C711" s="18"/>
      <c r="D711" s="13"/>
      <c r="E711" s="18"/>
      <c r="F711" s="494"/>
    </row>
    <row r="712" spans="1:6" ht="15.75" customHeight="1" thickBot="1">
      <c r="A712" s="26"/>
      <c r="B712" s="26"/>
      <c r="C712" s="18"/>
      <c r="D712" s="13"/>
      <c r="E712" s="18"/>
      <c r="F712" s="494"/>
    </row>
    <row r="713" spans="1:6" ht="15.75" customHeight="1" thickBot="1">
      <c r="A713" s="26"/>
      <c r="B713" s="26"/>
      <c r="C713" s="18"/>
      <c r="D713" s="13"/>
      <c r="E713" s="18"/>
      <c r="F713" s="494"/>
    </row>
    <row r="714" spans="1:6" ht="15.75" customHeight="1" thickBot="1">
      <c r="A714" s="26"/>
      <c r="B714" s="26"/>
      <c r="C714" s="18"/>
      <c r="D714" s="13"/>
      <c r="E714" s="18"/>
      <c r="F714" s="494"/>
    </row>
    <row r="715" spans="1:6" ht="15.75" customHeight="1" thickBot="1">
      <c r="A715" s="26"/>
      <c r="B715" s="26"/>
      <c r="C715" s="18"/>
      <c r="D715" s="13"/>
      <c r="E715" s="18"/>
      <c r="F715" s="494"/>
    </row>
    <row r="716" spans="1:6" ht="15.75" customHeight="1" thickBot="1">
      <c r="A716" s="26"/>
      <c r="B716" s="26"/>
      <c r="C716" s="18"/>
      <c r="D716" s="13"/>
      <c r="E716" s="18"/>
      <c r="F716" s="494"/>
    </row>
    <row r="717" spans="1:6" ht="15.75" customHeight="1" thickBot="1">
      <c r="A717" s="26"/>
      <c r="B717" s="26"/>
      <c r="C717" s="18"/>
      <c r="D717" s="13"/>
      <c r="E717" s="18"/>
      <c r="F717" s="494"/>
    </row>
    <row r="718" spans="1:6" ht="15.75" customHeight="1" thickBot="1">
      <c r="A718" s="26"/>
      <c r="B718" s="26"/>
      <c r="C718" s="18"/>
      <c r="D718" s="13"/>
      <c r="E718" s="18"/>
      <c r="F718" s="494"/>
    </row>
    <row r="719" spans="1:6" ht="15.75" customHeight="1" thickBot="1">
      <c r="A719" s="26"/>
      <c r="B719" s="26"/>
      <c r="C719" s="18"/>
      <c r="D719" s="13"/>
      <c r="E719" s="18"/>
      <c r="F719" s="494"/>
    </row>
    <row r="720" spans="1:6" ht="15.75" customHeight="1" thickBot="1">
      <c r="A720" s="26"/>
      <c r="B720" s="26"/>
      <c r="C720" s="18"/>
      <c r="D720" s="13"/>
      <c r="E720" s="18"/>
      <c r="F720" s="494"/>
    </row>
    <row r="721" spans="1:6" ht="15.75" customHeight="1" thickBot="1">
      <c r="A721" s="26"/>
      <c r="B721" s="26"/>
      <c r="C721" s="18"/>
      <c r="D721" s="13"/>
      <c r="E721" s="18"/>
      <c r="F721" s="494"/>
    </row>
    <row r="722" spans="1:6" ht="15.75" customHeight="1" thickBot="1">
      <c r="A722" s="26"/>
      <c r="B722" s="26"/>
      <c r="C722" s="18"/>
      <c r="D722" s="13"/>
      <c r="E722" s="18"/>
      <c r="F722" s="494"/>
    </row>
    <row r="723" spans="1:6" ht="15.75" customHeight="1" thickBot="1">
      <c r="A723" s="26"/>
      <c r="B723" s="26"/>
      <c r="C723" s="18"/>
      <c r="D723" s="13"/>
      <c r="E723" s="18"/>
      <c r="F723" s="494"/>
    </row>
    <row r="724" spans="1:6" ht="15.75" customHeight="1" thickBot="1">
      <c r="A724" s="26"/>
      <c r="B724" s="26"/>
      <c r="C724" s="18"/>
      <c r="D724" s="13"/>
      <c r="E724" s="18"/>
      <c r="F724" s="494"/>
    </row>
    <row r="725" spans="1:6" ht="15.75" customHeight="1" thickBot="1">
      <c r="A725" s="26"/>
      <c r="B725" s="26"/>
      <c r="C725" s="18"/>
      <c r="D725" s="13"/>
      <c r="E725" s="18"/>
      <c r="F725" s="494"/>
    </row>
    <row r="726" spans="1:6" ht="15.75" customHeight="1" thickBot="1">
      <c r="A726" s="26"/>
      <c r="B726" s="26"/>
      <c r="C726" s="18"/>
      <c r="D726" s="13"/>
      <c r="E726" s="18"/>
      <c r="F726" s="494"/>
    </row>
    <row r="727" spans="1:6" ht="15.75" customHeight="1" thickBot="1">
      <c r="A727" s="26"/>
      <c r="B727" s="26"/>
      <c r="C727" s="18"/>
      <c r="D727" s="13"/>
      <c r="E727" s="18"/>
      <c r="F727" s="494"/>
    </row>
    <row r="728" spans="1:6" ht="15.75" customHeight="1" thickBot="1">
      <c r="A728" s="26"/>
      <c r="B728" s="26"/>
      <c r="C728" s="18"/>
      <c r="D728" s="13"/>
      <c r="E728" s="18"/>
      <c r="F728" s="494"/>
    </row>
    <row r="729" spans="1:6" ht="15.75" customHeight="1" thickBot="1">
      <c r="A729" s="26"/>
      <c r="B729" s="26"/>
      <c r="C729" s="18"/>
      <c r="D729" s="13"/>
      <c r="E729" s="18"/>
      <c r="F729" s="494"/>
    </row>
    <row r="730" spans="1:6" ht="15.75" customHeight="1" thickBot="1">
      <c r="A730" s="26"/>
      <c r="B730" s="26"/>
      <c r="C730" s="18"/>
      <c r="D730" s="13"/>
      <c r="E730" s="18"/>
      <c r="F730" s="494"/>
    </row>
    <row r="731" spans="1:6" ht="15.75" customHeight="1" thickBot="1">
      <c r="A731" s="26"/>
      <c r="B731" s="26"/>
      <c r="C731" s="18"/>
      <c r="D731" s="13"/>
      <c r="E731" s="18"/>
      <c r="F731" s="494"/>
    </row>
    <row r="732" spans="1:6" ht="15.75" customHeight="1" thickBot="1">
      <c r="A732" s="26"/>
      <c r="B732" s="26"/>
      <c r="C732" s="18"/>
      <c r="D732" s="13"/>
      <c r="E732" s="18"/>
      <c r="F732" s="494"/>
    </row>
    <row r="733" spans="1:6" ht="15.75" customHeight="1" thickBot="1">
      <c r="A733" s="26"/>
      <c r="B733" s="26"/>
      <c r="C733" s="18"/>
      <c r="D733" s="13"/>
      <c r="E733" s="18"/>
      <c r="F733" s="494"/>
    </row>
    <row r="734" spans="1:6" ht="15.75" customHeight="1" thickBot="1">
      <c r="A734" s="26"/>
      <c r="B734" s="26"/>
      <c r="C734" s="18"/>
      <c r="D734" s="13"/>
      <c r="E734" s="18"/>
      <c r="F734" s="494"/>
    </row>
    <row r="735" spans="1:6" ht="15.75" customHeight="1" thickBot="1">
      <c r="A735" s="26"/>
      <c r="B735" s="26"/>
      <c r="C735" s="18"/>
      <c r="D735" s="13"/>
      <c r="E735" s="18"/>
      <c r="F735" s="494"/>
    </row>
    <row r="736" spans="1:6" ht="15.75" customHeight="1" thickBot="1">
      <c r="A736" s="26"/>
      <c r="B736" s="26"/>
      <c r="C736" s="18"/>
      <c r="D736" s="13"/>
      <c r="E736" s="18"/>
      <c r="F736" s="494"/>
    </row>
    <row r="737" spans="1:6" ht="15.75" customHeight="1" thickBot="1">
      <c r="A737" s="26"/>
      <c r="B737" s="26"/>
      <c r="C737" s="18"/>
      <c r="D737" s="13"/>
      <c r="E737" s="18"/>
      <c r="F737" s="494"/>
    </row>
    <row r="738" spans="1:6" ht="15.75" customHeight="1" thickBot="1">
      <c r="A738" s="26"/>
      <c r="B738" s="26"/>
      <c r="C738" s="18"/>
      <c r="D738" s="13"/>
      <c r="E738" s="18"/>
      <c r="F738" s="494"/>
    </row>
    <row r="739" spans="1:6" ht="15.75" customHeight="1" thickBot="1">
      <c r="A739" s="26"/>
      <c r="B739" s="26"/>
      <c r="C739" s="18"/>
      <c r="D739" s="13"/>
      <c r="E739" s="18"/>
      <c r="F739" s="494"/>
    </row>
    <row r="740" spans="1:6" ht="15.75" customHeight="1" thickBot="1">
      <c r="A740" s="26"/>
      <c r="B740" s="26"/>
      <c r="C740" s="18"/>
      <c r="D740" s="13"/>
      <c r="E740" s="18"/>
      <c r="F740" s="494"/>
    </row>
    <row r="741" spans="1:6" ht="15.75" customHeight="1" thickBot="1">
      <c r="A741" s="26"/>
      <c r="B741" s="26"/>
      <c r="C741" s="18"/>
      <c r="D741" s="13"/>
      <c r="E741" s="18"/>
      <c r="F741" s="494"/>
    </row>
    <row r="742" spans="1:6" ht="15.75" customHeight="1" thickBot="1">
      <c r="A742" s="26"/>
      <c r="B742" s="26"/>
      <c r="C742" s="18"/>
      <c r="D742" s="13"/>
      <c r="E742" s="18"/>
      <c r="F742" s="494"/>
    </row>
    <row r="743" spans="1:6" ht="15.75" customHeight="1" thickBot="1">
      <c r="A743" s="26"/>
      <c r="B743" s="26"/>
      <c r="C743" s="18"/>
      <c r="D743" s="13"/>
      <c r="E743" s="18"/>
      <c r="F743" s="494"/>
    </row>
    <row r="744" spans="1:6" ht="15.75" customHeight="1" thickBot="1">
      <c r="A744" s="26"/>
      <c r="B744" s="26"/>
      <c r="C744" s="18"/>
      <c r="D744" s="13"/>
      <c r="E744" s="18"/>
      <c r="F744" s="494"/>
    </row>
    <row r="745" spans="1:6" ht="15.75" customHeight="1" thickBot="1">
      <c r="A745" s="26"/>
      <c r="B745" s="26"/>
      <c r="C745" s="18"/>
      <c r="D745" s="13"/>
      <c r="E745" s="18"/>
      <c r="F745" s="494"/>
    </row>
    <row r="746" spans="1:6" ht="15.75" customHeight="1" thickBot="1">
      <c r="A746" s="26"/>
      <c r="B746" s="26"/>
      <c r="C746" s="18"/>
      <c r="D746" s="13"/>
      <c r="E746" s="18"/>
      <c r="F746" s="494"/>
    </row>
    <row r="747" spans="1:6" ht="15.75" customHeight="1" thickBot="1">
      <c r="A747" s="26"/>
      <c r="B747" s="26"/>
      <c r="C747" s="18"/>
      <c r="D747" s="13"/>
      <c r="E747" s="18"/>
      <c r="F747" s="494"/>
    </row>
    <row r="748" spans="1:6" ht="15.75" customHeight="1" thickBot="1">
      <c r="A748" s="26"/>
      <c r="B748" s="26"/>
      <c r="C748" s="18"/>
      <c r="D748" s="13"/>
      <c r="E748" s="18"/>
      <c r="F748" s="494"/>
    </row>
    <row r="749" spans="1:6" ht="15.75" customHeight="1" thickBot="1">
      <c r="A749" s="26"/>
      <c r="B749" s="26"/>
      <c r="C749" s="18"/>
      <c r="D749" s="13"/>
      <c r="E749" s="18"/>
      <c r="F749" s="494"/>
    </row>
    <row r="750" spans="1:6" ht="15.75" customHeight="1" thickBot="1">
      <c r="A750" s="26"/>
      <c r="B750" s="26"/>
      <c r="C750" s="18"/>
      <c r="D750" s="13"/>
      <c r="E750" s="18"/>
      <c r="F750" s="494"/>
    </row>
    <row r="751" spans="1:6" ht="15.75" customHeight="1" thickBot="1">
      <c r="A751" s="26"/>
      <c r="B751" s="26"/>
      <c r="C751" s="18"/>
      <c r="D751" s="13"/>
      <c r="E751" s="18"/>
      <c r="F751" s="494"/>
    </row>
    <row r="752" spans="1:6" ht="15.75" customHeight="1" thickBot="1">
      <c r="A752" s="26"/>
      <c r="B752" s="26"/>
      <c r="C752" s="18"/>
      <c r="D752" s="13"/>
      <c r="E752" s="18"/>
      <c r="F752" s="494"/>
    </row>
    <row r="753" spans="1:6" ht="15.75" customHeight="1" thickBot="1">
      <c r="A753" s="26"/>
      <c r="B753" s="26"/>
      <c r="C753" s="18"/>
      <c r="D753" s="13"/>
      <c r="E753" s="18"/>
      <c r="F753" s="494"/>
    </row>
    <row r="754" spans="1:6" ht="15.75" customHeight="1" thickBot="1">
      <c r="A754" s="26"/>
      <c r="B754" s="26"/>
      <c r="C754" s="18"/>
      <c r="D754" s="13"/>
      <c r="E754" s="18"/>
      <c r="F754" s="494"/>
    </row>
    <row r="755" spans="1:6" ht="15.75" customHeight="1" thickBot="1">
      <c r="A755" s="26"/>
      <c r="B755" s="26"/>
      <c r="C755" s="18"/>
      <c r="D755" s="13"/>
      <c r="E755" s="18"/>
      <c r="F755" s="494"/>
    </row>
    <row r="756" spans="1:6" ht="15.75" customHeight="1" thickBot="1">
      <c r="A756" s="26"/>
      <c r="B756" s="26"/>
      <c r="C756" s="18"/>
      <c r="D756" s="13"/>
      <c r="E756" s="18"/>
      <c r="F756" s="494"/>
    </row>
    <row r="757" spans="1:6" ht="15.75" customHeight="1" thickBot="1">
      <c r="A757" s="26"/>
      <c r="B757" s="26"/>
      <c r="C757" s="18"/>
      <c r="D757" s="13"/>
      <c r="E757" s="18"/>
      <c r="F757" s="494"/>
    </row>
    <row r="758" spans="1:6" ht="15.75" customHeight="1" thickBot="1">
      <c r="A758" s="26"/>
      <c r="B758" s="26"/>
      <c r="C758" s="18"/>
      <c r="D758" s="13"/>
      <c r="E758" s="18"/>
      <c r="F758" s="494"/>
    </row>
    <row r="759" spans="1:6" ht="15.75" customHeight="1" thickBot="1">
      <c r="A759" s="26"/>
      <c r="B759" s="26"/>
      <c r="C759" s="18"/>
      <c r="D759" s="13"/>
      <c r="E759" s="18"/>
      <c r="F759" s="494"/>
    </row>
    <row r="760" spans="1:6" ht="15.75" customHeight="1" thickBot="1">
      <c r="A760" s="26"/>
      <c r="B760" s="26"/>
      <c r="C760" s="18"/>
      <c r="D760" s="13"/>
      <c r="E760" s="18"/>
      <c r="F760" s="494"/>
    </row>
    <row r="761" spans="1:6" ht="15.75" customHeight="1" thickBot="1">
      <c r="A761" s="26"/>
      <c r="B761" s="26"/>
      <c r="C761" s="18"/>
      <c r="D761" s="13"/>
      <c r="E761" s="18"/>
      <c r="F761" s="494"/>
    </row>
    <row r="762" spans="1:6" ht="15.75" customHeight="1" thickBot="1">
      <c r="A762" s="26"/>
      <c r="B762" s="26"/>
      <c r="C762" s="18"/>
      <c r="D762" s="13"/>
      <c r="E762" s="18"/>
      <c r="F762" s="494"/>
    </row>
    <row r="763" spans="1:6" ht="15.75" customHeight="1" thickBot="1">
      <c r="A763" s="26"/>
      <c r="B763" s="26"/>
      <c r="C763" s="18"/>
      <c r="D763" s="13"/>
      <c r="E763" s="18"/>
      <c r="F763" s="494"/>
    </row>
    <row r="764" spans="1:6" ht="15.75" customHeight="1" thickBot="1">
      <c r="A764" s="26"/>
      <c r="B764" s="26"/>
      <c r="C764" s="18"/>
      <c r="D764" s="13"/>
      <c r="E764" s="18"/>
      <c r="F764" s="494"/>
    </row>
    <row r="765" spans="1:6" ht="15.75" customHeight="1" thickBot="1">
      <c r="A765" s="26"/>
      <c r="B765" s="26"/>
      <c r="C765" s="18"/>
      <c r="D765" s="13"/>
      <c r="E765" s="18"/>
      <c r="F765" s="494"/>
    </row>
    <row r="766" spans="1:6" ht="15.75" customHeight="1" thickBot="1">
      <c r="A766" s="26"/>
      <c r="B766" s="26"/>
      <c r="C766" s="18"/>
      <c r="D766" s="13"/>
      <c r="E766" s="18"/>
      <c r="F766" s="494"/>
    </row>
    <row r="767" spans="1:6" ht="15.75" customHeight="1" thickBot="1">
      <c r="A767" s="26"/>
      <c r="B767" s="26"/>
      <c r="C767" s="18"/>
      <c r="D767" s="13"/>
      <c r="E767" s="18"/>
      <c r="F767" s="494"/>
    </row>
    <row r="768" spans="1:6" ht="15.75" customHeight="1" thickBot="1">
      <c r="A768" s="26"/>
      <c r="B768" s="26"/>
      <c r="C768" s="18"/>
      <c r="D768" s="13"/>
      <c r="E768" s="18"/>
      <c r="F768" s="494"/>
    </row>
    <row r="769" spans="1:6" ht="15.75" customHeight="1" thickBot="1">
      <c r="A769" s="26"/>
      <c r="B769" s="26"/>
      <c r="C769" s="18"/>
      <c r="D769" s="13"/>
      <c r="E769" s="18"/>
      <c r="F769" s="494"/>
    </row>
    <row r="770" spans="1:6" ht="15.75" customHeight="1" thickBot="1">
      <c r="A770" s="26"/>
      <c r="B770" s="26"/>
      <c r="C770" s="18"/>
      <c r="D770" s="13"/>
      <c r="E770" s="18"/>
      <c r="F770" s="494"/>
    </row>
    <row r="771" spans="1:6" ht="15.75" customHeight="1" thickBot="1">
      <c r="A771" s="26"/>
      <c r="B771" s="26"/>
      <c r="C771" s="18"/>
      <c r="D771" s="13"/>
      <c r="E771" s="18"/>
      <c r="F771" s="494"/>
    </row>
    <row r="772" spans="1:6" ht="15.75" customHeight="1" thickBot="1">
      <c r="A772" s="26"/>
      <c r="B772" s="26"/>
      <c r="C772" s="18"/>
      <c r="D772" s="13"/>
      <c r="E772" s="18"/>
      <c r="F772" s="494"/>
    </row>
    <row r="773" spans="1:6" ht="15.75" customHeight="1" thickBot="1">
      <c r="A773" s="26"/>
      <c r="B773" s="26"/>
      <c r="C773" s="18"/>
      <c r="D773" s="13"/>
      <c r="E773" s="18"/>
      <c r="F773" s="494"/>
    </row>
    <row r="774" spans="1:6" ht="15.75" customHeight="1" thickBot="1">
      <c r="A774" s="26"/>
      <c r="B774" s="26"/>
      <c r="C774" s="18"/>
      <c r="D774" s="13"/>
      <c r="E774" s="18"/>
      <c r="F774" s="494"/>
    </row>
    <row r="775" spans="1:6" ht="15.75" customHeight="1" thickBot="1">
      <c r="A775" s="26"/>
      <c r="B775" s="26"/>
      <c r="C775" s="18"/>
      <c r="D775" s="13"/>
      <c r="E775" s="18"/>
      <c r="F775" s="494"/>
    </row>
    <row r="776" spans="1:6" ht="15.75" customHeight="1" thickBot="1">
      <c r="A776" s="26"/>
      <c r="B776" s="26"/>
      <c r="C776" s="18"/>
      <c r="D776" s="13"/>
      <c r="E776" s="18"/>
      <c r="F776" s="494"/>
    </row>
    <row r="777" spans="1:6" ht="15.75" customHeight="1" thickBot="1">
      <c r="A777" s="26"/>
      <c r="B777" s="26"/>
      <c r="C777" s="18"/>
      <c r="D777" s="13"/>
      <c r="E777" s="18"/>
      <c r="F777" s="494"/>
    </row>
    <row r="778" spans="1:6" ht="15.75" customHeight="1" thickBot="1">
      <c r="A778" s="26"/>
      <c r="B778" s="26"/>
      <c r="C778" s="18"/>
      <c r="D778" s="13"/>
      <c r="E778" s="18"/>
      <c r="F778" s="494"/>
    </row>
    <row r="779" spans="1:6" ht="15.75" customHeight="1" thickBot="1">
      <c r="A779" s="26"/>
      <c r="B779" s="26"/>
      <c r="C779" s="18"/>
      <c r="D779" s="13"/>
      <c r="E779" s="18"/>
      <c r="F779" s="494"/>
    </row>
    <row r="780" spans="1:6" ht="15.75" customHeight="1" thickBot="1">
      <c r="A780" s="26"/>
      <c r="B780" s="26"/>
      <c r="C780" s="18"/>
      <c r="D780" s="13"/>
      <c r="E780" s="18"/>
      <c r="F780" s="494"/>
    </row>
    <row r="781" spans="1:6" ht="15.75" customHeight="1" thickBot="1">
      <c r="A781" s="26"/>
      <c r="B781" s="26"/>
      <c r="C781" s="18"/>
      <c r="D781" s="13"/>
      <c r="E781" s="18"/>
      <c r="F781" s="494"/>
    </row>
    <row r="782" spans="1:6" ht="15.75" customHeight="1" thickBot="1">
      <c r="A782" s="26"/>
      <c r="B782" s="26"/>
      <c r="C782" s="18"/>
      <c r="D782" s="13"/>
      <c r="E782" s="18"/>
      <c r="F782" s="494"/>
    </row>
    <row r="783" spans="1:6" ht="15.75" customHeight="1" thickBot="1">
      <c r="A783" s="26"/>
      <c r="B783" s="26"/>
      <c r="C783" s="18"/>
      <c r="D783" s="13"/>
      <c r="E783" s="18"/>
      <c r="F783" s="494"/>
    </row>
    <row r="784" spans="1:6" ht="15.75" customHeight="1" thickBot="1">
      <c r="A784" s="26"/>
      <c r="B784" s="26"/>
      <c r="C784" s="18"/>
      <c r="D784" s="13"/>
      <c r="E784" s="18"/>
      <c r="F784" s="494"/>
    </row>
    <row r="785" spans="1:6" ht="15.75" customHeight="1" thickBot="1">
      <c r="A785" s="26"/>
      <c r="B785" s="26"/>
      <c r="C785" s="18"/>
      <c r="D785" s="13"/>
      <c r="E785" s="18"/>
      <c r="F785" s="494"/>
    </row>
  </sheetData>
  <mergeCells count="8">
    <mergeCell ref="A3:F3"/>
    <mergeCell ref="A136:B136"/>
    <mergeCell ref="A147:B147"/>
    <mergeCell ref="A30:B30"/>
    <mergeCell ref="A34:B34"/>
    <mergeCell ref="A83:B83"/>
    <mergeCell ref="A86:B86"/>
    <mergeCell ref="A89:B89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53" orientation="portrait" horizontalDpi="300" verticalDpi="300" r:id="rId1"/>
  <rowBreaks count="4" manualBreakCount="4">
    <brk id="43" max="5" man="1"/>
    <brk id="80" max="5" man="1"/>
    <brk id="109" max="5" man="1"/>
    <brk id="149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DU576"/>
  <sheetViews>
    <sheetView view="pageBreakPreview" zoomScale="78" zoomScaleSheetLayoutView="78" workbookViewId="0"/>
  </sheetViews>
  <sheetFormatPr defaultRowHeight="19.5" thickBottom="1"/>
  <cols>
    <col min="1" max="1" width="93.7109375" style="222" customWidth="1"/>
    <col min="2" max="2" width="29.5703125" style="222" customWidth="1"/>
    <col min="3" max="3" width="21.42578125" style="223" customWidth="1"/>
    <col min="4" max="5" width="21.140625" style="214" customWidth="1"/>
    <col min="6" max="6" width="21.140625" style="515" customWidth="1"/>
    <col min="7" max="40" width="9.140625" style="214"/>
    <col min="41" max="41" width="9.140625" style="219"/>
    <col min="42" max="16384" width="9.140625" style="220"/>
  </cols>
  <sheetData>
    <row r="1" spans="1:41" s="213" customFormat="1" ht="18.75">
      <c r="A1" s="200" t="s">
        <v>423</v>
      </c>
      <c r="B1" s="211"/>
      <c r="C1" s="212"/>
      <c r="F1" s="514"/>
    </row>
    <row r="2" spans="1:41" s="214" customFormat="1" ht="18.75">
      <c r="A2" s="211"/>
      <c r="B2" s="211"/>
      <c r="C2" s="212"/>
      <c r="F2" s="515"/>
    </row>
    <row r="3" spans="1:41" s="214" customFormat="1" ht="41.25" customHeight="1">
      <c r="A3" s="656" t="s">
        <v>408</v>
      </c>
      <c r="B3" s="656"/>
      <c r="C3" s="656"/>
      <c r="D3" s="656"/>
      <c r="E3" s="656"/>
      <c r="F3" s="656"/>
    </row>
    <row r="4" spans="1:41" s="214" customFormat="1" ht="18.75">
      <c r="C4" s="212"/>
      <c r="F4" s="515"/>
    </row>
    <row r="5" spans="1:41" s="215" customFormat="1" thickBot="1">
      <c r="A5" s="214"/>
      <c r="B5" s="214"/>
      <c r="C5" s="214"/>
      <c r="D5" s="340"/>
      <c r="E5" s="477"/>
      <c r="F5" s="516" t="s">
        <v>4</v>
      </c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</row>
    <row r="6" spans="1:41" s="218" customFormat="1" ht="66.75" customHeight="1" thickBot="1">
      <c r="A6" s="293" t="s">
        <v>244</v>
      </c>
      <c r="B6" s="387"/>
      <c r="C6" s="321" t="s">
        <v>311</v>
      </c>
      <c r="D6" s="321" t="s">
        <v>352</v>
      </c>
      <c r="E6" s="295" t="s">
        <v>389</v>
      </c>
      <c r="F6" s="496" t="s">
        <v>390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7"/>
    </row>
    <row r="7" spans="1:41" s="218" customFormat="1" ht="33" customHeight="1" thickBot="1">
      <c r="A7" s="657" t="s">
        <v>310</v>
      </c>
      <c r="B7" s="658"/>
      <c r="C7" s="658"/>
      <c r="D7" s="658"/>
      <c r="E7" s="658"/>
      <c r="F7" s="659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7"/>
    </row>
    <row r="8" spans="1:41" s="196" customFormat="1" ht="22.5" customHeight="1" thickBot="1">
      <c r="A8" s="228" t="s">
        <v>86</v>
      </c>
      <c r="B8" s="229"/>
      <c r="C8" s="230">
        <v>120000</v>
      </c>
      <c r="D8" s="230">
        <v>120000</v>
      </c>
      <c r="E8" s="230">
        <v>0</v>
      </c>
      <c r="F8" s="517">
        <v>0</v>
      </c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5"/>
    </row>
    <row r="9" spans="1:41" s="196" customFormat="1" ht="22.5" customHeight="1" thickBot="1">
      <c r="A9" s="231" t="s">
        <v>53</v>
      </c>
      <c r="B9" s="229"/>
      <c r="C9" s="230"/>
      <c r="D9" s="230"/>
      <c r="E9" s="230"/>
      <c r="F9" s="517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5"/>
    </row>
    <row r="10" spans="1:41" s="196" customFormat="1" ht="30.75" customHeight="1" thickBot="1">
      <c r="A10" s="231" t="s">
        <v>120</v>
      </c>
      <c r="B10" s="229">
        <v>120000</v>
      </c>
      <c r="C10" s="230"/>
      <c r="D10" s="230"/>
      <c r="E10" s="230"/>
      <c r="F10" s="517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5"/>
    </row>
    <row r="11" spans="1:41" s="196" customFormat="1" ht="25.5" customHeight="1" thickBot="1">
      <c r="A11" s="228" t="s">
        <v>91</v>
      </c>
      <c r="B11" s="229"/>
      <c r="C11" s="230">
        <v>17671000</v>
      </c>
      <c r="D11" s="230">
        <v>17671000</v>
      </c>
      <c r="E11" s="230">
        <v>8796695</v>
      </c>
      <c r="F11" s="517">
        <f>E11/D11</f>
        <v>0.4978040292003848</v>
      </c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5"/>
    </row>
    <row r="12" spans="1:41" s="196" customFormat="1" ht="25.5" customHeight="1" thickBot="1">
      <c r="A12" s="231" t="s">
        <v>92</v>
      </c>
      <c r="B12" s="229">
        <v>17671000</v>
      </c>
      <c r="C12" s="230"/>
      <c r="D12" s="230"/>
      <c r="E12" s="230"/>
      <c r="F12" s="517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5"/>
    </row>
    <row r="13" spans="1:41" s="196" customFormat="1" ht="51" customHeight="1" thickBot="1">
      <c r="A13" s="228" t="s">
        <v>138</v>
      </c>
      <c r="B13" s="232"/>
      <c r="C13" s="230">
        <v>2083000</v>
      </c>
      <c r="D13" s="230">
        <v>2083000</v>
      </c>
      <c r="E13" s="230">
        <f>43897+621411</f>
        <v>665308</v>
      </c>
      <c r="F13" s="517">
        <f t="shared" ref="F13:F15" si="0">E13/D13</f>
        <v>0.31939894383101297</v>
      </c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5"/>
    </row>
    <row r="14" spans="1:41" s="196" customFormat="1" ht="34.5" customHeight="1" thickBot="1">
      <c r="A14" s="228" t="s">
        <v>139</v>
      </c>
      <c r="B14" s="232"/>
      <c r="C14" s="230">
        <v>3472000</v>
      </c>
      <c r="D14" s="230">
        <f>3472000+63000</f>
        <v>3535000</v>
      </c>
      <c r="E14" s="230">
        <v>572274</v>
      </c>
      <c r="F14" s="517">
        <f t="shared" si="0"/>
        <v>0.16188797736916549</v>
      </c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5"/>
    </row>
    <row r="15" spans="1:41" s="199" customFormat="1" ht="26.25" customHeight="1" thickBot="1">
      <c r="A15" s="228" t="s">
        <v>382</v>
      </c>
      <c r="B15" s="232"/>
      <c r="C15" s="230">
        <v>858000</v>
      </c>
      <c r="D15" s="230">
        <f>858000+730000</f>
        <v>1588000</v>
      </c>
      <c r="E15" s="230">
        <v>1023375</v>
      </c>
      <c r="F15" s="517">
        <f t="shared" si="0"/>
        <v>0.6444426952141058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8"/>
    </row>
    <row r="16" spans="1:41" s="199" customFormat="1" ht="44.25" customHeight="1" thickBot="1">
      <c r="A16" s="228" t="s">
        <v>106</v>
      </c>
      <c r="B16" s="232"/>
      <c r="C16" s="230">
        <v>22255000</v>
      </c>
      <c r="D16" s="230">
        <v>22255000</v>
      </c>
      <c r="E16" s="230">
        <f>8842100+2170151</f>
        <v>11012251</v>
      </c>
      <c r="F16" s="517">
        <f>E16/D16</f>
        <v>0.49482143338575602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8"/>
    </row>
    <row r="17" spans="1:125" s="196" customFormat="1" ht="24" customHeight="1" thickBot="1">
      <c r="A17" s="231" t="s">
        <v>107</v>
      </c>
      <c r="B17" s="229">
        <v>4533000</v>
      </c>
      <c r="C17" s="230"/>
      <c r="D17" s="230"/>
      <c r="E17" s="230"/>
      <c r="F17" s="517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5"/>
    </row>
    <row r="18" spans="1:125" s="196" customFormat="1" ht="24" customHeight="1" thickBot="1">
      <c r="A18" s="231" t="s">
        <v>108</v>
      </c>
      <c r="B18" s="229">
        <v>17722000</v>
      </c>
      <c r="C18" s="230"/>
      <c r="D18" s="230"/>
      <c r="E18" s="230"/>
      <c r="F18" s="517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5"/>
    </row>
    <row r="19" spans="1:125" s="199" customFormat="1" ht="23.25" customHeight="1" thickBot="1">
      <c r="A19" s="535" t="s">
        <v>112</v>
      </c>
      <c r="B19" s="238"/>
      <c r="C19" s="230"/>
      <c r="D19" s="230"/>
      <c r="E19" s="230">
        <v>696392</v>
      </c>
      <c r="F19" s="517">
        <v>0</v>
      </c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8"/>
      <c r="AP19" s="164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  <c r="DT19" s="197"/>
      <c r="DU19" s="197"/>
    </row>
    <row r="20" spans="1:125" s="199" customFormat="1" ht="24" customHeight="1" thickBot="1">
      <c r="A20" s="663" t="s">
        <v>383</v>
      </c>
      <c r="B20" s="664"/>
      <c r="C20" s="230"/>
      <c r="D20" s="230">
        <v>2200000</v>
      </c>
      <c r="E20" s="230">
        <v>660000</v>
      </c>
      <c r="F20" s="517">
        <f>E20/D20</f>
        <v>0.3</v>
      </c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8"/>
    </row>
    <row r="21" spans="1:125" s="203" customFormat="1" ht="31.5" customHeight="1" thickBot="1">
      <c r="A21" s="322" t="s">
        <v>312</v>
      </c>
      <c r="B21" s="323"/>
      <c r="C21" s="324">
        <f>SUM(C8:C18)</f>
        <v>46459000</v>
      </c>
      <c r="D21" s="324">
        <f>SUM(D8:D20)</f>
        <v>49452000</v>
      </c>
      <c r="E21" s="324">
        <f t="shared" ref="E21" si="1">SUM(E8:E20)</f>
        <v>23426295</v>
      </c>
      <c r="F21" s="518">
        <f>SUM(E21/D21)</f>
        <v>0.47371784760980346</v>
      </c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2"/>
    </row>
    <row r="22" spans="1:125" s="203" customFormat="1" ht="31.5" customHeight="1" thickBot="1">
      <c r="A22" s="224"/>
      <c r="B22" s="226"/>
      <c r="C22" s="235"/>
      <c r="D22" s="388"/>
      <c r="E22" s="388"/>
      <c r="F22" s="519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2"/>
    </row>
    <row r="23" spans="1:125" s="218" customFormat="1" ht="33" customHeight="1" thickBot="1">
      <c r="A23" s="660" t="s">
        <v>313</v>
      </c>
      <c r="B23" s="661"/>
      <c r="C23" s="661"/>
      <c r="D23" s="661"/>
      <c r="E23" s="661"/>
      <c r="F23" s="662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7"/>
    </row>
    <row r="24" spans="1:125" s="196" customFormat="1" ht="22.5" customHeight="1" thickBot="1">
      <c r="A24" s="228" t="s">
        <v>86</v>
      </c>
      <c r="B24" s="229"/>
      <c r="C24" s="230">
        <v>32000</v>
      </c>
      <c r="D24" s="230">
        <v>32000</v>
      </c>
      <c r="E24" s="230">
        <v>0</v>
      </c>
      <c r="F24" s="517">
        <v>0</v>
      </c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5"/>
    </row>
    <row r="25" spans="1:125" s="196" customFormat="1" ht="22.5" customHeight="1" thickBot="1">
      <c r="A25" s="231" t="s">
        <v>53</v>
      </c>
      <c r="B25" s="229"/>
      <c r="C25" s="230"/>
      <c r="D25" s="230"/>
      <c r="E25" s="230"/>
      <c r="F25" s="517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5"/>
    </row>
    <row r="26" spans="1:125" s="196" customFormat="1" ht="30.75" customHeight="1" thickBot="1">
      <c r="A26" s="231" t="s">
        <v>314</v>
      </c>
      <c r="B26" s="229">
        <v>32000</v>
      </c>
      <c r="C26" s="230"/>
      <c r="D26" s="230"/>
      <c r="E26" s="230"/>
      <c r="F26" s="517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5"/>
    </row>
    <row r="27" spans="1:125" s="196" customFormat="1" ht="25.5" customHeight="1" thickBot="1">
      <c r="A27" s="228" t="s">
        <v>91</v>
      </c>
      <c r="B27" s="229"/>
      <c r="C27" s="230">
        <v>4093000</v>
      </c>
      <c r="D27" s="230">
        <v>4093000</v>
      </c>
      <c r="E27" s="230">
        <v>2103775</v>
      </c>
      <c r="F27" s="517">
        <f>E27/D27</f>
        <v>0.51399340337161004</v>
      </c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5"/>
    </row>
    <row r="28" spans="1:125" s="196" customFormat="1" ht="25.5" customHeight="1" thickBot="1">
      <c r="A28" s="231" t="s">
        <v>92</v>
      </c>
      <c r="B28" s="229">
        <v>4093000</v>
      </c>
      <c r="C28" s="230"/>
      <c r="D28" s="230"/>
      <c r="E28" s="230"/>
      <c r="F28" s="517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5"/>
    </row>
    <row r="29" spans="1:125" s="196" customFormat="1" ht="51" customHeight="1" thickBot="1">
      <c r="A29" s="228" t="s">
        <v>138</v>
      </c>
      <c r="B29" s="232"/>
      <c r="C29" s="230">
        <v>917000</v>
      </c>
      <c r="D29" s="230">
        <v>917000</v>
      </c>
      <c r="E29" s="230">
        <f>30407</f>
        <v>30407</v>
      </c>
      <c r="F29" s="517">
        <f t="shared" ref="F29:F36" si="2">E29/D29</f>
        <v>3.3159214830970556E-2</v>
      </c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5"/>
    </row>
    <row r="30" spans="1:125" s="196" customFormat="1" ht="34.5" customHeight="1" thickBot="1">
      <c r="A30" s="228" t="s">
        <v>139</v>
      </c>
      <c r="B30" s="232"/>
      <c r="C30" s="230">
        <v>1528000</v>
      </c>
      <c r="D30" s="230">
        <v>1528000</v>
      </c>
      <c r="E30" s="230">
        <f>256869+11396</f>
        <v>268265</v>
      </c>
      <c r="F30" s="517">
        <f t="shared" si="2"/>
        <v>0.17556609947643978</v>
      </c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5"/>
    </row>
    <row r="31" spans="1:125" s="199" customFormat="1" ht="27" customHeight="1" thickBot="1">
      <c r="A31" s="228" t="s">
        <v>382</v>
      </c>
      <c r="B31" s="232"/>
      <c r="C31" s="230">
        <v>189000</v>
      </c>
      <c r="D31" s="230">
        <f>189000+176165</f>
        <v>365165</v>
      </c>
      <c r="E31" s="230">
        <v>295103</v>
      </c>
      <c r="F31" s="517">
        <f t="shared" si="2"/>
        <v>0.80813604808785067</v>
      </c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8"/>
    </row>
    <row r="32" spans="1:125" s="199" customFormat="1" ht="44.25" customHeight="1" thickBot="1">
      <c r="A32" s="228" t="s">
        <v>106</v>
      </c>
      <c r="B32" s="232"/>
      <c r="C32" s="230"/>
      <c r="D32" s="230"/>
      <c r="E32" s="230"/>
      <c r="F32" s="51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8"/>
    </row>
    <row r="33" spans="1:125" s="196" customFormat="1" ht="24" customHeight="1" thickBot="1">
      <c r="A33" s="231" t="s">
        <v>107</v>
      </c>
      <c r="B33" s="229">
        <v>997000</v>
      </c>
      <c r="C33" s="230">
        <v>4896000</v>
      </c>
      <c r="D33" s="230">
        <v>4896000</v>
      </c>
      <c r="E33" s="230">
        <f>1819969+499610</f>
        <v>2319579</v>
      </c>
      <c r="F33" s="517">
        <f t="shared" si="2"/>
        <v>0.47377022058823531</v>
      </c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5"/>
    </row>
    <row r="34" spans="1:125" s="196" customFormat="1" ht="24" customHeight="1" thickBot="1">
      <c r="A34" s="231" t="s">
        <v>108</v>
      </c>
      <c r="B34" s="229">
        <v>3899000</v>
      </c>
      <c r="C34" s="230"/>
      <c r="D34" s="230"/>
      <c r="E34" s="230"/>
      <c r="F34" s="517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5"/>
    </row>
    <row r="35" spans="1:125" s="199" customFormat="1" ht="24.75" customHeight="1" thickBot="1">
      <c r="A35" s="535" t="s">
        <v>112</v>
      </c>
      <c r="B35" s="238"/>
      <c r="C35" s="230"/>
      <c r="D35" s="230"/>
      <c r="E35" s="230">
        <v>515237</v>
      </c>
      <c r="F35" s="517">
        <v>0</v>
      </c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8"/>
      <c r="AP35" s="164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</row>
    <row r="36" spans="1:125" s="199" customFormat="1" ht="24" customHeight="1" thickBot="1">
      <c r="A36" s="663" t="s">
        <v>383</v>
      </c>
      <c r="B36" s="664"/>
      <c r="C36" s="230"/>
      <c r="D36" s="230">
        <v>484000</v>
      </c>
      <c r="E36" s="230">
        <f>145200-419</f>
        <v>144781</v>
      </c>
      <c r="F36" s="517">
        <f t="shared" si="2"/>
        <v>0.29913429752066117</v>
      </c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8"/>
    </row>
    <row r="37" spans="1:125" s="203" customFormat="1" ht="31.5" customHeight="1" thickBot="1">
      <c r="A37" s="322" t="s">
        <v>315</v>
      </c>
      <c r="B37" s="323"/>
      <c r="C37" s="324">
        <f>SUM(C24:C36)</f>
        <v>11655000</v>
      </c>
      <c r="D37" s="324">
        <f>SUM(D24:D36)</f>
        <v>12315165</v>
      </c>
      <c r="E37" s="324">
        <f t="shared" ref="E37" si="3">SUM(E24:E36)</f>
        <v>5677147</v>
      </c>
      <c r="F37" s="518">
        <f>SUM(E37/D37)</f>
        <v>0.46098830182137229</v>
      </c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2"/>
    </row>
    <row r="38" spans="1:125" s="203" customFormat="1" ht="31.5" customHeight="1" thickBot="1">
      <c r="A38" s="224"/>
      <c r="B38" s="226"/>
      <c r="C38" s="235"/>
      <c r="D38" s="388"/>
      <c r="E38" s="388"/>
      <c r="F38" s="519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2"/>
    </row>
    <row r="39" spans="1:125" s="218" customFormat="1" ht="33" customHeight="1" thickBot="1">
      <c r="A39" s="660" t="s">
        <v>316</v>
      </c>
      <c r="B39" s="661"/>
      <c r="C39" s="661"/>
      <c r="D39" s="661"/>
      <c r="E39" s="661"/>
      <c r="F39" s="662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7"/>
    </row>
    <row r="40" spans="1:125" s="196" customFormat="1" ht="21" customHeight="1" thickBot="1">
      <c r="A40" s="228" t="s">
        <v>78</v>
      </c>
      <c r="B40" s="229"/>
      <c r="C40" s="230">
        <v>57800000</v>
      </c>
      <c r="D40" s="389">
        <v>57800000</v>
      </c>
      <c r="E40" s="389">
        <v>0</v>
      </c>
      <c r="F40" s="520">
        <v>0</v>
      </c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5"/>
    </row>
    <row r="41" spans="1:125" s="199" customFormat="1" ht="28.5" customHeight="1" thickBot="1">
      <c r="A41" s="228" t="s">
        <v>254</v>
      </c>
      <c r="B41" s="232"/>
      <c r="C41" s="230">
        <v>2000000</v>
      </c>
      <c r="D41" s="389">
        <v>2000000</v>
      </c>
      <c r="E41" s="389">
        <v>0</v>
      </c>
      <c r="F41" s="520">
        <v>0</v>
      </c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8"/>
    </row>
    <row r="42" spans="1:125" s="199" customFormat="1" ht="23.25" customHeight="1" thickBot="1">
      <c r="A42" s="228" t="s">
        <v>255</v>
      </c>
      <c r="B42" s="238"/>
      <c r="C42" s="230">
        <v>2300000</v>
      </c>
      <c r="D42" s="389">
        <f>SUM(B43:B44)</f>
        <v>2522250</v>
      </c>
      <c r="E42" s="389">
        <v>222250</v>
      </c>
      <c r="F42" s="520">
        <f>E42/D42</f>
        <v>8.8115769650113987E-2</v>
      </c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8"/>
      <c r="AP42" s="164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197"/>
      <c r="CA42" s="197"/>
      <c r="CB42" s="197"/>
      <c r="CC42" s="197"/>
      <c r="CD42" s="197"/>
      <c r="CE42" s="197"/>
      <c r="CF42" s="197"/>
      <c r="CG42" s="197"/>
      <c r="CH42" s="197"/>
      <c r="CI42" s="197"/>
      <c r="CJ42" s="197"/>
      <c r="CK42" s="197"/>
      <c r="CL42" s="197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/>
      <c r="DI42" s="197"/>
      <c r="DJ42" s="197"/>
      <c r="DK42" s="197"/>
      <c r="DL42" s="197"/>
      <c r="DM42" s="197"/>
      <c r="DN42" s="197"/>
      <c r="DO42" s="197"/>
      <c r="DP42" s="197"/>
      <c r="DQ42" s="197"/>
      <c r="DR42" s="197"/>
      <c r="DS42" s="197"/>
      <c r="DT42" s="197"/>
      <c r="DU42" s="197"/>
    </row>
    <row r="43" spans="1:125" s="199" customFormat="1" ht="19.5" customHeight="1" thickBot="1">
      <c r="A43" s="231" t="s">
        <v>256</v>
      </c>
      <c r="B43" s="241">
        <v>1000000</v>
      </c>
      <c r="C43" s="230"/>
      <c r="D43" s="389"/>
      <c r="E43" s="389"/>
      <c r="F43" s="520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8"/>
      <c r="AP43" s="164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7"/>
      <c r="BY43" s="197"/>
      <c r="BZ43" s="197"/>
      <c r="CA43" s="197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/>
      <c r="DI43" s="197"/>
      <c r="DJ43" s="197"/>
      <c r="DK43" s="197"/>
      <c r="DL43" s="197"/>
      <c r="DM43" s="197"/>
      <c r="DN43" s="197"/>
      <c r="DO43" s="197"/>
      <c r="DP43" s="197"/>
      <c r="DQ43" s="197"/>
      <c r="DR43" s="197"/>
      <c r="DS43" s="197"/>
      <c r="DT43" s="197"/>
      <c r="DU43" s="197"/>
    </row>
    <row r="44" spans="1:125" s="199" customFormat="1" ht="19.5" customHeight="1" thickBot="1">
      <c r="A44" s="231" t="s">
        <v>257</v>
      </c>
      <c r="B44" s="241">
        <f>1300000+222250</f>
        <v>1522250</v>
      </c>
      <c r="C44" s="230"/>
      <c r="D44" s="389"/>
      <c r="E44" s="389"/>
      <c r="F44" s="520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8"/>
      <c r="AP44" s="164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/>
      <c r="CA44" s="197"/>
      <c r="CB44" s="197"/>
      <c r="CC44" s="197"/>
      <c r="CD44" s="197"/>
      <c r="CE44" s="197"/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/>
      <c r="DI44" s="197"/>
      <c r="DJ44" s="197"/>
      <c r="DK44" s="197"/>
      <c r="DL44" s="197"/>
      <c r="DM44" s="197"/>
      <c r="DN44" s="197"/>
      <c r="DO44" s="197"/>
      <c r="DP44" s="197"/>
      <c r="DQ44" s="197"/>
      <c r="DR44" s="197"/>
      <c r="DS44" s="197"/>
      <c r="DT44" s="197"/>
      <c r="DU44" s="197"/>
    </row>
    <row r="45" spans="1:125" s="196" customFormat="1" ht="27" customHeight="1" thickBot="1">
      <c r="A45" s="228" t="s">
        <v>79</v>
      </c>
      <c r="B45" s="241"/>
      <c r="C45" s="230">
        <v>5283000</v>
      </c>
      <c r="D45" s="389">
        <v>5283000</v>
      </c>
      <c r="E45" s="389">
        <v>3438862</v>
      </c>
      <c r="F45" s="520">
        <f>E45/D45</f>
        <v>0.65092977474919556</v>
      </c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5"/>
      <c r="AP45" s="163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194"/>
      <c r="DF45" s="194"/>
      <c r="DG45" s="194"/>
      <c r="DH45" s="194"/>
      <c r="DI45" s="194"/>
      <c r="DJ45" s="194"/>
      <c r="DK45" s="194"/>
      <c r="DL45" s="194"/>
      <c r="DM45" s="194"/>
      <c r="DN45" s="194"/>
      <c r="DO45" s="194"/>
      <c r="DP45" s="194"/>
      <c r="DQ45" s="194"/>
      <c r="DR45" s="194"/>
      <c r="DS45" s="194"/>
      <c r="DT45" s="194"/>
      <c r="DU45" s="194"/>
    </row>
    <row r="46" spans="1:125" s="196" customFormat="1" ht="39.75" customHeight="1" thickBot="1">
      <c r="A46" s="231" t="s">
        <v>307</v>
      </c>
      <c r="B46" s="244">
        <v>4000000</v>
      </c>
      <c r="C46" s="230"/>
      <c r="D46" s="389"/>
      <c r="E46" s="389"/>
      <c r="F46" s="520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5"/>
      <c r="AP46" s="163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  <c r="DB46" s="194"/>
      <c r="DC46" s="194"/>
      <c r="DD46" s="194"/>
      <c r="DE46" s="194"/>
      <c r="DF46" s="194"/>
      <c r="DG46" s="194"/>
      <c r="DH46" s="194"/>
      <c r="DI46" s="194"/>
      <c r="DJ46" s="194"/>
      <c r="DK46" s="194"/>
      <c r="DL46" s="194"/>
      <c r="DM46" s="194"/>
      <c r="DN46" s="194"/>
      <c r="DO46" s="194"/>
      <c r="DP46" s="194"/>
      <c r="DQ46" s="194"/>
      <c r="DR46" s="194"/>
      <c r="DS46" s="194"/>
      <c r="DT46" s="194"/>
      <c r="DU46" s="194"/>
    </row>
    <row r="47" spans="1:125" s="196" customFormat="1" ht="21" customHeight="1" thickBot="1">
      <c r="A47" s="231" t="s">
        <v>299</v>
      </c>
      <c r="B47" s="244">
        <v>1283000</v>
      </c>
      <c r="C47" s="230"/>
      <c r="D47" s="389"/>
      <c r="E47" s="389"/>
      <c r="F47" s="520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5"/>
      <c r="AP47" s="163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194"/>
      <c r="DU47" s="194"/>
    </row>
    <row r="48" spans="1:125" s="196" customFormat="1" ht="22.5" customHeight="1" thickBot="1">
      <c r="A48" s="228" t="s">
        <v>80</v>
      </c>
      <c r="B48" s="241"/>
      <c r="C48" s="230">
        <v>150000</v>
      </c>
      <c r="D48" s="389">
        <v>150000</v>
      </c>
      <c r="E48" s="389">
        <v>0</v>
      </c>
      <c r="F48" s="520">
        <v>0</v>
      </c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5"/>
    </row>
    <row r="49" spans="1:125" s="196" customFormat="1" ht="22.5" customHeight="1" thickBot="1">
      <c r="A49" s="228" t="s">
        <v>81</v>
      </c>
      <c r="B49" s="241"/>
      <c r="C49" s="230">
        <v>340000</v>
      </c>
      <c r="D49" s="389">
        <v>340000</v>
      </c>
      <c r="E49" s="389">
        <v>0</v>
      </c>
      <c r="F49" s="520">
        <v>0</v>
      </c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5"/>
    </row>
    <row r="50" spans="1:125" s="196" customFormat="1" ht="22.5" customHeight="1" thickBot="1">
      <c r="A50" s="231" t="s">
        <v>53</v>
      </c>
      <c r="B50" s="241"/>
      <c r="C50" s="230"/>
      <c r="D50" s="389"/>
      <c r="E50" s="389"/>
      <c r="F50" s="520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5"/>
    </row>
    <row r="51" spans="1:125" s="196" customFormat="1" ht="32.25" thickBot="1">
      <c r="A51" s="231" t="s">
        <v>82</v>
      </c>
      <c r="B51" s="241">
        <v>300000</v>
      </c>
      <c r="C51" s="230"/>
      <c r="D51" s="389"/>
      <c r="E51" s="389"/>
      <c r="F51" s="520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5"/>
    </row>
    <row r="52" spans="1:125" s="196" customFormat="1" ht="22.5" customHeight="1" thickBot="1">
      <c r="A52" s="231" t="s">
        <v>83</v>
      </c>
      <c r="B52" s="241">
        <v>40000</v>
      </c>
      <c r="C52" s="230"/>
      <c r="D52" s="389"/>
      <c r="E52" s="389"/>
      <c r="F52" s="520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5"/>
    </row>
    <row r="53" spans="1:125" s="196" customFormat="1" ht="22.5" customHeight="1" thickBot="1">
      <c r="A53" s="228" t="s">
        <v>84</v>
      </c>
      <c r="B53" s="241"/>
      <c r="C53" s="230">
        <v>1050000</v>
      </c>
      <c r="D53" s="230">
        <v>1050000</v>
      </c>
      <c r="E53" s="389">
        <v>0</v>
      </c>
      <c r="F53" s="520">
        <v>0</v>
      </c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5"/>
      <c r="AP53" s="163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194"/>
      <c r="CZ53" s="194"/>
      <c r="DA53" s="194"/>
      <c r="DB53" s="194"/>
      <c r="DC53" s="194"/>
      <c r="DD53" s="194"/>
      <c r="DE53" s="194"/>
      <c r="DF53" s="194"/>
      <c r="DG53" s="194"/>
      <c r="DH53" s="194"/>
      <c r="DI53" s="194"/>
      <c r="DJ53" s="194"/>
      <c r="DK53" s="194"/>
      <c r="DL53" s="194"/>
      <c r="DM53" s="194"/>
      <c r="DN53" s="194"/>
      <c r="DO53" s="194"/>
      <c r="DP53" s="194"/>
      <c r="DQ53" s="194"/>
      <c r="DR53" s="194"/>
      <c r="DS53" s="194"/>
      <c r="DT53" s="194"/>
      <c r="DU53" s="194"/>
    </row>
    <row r="54" spans="1:125" s="196" customFormat="1" ht="22.5" customHeight="1" thickBot="1">
      <c r="A54" s="231" t="s">
        <v>53</v>
      </c>
      <c r="B54" s="241"/>
      <c r="C54" s="230"/>
      <c r="D54" s="230"/>
      <c r="E54" s="230"/>
      <c r="F54" s="517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5"/>
      <c r="AP54" s="163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194"/>
      <c r="CZ54" s="194"/>
      <c r="DA54" s="194"/>
      <c r="DB54" s="194"/>
      <c r="DC54" s="194"/>
      <c r="DD54" s="194"/>
      <c r="DE54" s="194"/>
      <c r="DF54" s="194"/>
      <c r="DG54" s="194"/>
      <c r="DH54" s="194"/>
      <c r="DI54" s="194"/>
      <c r="DJ54" s="194"/>
      <c r="DK54" s="194"/>
      <c r="DL54" s="194"/>
      <c r="DM54" s="194"/>
      <c r="DN54" s="194"/>
      <c r="DO54" s="194"/>
      <c r="DP54" s="194"/>
      <c r="DQ54" s="194"/>
      <c r="DR54" s="194"/>
      <c r="DS54" s="194"/>
      <c r="DT54" s="194"/>
      <c r="DU54" s="194"/>
    </row>
    <row r="55" spans="1:125" s="196" customFormat="1" ht="22.5" customHeight="1" thickBot="1">
      <c r="A55" s="231" t="s">
        <v>85</v>
      </c>
      <c r="B55" s="241">
        <v>50000</v>
      </c>
      <c r="C55" s="230"/>
      <c r="D55" s="230"/>
      <c r="E55" s="230"/>
      <c r="F55" s="517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5"/>
      <c r="AP55" s="163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</row>
    <row r="56" spans="1:125" s="196" customFormat="1" ht="22.5" customHeight="1" thickBot="1">
      <c r="A56" s="231" t="s">
        <v>267</v>
      </c>
      <c r="B56" s="241">
        <v>1000000</v>
      </c>
      <c r="C56" s="230"/>
      <c r="D56" s="230"/>
      <c r="E56" s="230"/>
      <c r="F56" s="517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5"/>
      <c r="AP56" s="163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</row>
    <row r="57" spans="1:125" s="196" customFormat="1" ht="22.5" customHeight="1" thickBot="1">
      <c r="A57" s="228" t="s">
        <v>86</v>
      </c>
      <c r="B57" s="229"/>
      <c r="C57" s="230">
        <v>1057000</v>
      </c>
      <c r="D57" s="230">
        <v>1057000</v>
      </c>
      <c r="E57" s="230">
        <f>227190+64976</f>
        <v>292166</v>
      </c>
      <c r="F57" s="517">
        <f>E57/D57</f>
        <v>0.27641059602649004</v>
      </c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5"/>
    </row>
    <row r="58" spans="1:125" s="196" customFormat="1" ht="22.5" customHeight="1" thickBot="1">
      <c r="A58" s="231" t="s">
        <v>53</v>
      </c>
      <c r="B58" s="229"/>
      <c r="C58" s="230"/>
      <c r="D58" s="230"/>
      <c r="E58" s="230"/>
      <c r="F58" s="517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5"/>
    </row>
    <row r="59" spans="1:125" s="196" customFormat="1" ht="43.5" customHeight="1" thickBot="1">
      <c r="A59" s="231" t="s">
        <v>119</v>
      </c>
      <c r="B59" s="229">
        <v>909000</v>
      </c>
      <c r="C59" s="230"/>
      <c r="D59" s="230"/>
      <c r="E59" s="230"/>
      <c r="F59" s="517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5"/>
    </row>
    <row r="60" spans="1:125" s="196" customFormat="1" ht="30.75" customHeight="1" thickBot="1">
      <c r="A60" s="231" t="s">
        <v>120</v>
      </c>
      <c r="B60" s="229">
        <v>148000</v>
      </c>
      <c r="C60" s="230"/>
      <c r="D60" s="230"/>
      <c r="E60" s="230"/>
      <c r="F60" s="517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5"/>
    </row>
    <row r="61" spans="1:125" s="196" customFormat="1" ht="39" customHeight="1" thickBot="1">
      <c r="A61" s="228" t="s">
        <v>281</v>
      </c>
      <c r="B61" s="229"/>
      <c r="C61" s="230">
        <v>33998000</v>
      </c>
      <c r="D61" s="230">
        <v>33998000</v>
      </c>
      <c r="E61" s="230">
        <v>11074000</v>
      </c>
      <c r="F61" s="517">
        <f>E61/D61</f>
        <v>0.32572504264956764</v>
      </c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5"/>
    </row>
    <row r="62" spans="1:125" s="196" customFormat="1" ht="27.75" customHeight="1" thickBot="1">
      <c r="A62" s="231" t="s">
        <v>90</v>
      </c>
      <c r="B62" s="229"/>
      <c r="C62" s="230"/>
      <c r="D62" s="230"/>
      <c r="E62" s="230"/>
      <c r="F62" s="517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5"/>
    </row>
    <row r="63" spans="1:125" s="196" customFormat="1" ht="37.5" customHeight="1" thickBot="1">
      <c r="A63" s="231" t="s">
        <v>268</v>
      </c>
      <c r="B63" s="229">
        <v>3263000</v>
      </c>
      <c r="C63" s="230"/>
      <c r="D63" s="230"/>
      <c r="E63" s="230"/>
      <c r="F63" s="517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5"/>
    </row>
    <row r="64" spans="1:125" s="196" customFormat="1" ht="24.75" customHeight="1" thickBot="1">
      <c r="A64" s="231" t="s">
        <v>269</v>
      </c>
      <c r="B64" s="229">
        <v>30735000</v>
      </c>
      <c r="C64" s="230"/>
      <c r="D64" s="230"/>
      <c r="E64" s="230"/>
      <c r="F64" s="517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5"/>
    </row>
    <row r="65" spans="1:125" s="218" customFormat="1" ht="66.75" customHeight="1" thickBot="1">
      <c r="A65" s="293" t="s">
        <v>244</v>
      </c>
      <c r="B65" s="320"/>
      <c r="C65" s="321" t="s">
        <v>311</v>
      </c>
      <c r="D65" s="390" t="s">
        <v>352</v>
      </c>
      <c r="E65" s="390" t="s">
        <v>352</v>
      </c>
      <c r="F65" s="521" t="s">
        <v>352</v>
      </c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7"/>
    </row>
    <row r="66" spans="1:125" s="199" customFormat="1" ht="32.25" customHeight="1" thickBot="1">
      <c r="A66" s="228" t="s">
        <v>127</v>
      </c>
      <c r="B66" s="238"/>
      <c r="C66" s="230">
        <v>1600000</v>
      </c>
      <c r="D66" s="230">
        <f>SUM(B67:B68)</f>
        <v>4800000</v>
      </c>
      <c r="E66" s="230">
        <v>1629566</v>
      </c>
      <c r="F66" s="517">
        <f>E66/D66</f>
        <v>0.33949291666666664</v>
      </c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8"/>
      <c r="AP66" s="164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7"/>
      <c r="BJ66" s="197"/>
      <c r="BK66" s="197"/>
      <c r="BL66" s="197"/>
      <c r="BM66" s="197"/>
      <c r="BN66" s="197"/>
      <c r="BO66" s="197"/>
      <c r="BP66" s="197"/>
      <c r="BQ66" s="197"/>
      <c r="BR66" s="197"/>
      <c r="BS66" s="197"/>
      <c r="BT66" s="197"/>
      <c r="BU66" s="197"/>
      <c r="BV66" s="197"/>
      <c r="BW66" s="197"/>
      <c r="BX66" s="197"/>
      <c r="BY66" s="197"/>
      <c r="BZ66" s="197"/>
      <c r="CA66" s="197"/>
      <c r="CB66" s="197"/>
      <c r="CC66" s="197"/>
      <c r="CD66" s="197"/>
      <c r="CE66" s="197"/>
      <c r="CF66" s="197"/>
      <c r="CG66" s="197"/>
      <c r="CH66" s="197"/>
      <c r="CI66" s="197"/>
      <c r="CJ66" s="197"/>
      <c r="CK66" s="197"/>
      <c r="CL66" s="197"/>
      <c r="CM66" s="197"/>
      <c r="CN66" s="197"/>
      <c r="CO66" s="197"/>
      <c r="CP66" s="197"/>
      <c r="CQ66" s="197"/>
      <c r="CR66" s="197"/>
      <c r="CS66" s="197"/>
      <c r="CT66" s="197"/>
      <c r="CU66" s="197"/>
      <c r="CV66" s="197"/>
      <c r="CW66" s="197"/>
      <c r="CX66" s="197"/>
      <c r="CY66" s="197"/>
      <c r="CZ66" s="197"/>
      <c r="DA66" s="197"/>
      <c r="DB66" s="197"/>
      <c r="DC66" s="197"/>
      <c r="DD66" s="197"/>
      <c r="DE66" s="197"/>
      <c r="DF66" s="197"/>
      <c r="DG66" s="197"/>
      <c r="DH66" s="197"/>
      <c r="DI66" s="197"/>
      <c r="DJ66" s="197"/>
      <c r="DK66" s="197"/>
      <c r="DL66" s="197"/>
      <c r="DM66" s="197"/>
      <c r="DN66" s="197"/>
      <c r="DO66" s="197"/>
      <c r="DP66" s="197"/>
      <c r="DQ66" s="197"/>
      <c r="DR66" s="197"/>
      <c r="DS66" s="197"/>
      <c r="DT66" s="197"/>
      <c r="DU66" s="197"/>
    </row>
    <row r="67" spans="1:125" s="196" customFormat="1" ht="87.75" customHeight="1" thickBot="1">
      <c r="A67" s="231" t="s">
        <v>285</v>
      </c>
      <c r="B67" s="241">
        <v>1600000</v>
      </c>
      <c r="C67" s="233"/>
      <c r="D67" s="233"/>
      <c r="E67" s="233"/>
      <c r="F67" s="522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5"/>
      <c r="AP67" s="163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  <c r="CW67" s="194"/>
      <c r="CX67" s="194"/>
      <c r="CY67" s="194"/>
      <c r="CZ67" s="194"/>
      <c r="DA67" s="194"/>
      <c r="DB67" s="194"/>
      <c r="DC67" s="194"/>
      <c r="DD67" s="194"/>
      <c r="DE67" s="194"/>
      <c r="DF67" s="194"/>
      <c r="DG67" s="194"/>
      <c r="DH67" s="194"/>
      <c r="DI67" s="194"/>
      <c r="DJ67" s="194"/>
      <c r="DK67" s="194"/>
      <c r="DL67" s="194"/>
      <c r="DM67" s="194"/>
      <c r="DN67" s="194"/>
      <c r="DO67" s="194"/>
      <c r="DP67" s="194"/>
      <c r="DQ67" s="194"/>
      <c r="DR67" s="194"/>
      <c r="DS67" s="194"/>
      <c r="DT67" s="194"/>
      <c r="DU67" s="194"/>
    </row>
    <row r="68" spans="1:125" s="196" customFormat="1" ht="29.25" customHeight="1" thickBot="1">
      <c r="A68" s="231" t="s">
        <v>362</v>
      </c>
      <c r="B68" s="241">
        <v>3200000</v>
      </c>
      <c r="C68" s="233"/>
      <c r="D68" s="233"/>
      <c r="E68" s="233"/>
      <c r="F68" s="522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</row>
    <row r="69" spans="1:125" s="196" customFormat="1" ht="39.75" customHeight="1" thickBot="1">
      <c r="A69" s="228" t="s">
        <v>93</v>
      </c>
      <c r="B69" s="241"/>
      <c r="C69" s="230">
        <v>24147000</v>
      </c>
      <c r="D69" s="230">
        <f>SUM(B71:B75)</f>
        <v>25115734</v>
      </c>
      <c r="E69" s="530">
        <f>337110+11484+1800+19999+712439+90000+4005184+1694167+3472218</f>
        <v>10344401</v>
      </c>
      <c r="F69" s="531">
        <f>E69/D69</f>
        <v>0.41186934851276891</v>
      </c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5"/>
      <c r="AP69" s="163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  <c r="CW69" s="194"/>
      <c r="CX69" s="194"/>
      <c r="CY69" s="194"/>
      <c r="CZ69" s="194"/>
      <c r="DA69" s="194"/>
      <c r="DB69" s="194"/>
      <c r="DC69" s="194"/>
      <c r="DD69" s="194"/>
      <c r="DE69" s="194"/>
      <c r="DF69" s="194"/>
      <c r="DG69" s="194"/>
      <c r="DH69" s="194"/>
      <c r="DI69" s="194"/>
      <c r="DJ69" s="194"/>
      <c r="DK69" s="194"/>
      <c r="DL69" s="194"/>
      <c r="DM69" s="194"/>
      <c r="DN69" s="194"/>
      <c r="DO69" s="194"/>
      <c r="DP69" s="194"/>
      <c r="DQ69" s="194"/>
      <c r="DR69" s="194"/>
      <c r="DS69" s="194"/>
      <c r="DT69" s="194"/>
      <c r="DU69" s="194"/>
    </row>
    <row r="70" spans="1:125" s="196" customFormat="1" ht="21.75" customHeight="1" thickBot="1">
      <c r="A70" s="231" t="s">
        <v>53</v>
      </c>
      <c r="B70" s="241"/>
      <c r="C70" s="230"/>
      <c r="D70" s="230"/>
      <c r="E70" s="230"/>
      <c r="F70" s="517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5"/>
      <c r="AP70" s="163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  <c r="CW70" s="194"/>
      <c r="CX70" s="194"/>
      <c r="CY70" s="194"/>
      <c r="CZ70" s="194"/>
      <c r="DA70" s="194"/>
      <c r="DB70" s="194"/>
      <c r="DC70" s="194"/>
      <c r="DD70" s="194"/>
      <c r="DE70" s="194"/>
      <c r="DF70" s="194"/>
      <c r="DG70" s="194"/>
      <c r="DH70" s="194"/>
      <c r="DI70" s="194"/>
      <c r="DJ70" s="194"/>
      <c r="DK70" s="194"/>
      <c r="DL70" s="194"/>
      <c r="DM70" s="194"/>
      <c r="DN70" s="194"/>
      <c r="DO70" s="194"/>
      <c r="DP70" s="194"/>
      <c r="DQ70" s="194"/>
      <c r="DR70" s="194"/>
      <c r="DS70" s="194"/>
      <c r="DT70" s="194"/>
      <c r="DU70" s="194"/>
    </row>
    <row r="71" spans="1:125" s="196" customFormat="1" ht="21.75" customHeight="1" thickBot="1">
      <c r="A71" s="231" t="s">
        <v>135</v>
      </c>
      <c r="B71" s="241">
        <v>14000000</v>
      </c>
      <c r="C71" s="230"/>
      <c r="D71" s="230"/>
      <c r="E71" s="230"/>
      <c r="F71" s="517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5"/>
      <c r="AP71" s="163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194"/>
      <c r="BV71" s="194"/>
      <c r="BW71" s="194"/>
      <c r="BX71" s="194"/>
      <c r="BY71" s="194"/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  <c r="CW71" s="194"/>
      <c r="CX71" s="194"/>
      <c r="CY71" s="194"/>
      <c r="CZ71" s="194"/>
      <c r="DA71" s="194"/>
      <c r="DB71" s="194"/>
      <c r="DC71" s="194"/>
      <c r="DD71" s="194"/>
      <c r="DE71" s="194"/>
      <c r="DF71" s="194"/>
      <c r="DG71" s="194"/>
      <c r="DH71" s="194"/>
      <c r="DI71" s="194"/>
      <c r="DJ71" s="194"/>
      <c r="DK71" s="194"/>
      <c r="DL71" s="194"/>
      <c r="DM71" s="194"/>
      <c r="DN71" s="194"/>
      <c r="DO71" s="194"/>
      <c r="DP71" s="194"/>
      <c r="DQ71" s="194"/>
      <c r="DR71" s="194"/>
      <c r="DS71" s="194"/>
      <c r="DT71" s="194"/>
      <c r="DU71" s="194"/>
    </row>
    <row r="72" spans="1:125" s="196" customFormat="1" ht="21.75" customHeight="1" thickBot="1">
      <c r="A72" s="231" t="s">
        <v>94</v>
      </c>
      <c r="B72" s="241">
        <f>3147000+326000</f>
        <v>3473000</v>
      </c>
      <c r="C72" s="230"/>
      <c r="D72" s="230"/>
      <c r="E72" s="230"/>
      <c r="F72" s="517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5"/>
      <c r="AP72" s="163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  <c r="CW72" s="194"/>
      <c r="CX72" s="194"/>
      <c r="CY72" s="194"/>
      <c r="CZ72" s="194"/>
      <c r="DA72" s="194"/>
      <c r="DB72" s="194"/>
      <c r="DC72" s="194"/>
      <c r="DD72" s="194"/>
      <c r="DE72" s="194"/>
      <c r="DF72" s="194"/>
      <c r="DG72" s="194"/>
      <c r="DH72" s="194"/>
      <c r="DI72" s="194"/>
      <c r="DJ72" s="194"/>
      <c r="DK72" s="194"/>
      <c r="DL72" s="194"/>
      <c r="DM72" s="194"/>
      <c r="DN72" s="194"/>
      <c r="DO72" s="194"/>
      <c r="DP72" s="194"/>
      <c r="DQ72" s="194"/>
      <c r="DR72" s="194"/>
      <c r="DS72" s="194"/>
      <c r="DT72" s="194"/>
      <c r="DU72" s="194"/>
    </row>
    <row r="73" spans="1:125" s="196" customFormat="1" ht="21.75" customHeight="1" thickBot="1">
      <c r="A73" s="231" t="s">
        <v>136</v>
      </c>
      <c r="B73" s="241">
        <v>2000000</v>
      </c>
      <c r="C73" s="230"/>
      <c r="D73" s="230"/>
      <c r="E73" s="230"/>
      <c r="F73" s="517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5"/>
      <c r="AP73" s="163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  <c r="CW73" s="194"/>
      <c r="CX73" s="194"/>
      <c r="CY73" s="194"/>
      <c r="CZ73" s="194"/>
      <c r="DA73" s="194"/>
      <c r="DB73" s="194"/>
      <c r="DC73" s="194"/>
      <c r="DD73" s="194"/>
      <c r="DE73" s="194"/>
      <c r="DF73" s="194"/>
      <c r="DG73" s="194"/>
      <c r="DH73" s="194"/>
      <c r="DI73" s="194"/>
      <c r="DJ73" s="194"/>
      <c r="DK73" s="194"/>
      <c r="DL73" s="194"/>
      <c r="DM73" s="194"/>
      <c r="DN73" s="194"/>
      <c r="DO73" s="194"/>
      <c r="DP73" s="194"/>
      <c r="DQ73" s="194"/>
      <c r="DR73" s="194"/>
      <c r="DS73" s="194"/>
      <c r="DT73" s="194"/>
      <c r="DU73" s="194"/>
    </row>
    <row r="74" spans="1:125" s="196" customFormat="1" ht="21.75" customHeight="1" thickBot="1">
      <c r="A74" s="231" t="s">
        <v>95</v>
      </c>
      <c r="B74" s="241">
        <v>1000000</v>
      </c>
      <c r="C74" s="230"/>
      <c r="D74" s="230"/>
      <c r="E74" s="230"/>
      <c r="F74" s="517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5"/>
      <c r="AP74" s="163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  <c r="CW74" s="194"/>
      <c r="CX74" s="194"/>
      <c r="CY74" s="194"/>
      <c r="CZ74" s="194"/>
      <c r="DA74" s="194"/>
      <c r="DB74" s="194"/>
      <c r="DC74" s="194"/>
      <c r="DD74" s="194"/>
      <c r="DE74" s="194"/>
      <c r="DF74" s="194"/>
      <c r="DG74" s="194"/>
      <c r="DH74" s="194"/>
      <c r="DI74" s="194"/>
      <c r="DJ74" s="194"/>
      <c r="DK74" s="194"/>
      <c r="DL74" s="194"/>
      <c r="DM74" s="194"/>
      <c r="DN74" s="194"/>
      <c r="DO74" s="194"/>
      <c r="DP74" s="194"/>
      <c r="DQ74" s="194"/>
      <c r="DR74" s="194"/>
      <c r="DS74" s="194"/>
      <c r="DT74" s="194"/>
      <c r="DU74" s="194"/>
    </row>
    <row r="75" spans="1:125" s="196" customFormat="1" ht="21.75" customHeight="1" thickBot="1">
      <c r="A75" s="231" t="s">
        <v>300</v>
      </c>
      <c r="B75" s="241">
        <f>4000000+642734</f>
        <v>4642734</v>
      </c>
      <c r="C75" s="391"/>
      <c r="D75" s="391"/>
      <c r="E75" s="391"/>
      <c r="F75" s="523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5"/>
      <c r="AP75" s="163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194"/>
      <c r="CZ75" s="194"/>
      <c r="DA75" s="194"/>
      <c r="DB75" s="194"/>
      <c r="DC75" s="194"/>
      <c r="DD75" s="194"/>
      <c r="DE75" s="194"/>
      <c r="DF75" s="194"/>
      <c r="DG75" s="194"/>
      <c r="DH75" s="194"/>
      <c r="DI75" s="194"/>
      <c r="DJ75" s="194"/>
      <c r="DK75" s="194"/>
      <c r="DL75" s="194"/>
      <c r="DM75" s="194"/>
      <c r="DN75" s="194"/>
      <c r="DO75" s="194"/>
      <c r="DP75" s="194"/>
      <c r="DQ75" s="194"/>
      <c r="DR75" s="194"/>
      <c r="DS75" s="194"/>
      <c r="DT75" s="194"/>
      <c r="DU75" s="194"/>
    </row>
    <row r="76" spans="1:125" s="196" customFormat="1" ht="27.75" customHeight="1" thickBot="1">
      <c r="A76" s="392" t="s">
        <v>121</v>
      </c>
      <c r="B76" s="245"/>
      <c r="C76" s="391">
        <v>67450000</v>
      </c>
      <c r="D76" s="391">
        <f>67450000-42300000</f>
        <v>25150000</v>
      </c>
      <c r="E76" s="391">
        <v>16291043</v>
      </c>
      <c r="F76" s="523">
        <f>E76/D76</f>
        <v>0.64775518886679917</v>
      </c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308"/>
      <c r="AN76" s="309"/>
      <c r="AO76" s="309"/>
      <c r="AP76" s="310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194"/>
      <c r="DE76" s="194"/>
      <c r="DF76" s="194"/>
      <c r="DG76" s="194"/>
      <c r="DH76" s="194"/>
      <c r="DI76" s="194"/>
      <c r="DJ76" s="194"/>
      <c r="DK76" s="194"/>
      <c r="DL76" s="194"/>
      <c r="DM76" s="194"/>
      <c r="DN76" s="194"/>
      <c r="DO76" s="194"/>
      <c r="DP76" s="194"/>
      <c r="DQ76" s="194"/>
      <c r="DR76" s="194"/>
      <c r="DS76" s="194"/>
      <c r="DT76" s="194"/>
      <c r="DU76" s="194"/>
    </row>
    <row r="77" spans="1:125" s="247" customFormat="1" ht="28.5" customHeight="1">
      <c r="A77" s="228" t="s">
        <v>122</v>
      </c>
      <c r="B77" s="248"/>
      <c r="C77" s="230">
        <v>23828000</v>
      </c>
      <c r="D77" s="230">
        <v>16778000</v>
      </c>
      <c r="E77" s="230">
        <f>SUM(B78:B84)</f>
        <v>2754879</v>
      </c>
      <c r="F77" s="523">
        <f>E77/D77</f>
        <v>0.16419591131243294</v>
      </c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311"/>
      <c r="AN77" s="312"/>
      <c r="AO77" s="312"/>
      <c r="AP77" s="313"/>
      <c r="AQ77" s="194"/>
      <c r="AR77" s="194"/>
      <c r="AS77" s="194"/>
      <c r="AT77" s="194"/>
      <c r="AU77" s="194"/>
      <c r="AV77" s="194"/>
      <c r="AW77" s="194"/>
      <c r="AX77" s="194"/>
      <c r="AY77" s="194"/>
      <c r="AZ77" s="246"/>
      <c r="BA77" s="246"/>
      <c r="BB77" s="246"/>
      <c r="BC77" s="246"/>
      <c r="BD77" s="246"/>
      <c r="BE77" s="246"/>
      <c r="BF77" s="246"/>
      <c r="BG77" s="246"/>
      <c r="BH77" s="246"/>
      <c r="BI77" s="246"/>
      <c r="BJ77" s="246"/>
      <c r="BK77" s="246"/>
      <c r="BL77" s="246"/>
      <c r="BM77" s="246"/>
      <c r="BN77" s="246"/>
      <c r="BO77" s="246"/>
      <c r="BP77" s="246"/>
      <c r="BQ77" s="246"/>
      <c r="BR77" s="246"/>
      <c r="BS77" s="246"/>
      <c r="BT77" s="246"/>
      <c r="BU77" s="246"/>
      <c r="BV77" s="246"/>
      <c r="BW77" s="246"/>
      <c r="BX77" s="246"/>
      <c r="BY77" s="246"/>
      <c r="BZ77" s="246"/>
      <c r="CA77" s="246"/>
      <c r="CB77" s="246"/>
      <c r="CC77" s="246"/>
      <c r="CD77" s="246"/>
      <c r="CE77" s="246"/>
      <c r="CF77" s="246"/>
      <c r="CG77" s="246"/>
      <c r="CH77" s="246"/>
      <c r="CI77" s="246"/>
      <c r="CJ77" s="246"/>
      <c r="CK77" s="246"/>
      <c r="CL77" s="246"/>
      <c r="CM77" s="246"/>
      <c r="CN77" s="246"/>
      <c r="CO77" s="246"/>
      <c r="CP77" s="246"/>
      <c r="CQ77" s="246"/>
      <c r="CR77" s="246"/>
      <c r="CS77" s="246"/>
      <c r="CT77" s="246"/>
      <c r="CU77" s="246"/>
      <c r="CV77" s="246"/>
      <c r="CW77" s="246"/>
      <c r="CX77" s="246"/>
      <c r="CY77" s="246"/>
      <c r="CZ77" s="246"/>
      <c r="DA77" s="246"/>
      <c r="DB77" s="246"/>
      <c r="DC77" s="246"/>
      <c r="DD77" s="246"/>
      <c r="DE77" s="246"/>
      <c r="DF77" s="246"/>
      <c r="DG77" s="246"/>
      <c r="DH77" s="246"/>
      <c r="DI77" s="246"/>
      <c r="DJ77" s="246"/>
      <c r="DK77" s="246"/>
      <c r="DL77" s="246"/>
      <c r="DM77" s="246"/>
      <c r="DN77" s="246"/>
      <c r="DO77" s="246"/>
      <c r="DP77" s="246"/>
      <c r="DQ77" s="246"/>
      <c r="DR77" s="246"/>
      <c r="DS77" s="246"/>
      <c r="DT77" s="246"/>
      <c r="DU77" s="246"/>
    </row>
    <row r="78" spans="1:125" s="247" customFormat="1" ht="39" customHeight="1">
      <c r="A78" s="231" t="s">
        <v>291</v>
      </c>
      <c r="B78" s="241"/>
      <c r="C78" s="233"/>
      <c r="D78" s="233"/>
      <c r="E78" s="233"/>
      <c r="F78" s="522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311"/>
      <c r="AN78" s="312"/>
      <c r="AO78" s="312"/>
      <c r="AP78" s="313"/>
      <c r="AQ78" s="194"/>
      <c r="AR78" s="194"/>
      <c r="AS78" s="194"/>
      <c r="AT78" s="194"/>
      <c r="AU78" s="194"/>
      <c r="AV78" s="194"/>
      <c r="AW78" s="194"/>
      <c r="AX78" s="194"/>
      <c r="AY78" s="194"/>
      <c r="AZ78" s="246"/>
      <c r="BA78" s="246"/>
      <c r="BB78" s="246"/>
      <c r="BC78" s="246"/>
      <c r="BD78" s="246"/>
      <c r="BE78" s="246"/>
      <c r="BF78" s="246"/>
      <c r="BG78" s="246"/>
      <c r="BH78" s="246"/>
      <c r="BI78" s="246"/>
      <c r="BJ78" s="246"/>
      <c r="BK78" s="246"/>
      <c r="BL78" s="246"/>
      <c r="BM78" s="246"/>
      <c r="BN78" s="246"/>
      <c r="BO78" s="246"/>
      <c r="BP78" s="246"/>
      <c r="BQ78" s="246"/>
      <c r="BR78" s="246"/>
      <c r="BS78" s="246"/>
      <c r="BT78" s="246"/>
      <c r="BU78" s="246"/>
      <c r="BV78" s="246"/>
      <c r="BW78" s="246"/>
      <c r="BX78" s="246"/>
      <c r="BY78" s="246"/>
      <c r="BZ78" s="246"/>
      <c r="CA78" s="246"/>
      <c r="CB78" s="246"/>
      <c r="CC78" s="246"/>
      <c r="CD78" s="246"/>
      <c r="CE78" s="246"/>
      <c r="CF78" s="246"/>
      <c r="CG78" s="246"/>
      <c r="CH78" s="246"/>
      <c r="CI78" s="246"/>
      <c r="CJ78" s="246"/>
      <c r="CK78" s="246"/>
      <c r="CL78" s="246"/>
      <c r="CM78" s="246"/>
      <c r="CN78" s="246"/>
      <c r="CO78" s="246"/>
      <c r="CP78" s="246"/>
      <c r="CQ78" s="246"/>
      <c r="CR78" s="246"/>
      <c r="CS78" s="246"/>
      <c r="CT78" s="246"/>
      <c r="CU78" s="246"/>
      <c r="CV78" s="246"/>
      <c r="CW78" s="246"/>
      <c r="CX78" s="246"/>
      <c r="CY78" s="246"/>
      <c r="CZ78" s="246"/>
      <c r="DA78" s="246"/>
      <c r="DB78" s="246"/>
      <c r="DC78" s="246"/>
      <c r="DD78" s="246"/>
      <c r="DE78" s="246"/>
      <c r="DF78" s="246"/>
      <c r="DG78" s="246"/>
      <c r="DH78" s="246"/>
      <c r="DI78" s="246"/>
      <c r="DJ78" s="246"/>
      <c r="DK78" s="246"/>
      <c r="DL78" s="246"/>
      <c r="DM78" s="246"/>
      <c r="DN78" s="246"/>
      <c r="DO78" s="246"/>
      <c r="DP78" s="246"/>
      <c r="DQ78" s="246"/>
      <c r="DR78" s="246"/>
      <c r="DS78" s="246"/>
      <c r="DT78" s="246"/>
      <c r="DU78" s="246"/>
    </row>
    <row r="79" spans="1:125" s="247" customFormat="1" ht="30.75" customHeight="1">
      <c r="A79" s="231" t="s">
        <v>293</v>
      </c>
      <c r="B79" s="241"/>
      <c r="C79" s="233"/>
      <c r="D79" s="233"/>
      <c r="E79" s="233"/>
      <c r="F79" s="522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311"/>
      <c r="AN79" s="312"/>
      <c r="AO79" s="312"/>
      <c r="AP79" s="313"/>
      <c r="AQ79" s="194"/>
      <c r="AR79" s="194"/>
      <c r="AS79" s="194"/>
      <c r="AT79" s="194"/>
      <c r="AU79" s="194"/>
      <c r="AV79" s="194"/>
      <c r="AW79" s="194"/>
      <c r="AX79" s="194"/>
      <c r="AY79" s="194"/>
      <c r="AZ79" s="246"/>
      <c r="BA79" s="246"/>
      <c r="BB79" s="246"/>
      <c r="BC79" s="246"/>
      <c r="BD79" s="246"/>
      <c r="BE79" s="246"/>
      <c r="BF79" s="246"/>
      <c r="BG79" s="246"/>
      <c r="BH79" s="246"/>
      <c r="BI79" s="246"/>
      <c r="BJ79" s="246"/>
      <c r="BK79" s="246"/>
      <c r="BL79" s="246"/>
      <c r="BM79" s="246"/>
      <c r="BN79" s="246"/>
      <c r="BO79" s="246"/>
      <c r="BP79" s="246"/>
      <c r="BQ79" s="246"/>
      <c r="BR79" s="246"/>
      <c r="BS79" s="246"/>
      <c r="BT79" s="246"/>
      <c r="BU79" s="246"/>
      <c r="BV79" s="246"/>
      <c r="BW79" s="246"/>
      <c r="BX79" s="246"/>
      <c r="BY79" s="246"/>
      <c r="BZ79" s="246"/>
      <c r="CA79" s="246"/>
      <c r="CB79" s="246"/>
      <c r="CC79" s="246"/>
      <c r="CD79" s="246"/>
      <c r="CE79" s="246"/>
      <c r="CF79" s="246"/>
      <c r="CG79" s="246"/>
      <c r="CH79" s="246"/>
      <c r="CI79" s="246"/>
      <c r="CJ79" s="246"/>
      <c r="CK79" s="246"/>
      <c r="CL79" s="246"/>
      <c r="CM79" s="246"/>
      <c r="CN79" s="246"/>
      <c r="CO79" s="246"/>
      <c r="CP79" s="246"/>
      <c r="CQ79" s="246"/>
      <c r="CR79" s="246"/>
      <c r="CS79" s="246"/>
      <c r="CT79" s="246"/>
      <c r="CU79" s="246"/>
      <c r="CV79" s="246"/>
      <c r="CW79" s="246"/>
      <c r="CX79" s="246"/>
      <c r="CY79" s="246"/>
      <c r="CZ79" s="246"/>
      <c r="DA79" s="246"/>
      <c r="DB79" s="246"/>
      <c r="DC79" s="246"/>
      <c r="DD79" s="246"/>
      <c r="DE79" s="246"/>
      <c r="DF79" s="246"/>
      <c r="DG79" s="246"/>
      <c r="DH79" s="246"/>
      <c r="DI79" s="246"/>
      <c r="DJ79" s="246"/>
      <c r="DK79" s="246"/>
      <c r="DL79" s="246"/>
      <c r="DM79" s="246"/>
      <c r="DN79" s="246"/>
      <c r="DO79" s="246"/>
      <c r="DP79" s="246"/>
      <c r="DQ79" s="246"/>
      <c r="DR79" s="246"/>
      <c r="DS79" s="246"/>
      <c r="DT79" s="246"/>
      <c r="DU79" s="246"/>
    </row>
    <row r="80" spans="1:125" s="247" customFormat="1" ht="30.75" customHeight="1">
      <c r="A80" s="231" t="s">
        <v>294</v>
      </c>
      <c r="B80" s="241"/>
      <c r="C80" s="233"/>
      <c r="D80" s="233"/>
      <c r="E80" s="233"/>
      <c r="F80" s="522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311"/>
      <c r="AN80" s="312"/>
      <c r="AO80" s="312"/>
      <c r="AP80" s="313"/>
      <c r="AQ80" s="194"/>
      <c r="AR80" s="194"/>
      <c r="AS80" s="194"/>
      <c r="AT80" s="194"/>
      <c r="AU80" s="194"/>
      <c r="AV80" s="194"/>
      <c r="AW80" s="194"/>
      <c r="AX80" s="194"/>
      <c r="AY80" s="194"/>
      <c r="AZ80" s="246"/>
      <c r="BA80" s="246"/>
      <c r="BB80" s="246"/>
      <c r="BC80" s="246"/>
      <c r="BD80" s="246"/>
      <c r="BE80" s="246"/>
      <c r="BF80" s="246"/>
      <c r="BG80" s="246"/>
      <c r="BH80" s="246"/>
      <c r="BI80" s="246"/>
      <c r="BJ80" s="246"/>
      <c r="BK80" s="246"/>
      <c r="BL80" s="246"/>
      <c r="BM80" s="246"/>
      <c r="BN80" s="246"/>
      <c r="BO80" s="246"/>
      <c r="BP80" s="246"/>
      <c r="BQ80" s="246"/>
      <c r="BR80" s="246"/>
      <c r="BS80" s="246"/>
      <c r="BT80" s="246"/>
      <c r="BU80" s="246"/>
      <c r="BV80" s="246"/>
      <c r="BW80" s="246"/>
      <c r="BX80" s="246"/>
      <c r="BY80" s="246"/>
      <c r="BZ80" s="246"/>
      <c r="CA80" s="246"/>
      <c r="CB80" s="246"/>
      <c r="CC80" s="246"/>
      <c r="CD80" s="246"/>
      <c r="CE80" s="246"/>
      <c r="CF80" s="246"/>
      <c r="CG80" s="246"/>
      <c r="CH80" s="246"/>
      <c r="CI80" s="246"/>
      <c r="CJ80" s="246"/>
      <c r="CK80" s="246"/>
      <c r="CL80" s="246"/>
      <c r="CM80" s="246"/>
      <c r="CN80" s="246"/>
      <c r="CO80" s="246"/>
      <c r="CP80" s="246"/>
      <c r="CQ80" s="246"/>
      <c r="CR80" s="246"/>
      <c r="CS80" s="246"/>
      <c r="CT80" s="246"/>
      <c r="CU80" s="246"/>
      <c r="CV80" s="246"/>
      <c r="CW80" s="246"/>
      <c r="CX80" s="246"/>
      <c r="CY80" s="246"/>
      <c r="CZ80" s="246"/>
      <c r="DA80" s="246"/>
      <c r="DB80" s="246"/>
      <c r="DC80" s="246"/>
      <c r="DD80" s="246"/>
      <c r="DE80" s="246"/>
      <c r="DF80" s="246"/>
      <c r="DG80" s="246"/>
      <c r="DH80" s="246"/>
      <c r="DI80" s="246"/>
      <c r="DJ80" s="246"/>
      <c r="DK80" s="246"/>
      <c r="DL80" s="246"/>
      <c r="DM80" s="246"/>
      <c r="DN80" s="246"/>
      <c r="DO80" s="246"/>
      <c r="DP80" s="246"/>
      <c r="DQ80" s="246"/>
      <c r="DR80" s="246"/>
      <c r="DS80" s="246"/>
      <c r="DT80" s="246"/>
      <c r="DU80" s="246"/>
    </row>
    <row r="81" spans="1:125" s="247" customFormat="1" ht="30.75" customHeight="1">
      <c r="A81" s="231" t="s">
        <v>415</v>
      </c>
      <c r="B81" s="241">
        <v>698500</v>
      </c>
      <c r="C81" s="233"/>
      <c r="D81" s="233"/>
      <c r="E81" s="233"/>
      <c r="F81" s="522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311"/>
      <c r="AN81" s="312"/>
      <c r="AO81" s="312"/>
      <c r="AP81" s="313"/>
      <c r="AQ81" s="240"/>
      <c r="AR81" s="194"/>
      <c r="AS81" s="240"/>
      <c r="AT81" s="194"/>
      <c r="AU81" s="194"/>
      <c r="AV81" s="194"/>
      <c r="AW81" s="194"/>
      <c r="AX81" s="194"/>
      <c r="AY81" s="194"/>
      <c r="AZ81" s="246"/>
      <c r="BA81" s="246"/>
      <c r="BB81" s="246"/>
      <c r="BC81" s="246"/>
      <c r="BD81" s="246"/>
      <c r="BE81" s="246"/>
      <c r="BF81" s="246"/>
      <c r="BG81" s="246"/>
      <c r="BH81" s="246"/>
      <c r="BI81" s="246"/>
      <c r="BJ81" s="246"/>
      <c r="BK81" s="246"/>
      <c r="BL81" s="246"/>
      <c r="BM81" s="246"/>
      <c r="BN81" s="246"/>
      <c r="BO81" s="246"/>
      <c r="BP81" s="246"/>
      <c r="BQ81" s="246"/>
      <c r="BR81" s="246"/>
      <c r="BS81" s="246"/>
      <c r="BT81" s="246"/>
      <c r="BU81" s="246"/>
      <c r="BV81" s="246"/>
      <c r="BW81" s="246"/>
      <c r="BX81" s="246"/>
      <c r="BY81" s="246"/>
      <c r="BZ81" s="246"/>
      <c r="CA81" s="246"/>
      <c r="CB81" s="246"/>
      <c r="CC81" s="246"/>
      <c r="CD81" s="246"/>
      <c r="CE81" s="246"/>
      <c r="CF81" s="246"/>
      <c r="CG81" s="246"/>
      <c r="CH81" s="246"/>
      <c r="CI81" s="246"/>
      <c r="CJ81" s="246"/>
      <c r="CK81" s="246"/>
      <c r="CL81" s="246"/>
      <c r="CM81" s="246"/>
      <c r="CN81" s="246"/>
      <c r="CO81" s="246"/>
      <c r="CP81" s="246"/>
      <c r="CQ81" s="246"/>
      <c r="CR81" s="246"/>
      <c r="CS81" s="246"/>
      <c r="CT81" s="246"/>
      <c r="CU81" s="246"/>
      <c r="CV81" s="246"/>
      <c r="CW81" s="246"/>
      <c r="CX81" s="246"/>
      <c r="CY81" s="246"/>
      <c r="CZ81" s="246"/>
      <c r="DA81" s="246"/>
      <c r="DB81" s="246"/>
      <c r="DC81" s="246"/>
      <c r="DD81" s="246"/>
      <c r="DE81" s="246"/>
      <c r="DF81" s="246"/>
      <c r="DG81" s="246"/>
      <c r="DH81" s="246"/>
      <c r="DI81" s="246"/>
      <c r="DJ81" s="246"/>
      <c r="DK81" s="246"/>
      <c r="DL81" s="246"/>
      <c r="DM81" s="246"/>
      <c r="DN81" s="246"/>
      <c r="DO81" s="246"/>
      <c r="DP81" s="246"/>
      <c r="DQ81" s="246"/>
      <c r="DR81" s="246"/>
      <c r="DS81" s="246"/>
      <c r="DT81" s="246"/>
      <c r="DU81" s="246"/>
    </row>
    <row r="82" spans="1:125" s="247" customFormat="1" ht="35.25" customHeight="1">
      <c r="A82" s="536" t="s">
        <v>412</v>
      </c>
      <c r="B82" s="241">
        <v>5779</v>
      </c>
      <c r="C82" s="233"/>
      <c r="D82" s="233"/>
      <c r="E82" s="233"/>
      <c r="F82" s="537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246"/>
      <c r="BN82" s="246"/>
      <c r="BO82" s="246"/>
      <c r="BP82" s="246"/>
      <c r="BQ82" s="246"/>
      <c r="BR82" s="246"/>
      <c r="BS82" s="246"/>
      <c r="BT82" s="246"/>
      <c r="BU82" s="246"/>
    </row>
    <row r="83" spans="1:125" s="247" customFormat="1" ht="33.75" customHeight="1">
      <c r="A83" s="536" t="s">
        <v>411</v>
      </c>
      <c r="B83" s="241">
        <v>957975</v>
      </c>
      <c r="C83" s="233"/>
      <c r="D83" s="233"/>
      <c r="E83" s="233"/>
      <c r="F83" s="537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246"/>
      <c r="BN83" s="246"/>
      <c r="BO83" s="246"/>
      <c r="BP83" s="246"/>
      <c r="BQ83" s="246"/>
      <c r="BR83" s="246"/>
      <c r="BS83" s="246"/>
      <c r="BT83" s="246"/>
      <c r="BU83" s="246"/>
    </row>
    <row r="84" spans="1:125" s="247" customFormat="1" ht="34.5" customHeight="1" thickBot="1">
      <c r="A84" s="231" t="s">
        <v>297</v>
      </c>
      <c r="B84" s="241">
        <f>908271+184354</f>
        <v>1092625</v>
      </c>
      <c r="C84" s="233"/>
      <c r="D84" s="233"/>
      <c r="E84" s="233"/>
      <c r="F84" s="522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311"/>
      <c r="AN84" s="312"/>
      <c r="AO84" s="312"/>
      <c r="AP84" s="313"/>
      <c r="AQ84" s="194"/>
      <c r="AR84" s="194"/>
      <c r="AS84" s="194"/>
      <c r="AT84" s="194"/>
      <c r="AU84" s="194"/>
      <c r="AV84" s="194"/>
      <c r="AW84" s="194"/>
      <c r="AX84" s="246"/>
      <c r="AY84" s="246"/>
      <c r="AZ84" s="246"/>
      <c r="BA84" s="246"/>
      <c r="BB84" s="246"/>
      <c r="BC84" s="246"/>
      <c r="BD84" s="246"/>
      <c r="BE84" s="246"/>
      <c r="BF84" s="246"/>
      <c r="BG84" s="246"/>
      <c r="BH84" s="246"/>
      <c r="BI84" s="246"/>
      <c r="BJ84" s="246"/>
      <c r="BK84" s="246"/>
      <c r="BL84" s="246"/>
      <c r="BM84" s="246"/>
      <c r="BN84" s="246"/>
      <c r="BO84" s="246"/>
      <c r="BP84" s="246"/>
      <c r="BQ84" s="246"/>
      <c r="BR84" s="246"/>
      <c r="BS84" s="246"/>
      <c r="BT84" s="246"/>
      <c r="BU84" s="246"/>
      <c r="BV84" s="246"/>
      <c r="BW84" s="246"/>
      <c r="BX84" s="246"/>
      <c r="BY84" s="246"/>
      <c r="BZ84" s="246"/>
      <c r="CA84" s="246"/>
      <c r="CB84" s="246"/>
      <c r="CC84" s="246"/>
      <c r="CD84" s="246"/>
      <c r="CE84" s="246"/>
      <c r="CF84" s="246"/>
      <c r="CG84" s="246"/>
      <c r="CH84" s="246"/>
      <c r="CI84" s="246"/>
      <c r="CJ84" s="246"/>
      <c r="CK84" s="246"/>
      <c r="CL84" s="246"/>
      <c r="CM84" s="246"/>
      <c r="CN84" s="246"/>
      <c r="CO84" s="246"/>
      <c r="CP84" s="246"/>
      <c r="CQ84" s="246"/>
      <c r="CR84" s="246"/>
      <c r="CS84" s="246"/>
      <c r="CT84" s="246"/>
      <c r="CU84" s="246"/>
      <c r="CV84" s="246"/>
      <c r="CW84" s="246"/>
      <c r="CX84" s="246"/>
      <c r="CY84" s="246"/>
      <c r="CZ84" s="246"/>
      <c r="DA84" s="246"/>
      <c r="DB84" s="246"/>
      <c r="DC84" s="246"/>
      <c r="DD84" s="246"/>
      <c r="DE84" s="246"/>
      <c r="DF84" s="246"/>
      <c r="DG84" s="246"/>
      <c r="DH84" s="246"/>
      <c r="DI84" s="246"/>
      <c r="DJ84" s="246"/>
      <c r="DK84" s="246"/>
      <c r="DL84" s="246"/>
      <c r="DM84" s="246"/>
      <c r="DN84" s="246"/>
      <c r="DO84" s="246"/>
      <c r="DP84" s="246"/>
      <c r="DQ84" s="246"/>
      <c r="DR84" s="246"/>
      <c r="DS84" s="246"/>
      <c r="DT84" s="246"/>
      <c r="DU84" s="246"/>
    </row>
    <row r="85" spans="1:125" s="199" customFormat="1" ht="53.25" customHeight="1" thickBot="1">
      <c r="A85" s="535" t="s">
        <v>309</v>
      </c>
      <c r="B85" s="239"/>
      <c r="C85" s="230"/>
      <c r="D85" s="230"/>
      <c r="E85" s="230">
        <v>167349</v>
      </c>
      <c r="F85" s="517">
        <v>0</v>
      </c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80"/>
      <c r="AN85" s="181"/>
      <c r="AO85" s="181"/>
      <c r="AP85" s="182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7"/>
      <c r="BJ85" s="197"/>
      <c r="BK85" s="197"/>
      <c r="BL85" s="197"/>
      <c r="BM85" s="197"/>
      <c r="BN85" s="197"/>
      <c r="BO85" s="197"/>
      <c r="BP85" s="197"/>
      <c r="BQ85" s="197"/>
      <c r="BR85" s="197"/>
      <c r="BS85" s="197"/>
      <c r="BT85" s="197"/>
      <c r="BU85" s="197"/>
      <c r="BV85" s="197"/>
      <c r="BW85" s="197"/>
      <c r="BX85" s="197"/>
      <c r="BY85" s="197"/>
      <c r="BZ85" s="197"/>
      <c r="CA85" s="197"/>
      <c r="CB85" s="197"/>
      <c r="CC85" s="197"/>
      <c r="CD85" s="197"/>
      <c r="CE85" s="197"/>
      <c r="CF85" s="197"/>
      <c r="CG85" s="197"/>
      <c r="CH85" s="197"/>
      <c r="CI85" s="197"/>
      <c r="CJ85" s="197"/>
      <c r="CK85" s="197"/>
      <c r="CL85" s="197"/>
      <c r="CM85" s="197"/>
      <c r="CN85" s="197"/>
      <c r="CO85" s="197"/>
      <c r="CP85" s="197"/>
      <c r="CQ85" s="197"/>
      <c r="CR85" s="197"/>
      <c r="CS85" s="197"/>
      <c r="CT85" s="197"/>
      <c r="CU85" s="197"/>
      <c r="CV85" s="197"/>
      <c r="CW85" s="197"/>
      <c r="CX85" s="197"/>
      <c r="CY85" s="197"/>
      <c r="CZ85" s="197"/>
      <c r="DA85" s="197"/>
      <c r="DB85" s="197"/>
      <c r="DC85" s="197"/>
      <c r="DD85" s="197"/>
      <c r="DE85" s="197"/>
      <c r="DF85" s="197"/>
      <c r="DG85" s="197"/>
      <c r="DH85" s="197"/>
      <c r="DI85" s="197"/>
      <c r="DJ85" s="197"/>
      <c r="DK85" s="197"/>
      <c r="DL85" s="197"/>
      <c r="DM85" s="197"/>
      <c r="DN85" s="197"/>
      <c r="DO85" s="197"/>
      <c r="DP85" s="197"/>
      <c r="DQ85" s="197"/>
      <c r="DR85" s="197"/>
      <c r="DS85" s="197"/>
      <c r="DT85" s="197"/>
      <c r="DU85" s="197"/>
    </row>
    <row r="86" spans="1:125" s="199" customFormat="1" ht="55.5" customHeight="1" thickBot="1">
      <c r="A86" s="251" t="s">
        <v>369</v>
      </c>
      <c r="B86" s="393"/>
      <c r="C86" s="230"/>
      <c r="D86" s="230">
        <v>22921875</v>
      </c>
      <c r="E86" s="230">
        <f>269875+11853</f>
        <v>281728</v>
      </c>
      <c r="F86" s="517">
        <f>E86/D86</f>
        <v>1.2290792092706204E-2</v>
      </c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  <c r="BC86" s="197"/>
      <c r="BD86" s="197"/>
      <c r="BE86" s="197"/>
      <c r="BF86" s="197"/>
      <c r="BG86" s="197"/>
      <c r="BH86" s="197"/>
      <c r="BI86" s="197"/>
      <c r="BJ86" s="197"/>
      <c r="BK86" s="197"/>
      <c r="BL86" s="197"/>
      <c r="BM86" s="197"/>
      <c r="BN86" s="197"/>
      <c r="BO86" s="197"/>
      <c r="BP86" s="197"/>
      <c r="BQ86" s="197"/>
      <c r="BR86" s="197"/>
      <c r="BS86" s="197"/>
      <c r="BT86" s="197"/>
      <c r="BU86" s="197"/>
    </row>
    <row r="87" spans="1:125" s="199" customFormat="1" ht="38.25" customHeight="1" thickBot="1">
      <c r="A87" s="251" t="s">
        <v>370</v>
      </c>
      <c r="B87" s="393"/>
      <c r="C87" s="230"/>
      <c r="D87" s="230">
        <v>4230000</v>
      </c>
      <c r="E87" s="230">
        <v>0</v>
      </c>
      <c r="F87" s="517">
        <v>0</v>
      </c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  <c r="AW87" s="197"/>
      <c r="AX87" s="197"/>
      <c r="AY87" s="197"/>
      <c r="AZ87" s="197"/>
      <c r="BA87" s="197"/>
      <c r="BB87" s="197"/>
      <c r="BC87" s="197"/>
      <c r="BD87" s="197"/>
      <c r="BE87" s="197"/>
      <c r="BF87" s="197"/>
      <c r="BG87" s="197"/>
      <c r="BH87" s="197"/>
      <c r="BI87" s="197"/>
      <c r="BJ87" s="197"/>
      <c r="BK87" s="197"/>
      <c r="BL87" s="197"/>
      <c r="BM87" s="197"/>
      <c r="BN87" s="197"/>
      <c r="BO87" s="197"/>
      <c r="BP87" s="197"/>
      <c r="BQ87" s="197"/>
      <c r="BR87" s="197"/>
      <c r="BS87" s="197"/>
      <c r="BT87" s="197"/>
      <c r="BU87" s="197"/>
    </row>
    <row r="88" spans="1:125" s="199" customFormat="1" ht="38.25" customHeight="1" thickBot="1">
      <c r="A88" s="251" t="s">
        <v>371</v>
      </c>
      <c r="B88" s="393"/>
      <c r="C88" s="230"/>
      <c r="D88" s="230">
        <v>5592180</v>
      </c>
      <c r="E88" s="230">
        <v>9000</v>
      </c>
      <c r="F88" s="517">
        <f>E88/D88</f>
        <v>1.6093902556784652E-3</v>
      </c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  <c r="BA88" s="197"/>
      <c r="BB88" s="197"/>
      <c r="BC88" s="197"/>
      <c r="BD88" s="197"/>
      <c r="BE88" s="197"/>
      <c r="BF88" s="197"/>
      <c r="BG88" s="197"/>
      <c r="BH88" s="197"/>
      <c r="BI88" s="197"/>
      <c r="BJ88" s="197"/>
      <c r="BK88" s="197"/>
      <c r="BL88" s="197"/>
      <c r="BM88" s="197"/>
      <c r="BN88" s="197"/>
      <c r="BO88" s="197"/>
      <c r="BP88" s="197"/>
      <c r="BQ88" s="197"/>
      <c r="BR88" s="197"/>
      <c r="BS88" s="197"/>
      <c r="BT88" s="197"/>
      <c r="BU88" s="197"/>
    </row>
    <row r="89" spans="1:125" s="199" customFormat="1" ht="52.5" customHeight="1" thickBot="1">
      <c r="A89" s="251" t="s">
        <v>372</v>
      </c>
      <c r="B89" s="393"/>
      <c r="C89" s="230"/>
      <c r="D89" s="230">
        <v>50993069</v>
      </c>
      <c r="E89" s="230">
        <v>415444</v>
      </c>
      <c r="F89" s="517">
        <f>E89/D89</f>
        <v>8.1470679868277784E-3</v>
      </c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197"/>
      <c r="AT89" s="197"/>
      <c r="AU89" s="197"/>
      <c r="AV89" s="197"/>
      <c r="AW89" s="197"/>
      <c r="AX89" s="197"/>
      <c r="AY89" s="197"/>
      <c r="AZ89" s="197"/>
      <c r="BA89" s="197"/>
      <c r="BB89" s="197"/>
      <c r="BC89" s="197"/>
      <c r="BD89" s="197"/>
      <c r="BE89" s="197"/>
      <c r="BF89" s="197"/>
      <c r="BG89" s="197"/>
      <c r="BH89" s="197"/>
      <c r="BI89" s="197"/>
      <c r="BJ89" s="197"/>
      <c r="BK89" s="197"/>
      <c r="BL89" s="197"/>
      <c r="BM89" s="197"/>
      <c r="BN89" s="197"/>
      <c r="BO89" s="197"/>
      <c r="BP89" s="197"/>
      <c r="BQ89" s="197"/>
      <c r="BR89" s="197"/>
      <c r="BS89" s="197"/>
      <c r="BT89" s="197"/>
      <c r="BU89" s="197"/>
    </row>
    <row r="90" spans="1:125" s="199" customFormat="1" ht="78.75" customHeight="1" thickBot="1">
      <c r="A90" s="251" t="s">
        <v>373</v>
      </c>
      <c r="B90" s="393"/>
      <c r="C90" s="230"/>
      <c r="D90" s="230">
        <v>1000000</v>
      </c>
      <c r="E90" s="230">
        <v>0</v>
      </c>
      <c r="F90" s="517">
        <v>0</v>
      </c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97"/>
      <c r="BL90" s="197"/>
      <c r="BM90" s="197"/>
      <c r="BN90" s="197"/>
      <c r="BO90" s="197"/>
      <c r="BP90" s="197"/>
      <c r="BQ90" s="197"/>
      <c r="BR90" s="197"/>
      <c r="BS90" s="197"/>
      <c r="BT90" s="197"/>
      <c r="BU90" s="197"/>
    </row>
    <row r="91" spans="1:125" s="243" customFormat="1" ht="53.25" customHeight="1" thickBot="1">
      <c r="A91" s="663" t="s">
        <v>288</v>
      </c>
      <c r="B91" s="665"/>
      <c r="C91" s="397"/>
      <c r="D91" s="397"/>
      <c r="E91" s="397">
        <f>190500+102620</f>
        <v>293120</v>
      </c>
      <c r="F91" s="525">
        <v>0</v>
      </c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314"/>
      <c r="AN91" s="315"/>
      <c r="AO91" s="315"/>
      <c r="AP91" s="316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  <c r="BZ91" s="204"/>
      <c r="CA91" s="204"/>
      <c r="CB91" s="204"/>
      <c r="CC91" s="204"/>
      <c r="CD91" s="204"/>
      <c r="CE91" s="204"/>
      <c r="CF91" s="204"/>
      <c r="CG91" s="204"/>
      <c r="CH91" s="204"/>
      <c r="CI91" s="204"/>
      <c r="CJ91" s="204"/>
      <c r="CK91" s="204"/>
      <c r="CL91" s="204"/>
      <c r="CM91" s="204"/>
      <c r="CN91" s="204"/>
      <c r="CO91" s="204"/>
      <c r="CP91" s="204"/>
      <c r="CQ91" s="204"/>
      <c r="CR91" s="204"/>
      <c r="CS91" s="204"/>
      <c r="CT91" s="204"/>
      <c r="CU91" s="204"/>
      <c r="CV91" s="204"/>
      <c r="CW91" s="204"/>
      <c r="CX91" s="204"/>
      <c r="CY91" s="204"/>
      <c r="CZ91" s="204"/>
      <c r="DA91" s="204"/>
      <c r="DB91" s="204"/>
      <c r="DC91" s="204"/>
      <c r="DD91" s="204"/>
      <c r="DE91" s="204"/>
      <c r="DF91" s="204"/>
      <c r="DG91" s="204"/>
      <c r="DH91" s="204"/>
      <c r="DI91" s="204"/>
      <c r="DJ91" s="204"/>
      <c r="DK91" s="204"/>
      <c r="DL91" s="204"/>
      <c r="DM91" s="204"/>
      <c r="DN91" s="204"/>
      <c r="DO91" s="204"/>
      <c r="DP91" s="204"/>
      <c r="DQ91" s="204"/>
      <c r="DR91" s="204"/>
      <c r="DS91" s="204"/>
      <c r="DT91" s="204"/>
      <c r="DU91" s="204"/>
    </row>
    <row r="92" spans="1:125" s="196" customFormat="1" ht="56.25" customHeight="1" thickBot="1">
      <c r="A92" s="228" t="s">
        <v>334</v>
      </c>
      <c r="B92" s="238"/>
      <c r="C92" s="230">
        <v>19050000</v>
      </c>
      <c r="D92" s="230">
        <v>19050000</v>
      </c>
      <c r="E92" s="230">
        <v>4762500</v>
      </c>
      <c r="F92" s="517">
        <f>E92/D92</f>
        <v>0.25</v>
      </c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311"/>
      <c r="AP92" s="312"/>
      <c r="AQ92" s="312"/>
      <c r="AR92" s="312"/>
      <c r="AS92" s="312"/>
      <c r="AT92" s="312"/>
      <c r="AU92" s="312"/>
      <c r="AV92" s="312"/>
      <c r="AW92" s="312"/>
      <c r="AX92" s="312"/>
      <c r="AY92" s="312"/>
    </row>
    <row r="93" spans="1:125" s="199" customFormat="1" ht="29.25" customHeight="1" thickBot="1">
      <c r="A93" s="228" t="s">
        <v>278</v>
      </c>
      <c r="B93" s="238"/>
      <c r="C93" s="230">
        <v>1000000</v>
      </c>
      <c r="D93" s="230">
        <f>1000000+77000</f>
        <v>1077000</v>
      </c>
      <c r="E93" s="230">
        <v>0</v>
      </c>
      <c r="F93" s="517">
        <v>0</v>
      </c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80"/>
      <c r="AN93" s="181"/>
      <c r="AO93" s="181"/>
      <c r="AP93" s="182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</row>
    <row r="94" spans="1:125" s="196" customFormat="1" ht="24.75" customHeight="1" thickBot="1">
      <c r="A94" s="231" t="s">
        <v>337</v>
      </c>
      <c r="B94" s="241"/>
      <c r="C94" s="230"/>
      <c r="D94" s="230"/>
      <c r="E94" s="230"/>
      <c r="F94" s="517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5"/>
      <c r="AP94" s="163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4"/>
      <c r="BP94" s="194"/>
      <c r="BQ94" s="194"/>
      <c r="BR94" s="194"/>
      <c r="BS94" s="194"/>
      <c r="BT94" s="194"/>
      <c r="BU94" s="194"/>
      <c r="BV94" s="194"/>
      <c r="BW94" s="194"/>
      <c r="BX94" s="194"/>
      <c r="BY94" s="194"/>
      <c r="BZ94" s="194"/>
      <c r="CA94" s="194"/>
      <c r="CB94" s="194"/>
      <c r="CC94" s="194"/>
      <c r="CD94" s="194"/>
      <c r="CE94" s="194"/>
      <c r="CF94" s="194"/>
      <c r="CG94" s="194"/>
      <c r="CH94" s="194"/>
      <c r="CI94" s="194"/>
      <c r="CJ94" s="194"/>
      <c r="CK94" s="194"/>
      <c r="CL94" s="194"/>
      <c r="CM94" s="194"/>
      <c r="CN94" s="194"/>
      <c r="CO94" s="194"/>
      <c r="CP94" s="194"/>
      <c r="CQ94" s="194"/>
      <c r="CR94" s="194"/>
      <c r="CS94" s="194"/>
      <c r="CT94" s="194"/>
      <c r="CU94" s="194"/>
      <c r="CV94" s="194"/>
      <c r="CW94" s="194"/>
      <c r="CX94" s="194"/>
      <c r="CY94" s="194"/>
      <c r="CZ94" s="194"/>
      <c r="DA94" s="194"/>
      <c r="DB94" s="194"/>
      <c r="DC94" s="194"/>
      <c r="DD94" s="194"/>
      <c r="DE94" s="194"/>
      <c r="DF94" s="194"/>
      <c r="DG94" s="194"/>
      <c r="DH94" s="194"/>
      <c r="DI94" s="194"/>
      <c r="DJ94" s="194"/>
      <c r="DK94" s="194"/>
      <c r="DL94" s="194"/>
      <c r="DM94" s="194"/>
      <c r="DN94" s="194"/>
      <c r="DO94" s="194"/>
      <c r="DP94" s="194"/>
      <c r="DQ94" s="194"/>
      <c r="DR94" s="194"/>
      <c r="DS94" s="194"/>
      <c r="DT94" s="194"/>
      <c r="DU94" s="194"/>
    </row>
    <row r="95" spans="1:125" s="196" customFormat="1" ht="24.75" customHeight="1" thickBot="1">
      <c r="A95" s="231" t="s">
        <v>279</v>
      </c>
      <c r="B95" s="241"/>
      <c r="C95" s="230"/>
      <c r="D95" s="230"/>
      <c r="E95" s="230"/>
      <c r="F95" s="517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5"/>
      <c r="AP95" s="163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4"/>
      <c r="BQ95" s="194"/>
      <c r="BR95" s="194"/>
      <c r="BS95" s="194"/>
      <c r="BT95" s="194"/>
      <c r="BU95" s="194"/>
      <c r="BV95" s="194"/>
      <c r="BW95" s="194"/>
      <c r="BX95" s="194"/>
      <c r="BY95" s="194"/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  <c r="CW95" s="194"/>
      <c r="CX95" s="194"/>
      <c r="CY95" s="194"/>
      <c r="CZ95" s="194"/>
      <c r="DA95" s="194"/>
      <c r="DB95" s="194"/>
      <c r="DC95" s="194"/>
      <c r="DD95" s="194"/>
      <c r="DE95" s="194"/>
      <c r="DF95" s="194"/>
      <c r="DG95" s="194"/>
      <c r="DH95" s="194"/>
      <c r="DI95" s="194"/>
      <c r="DJ95" s="194"/>
      <c r="DK95" s="194"/>
      <c r="DL95" s="194"/>
      <c r="DM95" s="194"/>
      <c r="DN95" s="194"/>
      <c r="DO95" s="194"/>
      <c r="DP95" s="194"/>
      <c r="DQ95" s="194"/>
      <c r="DR95" s="194"/>
      <c r="DS95" s="194"/>
      <c r="DT95" s="194"/>
      <c r="DU95" s="194"/>
    </row>
    <row r="96" spans="1:125" s="196" customFormat="1" ht="24" customHeight="1" thickBot="1">
      <c r="A96" s="231" t="s">
        <v>338</v>
      </c>
      <c r="B96" s="241"/>
      <c r="C96" s="230"/>
      <c r="D96" s="230"/>
      <c r="E96" s="230"/>
      <c r="F96" s="517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5"/>
      <c r="AP96" s="163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  <c r="BM96" s="194"/>
      <c r="BN96" s="194"/>
      <c r="BO96" s="194"/>
      <c r="BP96" s="194"/>
      <c r="BQ96" s="194"/>
      <c r="BR96" s="194"/>
      <c r="BS96" s="194"/>
      <c r="BT96" s="194"/>
      <c r="BU96" s="194"/>
      <c r="BV96" s="194"/>
      <c r="BW96" s="194"/>
      <c r="BX96" s="194"/>
      <c r="BY96" s="194"/>
      <c r="BZ96" s="194"/>
      <c r="CA96" s="194"/>
      <c r="CB96" s="194"/>
      <c r="CC96" s="194"/>
      <c r="CD96" s="194"/>
      <c r="CE96" s="194"/>
      <c r="CF96" s="194"/>
      <c r="CG96" s="194"/>
      <c r="CH96" s="194"/>
      <c r="CI96" s="194"/>
      <c r="CJ96" s="194"/>
      <c r="CK96" s="194"/>
      <c r="CL96" s="194"/>
      <c r="CM96" s="194"/>
      <c r="CN96" s="194"/>
      <c r="CO96" s="194"/>
      <c r="CP96" s="194"/>
      <c r="CQ96" s="194"/>
      <c r="CR96" s="194"/>
      <c r="CS96" s="194"/>
      <c r="CT96" s="194"/>
      <c r="CU96" s="194"/>
      <c r="CV96" s="194"/>
      <c r="CW96" s="194"/>
      <c r="CX96" s="194"/>
      <c r="CY96" s="194"/>
      <c r="CZ96" s="194"/>
      <c r="DA96" s="194"/>
      <c r="DB96" s="194"/>
      <c r="DC96" s="194"/>
      <c r="DD96" s="194"/>
      <c r="DE96" s="194"/>
      <c r="DF96" s="194"/>
      <c r="DG96" s="194"/>
      <c r="DH96" s="194"/>
      <c r="DI96" s="194"/>
      <c r="DJ96" s="194"/>
      <c r="DK96" s="194"/>
      <c r="DL96" s="194"/>
      <c r="DM96" s="194"/>
      <c r="DN96" s="194"/>
      <c r="DO96" s="194"/>
      <c r="DP96" s="194"/>
      <c r="DQ96" s="194"/>
      <c r="DR96" s="194"/>
      <c r="DS96" s="194"/>
      <c r="DT96" s="194"/>
      <c r="DU96" s="194"/>
    </row>
    <row r="97" spans="1:125" s="199" customFormat="1" ht="30.75" customHeight="1" thickBot="1">
      <c r="A97" s="251" t="s">
        <v>276</v>
      </c>
      <c r="B97" s="249"/>
      <c r="C97" s="230">
        <v>500000</v>
      </c>
      <c r="D97" s="230">
        <v>500000</v>
      </c>
      <c r="E97" s="230">
        <f>182778</f>
        <v>182778</v>
      </c>
      <c r="F97" s="517">
        <f>E97/D97</f>
        <v>0.36555599999999999</v>
      </c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8"/>
      <c r="AP97" s="164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  <c r="BK97" s="197"/>
      <c r="BL97" s="197"/>
      <c r="BM97" s="197"/>
      <c r="BN97" s="197"/>
      <c r="BO97" s="197"/>
      <c r="BP97" s="197"/>
      <c r="BQ97" s="197"/>
      <c r="BR97" s="197"/>
      <c r="BS97" s="197"/>
      <c r="BT97" s="197"/>
      <c r="BU97" s="197"/>
      <c r="BV97" s="197"/>
      <c r="BW97" s="197"/>
      <c r="BX97" s="197"/>
      <c r="BY97" s="197"/>
      <c r="BZ97" s="197"/>
      <c r="CA97" s="197"/>
      <c r="CB97" s="197"/>
      <c r="CC97" s="197"/>
      <c r="CD97" s="197"/>
      <c r="CE97" s="197"/>
      <c r="CF97" s="197"/>
      <c r="CG97" s="197"/>
      <c r="CH97" s="197"/>
      <c r="CI97" s="197"/>
      <c r="CJ97" s="197"/>
      <c r="CK97" s="197"/>
      <c r="CL97" s="197"/>
      <c r="CM97" s="197"/>
      <c r="CN97" s="197"/>
      <c r="CO97" s="197"/>
      <c r="CP97" s="197"/>
      <c r="CQ97" s="197"/>
      <c r="CR97" s="197"/>
      <c r="CS97" s="197"/>
      <c r="CT97" s="197"/>
      <c r="CU97" s="197"/>
      <c r="CV97" s="197"/>
      <c r="CW97" s="197"/>
      <c r="CX97" s="197"/>
      <c r="CY97" s="197"/>
      <c r="CZ97" s="197"/>
      <c r="DA97" s="197"/>
      <c r="DB97" s="197"/>
      <c r="DC97" s="197"/>
      <c r="DD97" s="197"/>
      <c r="DE97" s="197"/>
      <c r="DF97" s="197"/>
      <c r="DG97" s="197"/>
      <c r="DH97" s="197"/>
      <c r="DI97" s="197"/>
      <c r="DJ97" s="197"/>
      <c r="DK97" s="197"/>
      <c r="DL97" s="197"/>
      <c r="DM97" s="197"/>
      <c r="DN97" s="197"/>
      <c r="DO97" s="197"/>
      <c r="DP97" s="197"/>
      <c r="DQ97" s="197"/>
      <c r="DR97" s="197"/>
      <c r="DS97" s="197"/>
      <c r="DT97" s="197"/>
      <c r="DU97" s="197"/>
    </row>
    <row r="98" spans="1:125" s="196" customFormat="1" ht="23.25" customHeight="1" thickBot="1">
      <c r="A98" s="228" t="s">
        <v>89</v>
      </c>
      <c r="B98" s="241"/>
      <c r="C98" s="230">
        <v>2000000</v>
      </c>
      <c r="D98" s="230">
        <v>2000000</v>
      </c>
      <c r="E98" s="230">
        <v>2121863</v>
      </c>
      <c r="F98" s="517">
        <f>E98/D98</f>
        <v>1.0609314999999999</v>
      </c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94"/>
      <c r="AK98" s="194"/>
      <c r="AL98" s="194"/>
      <c r="AM98" s="194"/>
      <c r="AN98" s="194"/>
      <c r="AO98" s="195"/>
    </row>
    <row r="99" spans="1:125" s="196" customFormat="1" ht="32.25" thickBot="1">
      <c r="A99" s="228" t="s">
        <v>263</v>
      </c>
      <c r="B99" s="238"/>
      <c r="C99" s="230">
        <v>3750000</v>
      </c>
      <c r="D99" s="230">
        <v>3750000</v>
      </c>
      <c r="E99" s="230">
        <v>1875000</v>
      </c>
      <c r="F99" s="517">
        <f>E99/D99</f>
        <v>0.5</v>
      </c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5"/>
    </row>
    <row r="100" spans="1:125" s="196" customFormat="1" ht="27.75" customHeight="1" thickBot="1">
      <c r="A100" s="228" t="s">
        <v>252</v>
      </c>
      <c r="B100" s="238"/>
      <c r="C100" s="230">
        <v>7505000</v>
      </c>
      <c r="D100" s="230">
        <v>7505000</v>
      </c>
      <c r="E100" s="230">
        <v>2005545</v>
      </c>
      <c r="F100" s="517">
        <f t="shared" ref="F100" si="4">E100/D100</f>
        <v>0.26722784810126582</v>
      </c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5"/>
      <c r="AP100" s="163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194"/>
      <c r="CZ100" s="194"/>
      <c r="DA100" s="194"/>
      <c r="DB100" s="194"/>
      <c r="DC100" s="194"/>
      <c r="DD100" s="194"/>
      <c r="DE100" s="194"/>
      <c r="DF100" s="194"/>
      <c r="DG100" s="194"/>
      <c r="DH100" s="194"/>
      <c r="DI100" s="194"/>
      <c r="DJ100" s="194"/>
      <c r="DK100" s="194"/>
      <c r="DL100" s="194"/>
      <c r="DM100" s="194"/>
      <c r="DN100" s="194"/>
      <c r="DO100" s="194"/>
      <c r="DP100" s="194"/>
      <c r="DQ100" s="194"/>
      <c r="DR100" s="194"/>
      <c r="DS100" s="194"/>
      <c r="DT100" s="194"/>
      <c r="DU100" s="194"/>
    </row>
    <row r="101" spans="1:125" s="196" customFormat="1" ht="24" customHeight="1" thickBot="1">
      <c r="A101" s="231" t="s">
        <v>105</v>
      </c>
      <c r="B101" s="241">
        <v>7505000</v>
      </c>
      <c r="C101" s="230"/>
      <c r="D101" s="230"/>
      <c r="E101" s="230"/>
      <c r="F101" s="517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5"/>
      <c r="AP101" s="163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4"/>
      <c r="BQ101" s="194"/>
      <c r="BR101" s="194"/>
      <c r="BS101" s="194"/>
      <c r="BT101" s="194"/>
      <c r="BU101" s="194"/>
      <c r="BV101" s="194"/>
      <c r="BW101" s="194"/>
      <c r="BX101" s="194"/>
      <c r="BY101" s="194"/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94"/>
      <c r="CL101" s="194"/>
      <c r="CM101" s="194"/>
      <c r="CN101" s="194"/>
      <c r="CO101" s="194"/>
      <c r="CP101" s="194"/>
      <c r="CQ101" s="194"/>
      <c r="CR101" s="194"/>
      <c r="CS101" s="194"/>
      <c r="CT101" s="194"/>
      <c r="CU101" s="194"/>
      <c r="CV101" s="194"/>
      <c r="CW101" s="194"/>
      <c r="CX101" s="194"/>
      <c r="CY101" s="194"/>
      <c r="CZ101" s="194"/>
      <c r="DA101" s="194"/>
      <c r="DB101" s="194"/>
      <c r="DC101" s="194"/>
      <c r="DD101" s="194"/>
      <c r="DE101" s="194"/>
      <c r="DF101" s="194"/>
      <c r="DG101" s="194"/>
      <c r="DH101" s="194"/>
      <c r="DI101" s="194"/>
      <c r="DJ101" s="194"/>
      <c r="DK101" s="194"/>
      <c r="DL101" s="194"/>
      <c r="DM101" s="194"/>
      <c r="DN101" s="194"/>
      <c r="DO101" s="194"/>
      <c r="DP101" s="194"/>
      <c r="DQ101" s="194"/>
      <c r="DR101" s="194"/>
      <c r="DS101" s="194"/>
      <c r="DT101" s="194"/>
      <c r="DU101" s="194"/>
    </row>
    <row r="102" spans="1:125" s="196" customFormat="1" ht="42.75" customHeight="1" thickBot="1">
      <c r="A102" s="663" t="s">
        <v>93</v>
      </c>
      <c r="B102" s="665"/>
      <c r="C102" s="230">
        <v>1961000</v>
      </c>
      <c r="D102" s="230">
        <f>SUM(B103:B111)</f>
        <v>2496150</v>
      </c>
      <c r="E102" s="230">
        <f>733450+6275025</f>
        <v>7008475</v>
      </c>
      <c r="F102" s="517">
        <f>E102/D102</f>
        <v>2.8077138793742362</v>
      </c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5"/>
      <c r="AP102" s="163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4"/>
      <c r="BN102" s="194"/>
      <c r="BO102" s="194"/>
      <c r="BP102" s="194"/>
      <c r="BQ102" s="194"/>
      <c r="BR102" s="194"/>
      <c r="BS102" s="194"/>
      <c r="BT102" s="194"/>
      <c r="BU102" s="194"/>
      <c r="BV102" s="194"/>
      <c r="BW102" s="194"/>
      <c r="BX102" s="194"/>
      <c r="BY102" s="194"/>
      <c r="BZ102" s="194"/>
      <c r="CA102" s="194"/>
      <c r="CB102" s="194"/>
      <c r="CC102" s="194"/>
      <c r="CD102" s="194"/>
      <c r="CE102" s="194"/>
      <c r="CF102" s="194"/>
      <c r="CG102" s="194"/>
      <c r="CH102" s="194"/>
      <c r="CI102" s="194"/>
      <c r="CJ102" s="194"/>
      <c r="CK102" s="194"/>
      <c r="CL102" s="194"/>
      <c r="CM102" s="194"/>
      <c r="CN102" s="194"/>
      <c r="CO102" s="194"/>
      <c r="CP102" s="194"/>
      <c r="CQ102" s="194"/>
      <c r="CR102" s="194"/>
      <c r="CS102" s="194"/>
      <c r="CT102" s="194"/>
      <c r="CU102" s="194"/>
      <c r="CV102" s="194"/>
      <c r="CW102" s="194"/>
      <c r="CX102" s="194"/>
      <c r="CY102" s="194"/>
      <c r="CZ102" s="194"/>
      <c r="DA102" s="194"/>
      <c r="DB102" s="194"/>
      <c r="DC102" s="194"/>
      <c r="DD102" s="194"/>
      <c r="DE102" s="194"/>
      <c r="DF102" s="194"/>
      <c r="DG102" s="194"/>
      <c r="DH102" s="194"/>
      <c r="DI102" s="194"/>
      <c r="DJ102" s="194"/>
      <c r="DK102" s="194"/>
      <c r="DL102" s="194"/>
      <c r="DM102" s="194"/>
      <c r="DN102" s="194"/>
      <c r="DO102" s="194"/>
      <c r="DP102" s="194"/>
      <c r="DQ102" s="194"/>
      <c r="DR102" s="194"/>
      <c r="DS102" s="194"/>
      <c r="DT102" s="194"/>
      <c r="DU102" s="194"/>
    </row>
    <row r="103" spans="1:125" s="196" customFormat="1" ht="22.5" customHeight="1" thickBot="1">
      <c r="A103" s="231" t="s">
        <v>109</v>
      </c>
      <c r="B103" s="241">
        <v>138000</v>
      </c>
      <c r="C103" s="230"/>
      <c r="D103" s="230"/>
      <c r="E103" s="230"/>
      <c r="F103" s="517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5"/>
      <c r="AP103" s="163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  <c r="BM103" s="194"/>
      <c r="BN103" s="194"/>
      <c r="BO103" s="194"/>
      <c r="BP103" s="194"/>
      <c r="BQ103" s="194"/>
      <c r="BR103" s="194"/>
      <c r="BS103" s="194"/>
      <c r="BT103" s="194"/>
      <c r="BU103" s="194"/>
      <c r="BV103" s="194"/>
      <c r="BW103" s="194"/>
      <c r="BX103" s="194"/>
      <c r="BY103" s="194"/>
      <c r="BZ103" s="194"/>
      <c r="CA103" s="194"/>
      <c r="CB103" s="194"/>
      <c r="CC103" s="194"/>
      <c r="CD103" s="194"/>
      <c r="CE103" s="194"/>
      <c r="CF103" s="194"/>
      <c r="CG103" s="194"/>
      <c r="CH103" s="194"/>
      <c r="CI103" s="194"/>
      <c r="CJ103" s="194"/>
      <c r="CK103" s="194"/>
      <c r="CL103" s="194"/>
      <c r="CM103" s="194"/>
      <c r="CN103" s="194"/>
      <c r="CO103" s="194"/>
      <c r="CP103" s="194"/>
      <c r="CQ103" s="194"/>
      <c r="CR103" s="194"/>
      <c r="CS103" s="194"/>
      <c r="CT103" s="194"/>
      <c r="CU103" s="194"/>
      <c r="CV103" s="194"/>
      <c r="CW103" s="194"/>
      <c r="CX103" s="194"/>
      <c r="CY103" s="194"/>
      <c r="CZ103" s="194"/>
      <c r="DA103" s="194"/>
      <c r="DB103" s="194"/>
      <c r="DC103" s="194"/>
      <c r="DD103" s="194"/>
      <c r="DE103" s="194"/>
      <c r="DF103" s="194"/>
      <c r="DG103" s="194"/>
      <c r="DH103" s="194"/>
      <c r="DI103" s="194"/>
      <c r="DJ103" s="194"/>
      <c r="DK103" s="194"/>
      <c r="DL103" s="194"/>
      <c r="DM103" s="194"/>
      <c r="DN103" s="194"/>
      <c r="DO103" s="194"/>
      <c r="DP103" s="194"/>
      <c r="DQ103" s="194"/>
      <c r="DR103" s="194"/>
      <c r="DS103" s="194"/>
      <c r="DT103" s="194"/>
      <c r="DU103" s="194"/>
    </row>
    <row r="104" spans="1:125" s="196" customFormat="1" ht="22.5" customHeight="1" thickBot="1">
      <c r="A104" s="231" t="s">
        <v>110</v>
      </c>
      <c r="B104" s="241">
        <f>132000+33000</f>
        <v>165000</v>
      </c>
      <c r="C104" s="230"/>
      <c r="D104" s="230"/>
      <c r="E104" s="230"/>
      <c r="F104" s="517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5"/>
      <c r="AP104" s="163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  <c r="BM104" s="194"/>
      <c r="BN104" s="194"/>
      <c r="BO104" s="194"/>
      <c r="BP104" s="194"/>
      <c r="BQ104" s="194"/>
      <c r="BR104" s="194"/>
      <c r="BS104" s="194"/>
      <c r="BT104" s="194"/>
      <c r="BU104" s="194"/>
      <c r="BV104" s="194"/>
      <c r="BW104" s="194"/>
      <c r="BX104" s="194"/>
      <c r="BY104" s="194"/>
      <c r="BZ104" s="194"/>
      <c r="CA104" s="194"/>
      <c r="CB104" s="194"/>
      <c r="CC104" s="194"/>
      <c r="CD104" s="194"/>
      <c r="CE104" s="194"/>
      <c r="CF104" s="194"/>
      <c r="CG104" s="194"/>
      <c r="CH104" s="194"/>
      <c r="CI104" s="194"/>
      <c r="CJ104" s="194"/>
      <c r="CK104" s="194"/>
      <c r="CL104" s="194"/>
      <c r="CM104" s="194"/>
      <c r="CN104" s="194"/>
      <c r="CO104" s="194"/>
      <c r="CP104" s="194"/>
      <c r="CQ104" s="194"/>
      <c r="CR104" s="194"/>
      <c r="CS104" s="194"/>
      <c r="CT104" s="194"/>
      <c r="CU104" s="194"/>
      <c r="CV104" s="194"/>
      <c r="CW104" s="194"/>
      <c r="CX104" s="194"/>
      <c r="CY104" s="194"/>
      <c r="CZ104" s="194"/>
      <c r="DA104" s="194"/>
      <c r="DB104" s="194"/>
      <c r="DC104" s="194"/>
      <c r="DD104" s="194"/>
      <c r="DE104" s="194"/>
      <c r="DF104" s="194"/>
      <c r="DG104" s="194"/>
      <c r="DH104" s="194"/>
      <c r="DI104" s="194"/>
      <c r="DJ104" s="194"/>
      <c r="DK104" s="194"/>
      <c r="DL104" s="194"/>
      <c r="DM104" s="194"/>
      <c r="DN104" s="194"/>
      <c r="DO104" s="194"/>
      <c r="DP104" s="194"/>
      <c r="DQ104" s="194"/>
      <c r="DR104" s="194"/>
      <c r="DS104" s="194"/>
      <c r="DT104" s="194"/>
      <c r="DU104" s="194"/>
    </row>
    <row r="105" spans="1:125" s="196" customFormat="1" ht="22.5" customHeight="1" thickBot="1">
      <c r="A105" s="231" t="s">
        <v>111</v>
      </c>
      <c r="B105" s="241">
        <v>445000</v>
      </c>
      <c r="C105" s="230"/>
      <c r="D105" s="230"/>
      <c r="E105" s="230"/>
      <c r="F105" s="517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5"/>
      <c r="AP105" s="163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194"/>
      <c r="BL105" s="194"/>
      <c r="BM105" s="194"/>
      <c r="BN105" s="194"/>
      <c r="BO105" s="194"/>
      <c r="BP105" s="194"/>
      <c r="BQ105" s="194"/>
      <c r="BR105" s="194"/>
      <c r="BS105" s="194"/>
      <c r="BT105" s="194"/>
      <c r="BU105" s="194"/>
      <c r="BV105" s="194"/>
      <c r="BW105" s="194"/>
      <c r="BX105" s="194"/>
      <c r="BY105" s="194"/>
      <c r="BZ105" s="194"/>
      <c r="CA105" s="194"/>
      <c r="CB105" s="194"/>
      <c r="CC105" s="194"/>
      <c r="CD105" s="194"/>
      <c r="CE105" s="194"/>
      <c r="CF105" s="194"/>
      <c r="CG105" s="194"/>
      <c r="CH105" s="194"/>
      <c r="CI105" s="194"/>
      <c r="CJ105" s="194"/>
      <c r="CK105" s="194"/>
      <c r="CL105" s="194"/>
      <c r="CM105" s="194"/>
      <c r="CN105" s="194"/>
      <c r="CO105" s="194"/>
      <c r="CP105" s="194"/>
      <c r="CQ105" s="194"/>
      <c r="CR105" s="194"/>
      <c r="CS105" s="194"/>
      <c r="CT105" s="194"/>
      <c r="CU105" s="194"/>
      <c r="CV105" s="194"/>
      <c r="CW105" s="194"/>
      <c r="CX105" s="194"/>
      <c r="CY105" s="194"/>
      <c r="CZ105" s="194"/>
      <c r="DA105" s="194"/>
      <c r="DB105" s="194"/>
      <c r="DC105" s="194"/>
      <c r="DD105" s="194"/>
      <c r="DE105" s="194"/>
      <c r="DF105" s="194"/>
      <c r="DG105" s="194"/>
      <c r="DH105" s="194"/>
      <c r="DI105" s="194"/>
      <c r="DJ105" s="194"/>
      <c r="DK105" s="194"/>
      <c r="DL105" s="194"/>
      <c r="DM105" s="194"/>
      <c r="DN105" s="194"/>
      <c r="DO105" s="194"/>
      <c r="DP105" s="194"/>
      <c r="DQ105" s="194"/>
      <c r="DR105" s="194"/>
      <c r="DS105" s="194"/>
      <c r="DT105" s="194"/>
      <c r="DU105" s="194"/>
    </row>
    <row r="106" spans="1:125" s="196" customFormat="1" ht="22.5" customHeight="1" thickBot="1">
      <c r="A106" s="231" t="s">
        <v>132</v>
      </c>
      <c r="B106" s="241">
        <v>51000</v>
      </c>
      <c r="C106" s="230"/>
      <c r="D106" s="230"/>
      <c r="E106" s="230"/>
      <c r="F106" s="517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5"/>
      <c r="AP106" s="163"/>
      <c r="AQ106" s="194"/>
      <c r="AR106" s="194"/>
      <c r="AS106" s="194"/>
      <c r="AT106" s="194"/>
      <c r="AU106" s="194"/>
      <c r="AV106" s="194"/>
      <c r="AW106" s="194"/>
      <c r="AX106" s="194"/>
      <c r="AY106" s="194"/>
      <c r="AZ106" s="194"/>
      <c r="BA106" s="194"/>
      <c r="BB106" s="194"/>
      <c r="BC106" s="194"/>
      <c r="BD106" s="194"/>
      <c r="BE106" s="194"/>
      <c r="BF106" s="194"/>
      <c r="BG106" s="194"/>
      <c r="BH106" s="194"/>
      <c r="BI106" s="194"/>
      <c r="BJ106" s="194"/>
      <c r="BK106" s="194"/>
      <c r="BL106" s="194"/>
      <c r="BM106" s="194"/>
      <c r="BN106" s="194"/>
      <c r="BO106" s="194"/>
      <c r="BP106" s="194"/>
      <c r="BQ106" s="194"/>
      <c r="BR106" s="194"/>
      <c r="BS106" s="194"/>
      <c r="BT106" s="194"/>
      <c r="BU106" s="194"/>
      <c r="BV106" s="194"/>
      <c r="BW106" s="194"/>
      <c r="BX106" s="194"/>
      <c r="BY106" s="194"/>
      <c r="BZ106" s="194"/>
      <c r="CA106" s="194"/>
      <c r="CB106" s="194"/>
      <c r="CC106" s="194"/>
      <c r="CD106" s="194"/>
      <c r="CE106" s="194"/>
      <c r="CF106" s="194"/>
      <c r="CG106" s="194"/>
      <c r="CH106" s="194"/>
      <c r="CI106" s="194"/>
      <c r="CJ106" s="194"/>
      <c r="CK106" s="194"/>
      <c r="CL106" s="194"/>
      <c r="CM106" s="194"/>
      <c r="CN106" s="194"/>
      <c r="CO106" s="194"/>
      <c r="CP106" s="194"/>
      <c r="CQ106" s="194"/>
      <c r="CR106" s="194"/>
      <c r="CS106" s="194"/>
      <c r="CT106" s="194"/>
      <c r="CU106" s="194"/>
      <c r="CV106" s="194"/>
      <c r="CW106" s="194"/>
      <c r="CX106" s="194"/>
      <c r="CY106" s="194"/>
      <c r="CZ106" s="194"/>
      <c r="DA106" s="194"/>
      <c r="DB106" s="194"/>
      <c r="DC106" s="194"/>
      <c r="DD106" s="194"/>
      <c r="DE106" s="194"/>
      <c r="DF106" s="194"/>
      <c r="DG106" s="194"/>
      <c r="DH106" s="194"/>
      <c r="DI106" s="194"/>
      <c r="DJ106" s="194"/>
      <c r="DK106" s="194"/>
      <c r="DL106" s="194"/>
      <c r="DM106" s="194"/>
      <c r="DN106" s="194"/>
      <c r="DO106" s="194"/>
      <c r="DP106" s="194"/>
      <c r="DQ106" s="194"/>
      <c r="DR106" s="194"/>
      <c r="DS106" s="194"/>
      <c r="DT106" s="194"/>
      <c r="DU106" s="194"/>
    </row>
    <row r="107" spans="1:125" s="196" customFormat="1" ht="22.5" customHeight="1" thickBot="1">
      <c r="A107" s="231" t="s">
        <v>133</v>
      </c>
      <c r="B107" s="241">
        <v>412000</v>
      </c>
      <c r="C107" s="230"/>
      <c r="D107" s="230"/>
      <c r="E107" s="230"/>
      <c r="F107" s="517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4"/>
      <c r="AK107" s="194"/>
      <c r="AL107" s="194"/>
      <c r="AM107" s="195"/>
      <c r="AP107" s="163"/>
      <c r="AQ107" s="194"/>
      <c r="AR107" s="194"/>
      <c r="AS107" s="194"/>
      <c r="AT107" s="194"/>
      <c r="AU107" s="194"/>
      <c r="AV107" s="194"/>
      <c r="AW107" s="194"/>
      <c r="AX107" s="194"/>
      <c r="AY107" s="194"/>
      <c r="AZ107" s="194"/>
      <c r="BA107" s="194"/>
      <c r="BB107" s="194"/>
      <c r="BC107" s="194"/>
      <c r="BD107" s="194"/>
      <c r="BE107" s="194"/>
      <c r="BF107" s="194"/>
      <c r="BG107" s="194"/>
      <c r="BH107" s="194"/>
      <c r="BI107" s="194"/>
      <c r="BJ107" s="194"/>
      <c r="BK107" s="194"/>
      <c r="BL107" s="194"/>
      <c r="BM107" s="194"/>
      <c r="BN107" s="194"/>
      <c r="BO107" s="194"/>
      <c r="BP107" s="194"/>
      <c r="BQ107" s="194"/>
      <c r="BR107" s="194"/>
      <c r="BS107" s="194"/>
      <c r="BT107" s="194"/>
      <c r="BU107" s="194"/>
      <c r="BV107" s="194"/>
      <c r="BW107" s="194"/>
      <c r="BX107" s="194"/>
      <c r="BY107" s="194"/>
      <c r="BZ107" s="194"/>
      <c r="CA107" s="194"/>
      <c r="CB107" s="194"/>
      <c r="CC107" s="194"/>
      <c r="CD107" s="194"/>
      <c r="CE107" s="194"/>
      <c r="CF107" s="194"/>
      <c r="CG107" s="194"/>
      <c r="CH107" s="194"/>
      <c r="CI107" s="194"/>
      <c r="CJ107" s="194"/>
      <c r="CK107" s="194"/>
      <c r="CL107" s="194"/>
      <c r="CM107" s="194"/>
      <c r="CN107" s="194"/>
      <c r="CO107" s="194"/>
      <c r="CP107" s="194"/>
      <c r="CQ107" s="194"/>
      <c r="CR107" s="194"/>
      <c r="CS107" s="194"/>
      <c r="CT107" s="194"/>
      <c r="CU107" s="194"/>
      <c r="CV107" s="194"/>
      <c r="CW107" s="194"/>
      <c r="CX107" s="194"/>
      <c r="CY107" s="194"/>
      <c r="CZ107" s="194"/>
      <c r="DA107" s="194"/>
      <c r="DB107" s="194"/>
      <c r="DC107" s="194"/>
      <c r="DD107" s="194"/>
      <c r="DE107" s="194"/>
      <c r="DF107" s="194"/>
      <c r="DG107" s="194"/>
      <c r="DH107" s="194"/>
      <c r="DI107" s="194"/>
      <c r="DJ107" s="194"/>
      <c r="DK107" s="194"/>
      <c r="DL107" s="194"/>
      <c r="DM107" s="194"/>
      <c r="DN107" s="194"/>
      <c r="DO107" s="194"/>
      <c r="DP107" s="194"/>
      <c r="DQ107" s="194"/>
      <c r="DR107" s="194"/>
      <c r="DS107" s="194"/>
      <c r="DT107" s="194"/>
      <c r="DU107" s="194"/>
    </row>
    <row r="108" spans="1:125" s="196" customFormat="1" ht="22.5" customHeight="1" thickBot="1">
      <c r="A108" s="231" t="s">
        <v>134</v>
      </c>
      <c r="B108" s="241">
        <v>283000</v>
      </c>
      <c r="C108" s="230"/>
      <c r="D108" s="230"/>
      <c r="E108" s="230"/>
      <c r="F108" s="517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4"/>
      <c r="AJ108" s="194"/>
      <c r="AK108" s="194"/>
      <c r="AL108" s="194"/>
      <c r="AM108" s="195"/>
      <c r="AP108" s="163"/>
      <c r="AQ108" s="194"/>
      <c r="AR108" s="194"/>
      <c r="AS108" s="194"/>
      <c r="AT108" s="194"/>
      <c r="AU108" s="194"/>
      <c r="AV108" s="194"/>
      <c r="AW108" s="194"/>
      <c r="AX108" s="194"/>
      <c r="AY108" s="194"/>
      <c r="AZ108" s="194"/>
      <c r="BA108" s="194"/>
      <c r="BB108" s="194"/>
      <c r="BC108" s="194"/>
      <c r="BD108" s="194"/>
      <c r="BE108" s="194"/>
      <c r="BF108" s="194"/>
      <c r="BG108" s="194"/>
      <c r="BH108" s="194"/>
      <c r="BI108" s="194"/>
      <c r="BJ108" s="194"/>
      <c r="BK108" s="194"/>
      <c r="BL108" s="194"/>
      <c r="BM108" s="194"/>
      <c r="BN108" s="194"/>
      <c r="BO108" s="194"/>
      <c r="BP108" s="194"/>
      <c r="BQ108" s="194"/>
      <c r="BR108" s="194"/>
      <c r="BS108" s="194"/>
      <c r="BT108" s="194"/>
      <c r="BU108" s="194"/>
      <c r="BV108" s="194"/>
      <c r="BW108" s="194"/>
      <c r="BX108" s="194"/>
      <c r="BY108" s="194"/>
      <c r="BZ108" s="194"/>
      <c r="CA108" s="194"/>
      <c r="CB108" s="194"/>
      <c r="CC108" s="194"/>
      <c r="CD108" s="194"/>
      <c r="CE108" s="194"/>
      <c r="CF108" s="194"/>
      <c r="CG108" s="194"/>
      <c r="CH108" s="194"/>
      <c r="CI108" s="194"/>
      <c r="CJ108" s="194"/>
      <c r="CK108" s="194"/>
      <c r="CL108" s="194"/>
      <c r="CM108" s="194"/>
      <c r="CN108" s="194"/>
      <c r="CO108" s="194"/>
      <c r="CP108" s="194"/>
      <c r="CQ108" s="194"/>
      <c r="CR108" s="194"/>
      <c r="CS108" s="194"/>
      <c r="CT108" s="194"/>
      <c r="CU108" s="194"/>
      <c r="CV108" s="194"/>
      <c r="CW108" s="194"/>
      <c r="CX108" s="194"/>
      <c r="CY108" s="194"/>
      <c r="CZ108" s="194"/>
      <c r="DA108" s="194"/>
      <c r="DB108" s="194"/>
      <c r="DC108" s="194"/>
      <c r="DD108" s="194"/>
      <c r="DE108" s="194"/>
      <c r="DF108" s="194"/>
      <c r="DG108" s="194"/>
      <c r="DH108" s="194"/>
      <c r="DI108" s="194"/>
      <c r="DJ108" s="194"/>
      <c r="DK108" s="194"/>
      <c r="DL108" s="194"/>
      <c r="DM108" s="194"/>
      <c r="DN108" s="194"/>
      <c r="DO108" s="194"/>
      <c r="DP108" s="194"/>
      <c r="DQ108" s="194"/>
      <c r="DR108" s="194"/>
      <c r="DS108" s="194"/>
      <c r="DT108" s="194"/>
      <c r="DU108" s="194"/>
    </row>
    <row r="109" spans="1:125" s="196" customFormat="1" ht="22.5" customHeight="1" thickBot="1">
      <c r="A109" s="231" t="s">
        <v>376</v>
      </c>
      <c r="B109" s="241">
        <v>378150</v>
      </c>
      <c r="C109" s="230"/>
      <c r="D109" s="230"/>
      <c r="E109" s="230"/>
      <c r="F109" s="517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5"/>
      <c r="AP109" s="163"/>
      <c r="AQ109" s="194"/>
      <c r="AR109" s="194"/>
      <c r="AS109" s="194"/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194"/>
      <c r="CZ109" s="194"/>
      <c r="DA109" s="194"/>
      <c r="DB109" s="194"/>
      <c r="DC109" s="194"/>
      <c r="DD109" s="194"/>
      <c r="DE109" s="194"/>
      <c r="DF109" s="194"/>
      <c r="DG109" s="194"/>
      <c r="DH109" s="194"/>
      <c r="DI109" s="194"/>
      <c r="DJ109" s="194"/>
      <c r="DK109" s="194"/>
      <c r="DL109" s="194"/>
      <c r="DM109" s="194"/>
      <c r="DN109" s="194"/>
      <c r="DO109" s="194"/>
      <c r="DP109" s="194"/>
      <c r="DQ109" s="194"/>
      <c r="DR109" s="194"/>
      <c r="DS109" s="194"/>
      <c r="DT109" s="194"/>
      <c r="DU109" s="194"/>
    </row>
    <row r="110" spans="1:125" s="196" customFormat="1" ht="22.5" customHeight="1" thickBot="1">
      <c r="A110" s="231" t="s">
        <v>384</v>
      </c>
      <c r="B110" s="241">
        <v>124000</v>
      </c>
      <c r="C110" s="230"/>
      <c r="D110" s="230"/>
      <c r="E110" s="230"/>
      <c r="F110" s="517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194"/>
      <c r="AI110" s="194"/>
      <c r="AJ110" s="194"/>
      <c r="AK110" s="194"/>
      <c r="AL110" s="194"/>
      <c r="AM110" s="195"/>
      <c r="AP110" s="163"/>
      <c r="AQ110" s="194"/>
      <c r="AR110" s="194"/>
      <c r="AS110" s="194"/>
      <c r="AT110" s="194"/>
      <c r="AU110" s="194"/>
      <c r="AV110" s="194"/>
      <c r="AW110" s="194"/>
      <c r="AX110" s="194"/>
      <c r="AY110" s="194"/>
      <c r="AZ110" s="194"/>
      <c r="BA110" s="194"/>
      <c r="BB110" s="194"/>
      <c r="BC110" s="194"/>
      <c r="BD110" s="194"/>
      <c r="BE110" s="194"/>
      <c r="BF110" s="194"/>
      <c r="BG110" s="194"/>
      <c r="BH110" s="194"/>
      <c r="BI110" s="194"/>
      <c r="BJ110" s="194"/>
      <c r="BK110" s="194"/>
      <c r="BL110" s="194"/>
      <c r="BM110" s="194"/>
      <c r="BN110" s="194"/>
      <c r="BO110" s="194"/>
      <c r="BP110" s="194"/>
      <c r="BQ110" s="194"/>
      <c r="BR110" s="194"/>
      <c r="BS110" s="194"/>
      <c r="BT110" s="194"/>
      <c r="BU110" s="194"/>
      <c r="BV110" s="194"/>
      <c r="BW110" s="194"/>
      <c r="BX110" s="194"/>
      <c r="BY110" s="194"/>
      <c r="BZ110" s="194"/>
      <c r="CA110" s="194"/>
      <c r="CB110" s="194"/>
      <c r="CC110" s="194"/>
      <c r="CD110" s="194"/>
      <c r="CE110" s="194"/>
      <c r="CF110" s="194"/>
      <c r="CG110" s="194"/>
      <c r="CH110" s="194"/>
      <c r="CI110" s="194"/>
      <c r="CJ110" s="194"/>
      <c r="CK110" s="194"/>
      <c r="CL110" s="194"/>
      <c r="CM110" s="194"/>
      <c r="CN110" s="194"/>
      <c r="CO110" s="194"/>
      <c r="CP110" s="194"/>
      <c r="CQ110" s="194"/>
      <c r="CR110" s="194"/>
      <c r="CS110" s="194"/>
      <c r="CT110" s="194"/>
      <c r="CU110" s="194"/>
      <c r="CV110" s="194"/>
      <c r="CW110" s="194"/>
      <c r="CX110" s="194"/>
      <c r="CY110" s="194"/>
      <c r="CZ110" s="194"/>
      <c r="DA110" s="194"/>
      <c r="DB110" s="194"/>
      <c r="DC110" s="194"/>
      <c r="DD110" s="194"/>
      <c r="DE110" s="194"/>
      <c r="DF110" s="194"/>
      <c r="DG110" s="194"/>
      <c r="DH110" s="194"/>
      <c r="DI110" s="194"/>
      <c r="DJ110" s="194"/>
      <c r="DK110" s="194"/>
      <c r="DL110" s="194"/>
      <c r="DM110" s="194"/>
      <c r="DN110" s="194"/>
      <c r="DO110" s="194"/>
      <c r="DP110" s="194"/>
      <c r="DQ110" s="194"/>
      <c r="DR110" s="194"/>
      <c r="DS110" s="194"/>
      <c r="DT110" s="194"/>
      <c r="DU110" s="194"/>
    </row>
    <row r="111" spans="1:125" s="196" customFormat="1" ht="16.5" thickBot="1">
      <c r="A111" s="231" t="s">
        <v>290</v>
      </c>
      <c r="B111" s="241">
        <v>500000</v>
      </c>
      <c r="C111" s="230"/>
      <c r="D111" s="230"/>
      <c r="E111" s="230"/>
      <c r="F111" s="517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194"/>
      <c r="AL111" s="194"/>
      <c r="AM111" s="195"/>
      <c r="AP111" s="163"/>
      <c r="AQ111" s="194"/>
      <c r="AR111" s="194"/>
      <c r="AS111" s="194"/>
      <c r="AT111" s="194"/>
      <c r="AU111" s="194"/>
      <c r="AV111" s="194"/>
      <c r="AW111" s="194"/>
      <c r="AX111" s="194"/>
      <c r="AY111" s="194"/>
      <c r="AZ111" s="194"/>
      <c r="BA111" s="194"/>
      <c r="BB111" s="194"/>
      <c r="BC111" s="194"/>
      <c r="BD111" s="194"/>
      <c r="BE111" s="194"/>
      <c r="BF111" s="194"/>
      <c r="BG111" s="194"/>
      <c r="BH111" s="194"/>
      <c r="BI111" s="194"/>
      <c r="BJ111" s="194"/>
      <c r="BK111" s="194"/>
      <c r="BL111" s="194"/>
      <c r="BM111" s="194"/>
      <c r="BN111" s="194"/>
      <c r="BO111" s="194"/>
      <c r="BP111" s="194"/>
      <c r="BQ111" s="194"/>
      <c r="BR111" s="194"/>
      <c r="BS111" s="194"/>
      <c r="BT111" s="194"/>
      <c r="BU111" s="194"/>
      <c r="BV111" s="194"/>
      <c r="BW111" s="194"/>
      <c r="BX111" s="194"/>
      <c r="BY111" s="194"/>
      <c r="BZ111" s="194"/>
      <c r="CA111" s="194"/>
      <c r="CB111" s="194"/>
      <c r="CC111" s="194"/>
      <c r="CD111" s="194"/>
      <c r="CE111" s="194"/>
      <c r="CF111" s="194"/>
      <c r="CG111" s="194"/>
      <c r="CH111" s="194"/>
      <c r="CI111" s="194"/>
      <c r="CJ111" s="194"/>
      <c r="CK111" s="194"/>
      <c r="CL111" s="194"/>
      <c r="CM111" s="194"/>
      <c r="CN111" s="194"/>
      <c r="CO111" s="194"/>
      <c r="CP111" s="194"/>
      <c r="CQ111" s="194"/>
      <c r="CR111" s="194"/>
      <c r="CS111" s="194"/>
      <c r="CT111" s="194"/>
      <c r="CU111" s="194"/>
      <c r="CV111" s="194"/>
      <c r="CW111" s="194"/>
      <c r="CX111" s="194"/>
      <c r="CY111" s="194"/>
      <c r="CZ111" s="194"/>
      <c r="DA111" s="194"/>
      <c r="DB111" s="194"/>
      <c r="DC111" s="194"/>
      <c r="DD111" s="194"/>
      <c r="DE111" s="194"/>
      <c r="DF111" s="194"/>
      <c r="DG111" s="194"/>
      <c r="DH111" s="194"/>
      <c r="DI111" s="194"/>
      <c r="DJ111" s="194"/>
      <c r="DK111" s="194"/>
      <c r="DL111" s="194"/>
      <c r="DM111" s="194"/>
      <c r="DN111" s="194"/>
      <c r="DO111" s="194"/>
      <c r="DP111" s="194"/>
      <c r="DQ111" s="194"/>
      <c r="DR111" s="194"/>
      <c r="DS111" s="194"/>
      <c r="DT111" s="194"/>
      <c r="DU111" s="194"/>
    </row>
    <row r="112" spans="1:125" s="196" customFormat="1" ht="26.25" customHeight="1" thickBot="1">
      <c r="A112" s="535" t="s">
        <v>101</v>
      </c>
      <c r="B112" s="238"/>
      <c r="C112" s="230"/>
      <c r="D112" s="230"/>
      <c r="E112" s="230">
        <v>835725</v>
      </c>
      <c r="F112" s="517">
        <v>0</v>
      </c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194"/>
      <c r="AM112" s="195"/>
      <c r="AP112" s="163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4"/>
      <c r="BC112" s="194"/>
      <c r="BD112" s="194"/>
      <c r="BE112" s="194"/>
      <c r="BF112" s="194"/>
      <c r="BG112" s="194"/>
      <c r="BH112" s="194"/>
      <c r="BI112" s="194"/>
      <c r="BJ112" s="194"/>
      <c r="BK112" s="194"/>
      <c r="BL112" s="194"/>
      <c r="BM112" s="194"/>
      <c r="BN112" s="194"/>
      <c r="BO112" s="194"/>
      <c r="BP112" s="194"/>
      <c r="BQ112" s="194"/>
      <c r="BR112" s="194"/>
      <c r="BS112" s="194"/>
      <c r="BT112" s="194"/>
      <c r="BU112" s="194"/>
      <c r="BV112" s="194"/>
      <c r="BW112" s="194"/>
      <c r="BX112" s="194"/>
      <c r="BY112" s="194"/>
      <c r="BZ112" s="194"/>
      <c r="CA112" s="194"/>
      <c r="CB112" s="194"/>
      <c r="CC112" s="194"/>
      <c r="CD112" s="194"/>
      <c r="CE112" s="194"/>
      <c r="CF112" s="194"/>
      <c r="CG112" s="194"/>
      <c r="CH112" s="194"/>
      <c r="CI112" s="194"/>
      <c r="CJ112" s="194"/>
      <c r="CK112" s="194"/>
      <c r="CL112" s="194"/>
      <c r="CM112" s="194"/>
      <c r="CN112" s="194"/>
      <c r="CO112" s="194"/>
      <c r="CP112" s="194"/>
      <c r="CQ112" s="194"/>
      <c r="CR112" s="194"/>
      <c r="CS112" s="194"/>
      <c r="CT112" s="194"/>
      <c r="CU112" s="194"/>
      <c r="CV112" s="194"/>
      <c r="CW112" s="194"/>
      <c r="CX112" s="194"/>
      <c r="CY112" s="194"/>
      <c r="CZ112" s="194"/>
      <c r="DA112" s="194"/>
      <c r="DB112" s="194"/>
      <c r="DC112" s="194"/>
      <c r="DD112" s="194"/>
      <c r="DE112" s="194"/>
      <c r="DF112" s="194"/>
      <c r="DG112" s="194"/>
      <c r="DH112" s="194"/>
      <c r="DI112" s="194"/>
      <c r="DJ112" s="194"/>
      <c r="DK112" s="194"/>
      <c r="DL112" s="194"/>
      <c r="DM112" s="194"/>
      <c r="DN112" s="194"/>
      <c r="DO112" s="194"/>
      <c r="DP112" s="194"/>
      <c r="DQ112" s="194"/>
      <c r="DR112" s="194"/>
      <c r="DS112" s="194"/>
      <c r="DT112" s="194"/>
      <c r="DU112" s="194"/>
    </row>
    <row r="113" spans="1:125" s="196" customFormat="1" ht="51" customHeight="1" thickBot="1">
      <c r="A113" s="535" t="s">
        <v>138</v>
      </c>
      <c r="B113" s="232"/>
      <c r="C113" s="230"/>
      <c r="D113" s="230"/>
      <c r="E113" s="230">
        <v>706901</v>
      </c>
      <c r="F113" s="517">
        <v>0</v>
      </c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4"/>
      <c r="AM113" s="194"/>
      <c r="AN113" s="194"/>
      <c r="AO113" s="195"/>
    </row>
    <row r="114" spans="1:125" s="196" customFormat="1" ht="34.5" customHeight="1" thickBot="1">
      <c r="A114" s="535" t="s">
        <v>139</v>
      </c>
      <c r="B114" s="232"/>
      <c r="C114" s="230"/>
      <c r="D114" s="230"/>
      <c r="E114" s="230">
        <v>330965</v>
      </c>
      <c r="F114" s="517">
        <v>0</v>
      </c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5"/>
    </row>
    <row r="115" spans="1:125" s="199" customFormat="1" ht="32.25" customHeight="1" thickBot="1">
      <c r="A115" s="663" t="s">
        <v>262</v>
      </c>
      <c r="B115" s="665"/>
      <c r="C115" s="230">
        <v>16000000</v>
      </c>
      <c r="D115" s="230">
        <f>16000000-200000</f>
        <v>15800000</v>
      </c>
      <c r="E115" s="230">
        <v>100300</v>
      </c>
      <c r="F115" s="517">
        <f>E115/D115</f>
        <v>6.3481012658227849E-3</v>
      </c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8"/>
      <c r="AP115" s="164"/>
      <c r="AQ115" s="197"/>
      <c r="AR115" s="197"/>
      <c r="AS115" s="197"/>
      <c r="AT115" s="197"/>
      <c r="AU115" s="197"/>
      <c r="AV115" s="197"/>
      <c r="AW115" s="197"/>
      <c r="AX115" s="197"/>
      <c r="AY115" s="197"/>
      <c r="AZ115" s="197"/>
      <c r="BA115" s="197"/>
      <c r="BB115" s="197"/>
      <c r="BC115" s="197"/>
      <c r="BD115" s="197"/>
      <c r="BE115" s="197"/>
      <c r="BF115" s="197"/>
      <c r="BG115" s="197"/>
      <c r="BH115" s="197"/>
      <c r="BI115" s="197"/>
      <c r="BJ115" s="197"/>
      <c r="BK115" s="197"/>
      <c r="BL115" s="197"/>
      <c r="BM115" s="197"/>
      <c r="BN115" s="197"/>
      <c r="BO115" s="197"/>
      <c r="BP115" s="197"/>
      <c r="BQ115" s="197"/>
      <c r="BR115" s="197"/>
      <c r="BS115" s="197"/>
      <c r="BT115" s="197"/>
      <c r="BU115" s="197"/>
      <c r="BV115" s="197"/>
      <c r="BW115" s="197"/>
      <c r="BX115" s="197"/>
      <c r="BY115" s="197"/>
      <c r="BZ115" s="197"/>
      <c r="CA115" s="197"/>
      <c r="CB115" s="197"/>
      <c r="CC115" s="197"/>
      <c r="CD115" s="197"/>
      <c r="CE115" s="197"/>
      <c r="CF115" s="197"/>
      <c r="CG115" s="197"/>
      <c r="CH115" s="197"/>
      <c r="CI115" s="197"/>
      <c r="CJ115" s="197"/>
      <c r="CK115" s="197"/>
      <c r="CL115" s="197"/>
      <c r="CM115" s="197"/>
      <c r="CN115" s="197"/>
      <c r="CO115" s="197"/>
      <c r="CP115" s="197"/>
      <c r="CQ115" s="197"/>
      <c r="CR115" s="197"/>
      <c r="CS115" s="197"/>
      <c r="CT115" s="197"/>
      <c r="CU115" s="197"/>
      <c r="CV115" s="197"/>
      <c r="CW115" s="197"/>
      <c r="CX115" s="197"/>
      <c r="CY115" s="197"/>
      <c r="CZ115" s="197"/>
      <c r="DA115" s="197"/>
      <c r="DB115" s="197"/>
      <c r="DC115" s="197"/>
      <c r="DD115" s="197"/>
      <c r="DE115" s="197"/>
      <c r="DF115" s="197"/>
      <c r="DG115" s="197"/>
      <c r="DH115" s="197"/>
      <c r="DI115" s="197"/>
      <c r="DJ115" s="197"/>
      <c r="DK115" s="197"/>
      <c r="DL115" s="197"/>
      <c r="DM115" s="197"/>
      <c r="DN115" s="197"/>
      <c r="DO115" s="197"/>
      <c r="DP115" s="197"/>
      <c r="DQ115" s="197"/>
      <c r="DR115" s="197"/>
      <c r="DS115" s="197"/>
      <c r="DT115" s="197"/>
      <c r="DU115" s="197"/>
    </row>
    <row r="116" spans="1:125" s="199" customFormat="1" ht="32.25" customHeight="1" thickBot="1">
      <c r="A116" s="228" t="s">
        <v>112</v>
      </c>
      <c r="B116" s="238"/>
      <c r="C116" s="230">
        <v>3000000</v>
      </c>
      <c r="D116" s="230">
        <v>3000000</v>
      </c>
      <c r="E116" s="230">
        <v>0</v>
      </c>
      <c r="F116" s="517">
        <v>0</v>
      </c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8"/>
      <c r="AP116" s="164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197"/>
      <c r="BC116" s="197"/>
      <c r="BD116" s="197"/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7"/>
      <c r="BU116" s="197"/>
      <c r="BV116" s="197"/>
      <c r="BW116" s="197"/>
      <c r="BX116" s="197"/>
      <c r="BY116" s="197"/>
      <c r="BZ116" s="197"/>
      <c r="CA116" s="197"/>
      <c r="CB116" s="197"/>
      <c r="CC116" s="197"/>
      <c r="CD116" s="197"/>
      <c r="CE116" s="197"/>
      <c r="CF116" s="197"/>
      <c r="CG116" s="197"/>
      <c r="CH116" s="197"/>
      <c r="CI116" s="197"/>
      <c r="CJ116" s="197"/>
      <c r="CK116" s="197"/>
      <c r="CL116" s="197"/>
      <c r="CM116" s="197"/>
      <c r="CN116" s="197"/>
      <c r="CO116" s="197"/>
      <c r="CP116" s="197"/>
      <c r="CQ116" s="197"/>
      <c r="CR116" s="197"/>
      <c r="CS116" s="197"/>
      <c r="CT116" s="197"/>
      <c r="CU116" s="197"/>
      <c r="CV116" s="197"/>
      <c r="CW116" s="197"/>
      <c r="CX116" s="197"/>
      <c r="CY116" s="197"/>
      <c r="CZ116" s="197"/>
      <c r="DA116" s="197"/>
      <c r="DB116" s="197"/>
      <c r="DC116" s="197"/>
      <c r="DD116" s="197"/>
      <c r="DE116" s="197"/>
      <c r="DF116" s="197"/>
      <c r="DG116" s="197"/>
      <c r="DH116" s="197"/>
      <c r="DI116" s="197"/>
      <c r="DJ116" s="197"/>
      <c r="DK116" s="197"/>
      <c r="DL116" s="197"/>
      <c r="DM116" s="197"/>
      <c r="DN116" s="197"/>
      <c r="DO116" s="197"/>
      <c r="DP116" s="197"/>
      <c r="DQ116" s="197"/>
      <c r="DR116" s="197"/>
      <c r="DS116" s="197"/>
      <c r="DT116" s="197"/>
      <c r="DU116" s="197"/>
    </row>
    <row r="117" spans="1:125" s="203" customFormat="1" ht="31.5" customHeight="1" thickBot="1">
      <c r="A117" s="322" t="s">
        <v>317</v>
      </c>
      <c r="B117" s="326"/>
      <c r="C117" s="324">
        <f>SUM(C40:C116)</f>
        <v>275769000</v>
      </c>
      <c r="D117" s="324">
        <f>SUM(D40:D116)</f>
        <v>315959258</v>
      </c>
      <c r="E117" s="324">
        <f>SUM(E40:E116)</f>
        <v>67143860</v>
      </c>
      <c r="F117" s="518">
        <f>SUM(E117/D117)</f>
        <v>0.21250796835331218</v>
      </c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2"/>
    </row>
    <row r="118" spans="1:125" s="218" customFormat="1" ht="66.75" customHeight="1" thickBot="1">
      <c r="A118" s="293" t="s">
        <v>244</v>
      </c>
      <c r="B118" s="320"/>
      <c r="C118" s="321" t="s">
        <v>311</v>
      </c>
      <c r="D118" s="390" t="s">
        <v>352</v>
      </c>
      <c r="E118" s="390" t="s">
        <v>352</v>
      </c>
      <c r="F118" s="521" t="s">
        <v>352</v>
      </c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  <c r="AO118" s="217"/>
    </row>
    <row r="119" spans="1:125" s="203" customFormat="1" ht="31.5" customHeight="1" thickBot="1">
      <c r="A119" s="224"/>
      <c r="B119" s="226"/>
      <c r="C119" s="235"/>
      <c r="D119" s="388"/>
      <c r="E119" s="388"/>
      <c r="F119" s="519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2"/>
    </row>
    <row r="120" spans="1:125" s="218" customFormat="1" ht="33" customHeight="1" thickBot="1">
      <c r="A120" s="660" t="s">
        <v>318</v>
      </c>
      <c r="B120" s="661"/>
      <c r="C120" s="661"/>
      <c r="D120" s="661"/>
      <c r="E120" s="661"/>
      <c r="F120" s="662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  <c r="AO120" s="217"/>
    </row>
    <row r="121" spans="1:125" s="196" customFormat="1" ht="32.25" customHeight="1" thickBot="1">
      <c r="A121" s="663" t="s">
        <v>284</v>
      </c>
      <c r="B121" s="665"/>
      <c r="C121" s="230">
        <f>SUM(B122:B126)</f>
        <v>56545000</v>
      </c>
      <c r="D121" s="230">
        <v>56545000</v>
      </c>
      <c r="E121" s="230">
        <f>11309900+2886000+11948970+243000</f>
        <v>26387870</v>
      </c>
      <c r="F121" s="517">
        <f>E121/D121</f>
        <v>0.4666702626226899</v>
      </c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5"/>
      <c r="AP121" s="163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4"/>
      <c r="BN121" s="194"/>
      <c r="BO121" s="194"/>
      <c r="BP121" s="194"/>
      <c r="BQ121" s="194"/>
      <c r="BR121" s="194"/>
      <c r="BS121" s="194"/>
      <c r="BT121" s="194"/>
      <c r="BU121" s="194"/>
      <c r="BV121" s="194"/>
      <c r="BW121" s="194"/>
      <c r="BX121" s="194"/>
      <c r="BY121" s="194"/>
      <c r="BZ121" s="194"/>
      <c r="CA121" s="194"/>
      <c r="CB121" s="194"/>
      <c r="CC121" s="194"/>
      <c r="CD121" s="194"/>
      <c r="CE121" s="194"/>
      <c r="CF121" s="194"/>
      <c r="CG121" s="194"/>
      <c r="CH121" s="194"/>
      <c r="CI121" s="194"/>
      <c r="CJ121" s="194"/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  <c r="CV121" s="194"/>
      <c r="CW121" s="194"/>
      <c r="CX121" s="194"/>
      <c r="CY121" s="194"/>
      <c r="CZ121" s="194"/>
      <c r="DA121" s="194"/>
      <c r="DB121" s="194"/>
      <c r="DC121" s="194"/>
      <c r="DD121" s="194"/>
      <c r="DE121" s="194"/>
      <c r="DF121" s="194"/>
      <c r="DG121" s="194"/>
      <c r="DH121" s="194"/>
      <c r="DI121" s="194"/>
      <c r="DJ121" s="194"/>
      <c r="DK121" s="194"/>
      <c r="DL121" s="194"/>
      <c r="DM121" s="194"/>
      <c r="DN121" s="194"/>
      <c r="DO121" s="194"/>
      <c r="DP121" s="194"/>
      <c r="DQ121" s="194"/>
      <c r="DR121" s="194"/>
      <c r="DS121" s="194"/>
      <c r="DT121" s="194"/>
      <c r="DU121" s="194"/>
    </row>
    <row r="122" spans="1:125" s="196" customFormat="1" ht="21" customHeight="1" thickBot="1">
      <c r="A122" s="231" t="s">
        <v>124</v>
      </c>
      <c r="B122" s="241">
        <v>29090000</v>
      </c>
      <c r="C122" s="230"/>
      <c r="D122" s="230"/>
      <c r="E122" s="230"/>
      <c r="F122" s="517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5"/>
      <c r="AP122" s="163"/>
      <c r="AQ122" s="194"/>
      <c r="AR122" s="194"/>
      <c r="AS122" s="194"/>
      <c r="AT122" s="194"/>
      <c r="AU122" s="194"/>
      <c r="AV122" s="194"/>
      <c r="AW122" s="194"/>
      <c r="AX122" s="194"/>
      <c r="AY122" s="194"/>
      <c r="AZ122" s="194"/>
      <c r="BA122" s="194"/>
      <c r="BB122" s="194"/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  <c r="BM122" s="194"/>
      <c r="BN122" s="194"/>
      <c r="BO122" s="194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4"/>
      <c r="BZ122" s="194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194"/>
      <c r="CZ122" s="194"/>
      <c r="DA122" s="194"/>
      <c r="DB122" s="194"/>
      <c r="DC122" s="194"/>
      <c r="DD122" s="194"/>
      <c r="DE122" s="194"/>
      <c r="DF122" s="194"/>
      <c r="DG122" s="194"/>
      <c r="DH122" s="194"/>
      <c r="DI122" s="194"/>
      <c r="DJ122" s="194"/>
      <c r="DK122" s="194"/>
      <c r="DL122" s="194"/>
      <c r="DM122" s="194"/>
      <c r="DN122" s="194"/>
      <c r="DO122" s="194"/>
      <c r="DP122" s="194"/>
      <c r="DQ122" s="194"/>
      <c r="DR122" s="194"/>
      <c r="DS122" s="194"/>
      <c r="DT122" s="194"/>
      <c r="DU122" s="194"/>
    </row>
    <row r="123" spans="1:125" s="196" customFormat="1" ht="21" customHeight="1" thickBot="1">
      <c r="A123" s="231" t="s">
        <v>125</v>
      </c>
      <c r="B123" s="241">
        <v>5455000</v>
      </c>
      <c r="C123" s="230"/>
      <c r="D123" s="230"/>
      <c r="E123" s="230"/>
      <c r="F123" s="517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94"/>
      <c r="AK123" s="194"/>
      <c r="AL123" s="194"/>
      <c r="AM123" s="195"/>
      <c r="AP123" s="163"/>
      <c r="AQ123" s="194"/>
      <c r="AR123" s="194"/>
      <c r="AS123" s="194"/>
      <c r="AT123" s="194"/>
      <c r="AU123" s="194"/>
      <c r="AV123" s="194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194"/>
      <c r="CZ123" s="194"/>
      <c r="DA123" s="194"/>
      <c r="DB123" s="194"/>
      <c r="DC123" s="194"/>
      <c r="DD123" s="194"/>
      <c r="DE123" s="194"/>
      <c r="DF123" s="194"/>
      <c r="DG123" s="194"/>
      <c r="DH123" s="194"/>
      <c r="DI123" s="194"/>
      <c r="DJ123" s="194"/>
      <c r="DK123" s="194"/>
      <c r="DL123" s="194"/>
      <c r="DM123" s="194"/>
      <c r="DN123" s="194"/>
      <c r="DO123" s="194"/>
      <c r="DP123" s="194"/>
      <c r="DQ123" s="194"/>
      <c r="DR123" s="194"/>
      <c r="DS123" s="194"/>
      <c r="DT123" s="194"/>
      <c r="DU123" s="194"/>
    </row>
    <row r="124" spans="1:125" s="196" customFormat="1" ht="21" customHeight="1" thickBot="1">
      <c r="A124" s="231" t="s">
        <v>282</v>
      </c>
      <c r="B124" s="241">
        <v>7455000</v>
      </c>
      <c r="C124" s="230"/>
      <c r="D124" s="230"/>
      <c r="E124" s="230"/>
      <c r="F124" s="517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4"/>
      <c r="AK124" s="194"/>
      <c r="AL124" s="194"/>
      <c r="AM124" s="195"/>
      <c r="AP124" s="163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4"/>
      <c r="BQ124" s="194"/>
      <c r="BR124" s="194"/>
      <c r="BS124" s="194"/>
      <c r="BT124" s="194"/>
      <c r="BU124" s="194"/>
      <c r="BV124" s="194"/>
      <c r="BW124" s="194"/>
      <c r="BX124" s="194"/>
      <c r="BY124" s="194"/>
      <c r="BZ124" s="194"/>
      <c r="CA124" s="194"/>
      <c r="CB124" s="194"/>
      <c r="CC124" s="194"/>
      <c r="CD124" s="194"/>
      <c r="CE124" s="194"/>
      <c r="CF124" s="194"/>
      <c r="CG124" s="194"/>
      <c r="CH124" s="194"/>
      <c r="CI124" s="194"/>
      <c r="CJ124" s="194"/>
      <c r="CK124" s="194"/>
      <c r="CL124" s="194"/>
      <c r="CM124" s="194"/>
      <c r="CN124" s="194"/>
      <c r="CO124" s="194"/>
      <c r="CP124" s="194"/>
      <c r="CQ124" s="194"/>
      <c r="CR124" s="194"/>
      <c r="CS124" s="194"/>
      <c r="CT124" s="194"/>
      <c r="CU124" s="194"/>
      <c r="CV124" s="194"/>
      <c r="CW124" s="194"/>
      <c r="CX124" s="194"/>
      <c r="CY124" s="194"/>
      <c r="CZ124" s="194"/>
      <c r="DA124" s="194"/>
      <c r="DB124" s="194"/>
      <c r="DC124" s="194"/>
      <c r="DD124" s="194"/>
      <c r="DE124" s="194"/>
      <c r="DF124" s="194"/>
      <c r="DG124" s="194"/>
      <c r="DH124" s="194"/>
      <c r="DI124" s="194"/>
      <c r="DJ124" s="194"/>
      <c r="DK124" s="194"/>
      <c r="DL124" s="194"/>
      <c r="DM124" s="194"/>
      <c r="DN124" s="194"/>
      <c r="DO124" s="194"/>
      <c r="DP124" s="194"/>
      <c r="DQ124" s="194"/>
      <c r="DR124" s="194"/>
      <c r="DS124" s="194"/>
      <c r="DT124" s="194"/>
      <c r="DU124" s="194"/>
    </row>
    <row r="125" spans="1:125" s="196" customFormat="1" ht="21" customHeight="1" thickBot="1">
      <c r="A125" s="231" t="s">
        <v>283</v>
      </c>
      <c r="B125" s="241">
        <v>11364000</v>
      </c>
      <c r="C125" s="230"/>
      <c r="D125" s="230"/>
      <c r="E125" s="230"/>
      <c r="F125" s="517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4"/>
      <c r="AK125" s="194"/>
      <c r="AL125" s="194"/>
      <c r="AM125" s="195"/>
      <c r="AP125" s="163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4"/>
      <c r="BQ125" s="194"/>
      <c r="BR125" s="194"/>
      <c r="BS125" s="194"/>
      <c r="BT125" s="194"/>
      <c r="BU125" s="194"/>
      <c r="BV125" s="194"/>
      <c r="BW125" s="194"/>
      <c r="BX125" s="194"/>
      <c r="BY125" s="194"/>
      <c r="BZ125" s="194"/>
      <c r="CA125" s="194"/>
      <c r="CB125" s="194"/>
      <c r="CC125" s="194"/>
      <c r="CD125" s="194"/>
      <c r="CE125" s="194"/>
      <c r="CF125" s="194"/>
      <c r="CG125" s="194"/>
      <c r="CH125" s="194"/>
      <c r="CI125" s="194"/>
      <c r="CJ125" s="194"/>
      <c r="CK125" s="194"/>
      <c r="CL125" s="194"/>
      <c r="CM125" s="194"/>
      <c r="CN125" s="194"/>
      <c r="CO125" s="194"/>
      <c r="CP125" s="194"/>
      <c r="CQ125" s="194"/>
      <c r="CR125" s="194"/>
      <c r="CS125" s="194"/>
      <c r="CT125" s="194"/>
      <c r="CU125" s="194"/>
      <c r="CV125" s="194"/>
      <c r="CW125" s="194"/>
      <c r="CX125" s="194"/>
      <c r="CY125" s="194"/>
      <c r="CZ125" s="194"/>
      <c r="DA125" s="194"/>
      <c r="DB125" s="194"/>
      <c r="DC125" s="194"/>
      <c r="DD125" s="194"/>
      <c r="DE125" s="194"/>
      <c r="DF125" s="194"/>
      <c r="DG125" s="194"/>
      <c r="DH125" s="194"/>
      <c r="DI125" s="194"/>
      <c r="DJ125" s="194"/>
      <c r="DK125" s="194"/>
      <c r="DL125" s="194"/>
      <c r="DM125" s="194"/>
      <c r="DN125" s="194"/>
      <c r="DO125" s="194"/>
      <c r="DP125" s="194"/>
      <c r="DQ125" s="194"/>
      <c r="DR125" s="194"/>
      <c r="DS125" s="194"/>
      <c r="DT125" s="194"/>
      <c r="DU125" s="194"/>
    </row>
    <row r="126" spans="1:125" s="196" customFormat="1" ht="21" customHeight="1" thickBot="1">
      <c r="A126" s="231" t="s">
        <v>126</v>
      </c>
      <c r="B126" s="241">
        <v>3181000</v>
      </c>
      <c r="C126" s="230"/>
      <c r="D126" s="230"/>
      <c r="E126" s="230"/>
      <c r="F126" s="517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  <c r="AL126" s="194"/>
      <c r="AM126" s="195"/>
      <c r="AP126" s="163"/>
      <c r="AQ126" s="194"/>
      <c r="AR126" s="194"/>
      <c r="AS126" s="194"/>
      <c r="AT126" s="194"/>
      <c r="AU126" s="194"/>
      <c r="AV126" s="194"/>
      <c r="AW126" s="194"/>
      <c r="AX126" s="194"/>
      <c r="AY126" s="194"/>
      <c r="AZ126" s="194"/>
      <c r="BA126" s="194"/>
      <c r="BB126" s="194"/>
      <c r="BC126" s="194"/>
      <c r="BD126" s="194"/>
      <c r="BE126" s="194"/>
      <c r="BF126" s="194"/>
      <c r="BG126" s="194"/>
      <c r="BH126" s="194"/>
      <c r="BI126" s="194"/>
      <c r="BJ126" s="194"/>
      <c r="BK126" s="194"/>
      <c r="BL126" s="194"/>
      <c r="BM126" s="194"/>
      <c r="BN126" s="194"/>
      <c r="BO126" s="194"/>
      <c r="BP126" s="194"/>
      <c r="BQ126" s="194"/>
      <c r="BR126" s="194"/>
      <c r="BS126" s="194"/>
      <c r="BT126" s="194"/>
      <c r="BU126" s="194"/>
      <c r="BV126" s="194"/>
      <c r="BW126" s="194"/>
      <c r="BX126" s="194"/>
      <c r="BY126" s="194"/>
      <c r="BZ126" s="194"/>
      <c r="CA126" s="194"/>
      <c r="CB126" s="194"/>
      <c r="CC126" s="194"/>
      <c r="CD126" s="194"/>
      <c r="CE126" s="194"/>
      <c r="CF126" s="194"/>
      <c r="CG126" s="194"/>
      <c r="CH126" s="194"/>
      <c r="CI126" s="194"/>
      <c r="CJ126" s="194"/>
      <c r="CK126" s="194"/>
      <c r="CL126" s="194"/>
      <c r="CM126" s="194"/>
      <c r="CN126" s="194"/>
      <c r="CO126" s="194"/>
      <c r="CP126" s="194"/>
      <c r="CQ126" s="194"/>
      <c r="CR126" s="194"/>
      <c r="CS126" s="194"/>
      <c r="CT126" s="194"/>
      <c r="CU126" s="194"/>
      <c r="CV126" s="194"/>
      <c r="CW126" s="194"/>
      <c r="CX126" s="194"/>
      <c r="CY126" s="194"/>
      <c r="CZ126" s="194"/>
      <c r="DA126" s="194"/>
      <c r="DB126" s="194"/>
      <c r="DC126" s="194"/>
      <c r="DD126" s="194"/>
      <c r="DE126" s="194"/>
      <c r="DF126" s="194"/>
      <c r="DG126" s="194"/>
      <c r="DH126" s="194"/>
      <c r="DI126" s="194"/>
      <c r="DJ126" s="194"/>
      <c r="DK126" s="194"/>
      <c r="DL126" s="194"/>
      <c r="DM126" s="194"/>
      <c r="DN126" s="194"/>
      <c r="DO126" s="194"/>
      <c r="DP126" s="194"/>
      <c r="DQ126" s="194"/>
      <c r="DR126" s="194"/>
      <c r="DS126" s="194"/>
      <c r="DT126" s="194"/>
      <c r="DU126" s="194"/>
    </row>
    <row r="127" spans="1:125" s="196" customFormat="1" ht="27.75" customHeight="1" thickBot="1">
      <c r="A127" s="228" t="s">
        <v>98</v>
      </c>
      <c r="B127" s="232"/>
      <c r="C127" s="230">
        <f>SUM(B128:B130)</f>
        <v>6050000</v>
      </c>
      <c r="D127" s="230">
        <v>6050000</v>
      </c>
      <c r="E127" s="230">
        <v>721000</v>
      </c>
      <c r="F127" s="517">
        <f>E127/D127</f>
        <v>0.11917355371900827</v>
      </c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94"/>
      <c r="AI127" s="194"/>
      <c r="AJ127" s="194"/>
      <c r="AK127" s="194"/>
      <c r="AL127" s="194"/>
      <c r="AM127" s="194"/>
      <c r="AN127" s="194"/>
      <c r="AO127" s="195"/>
    </row>
    <row r="128" spans="1:125" s="196" customFormat="1" ht="30" customHeight="1" thickBot="1">
      <c r="A128" s="231" t="s">
        <v>99</v>
      </c>
      <c r="B128" s="229">
        <v>2000000</v>
      </c>
      <c r="C128" s="230"/>
      <c r="D128" s="230"/>
      <c r="E128" s="230"/>
      <c r="F128" s="517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4"/>
      <c r="AL128" s="194"/>
      <c r="AM128" s="194"/>
      <c r="AN128" s="194"/>
      <c r="AO128" s="195"/>
    </row>
    <row r="129" spans="1:125" s="196" customFormat="1" ht="16.5" thickBot="1">
      <c r="A129" s="231" t="s">
        <v>336</v>
      </c>
      <c r="B129" s="229">
        <v>50000</v>
      </c>
      <c r="C129" s="230"/>
      <c r="D129" s="230"/>
      <c r="E129" s="230"/>
      <c r="F129" s="517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4"/>
      <c r="AL129" s="194"/>
      <c r="AM129" s="194"/>
      <c r="AN129" s="194"/>
      <c r="AO129" s="195"/>
    </row>
    <row r="130" spans="1:125" s="196" customFormat="1" ht="39.75" customHeight="1" thickBot="1">
      <c r="A130" s="231" t="s">
        <v>319</v>
      </c>
      <c r="B130" s="229">
        <v>4000000</v>
      </c>
      <c r="C130" s="230"/>
      <c r="D130" s="230"/>
      <c r="E130" s="230"/>
      <c r="F130" s="517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  <c r="AL130" s="194"/>
      <c r="AM130" s="194"/>
      <c r="AN130" s="194"/>
      <c r="AO130" s="195"/>
    </row>
    <row r="131" spans="1:125" s="203" customFormat="1" ht="31.5" customHeight="1" thickBot="1">
      <c r="A131" s="322" t="s">
        <v>320</v>
      </c>
      <c r="B131" s="323"/>
      <c r="C131" s="324">
        <f>SUM(C121:C130)</f>
        <v>62595000</v>
      </c>
      <c r="D131" s="324">
        <f>SUM(D121:D130)</f>
        <v>62595000</v>
      </c>
      <c r="E131" s="324">
        <f t="shared" ref="E131" si="5">SUM(E121:E130)</f>
        <v>27108870</v>
      </c>
      <c r="F131" s="518">
        <f>SUM(E131/D131)</f>
        <v>0.43308363287802543</v>
      </c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1"/>
      <c r="AO131" s="202"/>
    </row>
    <row r="132" spans="1:125" s="203" customFormat="1" ht="31.5" customHeight="1" thickBot="1">
      <c r="A132" s="224"/>
      <c r="B132" s="226"/>
      <c r="C132" s="235"/>
      <c r="D132" s="388"/>
      <c r="E132" s="388"/>
      <c r="F132" s="519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2"/>
    </row>
    <row r="133" spans="1:125" s="218" customFormat="1" ht="33" customHeight="1" thickBot="1">
      <c r="A133" s="660" t="s">
        <v>321</v>
      </c>
      <c r="B133" s="661"/>
      <c r="C133" s="661"/>
      <c r="D133" s="661"/>
      <c r="E133" s="661"/>
      <c r="F133" s="662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K133" s="216"/>
      <c r="AL133" s="216"/>
      <c r="AM133" s="216"/>
      <c r="AN133" s="216"/>
      <c r="AO133" s="217"/>
    </row>
    <row r="134" spans="1:125" s="196" customFormat="1" ht="84" customHeight="1" thickBot="1">
      <c r="A134" s="663" t="s">
        <v>265</v>
      </c>
      <c r="B134" s="665"/>
      <c r="C134" s="230">
        <v>1400000</v>
      </c>
      <c r="D134" s="539">
        <v>1400000</v>
      </c>
      <c r="E134" s="230">
        <v>921175</v>
      </c>
      <c r="F134" s="540">
        <f>E134/D134</f>
        <v>0.65798214285714285</v>
      </c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5"/>
      <c r="AP134" s="163"/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194"/>
      <c r="BG134" s="194"/>
      <c r="BH134" s="194"/>
      <c r="BI134" s="194"/>
      <c r="BJ134" s="194"/>
      <c r="BK134" s="194"/>
      <c r="BL134" s="194"/>
      <c r="BM134" s="194"/>
      <c r="BN134" s="194"/>
      <c r="BO134" s="194"/>
      <c r="BP134" s="194"/>
      <c r="BQ134" s="194"/>
      <c r="BR134" s="194"/>
      <c r="BS134" s="194"/>
      <c r="BT134" s="194"/>
      <c r="BU134" s="194"/>
      <c r="BV134" s="194"/>
      <c r="BW134" s="194"/>
      <c r="BX134" s="194"/>
      <c r="BY134" s="194"/>
      <c r="BZ134" s="194"/>
      <c r="CA134" s="194"/>
      <c r="CB134" s="194"/>
      <c r="CC134" s="194"/>
      <c r="CD134" s="194"/>
      <c r="CE134" s="194"/>
      <c r="CF134" s="194"/>
      <c r="CG134" s="194"/>
      <c r="CH134" s="194"/>
      <c r="CI134" s="194"/>
      <c r="CJ134" s="194"/>
      <c r="CK134" s="194"/>
      <c r="CL134" s="194"/>
      <c r="CM134" s="194"/>
      <c r="CN134" s="194"/>
      <c r="CO134" s="194"/>
      <c r="CP134" s="194"/>
      <c r="CQ134" s="194"/>
      <c r="CR134" s="194"/>
      <c r="CS134" s="194"/>
      <c r="CT134" s="194"/>
      <c r="CU134" s="194"/>
      <c r="CV134" s="194"/>
      <c r="CW134" s="194"/>
      <c r="CX134" s="194"/>
      <c r="CY134" s="194"/>
      <c r="CZ134" s="194"/>
      <c r="DA134" s="194"/>
      <c r="DB134" s="194"/>
      <c r="DC134" s="194"/>
      <c r="DD134" s="194"/>
      <c r="DE134" s="194"/>
      <c r="DF134" s="194"/>
      <c r="DG134" s="194"/>
      <c r="DH134" s="194"/>
      <c r="DI134" s="194"/>
      <c r="DJ134" s="194"/>
      <c r="DK134" s="194"/>
      <c r="DL134" s="194"/>
      <c r="DM134" s="194"/>
      <c r="DN134" s="194"/>
      <c r="DO134" s="194"/>
      <c r="DP134" s="194"/>
      <c r="DQ134" s="194"/>
      <c r="DR134" s="194"/>
      <c r="DS134" s="194"/>
      <c r="DT134" s="194"/>
      <c r="DU134" s="194"/>
    </row>
    <row r="135" spans="1:125" s="196" customFormat="1" ht="32.25" thickBot="1">
      <c r="A135" s="228" t="s">
        <v>87</v>
      </c>
      <c r="B135" s="241"/>
      <c r="C135" s="230">
        <v>475340000</v>
      </c>
      <c r="D135" s="230">
        <f>475340000+42911662</f>
        <v>518251662</v>
      </c>
      <c r="E135" s="230">
        <v>312702216</v>
      </c>
      <c r="F135" s="540">
        <f t="shared" ref="F135:F136" si="6">E135/D135</f>
        <v>0.60337908959759401</v>
      </c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5"/>
      <c r="AP135" s="163"/>
      <c r="AQ135" s="194"/>
      <c r="AR135" s="194"/>
      <c r="AS135" s="194"/>
      <c r="AT135" s="194"/>
      <c r="AU135" s="194"/>
      <c r="AV135" s="194"/>
      <c r="AW135" s="194"/>
      <c r="AX135" s="194"/>
      <c r="AY135" s="194"/>
      <c r="AZ135" s="194"/>
      <c r="BA135" s="194"/>
      <c r="BB135" s="194"/>
      <c r="BC135" s="194"/>
      <c r="BD135" s="194"/>
      <c r="BE135" s="194"/>
      <c r="BF135" s="194"/>
      <c r="BG135" s="194"/>
      <c r="BH135" s="194"/>
      <c r="BI135" s="194"/>
      <c r="BJ135" s="194"/>
      <c r="BK135" s="194"/>
      <c r="BL135" s="194"/>
      <c r="BM135" s="194"/>
      <c r="BN135" s="194"/>
      <c r="BO135" s="194"/>
      <c r="BP135" s="194"/>
      <c r="BQ135" s="194"/>
      <c r="BR135" s="194"/>
      <c r="BS135" s="194"/>
      <c r="BT135" s="194"/>
      <c r="BU135" s="194"/>
      <c r="BV135" s="194"/>
      <c r="BW135" s="194"/>
      <c r="BX135" s="194"/>
      <c r="BY135" s="194"/>
      <c r="BZ135" s="194"/>
      <c r="CA135" s="194"/>
      <c r="CB135" s="194"/>
      <c r="CC135" s="194"/>
      <c r="CD135" s="194"/>
      <c r="CE135" s="194"/>
      <c r="CF135" s="194"/>
      <c r="CG135" s="194"/>
      <c r="CH135" s="194"/>
      <c r="CI135" s="194"/>
      <c r="CJ135" s="194"/>
      <c r="CK135" s="194"/>
      <c r="CL135" s="194"/>
      <c r="CM135" s="194"/>
      <c r="CN135" s="194"/>
      <c r="CO135" s="194"/>
      <c r="CP135" s="194"/>
      <c r="CQ135" s="194"/>
      <c r="CR135" s="194"/>
      <c r="CS135" s="194"/>
      <c r="CT135" s="194"/>
      <c r="CU135" s="194"/>
      <c r="CV135" s="194"/>
      <c r="CW135" s="194"/>
      <c r="CX135" s="194"/>
      <c r="CY135" s="194"/>
      <c r="CZ135" s="194"/>
      <c r="DA135" s="194"/>
      <c r="DB135" s="194"/>
      <c r="DC135" s="194"/>
      <c r="DD135" s="194"/>
      <c r="DE135" s="194"/>
      <c r="DF135" s="194"/>
      <c r="DG135" s="194"/>
      <c r="DH135" s="194"/>
      <c r="DI135" s="194"/>
      <c r="DJ135" s="194"/>
      <c r="DK135" s="194"/>
      <c r="DL135" s="194"/>
      <c r="DM135" s="194"/>
      <c r="DN135" s="194"/>
      <c r="DO135" s="194"/>
      <c r="DP135" s="194"/>
      <c r="DQ135" s="194"/>
      <c r="DR135" s="194"/>
      <c r="DS135" s="194"/>
      <c r="DT135" s="194"/>
      <c r="DU135" s="194"/>
    </row>
    <row r="136" spans="1:125" s="196" customFormat="1" ht="32.25" thickBot="1">
      <c r="A136" s="228" t="s">
        <v>245</v>
      </c>
      <c r="B136" s="241"/>
      <c r="C136" s="230">
        <v>97000000</v>
      </c>
      <c r="D136" s="230">
        <v>97000000</v>
      </c>
      <c r="E136" s="230">
        <v>67000000</v>
      </c>
      <c r="F136" s="540">
        <f t="shared" si="6"/>
        <v>0.69072164948453607</v>
      </c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5"/>
      <c r="AP136" s="163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4"/>
      <c r="BC136" s="194"/>
      <c r="BD136" s="194"/>
      <c r="BE136" s="194"/>
      <c r="BF136" s="194"/>
      <c r="BG136" s="194"/>
      <c r="BH136" s="194"/>
      <c r="BI136" s="194"/>
      <c r="BJ136" s="194"/>
      <c r="BK136" s="194"/>
      <c r="BL136" s="194"/>
      <c r="BM136" s="194"/>
      <c r="BN136" s="194"/>
      <c r="BO136" s="194"/>
      <c r="BP136" s="194"/>
      <c r="BQ136" s="194"/>
      <c r="BR136" s="194"/>
      <c r="BS136" s="194"/>
      <c r="BT136" s="194"/>
      <c r="BU136" s="194"/>
      <c r="BV136" s="194"/>
      <c r="BW136" s="194"/>
      <c r="BX136" s="194"/>
      <c r="BY136" s="194"/>
      <c r="BZ136" s="194"/>
      <c r="CA136" s="194"/>
      <c r="CB136" s="194"/>
      <c r="CC136" s="194"/>
      <c r="CD136" s="194"/>
      <c r="CE136" s="194"/>
      <c r="CF136" s="194"/>
      <c r="CG136" s="194"/>
      <c r="CH136" s="194"/>
      <c r="CI136" s="194"/>
      <c r="CJ136" s="194"/>
      <c r="CK136" s="194"/>
      <c r="CL136" s="194"/>
      <c r="CM136" s="194"/>
      <c r="CN136" s="194"/>
      <c r="CO136" s="194"/>
      <c r="CP136" s="194"/>
      <c r="CQ136" s="194"/>
      <c r="CR136" s="194"/>
      <c r="CS136" s="194"/>
      <c r="CT136" s="194"/>
      <c r="CU136" s="194"/>
      <c r="CV136" s="194"/>
      <c r="CW136" s="194"/>
      <c r="CX136" s="194"/>
      <c r="CY136" s="194"/>
      <c r="CZ136" s="194"/>
      <c r="DA136" s="194"/>
      <c r="DB136" s="194"/>
      <c r="DC136" s="194"/>
      <c r="DD136" s="194"/>
      <c r="DE136" s="194"/>
      <c r="DF136" s="194"/>
      <c r="DG136" s="194"/>
      <c r="DH136" s="194"/>
      <c r="DI136" s="194"/>
      <c r="DJ136" s="194"/>
      <c r="DK136" s="194"/>
      <c r="DL136" s="194"/>
      <c r="DM136" s="194"/>
      <c r="DN136" s="194"/>
      <c r="DO136" s="194"/>
      <c r="DP136" s="194"/>
      <c r="DQ136" s="194"/>
      <c r="DR136" s="194"/>
      <c r="DS136" s="194"/>
      <c r="DT136" s="194"/>
      <c r="DU136" s="194"/>
    </row>
    <row r="137" spans="1:125" s="196" customFormat="1" ht="27.75" customHeight="1" thickBot="1">
      <c r="A137" s="228" t="s">
        <v>305</v>
      </c>
      <c r="B137" s="241"/>
      <c r="C137" s="230">
        <v>1027000</v>
      </c>
      <c r="D137" s="230">
        <v>1027000</v>
      </c>
      <c r="E137" s="230">
        <v>0</v>
      </c>
      <c r="F137" s="517">
        <v>0</v>
      </c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5"/>
      <c r="AP137" s="163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4"/>
      <c r="BT137" s="194"/>
      <c r="BU137" s="194"/>
      <c r="BV137" s="194"/>
      <c r="BW137" s="194"/>
      <c r="BX137" s="194"/>
      <c r="BY137" s="194"/>
      <c r="BZ137" s="194"/>
      <c r="CA137" s="194"/>
      <c r="CB137" s="194"/>
      <c r="CC137" s="194"/>
      <c r="CD137" s="194"/>
      <c r="CE137" s="194"/>
      <c r="CF137" s="194"/>
      <c r="CG137" s="194"/>
      <c r="CH137" s="194"/>
      <c r="CI137" s="194"/>
      <c r="CJ137" s="194"/>
      <c r="CK137" s="194"/>
      <c r="CL137" s="194"/>
      <c r="CM137" s="194"/>
      <c r="CN137" s="194"/>
      <c r="CO137" s="194"/>
      <c r="CP137" s="194"/>
      <c r="CQ137" s="194"/>
      <c r="CR137" s="194"/>
      <c r="CS137" s="194"/>
      <c r="CT137" s="194"/>
      <c r="CU137" s="194"/>
      <c r="CV137" s="194"/>
      <c r="CW137" s="194"/>
      <c r="CX137" s="194"/>
      <c r="CY137" s="194"/>
      <c r="CZ137" s="194"/>
      <c r="DA137" s="194"/>
      <c r="DB137" s="194"/>
      <c r="DC137" s="194"/>
      <c r="DD137" s="194"/>
      <c r="DE137" s="194"/>
      <c r="DF137" s="194"/>
      <c r="DG137" s="194"/>
      <c r="DH137" s="194"/>
      <c r="DI137" s="194"/>
      <c r="DJ137" s="194"/>
      <c r="DK137" s="194"/>
      <c r="DL137" s="194"/>
      <c r="DM137" s="194"/>
      <c r="DN137" s="194"/>
      <c r="DO137" s="194"/>
      <c r="DP137" s="194"/>
      <c r="DQ137" s="194"/>
      <c r="DR137" s="194"/>
      <c r="DS137" s="194"/>
      <c r="DT137" s="194"/>
      <c r="DU137" s="194"/>
    </row>
    <row r="138" spans="1:125" s="196" customFormat="1" ht="37.5" customHeight="1" thickBot="1">
      <c r="A138" s="228" t="s">
        <v>118</v>
      </c>
      <c r="B138" s="241"/>
      <c r="C138" s="230">
        <v>14981000</v>
      </c>
      <c r="D138" s="230">
        <f>SUM(B139:B140)</f>
        <v>14196000</v>
      </c>
      <c r="E138" s="230">
        <v>1196000</v>
      </c>
      <c r="F138" s="540">
        <f>E138/D138</f>
        <v>8.4249084249084255E-2</v>
      </c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5"/>
      <c r="AP138" s="163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4"/>
      <c r="BC138" s="194"/>
      <c r="BD138" s="194"/>
      <c r="BE138" s="194"/>
      <c r="BF138" s="194"/>
      <c r="BG138" s="194"/>
      <c r="BH138" s="194"/>
      <c r="BI138" s="194"/>
      <c r="BJ138" s="194"/>
      <c r="BK138" s="194"/>
      <c r="BL138" s="194"/>
      <c r="BM138" s="194"/>
      <c r="BN138" s="194"/>
      <c r="BO138" s="194"/>
      <c r="BP138" s="194"/>
      <c r="BQ138" s="194"/>
      <c r="BR138" s="194"/>
      <c r="BS138" s="194"/>
      <c r="BT138" s="194"/>
      <c r="BU138" s="194"/>
      <c r="BV138" s="194"/>
      <c r="BW138" s="194"/>
      <c r="BX138" s="194"/>
      <c r="BY138" s="194"/>
      <c r="BZ138" s="194"/>
      <c r="CA138" s="194"/>
      <c r="CB138" s="194"/>
      <c r="CC138" s="194"/>
      <c r="CD138" s="194"/>
      <c r="CE138" s="194"/>
      <c r="CF138" s="194"/>
      <c r="CG138" s="194"/>
      <c r="CH138" s="194"/>
      <c r="CI138" s="194"/>
      <c r="CJ138" s="194"/>
      <c r="CK138" s="194"/>
      <c r="CL138" s="194"/>
      <c r="CM138" s="194"/>
      <c r="CN138" s="194"/>
      <c r="CO138" s="194"/>
      <c r="CP138" s="194"/>
      <c r="CQ138" s="194"/>
      <c r="CR138" s="194"/>
      <c r="CS138" s="194"/>
      <c r="CT138" s="194"/>
      <c r="CU138" s="194"/>
      <c r="CV138" s="194"/>
      <c r="CW138" s="194"/>
      <c r="CX138" s="194"/>
      <c r="CY138" s="194"/>
      <c r="CZ138" s="194"/>
      <c r="DA138" s="194"/>
      <c r="DB138" s="194"/>
      <c r="DC138" s="194"/>
      <c r="DD138" s="194"/>
      <c r="DE138" s="194"/>
      <c r="DF138" s="194"/>
      <c r="DG138" s="194"/>
      <c r="DH138" s="194"/>
      <c r="DI138" s="194"/>
      <c r="DJ138" s="194"/>
      <c r="DK138" s="194"/>
      <c r="DL138" s="194"/>
      <c r="DM138" s="194"/>
      <c r="DN138" s="194"/>
      <c r="DO138" s="194"/>
      <c r="DP138" s="194"/>
      <c r="DQ138" s="194"/>
      <c r="DR138" s="194"/>
      <c r="DS138" s="194"/>
      <c r="DT138" s="194"/>
      <c r="DU138" s="194"/>
    </row>
    <row r="139" spans="1:125" s="196" customFormat="1" ht="37.5" customHeight="1" thickBot="1">
      <c r="A139" s="231" t="s">
        <v>266</v>
      </c>
      <c r="B139" s="241">
        <v>13000000</v>
      </c>
      <c r="C139" s="230"/>
      <c r="D139" s="230"/>
      <c r="E139" s="230"/>
      <c r="F139" s="517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  <c r="AL139" s="194"/>
      <c r="AM139" s="195"/>
      <c r="AP139" s="163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4"/>
      <c r="BC139" s="194"/>
      <c r="BD139" s="194"/>
      <c r="BE139" s="194"/>
      <c r="BF139" s="194"/>
      <c r="BG139" s="194"/>
      <c r="BH139" s="194"/>
      <c r="BI139" s="194"/>
      <c r="BJ139" s="194"/>
      <c r="BK139" s="194"/>
      <c r="BL139" s="194"/>
      <c r="BM139" s="194"/>
      <c r="BN139" s="194"/>
      <c r="BO139" s="194"/>
      <c r="BP139" s="194"/>
      <c r="BQ139" s="194"/>
      <c r="BR139" s="194"/>
      <c r="BS139" s="194"/>
      <c r="BT139" s="194"/>
      <c r="BU139" s="194"/>
      <c r="BV139" s="194"/>
      <c r="BW139" s="194"/>
      <c r="BX139" s="194"/>
      <c r="BY139" s="194"/>
      <c r="BZ139" s="194"/>
      <c r="CA139" s="194"/>
      <c r="CB139" s="194"/>
      <c r="CC139" s="194"/>
      <c r="CD139" s="194"/>
      <c r="CE139" s="194"/>
      <c r="CF139" s="194"/>
      <c r="CG139" s="194"/>
      <c r="CH139" s="194"/>
      <c r="CI139" s="194"/>
      <c r="CJ139" s="194"/>
      <c r="CK139" s="194"/>
      <c r="CL139" s="194"/>
      <c r="CM139" s="194"/>
      <c r="CN139" s="194"/>
      <c r="CO139" s="194"/>
      <c r="CP139" s="194"/>
      <c r="CQ139" s="194"/>
      <c r="CR139" s="194"/>
      <c r="CS139" s="194"/>
      <c r="CT139" s="194"/>
      <c r="CU139" s="194"/>
      <c r="CV139" s="194"/>
      <c r="CW139" s="194"/>
      <c r="CX139" s="194"/>
      <c r="CY139" s="194"/>
      <c r="CZ139" s="194"/>
      <c r="DA139" s="194"/>
      <c r="DB139" s="194"/>
      <c r="DC139" s="194"/>
      <c r="DD139" s="194"/>
      <c r="DE139" s="194"/>
      <c r="DF139" s="194"/>
      <c r="DG139" s="194"/>
      <c r="DH139" s="194"/>
      <c r="DI139" s="194"/>
      <c r="DJ139" s="194"/>
      <c r="DK139" s="194"/>
      <c r="DL139" s="194"/>
      <c r="DM139" s="194"/>
      <c r="DN139" s="194"/>
      <c r="DO139" s="194"/>
      <c r="DP139" s="194"/>
      <c r="DQ139" s="194"/>
      <c r="DR139" s="194"/>
      <c r="DS139" s="194"/>
      <c r="DT139" s="194"/>
      <c r="DU139" s="194"/>
    </row>
    <row r="140" spans="1:125" s="196" customFormat="1" ht="24.75" customHeight="1" thickBot="1">
      <c r="A140" s="231" t="s">
        <v>333</v>
      </c>
      <c r="B140" s="241">
        <f>1981000-1981000+1196000</f>
        <v>1196000</v>
      </c>
      <c r="C140" s="230"/>
      <c r="D140" s="230"/>
      <c r="E140" s="230"/>
      <c r="F140" s="517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194"/>
      <c r="AK140" s="194"/>
      <c r="AL140" s="194"/>
      <c r="AM140" s="195"/>
      <c r="AP140" s="163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4"/>
      <c r="BC140" s="194"/>
      <c r="BD140" s="194"/>
      <c r="BE140" s="194"/>
      <c r="BF140" s="194"/>
      <c r="BG140" s="194"/>
      <c r="BH140" s="194"/>
      <c r="BI140" s="194"/>
      <c r="BJ140" s="194"/>
      <c r="BK140" s="194"/>
      <c r="BL140" s="194"/>
      <c r="BM140" s="194"/>
      <c r="BN140" s="194"/>
      <c r="BO140" s="194"/>
      <c r="BP140" s="194"/>
      <c r="BQ140" s="194"/>
      <c r="BR140" s="194"/>
      <c r="BS140" s="194"/>
      <c r="BT140" s="194"/>
      <c r="BU140" s="194"/>
      <c r="BV140" s="194"/>
      <c r="BW140" s="194"/>
      <c r="BX140" s="194"/>
      <c r="BY140" s="194"/>
      <c r="BZ140" s="194"/>
      <c r="CA140" s="194"/>
      <c r="CB140" s="194"/>
      <c r="CC140" s="194"/>
      <c r="CD140" s="194"/>
      <c r="CE140" s="194"/>
      <c r="CF140" s="194"/>
      <c r="CG140" s="194"/>
      <c r="CH140" s="194"/>
      <c r="CI140" s="194"/>
      <c r="CJ140" s="194"/>
      <c r="CK140" s="194"/>
      <c r="CL140" s="194"/>
      <c r="CM140" s="194"/>
      <c r="CN140" s="194"/>
      <c r="CO140" s="194"/>
      <c r="CP140" s="194"/>
      <c r="CQ140" s="194"/>
      <c r="CR140" s="194"/>
      <c r="CS140" s="194"/>
      <c r="CT140" s="194"/>
      <c r="CU140" s="194"/>
      <c r="CV140" s="194"/>
      <c r="CW140" s="194"/>
      <c r="CX140" s="194"/>
      <c r="CY140" s="194"/>
      <c r="CZ140" s="194"/>
      <c r="DA140" s="194"/>
      <c r="DB140" s="194"/>
      <c r="DC140" s="194"/>
      <c r="DD140" s="194"/>
      <c r="DE140" s="194"/>
      <c r="DF140" s="194"/>
      <c r="DG140" s="194"/>
      <c r="DH140" s="194"/>
      <c r="DI140" s="194"/>
      <c r="DJ140" s="194"/>
      <c r="DK140" s="194"/>
      <c r="DL140" s="194"/>
      <c r="DM140" s="194"/>
      <c r="DN140" s="194"/>
      <c r="DO140" s="194"/>
      <c r="DP140" s="194"/>
      <c r="DQ140" s="194"/>
      <c r="DR140" s="194"/>
      <c r="DS140" s="194"/>
      <c r="DT140" s="194"/>
      <c r="DU140" s="194"/>
    </row>
    <row r="141" spans="1:125" s="208" customFormat="1" ht="23.25" customHeight="1" thickBot="1">
      <c r="A141" s="228" t="s">
        <v>298</v>
      </c>
      <c r="B141" s="238"/>
      <c r="C141" s="230">
        <v>100000</v>
      </c>
      <c r="D141" s="230">
        <v>100000</v>
      </c>
      <c r="E141" s="230">
        <v>0</v>
      </c>
      <c r="F141" s="517">
        <v>0</v>
      </c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206"/>
      <c r="AI141" s="206"/>
      <c r="AJ141" s="206"/>
      <c r="AK141" s="206"/>
      <c r="AL141" s="206"/>
      <c r="AM141" s="206"/>
      <c r="AN141" s="206"/>
      <c r="AO141" s="207"/>
    </row>
    <row r="142" spans="1:125" s="208" customFormat="1" ht="23.25" customHeight="1" thickBot="1">
      <c r="A142" s="228" t="s">
        <v>251</v>
      </c>
      <c r="B142" s="238"/>
      <c r="C142" s="230">
        <v>115000000</v>
      </c>
      <c r="D142" s="230">
        <v>115000000</v>
      </c>
      <c r="E142" s="230">
        <v>73774136</v>
      </c>
      <c r="F142" s="540">
        <f>E142/D142</f>
        <v>0.64151422608695652</v>
      </c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  <c r="AK142" s="206"/>
      <c r="AL142" s="206"/>
      <c r="AM142" s="206"/>
      <c r="AN142" s="206"/>
      <c r="AO142" s="207"/>
    </row>
    <row r="143" spans="1:125" s="208" customFormat="1" ht="23.25" customHeight="1" thickBot="1">
      <c r="A143" s="231" t="s">
        <v>123</v>
      </c>
      <c r="B143" s="241">
        <v>115000000</v>
      </c>
      <c r="C143" s="233"/>
      <c r="D143" s="233"/>
      <c r="E143" s="233"/>
      <c r="F143" s="522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6"/>
      <c r="AO143" s="207"/>
    </row>
    <row r="144" spans="1:125" s="208" customFormat="1" ht="23.25" customHeight="1" thickBot="1">
      <c r="A144" s="228" t="s">
        <v>100</v>
      </c>
      <c r="B144" s="238"/>
      <c r="C144" s="230">
        <v>300000</v>
      </c>
      <c r="D144" s="230">
        <v>300000</v>
      </c>
      <c r="E144" s="230">
        <v>0</v>
      </c>
      <c r="F144" s="517">
        <v>0</v>
      </c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206"/>
      <c r="AI144" s="206"/>
      <c r="AJ144" s="206"/>
      <c r="AK144" s="206"/>
      <c r="AL144" s="206"/>
      <c r="AM144" s="206"/>
      <c r="AN144" s="206"/>
      <c r="AO144" s="207"/>
    </row>
    <row r="145" spans="1:125" s="208" customFormat="1" ht="23.25" customHeight="1" thickBot="1">
      <c r="A145" s="228" t="s">
        <v>264</v>
      </c>
      <c r="B145" s="238"/>
      <c r="C145" s="230">
        <v>5000000</v>
      </c>
      <c r="D145" s="230">
        <f>5000000+12655000</f>
        <v>17655000</v>
      </c>
      <c r="E145" s="230">
        <v>15155000</v>
      </c>
      <c r="F145" s="517">
        <f>E145/D145</f>
        <v>0.85839705465873695</v>
      </c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206"/>
      <c r="AI145" s="206"/>
      <c r="AJ145" s="206"/>
      <c r="AK145" s="206"/>
      <c r="AL145" s="206"/>
      <c r="AM145" s="206"/>
      <c r="AN145" s="206"/>
      <c r="AO145" s="207"/>
    </row>
    <row r="146" spans="1:125" s="196" customFormat="1" ht="26.25" customHeight="1" thickBot="1">
      <c r="A146" s="228" t="s">
        <v>101</v>
      </c>
      <c r="B146" s="238"/>
      <c r="C146" s="230">
        <v>1369000</v>
      </c>
      <c r="D146" s="230">
        <v>1369000</v>
      </c>
      <c r="E146" s="230">
        <v>0</v>
      </c>
      <c r="F146" s="517">
        <v>0</v>
      </c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  <c r="AF146" s="194"/>
      <c r="AG146" s="194"/>
      <c r="AH146" s="194"/>
      <c r="AI146" s="194"/>
      <c r="AJ146" s="194"/>
      <c r="AK146" s="194"/>
      <c r="AL146" s="194"/>
      <c r="AM146" s="195"/>
      <c r="AP146" s="163"/>
      <c r="AQ146" s="194"/>
      <c r="AR146" s="194"/>
      <c r="AS146" s="194"/>
      <c r="AT146" s="194"/>
      <c r="AU146" s="194"/>
      <c r="AV146" s="194"/>
      <c r="AW146" s="194"/>
      <c r="AX146" s="194"/>
      <c r="AY146" s="194"/>
      <c r="AZ146" s="194"/>
      <c r="BA146" s="194"/>
      <c r="BB146" s="194"/>
      <c r="BC146" s="194"/>
      <c r="BD146" s="194"/>
      <c r="BE146" s="194"/>
      <c r="BF146" s="194"/>
      <c r="BG146" s="194"/>
      <c r="BH146" s="194"/>
      <c r="BI146" s="194"/>
      <c r="BJ146" s="194"/>
      <c r="BK146" s="194"/>
      <c r="BL146" s="194"/>
      <c r="BM146" s="194"/>
      <c r="BN146" s="194"/>
      <c r="BO146" s="194"/>
      <c r="BP146" s="194"/>
      <c r="BQ146" s="194"/>
      <c r="BR146" s="194"/>
      <c r="BS146" s="194"/>
      <c r="BT146" s="194"/>
      <c r="BU146" s="194"/>
      <c r="BV146" s="194"/>
      <c r="BW146" s="194"/>
      <c r="BX146" s="194"/>
      <c r="BY146" s="194"/>
      <c r="BZ146" s="194"/>
      <c r="CA146" s="194"/>
      <c r="CB146" s="194"/>
      <c r="CC146" s="194"/>
      <c r="CD146" s="194"/>
      <c r="CE146" s="194"/>
      <c r="CF146" s="194"/>
      <c r="CG146" s="194"/>
      <c r="CH146" s="194"/>
      <c r="CI146" s="194"/>
      <c r="CJ146" s="194"/>
      <c r="CK146" s="194"/>
      <c r="CL146" s="194"/>
      <c r="CM146" s="194"/>
      <c r="CN146" s="194"/>
      <c r="CO146" s="194"/>
      <c r="CP146" s="194"/>
      <c r="CQ146" s="194"/>
      <c r="CR146" s="194"/>
      <c r="CS146" s="194"/>
      <c r="CT146" s="194"/>
      <c r="CU146" s="194"/>
      <c r="CV146" s="194"/>
      <c r="CW146" s="194"/>
      <c r="CX146" s="194"/>
      <c r="CY146" s="194"/>
      <c r="CZ146" s="194"/>
      <c r="DA146" s="194"/>
      <c r="DB146" s="194"/>
      <c r="DC146" s="194"/>
      <c r="DD146" s="194"/>
      <c r="DE146" s="194"/>
      <c r="DF146" s="194"/>
      <c r="DG146" s="194"/>
      <c r="DH146" s="194"/>
      <c r="DI146" s="194"/>
      <c r="DJ146" s="194"/>
      <c r="DK146" s="194"/>
      <c r="DL146" s="194"/>
      <c r="DM146" s="194"/>
      <c r="DN146" s="194"/>
      <c r="DO146" s="194"/>
      <c r="DP146" s="194"/>
      <c r="DQ146" s="194"/>
      <c r="DR146" s="194"/>
      <c r="DS146" s="194"/>
      <c r="DT146" s="194"/>
      <c r="DU146" s="194"/>
    </row>
    <row r="147" spans="1:125" s="196" customFormat="1" ht="16.5" thickBot="1">
      <c r="A147" s="231" t="s">
        <v>270</v>
      </c>
      <c r="B147" s="241">
        <v>723000</v>
      </c>
      <c r="C147" s="230"/>
      <c r="D147" s="230"/>
      <c r="E147" s="230"/>
      <c r="F147" s="517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  <c r="AL147" s="194"/>
      <c r="AM147" s="195"/>
      <c r="AP147" s="163"/>
      <c r="AQ147" s="194"/>
      <c r="AR147" s="194"/>
      <c r="AS147" s="194"/>
      <c r="AT147" s="194"/>
      <c r="AU147" s="194"/>
      <c r="AV147" s="194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  <c r="BM147" s="194"/>
      <c r="BN147" s="194"/>
      <c r="BO147" s="194"/>
      <c r="BP147" s="194"/>
      <c r="BQ147" s="194"/>
      <c r="BR147" s="194"/>
      <c r="BS147" s="194"/>
      <c r="BT147" s="194"/>
      <c r="BU147" s="194"/>
      <c r="BV147" s="194"/>
      <c r="BW147" s="194"/>
      <c r="BX147" s="194"/>
      <c r="BY147" s="194"/>
      <c r="BZ147" s="194"/>
      <c r="CA147" s="194"/>
      <c r="CB147" s="194"/>
      <c r="CC147" s="194"/>
      <c r="CD147" s="194"/>
      <c r="CE147" s="194"/>
      <c r="CF147" s="194"/>
      <c r="CG147" s="194"/>
      <c r="CH147" s="194"/>
      <c r="CI147" s="194"/>
      <c r="CJ147" s="194"/>
      <c r="CK147" s="194"/>
      <c r="CL147" s="194"/>
      <c r="CM147" s="194"/>
      <c r="CN147" s="194"/>
      <c r="CO147" s="194"/>
      <c r="CP147" s="194"/>
      <c r="CQ147" s="194"/>
      <c r="CR147" s="194"/>
      <c r="CS147" s="194"/>
      <c r="CT147" s="194"/>
      <c r="CU147" s="194"/>
      <c r="CV147" s="194"/>
      <c r="CW147" s="194"/>
      <c r="CX147" s="194"/>
      <c r="CY147" s="194"/>
      <c r="CZ147" s="194"/>
      <c r="DA147" s="194"/>
      <c r="DB147" s="194"/>
      <c r="DC147" s="194"/>
      <c r="DD147" s="194"/>
      <c r="DE147" s="194"/>
      <c r="DF147" s="194"/>
      <c r="DG147" s="194"/>
      <c r="DH147" s="194"/>
      <c r="DI147" s="194"/>
      <c r="DJ147" s="194"/>
      <c r="DK147" s="194"/>
      <c r="DL147" s="194"/>
      <c r="DM147" s="194"/>
      <c r="DN147" s="194"/>
      <c r="DO147" s="194"/>
      <c r="DP147" s="194"/>
      <c r="DQ147" s="194"/>
      <c r="DR147" s="194"/>
      <c r="DS147" s="194"/>
      <c r="DT147" s="194"/>
      <c r="DU147" s="194"/>
    </row>
    <row r="148" spans="1:125" s="196" customFormat="1" ht="24" customHeight="1" thickBot="1">
      <c r="A148" s="231" t="s">
        <v>102</v>
      </c>
      <c r="B148" s="241">
        <v>25000</v>
      </c>
      <c r="C148" s="230"/>
      <c r="D148" s="230"/>
      <c r="E148" s="230"/>
      <c r="F148" s="517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4"/>
      <c r="AK148" s="194"/>
      <c r="AL148" s="194"/>
      <c r="AM148" s="195"/>
      <c r="AP148" s="163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4"/>
      <c r="BQ148" s="194"/>
      <c r="BR148" s="194"/>
      <c r="BS148" s="194"/>
      <c r="BT148" s="194"/>
      <c r="BU148" s="194"/>
      <c r="BV148" s="194"/>
      <c r="BW148" s="194"/>
      <c r="BX148" s="194"/>
      <c r="BY148" s="194"/>
      <c r="BZ148" s="194"/>
      <c r="CA148" s="194"/>
      <c r="CB148" s="194"/>
      <c r="CC148" s="194"/>
      <c r="CD148" s="194"/>
      <c r="CE148" s="194"/>
      <c r="CF148" s="194"/>
      <c r="CG148" s="194"/>
      <c r="CH148" s="194"/>
      <c r="CI148" s="194"/>
      <c r="CJ148" s="194"/>
      <c r="CK148" s="194"/>
      <c r="CL148" s="194"/>
      <c r="CM148" s="194"/>
      <c r="CN148" s="194"/>
      <c r="CO148" s="194"/>
      <c r="CP148" s="194"/>
      <c r="CQ148" s="194"/>
      <c r="CR148" s="194"/>
      <c r="CS148" s="194"/>
      <c r="CT148" s="194"/>
      <c r="CU148" s="194"/>
      <c r="CV148" s="194"/>
      <c r="CW148" s="194"/>
      <c r="CX148" s="194"/>
      <c r="CY148" s="194"/>
      <c r="CZ148" s="194"/>
      <c r="DA148" s="194"/>
      <c r="DB148" s="194"/>
      <c r="DC148" s="194"/>
      <c r="DD148" s="194"/>
      <c r="DE148" s="194"/>
      <c r="DF148" s="194"/>
      <c r="DG148" s="194"/>
      <c r="DH148" s="194"/>
      <c r="DI148" s="194"/>
      <c r="DJ148" s="194"/>
      <c r="DK148" s="194"/>
      <c r="DL148" s="194"/>
      <c r="DM148" s="194"/>
      <c r="DN148" s="194"/>
      <c r="DO148" s="194"/>
      <c r="DP148" s="194"/>
      <c r="DQ148" s="194"/>
      <c r="DR148" s="194"/>
      <c r="DS148" s="194"/>
      <c r="DT148" s="194"/>
      <c r="DU148" s="194"/>
    </row>
    <row r="149" spans="1:125" s="196" customFormat="1" ht="24" customHeight="1" thickBot="1">
      <c r="A149" s="231" t="s">
        <v>271</v>
      </c>
      <c r="B149" s="241">
        <v>50000</v>
      </c>
      <c r="C149" s="230"/>
      <c r="D149" s="230"/>
      <c r="E149" s="230"/>
      <c r="F149" s="517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4"/>
      <c r="AK149" s="194"/>
      <c r="AL149" s="194"/>
      <c r="AM149" s="195"/>
      <c r="AP149" s="163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4"/>
      <c r="BQ149" s="194"/>
      <c r="BR149" s="194"/>
      <c r="BS149" s="194"/>
      <c r="BT149" s="194"/>
      <c r="BU149" s="194"/>
      <c r="BV149" s="194"/>
      <c r="BW149" s="194"/>
      <c r="BX149" s="194"/>
      <c r="BY149" s="194"/>
      <c r="BZ149" s="194"/>
      <c r="CA149" s="194"/>
      <c r="CB149" s="194"/>
      <c r="CC149" s="194"/>
      <c r="CD149" s="194"/>
      <c r="CE149" s="194"/>
      <c r="CF149" s="194"/>
      <c r="CG149" s="194"/>
      <c r="CH149" s="194"/>
      <c r="CI149" s="194"/>
      <c r="CJ149" s="194"/>
      <c r="CK149" s="194"/>
      <c r="CL149" s="194"/>
      <c r="CM149" s="194"/>
      <c r="CN149" s="194"/>
      <c r="CO149" s="194"/>
      <c r="CP149" s="194"/>
      <c r="CQ149" s="194"/>
      <c r="CR149" s="194"/>
      <c r="CS149" s="194"/>
      <c r="CT149" s="194"/>
      <c r="CU149" s="194"/>
      <c r="CV149" s="194"/>
      <c r="CW149" s="194"/>
      <c r="CX149" s="194"/>
      <c r="CY149" s="194"/>
      <c r="CZ149" s="194"/>
      <c r="DA149" s="194"/>
      <c r="DB149" s="194"/>
      <c r="DC149" s="194"/>
      <c r="DD149" s="194"/>
      <c r="DE149" s="194"/>
      <c r="DF149" s="194"/>
      <c r="DG149" s="194"/>
      <c r="DH149" s="194"/>
      <c r="DI149" s="194"/>
      <c r="DJ149" s="194"/>
      <c r="DK149" s="194"/>
      <c r="DL149" s="194"/>
      <c r="DM149" s="194"/>
      <c r="DN149" s="194"/>
      <c r="DO149" s="194"/>
      <c r="DP149" s="194"/>
      <c r="DQ149" s="194"/>
      <c r="DR149" s="194"/>
      <c r="DS149" s="194"/>
      <c r="DT149" s="194"/>
      <c r="DU149" s="194"/>
    </row>
    <row r="150" spans="1:125" s="196" customFormat="1" ht="41.25" customHeight="1" thickBot="1">
      <c r="A150" s="231" t="s">
        <v>272</v>
      </c>
      <c r="B150" s="241">
        <v>543000</v>
      </c>
      <c r="C150" s="230"/>
      <c r="D150" s="230"/>
      <c r="E150" s="230"/>
      <c r="F150" s="517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5"/>
      <c r="AP150" s="163"/>
      <c r="AQ150" s="194"/>
      <c r="AR150" s="194"/>
      <c r="AS150" s="194"/>
      <c r="AT150" s="194"/>
      <c r="AU150" s="194"/>
      <c r="AV150" s="194"/>
      <c r="AW150" s="194"/>
      <c r="AX150" s="194"/>
      <c r="AY150" s="194"/>
      <c r="AZ150" s="194"/>
      <c r="BA150" s="194"/>
      <c r="BB150" s="194"/>
      <c r="BC150" s="194"/>
      <c r="BD150" s="194"/>
      <c r="BE150" s="194"/>
      <c r="BF150" s="194"/>
      <c r="BG150" s="194"/>
      <c r="BH150" s="194"/>
      <c r="BI150" s="194"/>
      <c r="BJ150" s="194"/>
      <c r="BK150" s="194"/>
      <c r="BL150" s="194"/>
      <c r="BM150" s="194"/>
      <c r="BN150" s="194"/>
      <c r="BO150" s="194"/>
      <c r="BP150" s="194"/>
      <c r="BQ150" s="194"/>
      <c r="BR150" s="194"/>
      <c r="BS150" s="194"/>
      <c r="BT150" s="194"/>
      <c r="BU150" s="194"/>
      <c r="BV150" s="194"/>
      <c r="BW150" s="194"/>
      <c r="BX150" s="194"/>
      <c r="BY150" s="194"/>
      <c r="BZ150" s="194"/>
      <c r="CA150" s="194"/>
      <c r="CB150" s="194"/>
      <c r="CC150" s="194"/>
      <c r="CD150" s="194"/>
      <c r="CE150" s="194"/>
      <c r="CF150" s="194"/>
      <c r="CG150" s="194"/>
      <c r="CH150" s="194"/>
      <c r="CI150" s="194"/>
      <c r="CJ150" s="194"/>
      <c r="CK150" s="194"/>
      <c r="CL150" s="194"/>
      <c r="CM150" s="194"/>
      <c r="CN150" s="194"/>
      <c r="CO150" s="194"/>
      <c r="CP150" s="194"/>
      <c r="CQ150" s="194"/>
      <c r="CR150" s="194"/>
      <c r="CS150" s="194"/>
      <c r="CT150" s="194"/>
      <c r="CU150" s="194"/>
      <c r="CV150" s="194"/>
      <c r="CW150" s="194"/>
      <c r="CX150" s="194"/>
      <c r="CY150" s="194"/>
      <c r="CZ150" s="194"/>
      <c r="DA150" s="194"/>
      <c r="DB150" s="194"/>
      <c r="DC150" s="194"/>
      <c r="DD150" s="194"/>
      <c r="DE150" s="194"/>
      <c r="DF150" s="194"/>
      <c r="DG150" s="194"/>
      <c r="DH150" s="194"/>
      <c r="DI150" s="194"/>
      <c r="DJ150" s="194"/>
      <c r="DK150" s="194"/>
      <c r="DL150" s="194"/>
      <c r="DM150" s="194"/>
      <c r="DN150" s="194"/>
      <c r="DO150" s="194"/>
      <c r="DP150" s="194"/>
      <c r="DQ150" s="194"/>
      <c r="DR150" s="194"/>
      <c r="DS150" s="194"/>
      <c r="DT150" s="194"/>
      <c r="DU150" s="194"/>
    </row>
    <row r="151" spans="1:125" s="196" customFormat="1" ht="24.75" customHeight="1" thickBot="1">
      <c r="A151" s="231" t="s">
        <v>273</v>
      </c>
      <c r="B151" s="241">
        <v>22000</v>
      </c>
      <c r="C151" s="230"/>
      <c r="D151" s="230"/>
      <c r="E151" s="230"/>
      <c r="F151" s="517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5"/>
      <c r="AP151" s="163"/>
      <c r="AQ151" s="194"/>
      <c r="AR151" s="194"/>
      <c r="AS151" s="194"/>
      <c r="AT151" s="194"/>
      <c r="AU151" s="194"/>
      <c r="AV151" s="194"/>
      <c r="AW151" s="194"/>
      <c r="AX151" s="194"/>
      <c r="AY151" s="194"/>
      <c r="AZ151" s="194"/>
      <c r="BA151" s="194"/>
      <c r="BB151" s="194"/>
      <c r="BC151" s="194"/>
      <c r="BD151" s="194"/>
      <c r="BE151" s="194"/>
      <c r="BF151" s="194"/>
      <c r="BG151" s="194"/>
      <c r="BH151" s="194"/>
      <c r="BI151" s="194"/>
      <c r="BJ151" s="194"/>
      <c r="BK151" s="194"/>
      <c r="BL151" s="194"/>
      <c r="BM151" s="194"/>
      <c r="BN151" s="194"/>
      <c r="BO151" s="194"/>
      <c r="BP151" s="194"/>
      <c r="BQ151" s="194"/>
      <c r="BR151" s="194"/>
      <c r="BS151" s="194"/>
      <c r="BT151" s="194"/>
      <c r="BU151" s="194"/>
      <c r="BV151" s="194"/>
      <c r="BW151" s="194"/>
      <c r="BX151" s="194"/>
      <c r="BY151" s="194"/>
      <c r="BZ151" s="194"/>
      <c r="CA151" s="194"/>
      <c r="CB151" s="194"/>
      <c r="CC151" s="194"/>
      <c r="CD151" s="194"/>
      <c r="CE151" s="194"/>
      <c r="CF151" s="194"/>
      <c r="CG151" s="194"/>
      <c r="CH151" s="194"/>
      <c r="CI151" s="194"/>
      <c r="CJ151" s="194"/>
      <c r="CK151" s="194"/>
      <c r="CL151" s="194"/>
      <c r="CM151" s="194"/>
      <c r="CN151" s="194"/>
      <c r="CO151" s="194"/>
      <c r="CP151" s="194"/>
      <c r="CQ151" s="194"/>
      <c r="CR151" s="194"/>
      <c r="CS151" s="194"/>
      <c r="CT151" s="194"/>
      <c r="CU151" s="194"/>
      <c r="CV151" s="194"/>
      <c r="CW151" s="194"/>
      <c r="CX151" s="194"/>
      <c r="CY151" s="194"/>
      <c r="CZ151" s="194"/>
      <c r="DA151" s="194"/>
      <c r="DB151" s="194"/>
      <c r="DC151" s="194"/>
      <c r="DD151" s="194"/>
      <c r="DE151" s="194"/>
      <c r="DF151" s="194"/>
      <c r="DG151" s="194"/>
      <c r="DH151" s="194"/>
      <c r="DI151" s="194"/>
      <c r="DJ151" s="194"/>
      <c r="DK151" s="194"/>
      <c r="DL151" s="194"/>
      <c r="DM151" s="194"/>
      <c r="DN151" s="194"/>
      <c r="DO151" s="194"/>
      <c r="DP151" s="194"/>
      <c r="DQ151" s="194"/>
      <c r="DR151" s="194"/>
      <c r="DS151" s="194"/>
      <c r="DT151" s="194"/>
      <c r="DU151" s="194"/>
    </row>
    <row r="152" spans="1:125" s="196" customFormat="1" ht="28.5" customHeight="1" thickBot="1">
      <c r="A152" s="231" t="s">
        <v>103</v>
      </c>
      <c r="B152" s="241">
        <v>1000</v>
      </c>
      <c r="C152" s="230"/>
      <c r="D152" s="230"/>
      <c r="E152" s="230"/>
      <c r="F152" s="517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5"/>
      <c r="AP152" s="163"/>
      <c r="AQ152" s="194"/>
      <c r="AR152" s="194"/>
      <c r="AS152" s="194"/>
      <c r="AT152" s="194"/>
      <c r="AU152" s="194"/>
      <c r="AV152" s="194"/>
      <c r="AW152" s="194"/>
      <c r="AX152" s="194"/>
      <c r="AY152" s="194"/>
      <c r="AZ152" s="194"/>
      <c r="BA152" s="194"/>
      <c r="BB152" s="194"/>
      <c r="BC152" s="194"/>
      <c r="BD152" s="194"/>
      <c r="BE152" s="194"/>
      <c r="BF152" s="194"/>
      <c r="BG152" s="194"/>
      <c r="BH152" s="194"/>
      <c r="BI152" s="194"/>
      <c r="BJ152" s="194"/>
      <c r="BK152" s="194"/>
      <c r="BL152" s="194"/>
      <c r="BM152" s="194"/>
      <c r="BN152" s="194"/>
      <c r="BO152" s="194"/>
      <c r="BP152" s="194"/>
      <c r="BQ152" s="194"/>
      <c r="BR152" s="194"/>
      <c r="BS152" s="194"/>
      <c r="BT152" s="194"/>
      <c r="BU152" s="194"/>
      <c r="BV152" s="194"/>
      <c r="BW152" s="194"/>
      <c r="BX152" s="194"/>
      <c r="BY152" s="194"/>
      <c r="BZ152" s="194"/>
      <c r="CA152" s="194"/>
      <c r="CB152" s="194"/>
      <c r="CC152" s="194"/>
      <c r="CD152" s="194"/>
      <c r="CE152" s="194"/>
      <c r="CF152" s="194"/>
      <c r="CG152" s="194"/>
      <c r="CH152" s="194"/>
      <c r="CI152" s="194"/>
      <c r="CJ152" s="194"/>
      <c r="CK152" s="194"/>
      <c r="CL152" s="194"/>
      <c r="CM152" s="194"/>
      <c r="CN152" s="194"/>
      <c r="CO152" s="194"/>
      <c r="CP152" s="194"/>
      <c r="CQ152" s="194"/>
      <c r="CR152" s="194"/>
      <c r="CS152" s="194"/>
      <c r="CT152" s="194"/>
      <c r="CU152" s="194"/>
      <c r="CV152" s="194"/>
      <c r="CW152" s="194"/>
      <c r="CX152" s="194"/>
      <c r="CY152" s="194"/>
      <c r="CZ152" s="194"/>
      <c r="DA152" s="194"/>
      <c r="DB152" s="194"/>
      <c r="DC152" s="194"/>
      <c r="DD152" s="194"/>
      <c r="DE152" s="194"/>
      <c r="DF152" s="194"/>
      <c r="DG152" s="194"/>
      <c r="DH152" s="194"/>
      <c r="DI152" s="194"/>
      <c r="DJ152" s="194"/>
      <c r="DK152" s="194"/>
      <c r="DL152" s="194"/>
      <c r="DM152" s="194"/>
      <c r="DN152" s="194"/>
      <c r="DO152" s="194"/>
      <c r="DP152" s="194"/>
      <c r="DQ152" s="194"/>
      <c r="DR152" s="194"/>
      <c r="DS152" s="194"/>
      <c r="DT152" s="194"/>
      <c r="DU152" s="194"/>
    </row>
    <row r="153" spans="1:125" s="196" customFormat="1" ht="24" customHeight="1" thickBot="1">
      <c r="A153" s="231" t="s">
        <v>104</v>
      </c>
      <c r="B153" s="241">
        <v>5000</v>
      </c>
      <c r="C153" s="230"/>
      <c r="D153" s="230"/>
      <c r="E153" s="230"/>
      <c r="F153" s="517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5"/>
      <c r="AP153" s="163"/>
      <c r="AQ153" s="194"/>
      <c r="AR153" s="194"/>
      <c r="AS153" s="194"/>
      <c r="AT153" s="194"/>
      <c r="AU153" s="194"/>
      <c r="AV153" s="194"/>
      <c r="AW153" s="194"/>
      <c r="AX153" s="194"/>
      <c r="AY153" s="194"/>
      <c r="AZ153" s="194"/>
      <c r="BA153" s="194"/>
      <c r="BB153" s="194"/>
      <c r="BC153" s="194"/>
      <c r="BD153" s="194"/>
      <c r="BE153" s="194"/>
      <c r="BF153" s="194"/>
      <c r="BG153" s="194"/>
      <c r="BH153" s="194"/>
      <c r="BI153" s="194"/>
      <c r="BJ153" s="194"/>
      <c r="BK153" s="194"/>
      <c r="BL153" s="194"/>
      <c r="BM153" s="194"/>
      <c r="BN153" s="194"/>
      <c r="BO153" s="194"/>
      <c r="BP153" s="194"/>
      <c r="BQ153" s="194"/>
      <c r="BR153" s="194"/>
      <c r="BS153" s="194"/>
      <c r="BT153" s="194"/>
      <c r="BU153" s="194"/>
      <c r="BV153" s="194"/>
      <c r="BW153" s="194"/>
      <c r="BX153" s="194"/>
      <c r="BY153" s="194"/>
      <c r="BZ153" s="194"/>
      <c r="CA153" s="194"/>
      <c r="CB153" s="194"/>
      <c r="CC153" s="194"/>
      <c r="CD153" s="194"/>
      <c r="CE153" s="194"/>
      <c r="CF153" s="194"/>
      <c r="CG153" s="194"/>
      <c r="CH153" s="194"/>
      <c r="CI153" s="194"/>
      <c r="CJ153" s="194"/>
      <c r="CK153" s="194"/>
      <c r="CL153" s="194"/>
      <c r="CM153" s="194"/>
      <c r="CN153" s="194"/>
      <c r="CO153" s="194"/>
      <c r="CP153" s="194"/>
      <c r="CQ153" s="194"/>
      <c r="CR153" s="194"/>
      <c r="CS153" s="194"/>
      <c r="CT153" s="194"/>
      <c r="CU153" s="194"/>
      <c r="CV153" s="194"/>
      <c r="CW153" s="194"/>
      <c r="CX153" s="194"/>
      <c r="CY153" s="194"/>
      <c r="CZ153" s="194"/>
      <c r="DA153" s="194"/>
      <c r="DB153" s="194"/>
      <c r="DC153" s="194"/>
      <c r="DD153" s="194"/>
      <c r="DE153" s="194"/>
      <c r="DF153" s="194"/>
      <c r="DG153" s="194"/>
      <c r="DH153" s="194"/>
      <c r="DI153" s="194"/>
      <c r="DJ153" s="194"/>
      <c r="DK153" s="194"/>
      <c r="DL153" s="194"/>
      <c r="DM153" s="194"/>
      <c r="DN153" s="194"/>
      <c r="DO153" s="194"/>
      <c r="DP153" s="194"/>
      <c r="DQ153" s="194"/>
      <c r="DR153" s="194"/>
      <c r="DS153" s="194"/>
      <c r="DT153" s="194"/>
      <c r="DU153" s="194"/>
    </row>
    <row r="154" spans="1:125" s="196" customFormat="1" ht="37.5" customHeight="1" thickBot="1">
      <c r="A154" s="228" t="s">
        <v>375</v>
      </c>
      <c r="B154" s="241"/>
      <c r="C154" s="230"/>
      <c r="D154" s="230">
        <v>1999700</v>
      </c>
      <c r="E154" s="230">
        <v>1999700</v>
      </c>
      <c r="F154" s="517">
        <f>E154/D154</f>
        <v>1</v>
      </c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4"/>
      <c r="AT154" s="194"/>
      <c r="AU154" s="194"/>
      <c r="AV154" s="194"/>
      <c r="AW154" s="194"/>
      <c r="AX154" s="194"/>
      <c r="AY154" s="194"/>
      <c r="AZ154" s="194"/>
      <c r="BA154" s="194"/>
      <c r="BB154" s="194"/>
      <c r="BC154" s="194"/>
      <c r="BD154" s="194"/>
      <c r="BE154" s="194"/>
      <c r="BF154" s="194"/>
      <c r="BG154" s="194"/>
      <c r="BH154" s="194"/>
      <c r="BI154" s="194"/>
      <c r="BJ154" s="194"/>
      <c r="BK154" s="194"/>
      <c r="BL154" s="194"/>
      <c r="BM154" s="194"/>
      <c r="BN154" s="194"/>
      <c r="BO154" s="194"/>
      <c r="BP154" s="194"/>
      <c r="BQ154" s="194"/>
      <c r="BR154" s="194"/>
      <c r="BS154" s="194"/>
      <c r="BT154" s="194"/>
      <c r="BU154" s="194"/>
    </row>
    <row r="155" spans="1:125" s="196" customFormat="1" ht="27.75" customHeight="1" thickBot="1">
      <c r="A155" s="538" t="s">
        <v>98</v>
      </c>
      <c r="B155" s="232"/>
      <c r="C155" s="230"/>
      <c r="D155" s="230"/>
      <c r="E155" s="230">
        <v>935000</v>
      </c>
      <c r="F155" s="517">
        <v>0</v>
      </c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5"/>
    </row>
    <row r="156" spans="1:125" s="199" customFormat="1" ht="32.25" customHeight="1" thickBot="1">
      <c r="A156" s="535" t="s">
        <v>112</v>
      </c>
      <c r="B156" s="238"/>
      <c r="C156" s="230"/>
      <c r="D156" s="230"/>
      <c r="E156" s="230">
        <v>190000</v>
      </c>
      <c r="F156" s="517">
        <v>0</v>
      </c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8"/>
      <c r="AP156" s="164"/>
      <c r="AQ156" s="197"/>
      <c r="AR156" s="19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197"/>
      <c r="BC156" s="197"/>
      <c r="BD156" s="197"/>
      <c r="BE156" s="197"/>
      <c r="BF156" s="197"/>
      <c r="BG156" s="197"/>
      <c r="BH156" s="197"/>
      <c r="BI156" s="197"/>
      <c r="BJ156" s="197"/>
      <c r="BK156" s="197"/>
      <c r="BL156" s="197"/>
      <c r="BM156" s="197"/>
      <c r="BN156" s="197"/>
      <c r="BO156" s="197"/>
      <c r="BP156" s="197"/>
      <c r="BQ156" s="197"/>
      <c r="BR156" s="197"/>
      <c r="BS156" s="197"/>
      <c r="BT156" s="197"/>
      <c r="BU156" s="197"/>
      <c r="BV156" s="197"/>
      <c r="BW156" s="197"/>
      <c r="BX156" s="197"/>
      <c r="BY156" s="197"/>
      <c r="BZ156" s="197"/>
      <c r="CA156" s="197"/>
      <c r="CB156" s="197"/>
      <c r="CC156" s="197"/>
      <c r="CD156" s="197"/>
      <c r="CE156" s="197"/>
      <c r="CF156" s="197"/>
      <c r="CG156" s="197"/>
      <c r="CH156" s="197"/>
      <c r="CI156" s="197"/>
      <c r="CJ156" s="197"/>
      <c r="CK156" s="197"/>
      <c r="CL156" s="197"/>
      <c r="CM156" s="197"/>
      <c r="CN156" s="197"/>
      <c r="CO156" s="197"/>
      <c r="CP156" s="197"/>
      <c r="CQ156" s="197"/>
      <c r="CR156" s="197"/>
      <c r="CS156" s="197"/>
      <c r="CT156" s="197"/>
      <c r="CU156" s="197"/>
      <c r="CV156" s="197"/>
      <c r="CW156" s="197"/>
      <c r="CX156" s="197"/>
      <c r="CY156" s="197"/>
      <c r="CZ156" s="197"/>
      <c r="DA156" s="197"/>
      <c r="DB156" s="197"/>
      <c r="DC156" s="197"/>
      <c r="DD156" s="197"/>
      <c r="DE156" s="197"/>
      <c r="DF156" s="197"/>
      <c r="DG156" s="197"/>
      <c r="DH156" s="197"/>
      <c r="DI156" s="197"/>
      <c r="DJ156" s="197"/>
      <c r="DK156" s="197"/>
      <c r="DL156" s="197"/>
      <c r="DM156" s="197"/>
      <c r="DN156" s="197"/>
      <c r="DO156" s="197"/>
      <c r="DP156" s="197"/>
      <c r="DQ156" s="197"/>
      <c r="DR156" s="197"/>
      <c r="DS156" s="197"/>
      <c r="DT156" s="197"/>
      <c r="DU156" s="197"/>
    </row>
    <row r="157" spans="1:125" s="196" customFormat="1" ht="21.75" customHeight="1" thickBot="1">
      <c r="A157" s="392" t="s">
        <v>121</v>
      </c>
      <c r="B157" s="245"/>
      <c r="C157" s="391"/>
      <c r="D157" s="391">
        <v>42300000</v>
      </c>
      <c r="E157" s="391">
        <v>28200000</v>
      </c>
      <c r="F157" s="523">
        <f>E157/D157</f>
        <v>0.66666666666666663</v>
      </c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4"/>
      <c r="AT157" s="194"/>
      <c r="AU157" s="194"/>
      <c r="AV157" s="194"/>
      <c r="AW157" s="194"/>
      <c r="AX157" s="194"/>
      <c r="AY157" s="194"/>
      <c r="AZ157" s="194"/>
      <c r="BA157" s="194"/>
      <c r="BB157" s="194"/>
      <c r="BC157" s="194"/>
      <c r="BD157" s="194"/>
      <c r="BE157" s="194"/>
      <c r="BF157" s="194"/>
      <c r="BG157" s="194"/>
      <c r="BH157" s="194"/>
      <c r="BI157" s="194"/>
      <c r="BJ157" s="194"/>
      <c r="BK157" s="194"/>
      <c r="BL157" s="194"/>
      <c r="BM157" s="194"/>
      <c r="BN157" s="194"/>
      <c r="BO157" s="194"/>
      <c r="BP157" s="194"/>
      <c r="BQ157" s="194"/>
      <c r="BR157" s="194"/>
      <c r="BS157" s="194"/>
      <c r="BT157" s="194"/>
      <c r="BU157" s="194"/>
    </row>
    <row r="158" spans="1:125" s="196" customFormat="1" ht="40.5" customHeight="1" thickBot="1">
      <c r="A158" s="392" t="s">
        <v>367</v>
      </c>
      <c r="B158" s="245"/>
      <c r="C158" s="391"/>
      <c r="D158" s="391">
        <v>2126894</v>
      </c>
      <c r="E158" s="391">
        <v>2126894</v>
      </c>
      <c r="F158" s="523">
        <f>E158/D158</f>
        <v>1</v>
      </c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194"/>
      <c r="AT158" s="194"/>
      <c r="AU158" s="194"/>
      <c r="AV158" s="194"/>
      <c r="AW158" s="194"/>
      <c r="AX158" s="194"/>
      <c r="AY158" s="194"/>
      <c r="AZ158" s="194"/>
      <c r="BA158" s="194"/>
      <c r="BB158" s="194"/>
      <c r="BC158" s="194"/>
      <c r="BD158" s="194"/>
      <c r="BE158" s="194"/>
      <c r="BF158" s="194"/>
      <c r="BG158" s="194"/>
      <c r="BH158" s="194"/>
      <c r="BI158" s="194"/>
      <c r="BJ158" s="194"/>
      <c r="BK158" s="194"/>
      <c r="BL158" s="194"/>
      <c r="BM158" s="194"/>
      <c r="BN158" s="194"/>
      <c r="BO158" s="194"/>
      <c r="BP158" s="194"/>
      <c r="BQ158" s="194"/>
      <c r="BR158" s="194"/>
      <c r="BS158" s="194"/>
      <c r="BT158" s="194"/>
      <c r="BU158" s="194"/>
    </row>
    <row r="159" spans="1:125" s="199" customFormat="1" ht="35.25" customHeight="1" thickBot="1">
      <c r="A159" s="228" t="s">
        <v>253</v>
      </c>
      <c r="B159" s="238"/>
      <c r="C159" s="230">
        <v>5000000</v>
      </c>
      <c r="D159" s="230">
        <v>5000000</v>
      </c>
      <c r="E159" s="230">
        <v>0</v>
      </c>
      <c r="F159" s="517">
        <v>0</v>
      </c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8"/>
    </row>
    <row r="160" spans="1:125" s="210" customFormat="1" ht="38.25" customHeight="1" thickBot="1">
      <c r="A160" s="228" t="s">
        <v>129</v>
      </c>
      <c r="B160" s="344"/>
      <c r="C160" s="230">
        <v>50000000</v>
      </c>
      <c r="D160" s="230">
        <f>50000000-3950435</f>
        <v>46049565</v>
      </c>
      <c r="E160" s="230"/>
      <c r="F160" s="51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209"/>
    </row>
    <row r="161" spans="1:125" s="210" customFormat="1" ht="38.25" customHeight="1" thickBot="1">
      <c r="A161" s="394" t="s">
        <v>130</v>
      </c>
      <c r="B161" s="395"/>
      <c r="C161" s="396">
        <v>231934000</v>
      </c>
      <c r="D161" s="396">
        <f>SUM(B162+B164+B165+B169+B170+B171)</f>
        <v>856172620</v>
      </c>
      <c r="E161" s="396"/>
      <c r="F161" s="524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  <c r="AR161" s="197"/>
      <c r="AS161" s="197"/>
      <c r="AT161" s="197"/>
      <c r="AU161" s="197"/>
      <c r="AV161" s="197"/>
      <c r="AW161" s="197"/>
      <c r="AX161" s="197"/>
      <c r="AY161" s="197"/>
      <c r="AZ161" s="197"/>
      <c r="BA161" s="197"/>
      <c r="BB161" s="197"/>
      <c r="BC161" s="197"/>
      <c r="BD161" s="197"/>
      <c r="BE161" s="197"/>
      <c r="BF161" s="197"/>
      <c r="BG161" s="197"/>
      <c r="BH161" s="197"/>
      <c r="BI161" s="197"/>
      <c r="BJ161" s="197"/>
      <c r="BK161" s="197"/>
      <c r="BL161" s="197"/>
      <c r="BM161" s="197"/>
      <c r="BN161" s="197"/>
      <c r="BO161" s="197"/>
      <c r="BP161" s="197"/>
      <c r="BQ161" s="197"/>
      <c r="BR161" s="197"/>
      <c r="BS161" s="197"/>
      <c r="BT161" s="197"/>
      <c r="BU161" s="197"/>
    </row>
    <row r="162" spans="1:125" s="196" customFormat="1" ht="44.25" customHeight="1" thickBot="1">
      <c r="A162" s="228" t="s">
        <v>385</v>
      </c>
      <c r="B162" s="241">
        <f>3875000-73+8870741</f>
        <v>12745668</v>
      </c>
      <c r="C162" s="230"/>
      <c r="D162" s="230"/>
      <c r="E162" s="230"/>
      <c r="F162" s="517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4"/>
      <c r="AL162" s="194"/>
      <c r="AM162" s="194"/>
      <c r="AN162" s="194"/>
      <c r="AO162" s="194"/>
      <c r="AP162" s="194"/>
      <c r="AQ162" s="194"/>
      <c r="AR162" s="194"/>
      <c r="AS162" s="194"/>
      <c r="AT162" s="194"/>
      <c r="AU162" s="194"/>
      <c r="AV162" s="194"/>
      <c r="AW162" s="194"/>
      <c r="AX162" s="194"/>
      <c r="AY162" s="194"/>
      <c r="AZ162" s="194"/>
      <c r="BA162" s="194"/>
      <c r="BB162" s="194"/>
      <c r="BC162" s="194"/>
      <c r="BD162" s="194"/>
      <c r="BE162" s="194"/>
      <c r="BF162" s="194"/>
      <c r="BG162" s="194"/>
      <c r="BH162" s="194"/>
      <c r="BI162" s="194"/>
      <c r="BJ162" s="194"/>
      <c r="BK162" s="194"/>
      <c r="BL162" s="194"/>
      <c r="BM162" s="194"/>
      <c r="BN162" s="194"/>
      <c r="BO162" s="194"/>
      <c r="BP162" s="194"/>
      <c r="BQ162" s="194"/>
      <c r="BR162" s="194"/>
      <c r="BS162" s="194"/>
      <c r="BT162" s="194"/>
      <c r="BU162" s="194"/>
    </row>
    <row r="163" spans="1:125" s="199" customFormat="1" ht="41.25" customHeight="1" thickBot="1">
      <c r="A163" s="228" t="s">
        <v>131</v>
      </c>
      <c r="B163" s="238"/>
      <c r="C163" s="230"/>
      <c r="D163" s="230"/>
      <c r="E163" s="230"/>
      <c r="F163" s="51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  <c r="BG163" s="197"/>
      <c r="BH163" s="197"/>
      <c r="BI163" s="197"/>
      <c r="BJ163" s="197"/>
      <c r="BK163" s="197"/>
      <c r="BL163" s="197"/>
      <c r="BM163" s="197"/>
      <c r="BN163" s="197"/>
      <c r="BO163" s="197"/>
      <c r="BP163" s="197"/>
      <c r="BQ163" s="197"/>
      <c r="BR163" s="197"/>
      <c r="BS163" s="197"/>
      <c r="BT163" s="197"/>
      <c r="BU163" s="197"/>
    </row>
    <row r="164" spans="1:125" s="196" customFormat="1" ht="59.25" customHeight="1" thickBot="1">
      <c r="A164" s="231" t="s">
        <v>128</v>
      </c>
      <c r="B164" s="241">
        <f>12155000-434</f>
        <v>12154566</v>
      </c>
      <c r="C164" s="230"/>
      <c r="D164" s="230"/>
      <c r="E164" s="230"/>
      <c r="F164" s="517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4"/>
      <c r="AK164" s="194"/>
      <c r="AL164" s="194"/>
      <c r="AM164" s="194"/>
      <c r="AN164" s="194"/>
      <c r="AO164" s="194"/>
      <c r="AP164" s="194"/>
      <c r="AQ164" s="194"/>
      <c r="AR164" s="194"/>
      <c r="AS164" s="194"/>
      <c r="AT164" s="194"/>
      <c r="AU164" s="194"/>
      <c r="AV164" s="194"/>
      <c r="AW164" s="194"/>
      <c r="AX164" s="194"/>
      <c r="AY164" s="194"/>
      <c r="AZ164" s="194"/>
      <c r="BA164" s="194"/>
      <c r="BB164" s="194"/>
      <c r="BC164" s="194"/>
      <c r="BD164" s="194"/>
      <c r="BE164" s="194"/>
      <c r="BF164" s="194"/>
      <c r="BG164" s="194"/>
      <c r="BH164" s="194"/>
      <c r="BI164" s="194"/>
      <c r="BJ164" s="194"/>
      <c r="BK164" s="194"/>
      <c r="BL164" s="194"/>
      <c r="BM164" s="194"/>
      <c r="BN164" s="194"/>
      <c r="BO164" s="194"/>
      <c r="BP164" s="194"/>
      <c r="BQ164" s="194"/>
      <c r="BR164" s="194"/>
      <c r="BS164" s="194"/>
      <c r="BT164" s="194"/>
      <c r="BU164" s="194"/>
    </row>
    <row r="165" spans="1:125" s="196" customFormat="1" ht="16.5" thickBot="1">
      <c r="A165" s="228" t="s">
        <v>88</v>
      </c>
      <c r="B165" s="241">
        <f>SUM(B167:B168)</f>
        <v>215443253</v>
      </c>
      <c r="C165" s="230"/>
      <c r="D165" s="230"/>
      <c r="E165" s="230"/>
      <c r="F165" s="517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4"/>
      <c r="AK165" s="194"/>
      <c r="AL165" s="194"/>
      <c r="AM165" s="194"/>
      <c r="AN165" s="194"/>
      <c r="AO165" s="194"/>
      <c r="AP165" s="194"/>
      <c r="AQ165" s="194"/>
      <c r="AR165" s="194"/>
      <c r="AS165" s="194"/>
      <c r="AT165" s="194"/>
      <c r="AU165" s="194"/>
      <c r="AV165" s="194"/>
      <c r="AW165" s="194"/>
      <c r="AX165" s="194"/>
      <c r="AY165" s="194"/>
      <c r="AZ165" s="194"/>
      <c r="BA165" s="194"/>
      <c r="BB165" s="194"/>
      <c r="BC165" s="194"/>
      <c r="BD165" s="194"/>
      <c r="BE165" s="194"/>
      <c r="BF165" s="194"/>
      <c r="BG165" s="194"/>
      <c r="BH165" s="194"/>
      <c r="BI165" s="194"/>
      <c r="BJ165" s="194"/>
      <c r="BK165" s="194"/>
      <c r="BL165" s="194"/>
      <c r="BM165" s="194"/>
      <c r="BN165" s="194"/>
      <c r="BO165" s="194"/>
      <c r="BP165" s="194"/>
      <c r="BQ165" s="194"/>
      <c r="BR165" s="194"/>
      <c r="BS165" s="194"/>
      <c r="BT165" s="194"/>
      <c r="BU165" s="194"/>
    </row>
    <row r="166" spans="1:125" s="196" customFormat="1" ht="22.5" customHeight="1" thickBot="1">
      <c r="A166" s="231" t="s">
        <v>53</v>
      </c>
      <c r="B166" s="241"/>
      <c r="C166" s="230"/>
      <c r="D166" s="230"/>
      <c r="E166" s="230"/>
      <c r="F166" s="517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4"/>
      <c r="AK166" s="194"/>
      <c r="AL166" s="194"/>
      <c r="AM166" s="194"/>
      <c r="AN166" s="194"/>
      <c r="AO166" s="194"/>
      <c r="AP166" s="194"/>
      <c r="AQ166" s="194"/>
      <c r="AR166" s="194"/>
      <c r="AS166" s="194"/>
      <c r="AT166" s="194"/>
      <c r="AU166" s="194"/>
      <c r="AV166" s="194"/>
      <c r="AW166" s="194"/>
      <c r="AX166" s="194"/>
      <c r="AY166" s="194"/>
      <c r="AZ166" s="194"/>
      <c r="BA166" s="194"/>
      <c r="BB166" s="194"/>
      <c r="BC166" s="194"/>
      <c r="BD166" s="194"/>
      <c r="BE166" s="194"/>
      <c r="BF166" s="194"/>
      <c r="BG166" s="194"/>
      <c r="BH166" s="194"/>
      <c r="BI166" s="194"/>
      <c r="BJ166" s="194"/>
      <c r="BK166" s="194"/>
      <c r="BL166" s="194"/>
      <c r="BM166" s="194"/>
      <c r="BN166" s="194"/>
      <c r="BO166" s="194"/>
      <c r="BP166" s="194"/>
      <c r="BQ166" s="194"/>
      <c r="BR166" s="194"/>
      <c r="BS166" s="194"/>
      <c r="BT166" s="194"/>
      <c r="BU166" s="194"/>
    </row>
    <row r="167" spans="1:125" s="196" customFormat="1" ht="22.5" customHeight="1" thickBot="1">
      <c r="A167" s="231" t="s">
        <v>301</v>
      </c>
      <c r="B167" s="241">
        <v>49950000</v>
      </c>
      <c r="C167" s="230"/>
      <c r="D167" s="230"/>
      <c r="E167" s="230"/>
      <c r="F167" s="517"/>
      <c r="G167" s="194"/>
      <c r="H167" s="194"/>
      <c r="I167" s="194"/>
      <c r="J167" s="194"/>
      <c r="K167" s="194"/>
      <c r="L167" s="194"/>
      <c r="M167" s="194"/>
      <c r="N167" s="194"/>
      <c r="O167" s="194"/>
      <c r="P167" s="194"/>
      <c r="Q167" s="194"/>
      <c r="R167" s="194"/>
      <c r="S167" s="194"/>
      <c r="T167" s="194"/>
      <c r="U167" s="194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4"/>
      <c r="AK167" s="194"/>
      <c r="AL167" s="194"/>
      <c r="AM167" s="194"/>
      <c r="AN167" s="194"/>
      <c r="AO167" s="194"/>
      <c r="AP167" s="194"/>
      <c r="AQ167" s="194"/>
      <c r="AR167" s="194"/>
      <c r="AS167" s="194"/>
      <c r="AT167" s="194"/>
      <c r="AU167" s="194"/>
      <c r="AV167" s="194"/>
      <c r="AW167" s="194"/>
      <c r="AX167" s="194"/>
      <c r="AY167" s="194"/>
      <c r="AZ167" s="194"/>
      <c r="BA167" s="194"/>
      <c r="BB167" s="194"/>
      <c r="BC167" s="194"/>
      <c r="BD167" s="194"/>
      <c r="BE167" s="194"/>
      <c r="BF167" s="194"/>
      <c r="BG167" s="194"/>
      <c r="BH167" s="194"/>
      <c r="BI167" s="194"/>
      <c r="BJ167" s="194"/>
      <c r="BK167" s="194"/>
      <c r="BL167" s="194"/>
      <c r="BM167" s="194"/>
      <c r="BN167" s="194"/>
      <c r="BO167" s="194"/>
      <c r="BP167" s="194"/>
      <c r="BQ167" s="194"/>
      <c r="BR167" s="194"/>
      <c r="BS167" s="194"/>
      <c r="BT167" s="194"/>
      <c r="BU167" s="194"/>
    </row>
    <row r="168" spans="1:125" s="196" customFormat="1" ht="37.5" customHeight="1" thickBot="1">
      <c r="A168" s="231" t="s">
        <v>302</v>
      </c>
      <c r="B168" s="241">
        <f>165954000-328-460419</f>
        <v>165493253</v>
      </c>
      <c r="C168" s="230"/>
      <c r="D168" s="230"/>
      <c r="E168" s="230"/>
      <c r="F168" s="517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  <c r="AA168" s="194"/>
      <c r="AB168" s="194"/>
      <c r="AC168" s="194"/>
      <c r="AD168" s="194"/>
      <c r="AE168" s="194"/>
      <c r="AF168" s="194"/>
      <c r="AG168" s="194"/>
      <c r="AH168" s="194"/>
      <c r="AI168" s="194"/>
      <c r="AJ168" s="194"/>
      <c r="AK168" s="194"/>
      <c r="AL168" s="194"/>
      <c r="AM168" s="194"/>
      <c r="AN168" s="194"/>
      <c r="AO168" s="194"/>
      <c r="AP168" s="194"/>
      <c r="AQ168" s="194"/>
      <c r="AR168" s="194"/>
      <c r="AS168" s="194"/>
      <c r="AT168" s="194"/>
      <c r="AU168" s="194"/>
      <c r="AV168" s="194"/>
      <c r="AW168" s="194"/>
      <c r="AX168" s="194"/>
      <c r="AY168" s="194"/>
      <c r="AZ168" s="194"/>
      <c r="BA168" s="194"/>
      <c r="BB168" s="194"/>
      <c r="BC168" s="194"/>
      <c r="BD168" s="194"/>
      <c r="BE168" s="194"/>
      <c r="BF168" s="194"/>
      <c r="BG168" s="194"/>
      <c r="BH168" s="194"/>
      <c r="BI168" s="194"/>
      <c r="BJ168" s="194"/>
      <c r="BK168" s="194"/>
      <c r="BL168" s="194"/>
      <c r="BM168" s="194"/>
      <c r="BN168" s="194"/>
      <c r="BO168" s="194"/>
      <c r="BP168" s="194"/>
      <c r="BQ168" s="194"/>
      <c r="BR168" s="194"/>
      <c r="BS168" s="194"/>
      <c r="BT168" s="194"/>
      <c r="BU168" s="194"/>
    </row>
    <row r="169" spans="1:125" s="210" customFormat="1" ht="37.5" customHeight="1" thickBot="1">
      <c r="A169" s="228" t="s">
        <v>380</v>
      </c>
      <c r="B169" s="241">
        <v>119456054</v>
      </c>
      <c r="C169" s="230"/>
      <c r="D169" s="230"/>
      <c r="E169" s="230"/>
      <c r="F169" s="51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7"/>
      <c r="AT169" s="197"/>
      <c r="AU169" s="197"/>
      <c r="AV169" s="197"/>
      <c r="AW169" s="197"/>
      <c r="AX169" s="197"/>
      <c r="AY169" s="197"/>
      <c r="AZ169" s="197"/>
      <c r="BA169" s="197"/>
      <c r="BB169" s="197"/>
      <c r="BC169" s="197"/>
      <c r="BD169" s="197"/>
      <c r="BE169" s="197"/>
      <c r="BF169" s="197"/>
      <c r="BG169" s="197"/>
      <c r="BH169" s="197"/>
      <c r="BI169" s="197"/>
      <c r="BJ169" s="197"/>
      <c r="BK169" s="197"/>
      <c r="BL169" s="197"/>
      <c r="BM169" s="197"/>
      <c r="BN169" s="197"/>
      <c r="BO169" s="197"/>
      <c r="BP169" s="197"/>
      <c r="BQ169" s="197"/>
      <c r="BR169" s="197"/>
      <c r="BS169" s="197"/>
      <c r="BT169" s="197"/>
      <c r="BU169" s="197"/>
    </row>
    <row r="170" spans="1:125" s="210" customFormat="1" ht="64.5" customHeight="1" thickBot="1">
      <c r="A170" s="228" t="s">
        <v>381</v>
      </c>
      <c r="B170" s="241">
        <v>28337952</v>
      </c>
      <c r="C170" s="230"/>
      <c r="D170" s="230"/>
      <c r="E170" s="230"/>
      <c r="F170" s="51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7"/>
      <c r="AT170" s="197"/>
      <c r="AU170" s="197"/>
      <c r="AV170" s="197"/>
      <c r="AW170" s="197"/>
      <c r="AX170" s="197"/>
      <c r="AY170" s="197"/>
      <c r="AZ170" s="197"/>
      <c r="BA170" s="197"/>
      <c r="BB170" s="197"/>
      <c r="BC170" s="197"/>
      <c r="BD170" s="197"/>
      <c r="BE170" s="197"/>
      <c r="BF170" s="197"/>
      <c r="BG170" s="197"/>
      <c r="BH170" s="197"/>
      <c r="BI170" s="197"/>
      <c r="BJ170" s="197"/>
      <c r="BK170" s="197"/>
      <c r="BL170" s="197"/>
      <c r="BM170" s="197"/>
      <c r="BN170" s="197"/>
      <c r="BO170" s="197"/>
      <c r="BP170" s="197"/>
      <c r="BQ170" s="197"/>
      <c r="BR170" s="197"/>
      <c r="BS170" s="197"/>
      <c r="BT170" s="197"/>
      <c r="BU170" s="197"/>
    </row>
    <row r="171" spans="1:125" s="210" customFormat="1" ht="37.5" customHeight="1" thickBot="1">
      <c r="A171" s="392" t="s">
        <v>360</v>
      </c>
      <c r="B171" s="245">
        <v>468035127</v>
      </c>
      <c r="C171" s="391"/>
      <c r="D171" s="391"/>
      <c r="E171" s="391"/>
      <c r="F171" s="523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7"/>
      <c r="AT171" s="197"/>
      <c r="AU171" s="197"/>
      <c r="AV171" s="197"/>
      <c r="AW171" s="197"/>
      <c r="AX171" s="197"/>
      <c r="AY171" s="197"/>
      <c r="AZ171" s="197"/>
      <c r="BA171" s="197"/>
      <c r="BB171" s="197"/>
      <c r="BC171" s="197"/>
      <c r="BD171" s="197"/>
      <c r="BE171" s="197"/>
      <c r="BF171" s="197"/>
      <c r="BG171" s="197"/>
      <c r="BH171" s="197"/>
      <c r="BI171" s="197"/>
      <c r="BJ171" s="197"/>
      <c r="BK171" s="197"/>
      <c r="BL171" s="197"/>
      <c r="BM171" s="197"/>
      <c r="BN171" s="197"/>
      <c r="BO171" s="197"/>
      <c r="BP171" s="197"/>
      <c r="BQ171" s="197"/>
      <c r="BR171" s="197"/>
      <c r="BS171" s="197"/>
      <c r="BT171" s="197"/>
      <c r="BU171" s="197"/>
    </row>
    <row r="172" spans="1:125" s="203" customFormat="1" ht="31.5" customHeight="1" thickBot="1">
      <c r="A172" s="322" t="s">
        <v>322</v>
      </c>
      <c r="B172" s="326"/>
      <c r="C172" s="325">
        <f>SUM(C134:C171)</f>
        <v>998451000</v>
      </c>
      <c r="D172" s="325">
        <f>SUM(D134:D171)</f>
        <v>1719947441</v>
      </c>
      <c r="E172" s="325">
        <f>SUM(E134:E171)</f>
        <v>504200121</v>
      </c>
      <c r="F172" s="518">
        <f>SUM(E172/D172)</f>
        <v>0.2931485631368197</v>
      </c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2"/>
    </row>
    <row r="173" spans="1:125" s="218" customFormat="1" ht="66.75" customHeight="1" thickBot="1">
      <c r="A173" s="293" t="s">
        <v>244</v>
      </c>
      <c r="B173" s="320"/>
      <c r="C173" s="321" t="s">
        <v>311</v>
      </c>
      <c r="D173" s="390" t="s">
        <v>352</v>
      </c>
      <c r="E173" s="390" t="s">
        <v>352</v>
      </c>
      <c r="F173" s="521" t="s">
        <v>352</v>
      </c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6"/>
      <c r="AO173" s="217"/>
    </row>
    <row r="174" spans="1:125" s="203" customFormat="1" ht="31.5" customHeight="1" thickBot="1">
      <c r="A174" s="224"/>
      <c r="B174" s="226"/>
      <c r="C174" s="235"/>
      <c r="D174" s="388"/>
      <c r="E174" s="388"/>
      <c r="F174" s="519"/>
      <c r="G174" s="201"/>
      <c r="H174" s="201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2"/>
    </row>
    <row r="175" spans="1:125" s="218" customFormat="1" ht="33" customHeight="1" thickBot="1">
      <c r="A175" s="660" t="s">
        <v>323</v>
      </c>
      <c r="B175" s="661"/>
      <c r="C175" s="661"/>
      <c r="D175" s="661"/>
      <c r="E175" s="661"/>
      <c r="F175" s="662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16"/>
      <c r="AO175" s="217"/>
    </row>
    <row r="176" spans="1:125" s="199" customFormat="1" ht="30" customHeight="1" thickBot="1">
      <c r="A176" s="228" t="s">
        <v>308</v>
      </c>
      <c r="B176" s="238"/>
      <c r="C176" s="230">
        <v>3000000</v>
      </c>
      <c r="D176" s="230">
        <v>3000000</v>
      </c>
      <c r="E176" s="230">
        <v>0</v>
      </c>
      <c r="F176" s="517">
        <v>0</v>
      </c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209"/>
      <c r="AN176" s="210"/>
      <c r="AO176" s="210"/>
      <c r="AP176" s="250"/>
      <c r="AQ176" s="197"/>
      <c r="AR176" s="197"/>
      <c r="AS176" s="197"/>
      <c r="AT176" s="197"/>
      <c r="AU176" s="197"/>
      <c r="AV176" s="197"/>
      <c r="AW176" s="197"/>
      <c r="AX176" s="197"/>
      <c r="AY176" s="197"/>
      <c r="AZ176" s="197"/>
      <c r="BA176" s="197"/>
      <c r="BB176" s="197"/>
      <c r="BC176" s="197"/>
      <c r="BD176" s="197"/>
      <c r="BE176" s="197"/>
      <c r="BF176" s="197"/>
      <c r="BG176" s="197"/>
      <c r="BH176" s="197"/>
      <c r="BI176" s="197"/>
      <c r="BJ176" s="197"/>
      <c r="BK176" s="197"/>
      <c r="BL176" s="197"/>
      <c r="BM176" s="197"/>
      <c r="BN176" s="197"/>
      <c r="BO176" s="197"/>
      <c r="BP176" s="197"/>
      <c r="BQ176" s="197"/>
      <c r="BR176" s="197"/>
      <c r="BS176" s="197"/>
      <c r="BT176" s="197"/>
      <c r="BU176" s="197"/>
      <c r="BV176" s="197"/>
      <c r="BW176" s="197"/>
      <c r="BX176" s="197"/>
      <c r="BY176" s="197"/>
      <c r="BZ176" s="197"/>
      <c r="CA176" s="197"/>
      <c r="CB176" s="197"/>
      <c r="CC176" s="197"/>
      <c r="CD176" s="197"/>
      <c r="CE176" s="197"/>
      <c r="CF176" s="197"/>
      <c r="CG176" s="197"/>
      <c r="CH176" s="197"/>
      <c r="CI176" s="197"/>
      <c r="CJ176" s="197"/>
      <c r="CK176" s="197"/>
      <c r="CL176" s="197"/>
      <c r="CM176" s="197"/>
      <c r="CN176" s="197"/>
      <c r="CO176" s="197"/>
      <c r="CP176" s="197"/>
      <c r="CQ176" s="197"/>
      <c r="CR176" s="197"/>
      <c r="CS176" s="197"/>
      <c r="CT176" s="197"/>
      <c r="CU176" s="197"/>
      <c r="CV176" s="197"/>
      <c r="CW176" s="197"/>
      <c r="CX176" s="197"/>
      <c r="CY176" s="197"/>
      <c r="CZ176" s="197"/>
      <c r="DA176" s="197"/>
      <c r="DB176" s="197"/>
      <c r="DC176" s="197"/>
      <c r="DD176" s="197"/>
      <c r="DE176" s="197"/>
      <c r="DF176" s="197"/>
      <c r="DG176" s="197"/>
      <c r="DH176" s="197"/>
      <c r="DI176" s="197"/>
      <c r="DJ176" s="197"/>
      <c r="DK176" s="197"/>
      <c r="DL176" s="197"/>
      <c r="DM176" s="197"/>
      <c r="DN176" s="197"/>
      <c r="DO176" s="197"/>
      <c r="DP176" s="197"/>
      <c r="DQ176" s="197"/>
      <c r="DR176" s="197"/>
      <c r="DS176" s="197"/>
      <c r="DT176" s="197"/>
      <c r="DU176" s="197"/>
    </row>
    <row r="177" spans="1:125" s="247" customFormat="1" ht="28.5" customHeight="1">
      <c r="A177" s="228" t="s">
        <v>122</v>
      </c>
      <c r="B177" s="248"/>
      <c r="C177" s="230">
        <v>16096000</v>
      </c>
      <c r="D177" s="230">
        <v>0</v>
      </c>
      <c r="E177" s="230">
        <f>SUM(B178:B182)</f>
        <v>813560</v>
      </c>
      <c r="F177" s="517">
        <v>0</v>
      </c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311"/>
      <c r="AN177" s="312"/>
      <c r="AO177" s="312"/>
      <c r="AP177" s="313"/>
      <c r="AQ177" s="194"/>
      <c r="AR177" s="194"/>
      <c r="AS177" s="194"/>
      <c r="AT177" s="194"/>
      <c r="AU177" s="194"/>
      <c r="AV177" s="194"/>
      <c r="AW177" s="194"/>
      <c r="AX177" s="246"/>
      <c r="AY177" s="246"/>
      <c r="AZ177" s="246"/>
      <c r="BA177" s="246"/>
      <c r="BB177" s="246"/>
      <c r="BC177" s="246"/>
      <c r="BD177" s="246"/>
      <c r="BE177" s="246"/>
      <c r="BF177" s="246"/>
      <c r="BG177" s="246"/>
      <c r="BH177" s="246"/>
      <c r="BI177" s="246"/>
      <c r="BJ177" s="246"/>
      <c r="BK177" s="246"/>
      <c r="BL177" s="246"/>
      <c r="BM177" s="246"/>
      <c r="BN177" s="246"/>
      <c r="BO177" s="246"/>
      <c r="BP177" s="246"/>
      <c r="BQ177" s="246"/>
      <c r="BR177" s="246"/>
      <c r="BS177" s="246"/>
      <c r="BT177" s="246"/>
      <c r="BU177" s="246"/>
      <c r="BV177" s="246"/>
      <c r="BW177" s="246"/>
      <c r="BX177" s="246"/>
      <c r="BY177" s="246"/>
      <c r="BZ177" s="246"/>
      <c r="CA177" s="246"/>
      <c r="CB177" s="246"/>
      <c r="CC177" s="246"/>
      <c r="CD177" s="246"/>
      <c r="CE177" s="246"/>
      <c r="CF177" s="246"/>
      <c r="CG177" s="246"/>
      <c r="CH177" s="246"/>
      <c r="CI177" s="246"/>
      <c r="CJ177" s="246"/>
      <c r="CK177" s="246"/>
      <c r="CL177" s="246"/>
      <c r="CM177" s="246"/>
      <c r="CN177" s="246"/>
      <c r="CO177" s="246"/>
      <c r="CP177" s="246"/>
      <c r="CQ177" s="246"/>
      <c r="CR177" s="246"/>
      <c r="CS177" s="246"/>
      <c r="CT177" s="246"/>
      <c r="CU177" s="246"/>
      <c r="CV177" s="246"/>
      <c r="CW177" s="246"/>
      <c r="CX177" s="246"/>
      <c r="CY177" s="246"/>
      <c r="CZ177" s="246"/>
      <c r="DA177" s="246"/>
      <c r="DB177" s="246"/>
      <c r="DC177" s="246"/>
      <c r="DD177" s="246"/>
      <c r="DE177" s="246"/>
      <c r="DF177" s="246"/>
      <c r="DG177" s="246"/>
      <c r="DH177" s="246"/>
      <c r="DI177" s="246"/>
      <c r="DJ177" s="246"/>
      <c r="DK177" s="246"/>
      <c r="DL177" s="246"/>
      <c r="DM177" s="246"/>
      <c r="DN177" s="246"/>
      <c r="DO177" s="246"/>
      <c r="DP177" s="246"/>
      <c r="DQ177" s="246"/>
      <c r="DR177" s="246"/>
      <c r="DS177" s="246"/>
      <c r="DT177" s="246"/>
      <c r="DU177" s="246"/>
    </row>
    <row r="178" spans="1:125" s="247" customFormat="1" ht="34.5" customHeight="1">
      <c r="A178" s="231" t="s">
        <v>296</v>
      </c>
      <c r="B178" s="241">
        <f>7366000-7366000</f>
        <v>0</v>
      </c>
      <c r="C178" s="233"/>
      <c r="D178" s="233"/>
      <c r="E178" s="233"/>
      <c r="F178" s="522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311"/>
      <c r="AN178" s="312"/>
      <c r="AO178" s="312"/>
      <c r="AP178" s="313"/>
      <c r="AQ178" s="194"/>
      <c r="AR178" s="194"/>
      <c r="AS178" s="194"/>
      <c r="AT178" s="194"/>
      <c r="AU178" s="194"/>
      <c r="AV178" s="194"/>
      <c r="AW178" s="194"/>
      <c r="AX178" s="246"/>
      <c r="AY178" s="246"/>
      <c r="AZ178" s="246"/>
      <c r="BA178" s="246"/>
      <c r="BB178" s="246"/>
      <c r="BC178" s="246"/>
      <c r="BD178" s="246"/>
      <c r="BE178" s="246"/>
      <c r="BF178" s="246"/>
      <c r="BG178" s="246"/>
      <c r="BH178" s="246"/>
      <c r="BI178" s="246"/>
      <c r="BJ178" s="246"/>
      <c r="BK178" s="246"/>
      <c r="BL178" s="246"/>
      <c r="BM178" s="246"/>
      <c r="BN178" s="246"/>
      <c r="BO178" s="246"/>
      <c r="BP178" s="246"/>
      <c r="BQ178" s="246"/>
      <c r="BR178" s="246"/>
      <c r="BS178" s="246"/>
      <c r="BT178" s="246"/>
      <c r="BU178" s="246"/>
      <c r="BV178" s="246"/>
      <c r="BW178" s="246"/>
      <c r="BX178" s="246"/>
      <c r="BY178" s="246"/>
      <c r="BZ178" s="246"/>
      <c r="CA178" s="246"/>
      <c r="CB178" s="246"/>
      <c r="CC178" s="246"/>
      <c r="CD178" s="246"/>
      <c r="CE178" s="246"/>
      <c r="CF178" s="246"/>
      <c r="CG178" s="246"/>
      <c r="CH178" s="246"/>
      <c r="CI178" s="246"/>
      <c r="CJ178" s="246"/>
      <c r="CK178" s="246"/>
      <c r="CL178" s="246"/>
      <c r="CM178" s="246"/>
      <c r="CN178" s="246"/>
      <c r="CO178" s="246"/>
      <c r="CP178" s="246"/>
      <c r="CQ178" s="246"/>
      <c r="CR178" s="246"/>
      <c r="CS178" s="246"/>
      <c r="CT178" s="246"/>
      <c r="CU178" s="246"/>
      <c r="CV178" s="246"/>
      <c r="CW178" s="246"/>
      <c r="CX178" s="246"/>
      <c r="CY178" s="246"/>
      <c r="CZ178" s="246"/>
      <c r="DA178" s="246"/>
      <c r="DB178" s="246"/>
      <c r="DC178" s="246"/>
      <c r="DD178" s="246"/>
      <c r="DE178" s="246"/>
      <c r="DF178" s="246"/>
      <c r="DG178" s="246"/>
      <c r="DH178" s="246"/>
      <c r="DI178" s="246"/>
      <c r="DJ178" s="246"/>
      <c r="DK178" s="246"/>
      <c r="DL178" s="246"/>
      <c r="DM178" s="246"/>
      <c r="DN178" s="246"/>
      <c r="DO178" s="246"/>
      <c r="DP178" s="246"/>
      <c r="DQ178" s="246"/>
      <c r="DR178" s="246"/>
      <c r="DS178" s="246"/>
      <c r="DT178" s="246"/>
      <c r="DU178" s="246"/>
    </row>
    <row r="179" spans="1:125" s="247" customFormat="1" ht="34.5" customHeight="1">
      <c r="A179" s="231" t="s">
        <v>297</v>
      </c>
      <c r="B179" s="241">
        <f>2540000-2540000</f>
        <v>0</v>
      </c>
      <c r="C179" s="233"/>
      <c r="D179" s="233"/>
      <c r="E179" s="233"/>
      <c r="F179" s="522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4"/>
      <c r="Y179" s="194"/>
      <c r="Z179" s="194"/>
      <c r="AA179" s="194"/>
      <c r="AB179" s="194"/>
      <c r="AC179" s="194"/>
      <c r="AD179" s="194"/>
      <c r="AE179" s="194"/>
      <c r="AF179" s="194"/>
      <c r="AG179" s="194"/>
      <c r="AH179" s="194"/>
      <c r="AI179" s="194"/>
      <c r="AJ179" s="194"/>
      <c r="AK179" s="194"/>
      <c r="AL179" s="194"/>
      <c r="AM179" s="311"/>
      <c r="AN179" s="312"/>
      <c r="AO179" s="312"/>
      <c r="AP179" s="313"/>
      <c r="AQ179" s="194"/>
      <c r="AR179" s="194"/>
      <c r="AS179" s="194"/>
      <c r="AT179" s="194"/>
      <c r="AU179" s="194"/>
      <c r="AV179" s="194"/>
      <c r="AW179" s="194"/>
      <c r="AX179" s="246"/>
      <c r="AY179" s="246"/>
      <c r="AZ179" s="246"/>
      <c r="BA179" s="246"/>
      <c r="BB179" s="246"/>
      <c r="BC179" s="246"/>
      <c r="BD179" s="246"/>
      <c r="BE179" s="246"/>
      <c r="BF179" s="246"/>
      <c r="BG179" s="246"/>
      <c r="BH179" s="246"/>
      <c r="BI179" s="246"/>
      <c r="BJ179" s="246"/>
      <c r="BK179" s="246"/>
      <c r="BL179" s="246"/>
      <c r="BM179" s="246"/>
      <c r="BN179" s="246"/>
      <c r="BO179" s="246"/>
      <c r="BP179" s="246"/>
      <c r="BQ179" s="246"/>
      <c r="BR179" s="246"/>
      <c r="BS179" s="246"/>
      <c r="BT179" s="246"/>
      <c r="BU179" s="246"/>
      <c r="BV179" s="246"/>
      <c r="BW179" s="246"/>
      <c r="BX179" s="246"/>
      <c r="BY179" s="246"/>
      <c r="BZ179" s="246"/>
      <c r="CA179" s="246"/>
      <c r="CB179" s="246"/>
      <c r="CC179" s="246"/>
      <c r="CD179" s="246"/>
      <c r="CE179" s="246"/>
      <c r="CF179" s="246"/>
      <c r="CG179" s="246"/>
      <c r="CH179" s="246"/>
      <c r="CI179" s="246"/>
      <c r="CJ179" s="246"/>
      <c r="CK179" s="246"/>
      <c r="CL179" s="246"/>
      <c r="CM179" s="246"/>
      <c r="CN179" s="246"/>
      <c r="CO179" s="246"/>
      <c r="CP179" s="246"/>
      <c r="CQ179" s="246"/>
      <c r="CR179" s="246"/>
      <c r="CS179" s="246"/>
      <c r="CT179" s="246"/>
      <c r="CU179" s="246"/>
      <c r="CV179" s="246"/>
      <c r="CW179" s="246"/>
      <c r="CX179" s="246"/>
      <c r="CY179" s="246"/>
      <c r="CZ179" s="246"/>
      <c r="DA179" s="246"/>
      <c r="DB179" s="246"/>
      <c r="DC179" s="246"/>
      <c r="DD179" s="246"/>
      <c r="DE179" s="246"/>
      <c r="DF179" s="246"/>
      <c r="DG179" s="246"/>
      <c r="DH179" s="246"/>
      <c r="DI179" s="246"/>
      <c r="DJ179" s="246"/>
      <c r="DK179" s="246"/>
      <c r="DL179" s="246"/>
      <c r="DM179" s="246"/>
      <c r="DN179" s="246"/>
      <c r="DO179" s="246"/>
      <c r="DP179" s="246"/>
      <c r="DQ179" s="246"/>
      <c r="DR179" s="246"/>
      <c r="DS179" s="246"/>
      <c r="DT179" s="246"/>
      <c r="DU179" s="246"/>
    </row>
    <row r="180" spans="1:125" s="247" customFormat="1" ht="34.5" customHeight="1">
      <c r="A180" s="231" t="s">
        <v>292</v>
      </c>
      <c r="B180" s="241">
        <f>6190000-6190000</f>
        <v>0</v>
      </c>
      <c r="C180" s="233"/>
      <c r="D180" s="233"/>
      <c r="E180" s="233"/>
      <c r="F180" s="522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  <c r="AA180" s="194"/>
      <c r="AB180" s="194"/>
      <c r="AC180" s="194"/>
      <c r="AD180" s="194"/>
      <c r="AE180" s="194"/>
      <c r="AF180" s="194"/>
      <c r="AG180" s="194"/>
      <c r="AH180" s="194"/>
      <c r="AI180" s="194"/>
      <c r="AJ180" s="194"/>
      <c r="AK180" s="194"/>
      <c r="AL180" s="194"/>
      <c r="AM180" s="311"/>
      <c r="AN180" s="312"/>
      <c r="AO180" s="312"/>
      <c r="AP180" s="313"/>
      <c r="AQ180" s="240"/>
      <c r="AR180" s="194"/>
      <c r="AS180" s="194"/>
      <c r="AT180" s="194"/>
      <c r="AU180" s="194"/>
      <c r="AV180" s="194"/>
      <c r="AW180" s="194"/>
      <c r="AX180" s="246"/>
      <c r="AY180" s="246"/>
      <c r="AZ180" s="246"/>
      <c r="BA180" s="246"/>
      <c r="BB180" s="246"/>
      <c r="BC180" s="246"/>
      <c r="BD180" s="246"/>
      <c r="BE180" s="246"/>
      <c r="BF180" s="246"/>
      <c r="BG180" s="246"/>
      <c r="BH180" s="246"/>
      <c r="BI180" s="246"/>
      <c r="BJ180" s="246"/>
      <c r="BK180" s="246"/>
      <c r="BL180" s="246"/>
      <c r="BM180" s="246"/>
      <c r="BN180" s="246"/>
      <c r="BO180" s="246"/>
      <c r="BP180" s="246"/>
      <c r="BQ180" s="246"/>
      <c r="BR180" s="246"/>
      <c r="BS180" s="246"/>
      <c r="BT180" s="246"/>
      <c r="BU180" s="246"/>
      <c r="BV180" s="246"/>
      <c r="BW180" s="246"/>
      <c r="BX180" s="246"/>
      <c r="BY180" s="246"/>
      <c r="BZ180" s="246"/>
      <c r="CA180" s="246"/>
      <c r="CB180" s="246"/>
      <c r="CC180" s="246"/>
      <c r="CD180" s="246"/>
      <c r="CE180" s="246"/>
      <c r="CF180" s="246"/>
      <c r="CG180" s="246"/>
      <c r="CH180" s="246"/>
      <c r="CI180" s="246"/>
      <c r="CJ180" s="246"/>
      <c r="CK180" s="246"/>
      <c r="CL180" s="246"/>
      <c r="CM180" s="246"/>
      <c r="CN180" s="246"/>
      <c r="CO180" s="246"/>
      <c r="CP180" s="246"/>
      <c r="CQ180" s="246"/>
      <c r="CR180" s="246"/>
      <c r="CS180" s="246"/>
      <c r="CT180" s="246"/>
      <c r="CU180" s="246"/>
      <c r="CV180" s="246"/>
      <c r="CW180" s="246"/>
      <c r="CX180" s="246"/>
      <c r="CY180" s="246"/>
      <c r="CZ180" s="246"/>
      <c r="DA180" s="246"/>
      <c r="DB180" s="246"/>
      <c r="DC180" s="246"/>
      <c r="DD180" s="246"/>
      <c r="DE180" s="246"/>
      <c r="DF180" s="246"/>
      <c r="DG180" s="246"/>
      <c r="DH180" s="246"/>
      <c r="DI180" s="246"/>
      <c r="DJ180" s="246"/>
      <c r="DK180" s="246"/>
      <c r="DL180" s="246"/>
      <c r="DM180" s="246"/>
      <c r="DN180" s="246"/>
      <c r="DO180" s="246"/>
      <c r="DP180" s="246"/>
      <c r="DQ180" s="246"/>
      <c r="DR180" s="246"/>
      <c r="DS180" s="246"/>
      <c r="DT180" s="246"/>
      <c r="DU180" s="246"/>
    </row>
    <row r="181" spans="1:125" s="247" customFormat="1" ht="34.5" customHeight="1">
      <c r="A181" s="231" t="s">
        <v>297</v>
      </c>
      <c r="B181" s="241">
        <v>738500</v>
      </c>
      <c r="C181" s="233"/>
      <c r="D181" s="233"/>
      <c r="E181" s="233"/>
      <c r="F181" s="522"/>
      <c r="G181" s="194"/>
      <c r="H181" s="194"/>
      <c r="I181" s="194"/>
      <c r="J181" s="194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  <c r="AA181" s="194"/>
      <c r="AB181" s="194"/>
      <c r="AC181" s="194"/>
      <c r="AD181" s="194"/>
      <c r="AE181" s="194"/>
      <c r="AF181" s="194"/>
      <c r="AG181" s="194"/>
      <c r="AH181" s="194"/>
      <c r="AI181" s="194"/>
      <c r="AJ181" s="194"/>
      <c r="AK181" s="194"/>
      <c r="AL181" s="194"/>
      <c r="AM181" s="311"/>
      <c r="AN181" s="312"/>
      <c r="AO181" s="312"/>
      <c r="AP181" s="313"/>
      <c r="AQ181" s="194"/>
      <c r="AR181" s="194"/>
      <c r="AS181" s="194"/>
      <c r="AT181" s="194"/>
      <c r="AU181" s="194"/>
      <c r="AV181" s="194"/>
      <c r="AW181" s="194"/>
      <c r="AX181" s="246"/>
      <c r="AY181" s="246"/>
      <c r="AZ181" s="246"/>
      <c r="BA181" s="246"/>
      <c r="BB181" s="246"/>
      <c r="BC181" s="246"/>
      <c r="BD181" s="246"/>
      <c r="BE181" s="246"/>
      <c r="BF181" s="246"/>
      <c r="BG181" s="246"/>
      <c r="BH181" s="246"/>
      <c r="BI181" s="246"/>
      <c r="BJ181" s="246"/>
      <c r="BK181" s="246"/>
      <c r="BL181" s="246"/>
      <c r="BM181" s="246"/>
      <c r="BN181" s="246"/>
      <c r="BO181" s="246"/>
      <c r="BP181" s="246"/>
      <c r="BQ181" s="246"/>
      <c r="BR181" s="246"/>
      <c r="BS181" s="246"/>
      <c r="BT181" s="246"/>
      <c r="BU181" s="246"/>
      <c r="BV181" s="246"/>
      <c r="BW181" s="246"/>
      <c r="BX181" s="246"/>
      <c r="BY181" s="246"/>
      <c r="BZ181" s="246"/>
      <c r="CA181" s="246"/>
      <c r="CB181" s="246"/>
      <c r="CC181" s="246"/>
      <c r="CD181" s="246"/>
      <c r="CE181" s="246"/>
      <c r="CF181" s="246"/>
      <c r="CG181" s="246"/>
      <c r="CH181" s="246"/>
      <c r="CI181" s="246"/>
      <c r="CJ181" s="246"/>
      <c r="CK181" s="246"/>
      <c r="CL181" s="246"/>
      <c r="CM181" s="246"/>
      <c r="CN181" s="246"/>
      <c r="CO181" s="246"/>
      <c r="CP181" s="246"/>
      <c r="CQ181" s="246"/>
      <c r="CR181" s="246"/>
      <c r="CS181" s="246"/>
      <c r="CT181" s="246"/>
      <c r="CU181" s="246"/>
      <c r="CV181" s="246"/>
      <c r="CW181" s="246"/>
      <c r="CX181" s="246"/>
      <c r="CY181" s="246"/>
      <c r="CZ181" s="246"/>
      <c r="DA181" s="246"/>
      <c r="DB181" s="246"/>
      <c r="DC181" s="246"/>
      <c r="DD181" s="246"/>
      <c r="DE181" s="246"/>
      <c r="DF181" s="246"/>
      <c r="DG181" s="246"/>
      <c r="DH181" s="246"/>
      <c r="DI181" s="246"/>
      <c r="DJ181" s="246"/>
      <c r="DK181" s="246"/>
      <c r="DL181" s="246"/>
      <c r="DM181" s="246"/>
      <c r="DN181" s="246"/>
      <c r="DO181" s="246"/>
      <c r="DP181" s="246"/>
      <c r="DQ181" s="246"/>
      <c r="DR181" s="246"/>
      <c r="DS181" s="246"/>
      <c r="DT181" s="246"/>
      <c r="DU181" s="246"/>
    </row>
    <row r="182" spans="1:125" s="247" customFormat="1" ht="42" customHeight="1" thickBot="1">
      <c r="A182" s="536" t="s">
        <v>413</v>
      </c>
      <c r="B182" s="241">
        <v>75060</v>
      </c>
      <c r="C182" s="233"/>
      <c r="D182" s="233"/>
      <c r="E182" s="233"/>
      <c r="F182" s="537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  <c r="AA182" s="194"/>
      <c r="AB182" s="194"/>
      <c r="AC182" s="194"/>
      <c r="AD182" s="194"/>
      <c r="AE182" s="194"/>
      <c r="AF182" s="194"/>
      <c r="AG182" s="194"/>
      <c r="AH182" s="194"/>
      <c r="AI182" s="194"/>
      <c r="AJ182" s="194"/>
      <c r="AK182" s="194"/>
      <c r="AL182" s="194"/>
      <c r="AM182" s="194"/>
      <c r="AN182" s="194"/>
      <c r="AO182" s="194"/>
      <c r="AP182" s="194"/>
      <c r="AQ182" s="194"/>
      <c r="AR182" s="194"/>
      <c r="AS182" s="194"/>
      <c r="AT182" s="194"/>
      <c r="AU182" s="194"/>
      <c r="AV182" s="194"/>
      <c r="AW182" s="194"/>
      <c r="AX182" s="194"/>
      <c r="AY182" s="194"/>
      <c r="AZ182" s="194"/>
      <c r="BA182" s="194"/>
      <c r="BB182" s="194"/>
      <c r="BC182" s="194"/>
      <c r="BD182" s="194"/>
      <c r="BE182" s="194"/>
      <c r="BF182" s="194"/>
      <c r="BG182" s="194"/>
      <c r="BH182" s="194"/>
      <c r="BI182" s="194"/>
      <c r="BJ182" s="194"/>
      <c r="BK182" s="194"/>
      <c r="BL182" s="194"/>
      <c r="BM182" s="246"/>
      <c r="BN182" s="246"/>
      <c r="BO182" s="246"/>
      <c r="BP182" s="246"/>
      <c r="BQ182" s="246"/>
      <c r="BR182" s="246"/>
      <c r="BS182" s="246"/>
      <c r="BT182" s="246"/>
      <c r="BU182" s="246"/>
    </row>
    <row r="183" spans="1:125" s="243" customFormat="1" ht="53.25" customHeight="1" thickBot="1">
      <c r="A183" s="663" t="s">
        <v>288</v>
      </c>
      <c r="B183" s="665"/>
      <c r="C183" s="397">
        <v>32942000</v>
      </c>
      <c r="D183" s="397">
        <f>SUM(B184:B185)</f>
        <v>32941999</v>
      </c>
      <c r="E183" s="397">
        <v>3062000</v>
      </c>
      <c r="F183" s="517">
        <f>E183/D183</f>
        <v>9.2951250469044094E-2</v>
      </c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04"/>
      <c r="AI183" s="204"/>
      <c r="AJ183" s="204"/>
      <c r="AK183" s="204"/>
      <c r="AL183" s="204"/>
      <c r="AM183" s="314"/>
      <c r="AN183" s="315"/>
      <c r="AO183" s="315"/>
      <c r="AP183" s="316"/>
      <c r="AQ183" s="204"/>
      <c r="AR183" s="204"/>
      <c r="AS183" s="204"/>
      <c r="AT183" s="204"/>
      <c r="AU183" s="204"/>
      <c r="AV183" s="204"/>
      <c r="AW183" s="204"/>
      <c r="AX183" s="204"/>
      <c r="AY183" s="204"/>
      <c r="AZ183" s="204"/>
      <c r="BA183" s="204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  <c r="BZ183" s="204"/>
      <c r="CA183" s="204"/>
      <c r="CB183" s="204"/>
      <c r="CC183" s="204"/>
      <c r="CD183" s="204"/>
      <c r="CE183" s="204"/>
      <c r="CF183" s="204"/>
      <c r="CG183" s="204"/>
      <c r="CH183" s="204"/>
      <c r="CI183" s="204"/>
      <c r="CJ183" s="204"/>
      <c r="CK183" s="204"/>
      <c r="CL183" s="204"/>
      <c r="CM183" s="204"/>
      <c r="CN183" s="204"/>
      <c r="CO183" s="204"/>
      <c r="CP183" s="204"/>
      <c r="CQ183" s="204"/>
      <c r="CR183" s="204"/>
      <c r="CS183" s="204"/>
      <c r="CT183" s="204"/>
      <c r="CU183" s="204"/>
      <c r="CV183" s="204"/>
      <c r="CW183" s="204"/>
      <c r="CX183" s="204"/>
      <c r="CY183" s="204"/>
      <c r="CZ183" s="204"/>
      <c r="DA183" s="204"/>
      <c r="DB183" s="204"/>
      <c r="DC183" s="204"/>
      <c r="DD183" s="204"/>
      <c r="DE183" s="204"/>
      <c r="DF183" s="204"/>
      <c r="DG183" s="204"/>
      <c r="DH183" s="204"/>
      <c r="DI183" s="204"/>
      <c r="DJ183" s="204"/>
      <c r="DK183" s="204"/>
      <c r="DL183" s="204"/>
      <c r="DM183" s="204"/>
      <c r="DN183" s="204"/>
      <c r="DO183" s="204"/>
      <c r="DP183" s="204"/>
      <c r="DQ183" s="204"/>
      <c r="DR183" s="204"/>
      <c r="DS183" s="204"/>
      <c r="DT183" s="204"/>
      <c r="DU183" s="204"/>
    </row>
    <row r="184" spans="1:125" s="199" customFormat="1" ht="27" customHeight="1" thickBot="1">
      <c r="A184" s="231" t="s">
        <v>247</v>
      </c>
      <c r="B184" s="234">
        <f>28000000-1</f>
        <v>27999999</v>
      </c>
      <c r="C184" s="230"/>
      <c r="D184" s="230"/>
      <c r="E184" s="230"/>
      <c r="F184" s="51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317"/>
      <c r="AN184" s="318"/>
      <c r="AO184" s="318"/>
      <c r="AP184" s="319"/>
      <c r="AQ184" s="197"/>
      <c r="AR184" s="197"/>
      <c r="AS184" s="197"/>
      <c r="AT184" s="197"/>
      <c r="AU184" s="197"/>
      <c r="AV184" s="197"/>
      <c r="AW184" s="197"/>
      <c r="AX184" s="197"/>
      <c r="AY184" s="197"/>
      <c r="AZ184" s="197"/>
      <c r="BA184" s="197"/>
      <c r="BB184" s="197"/>
      <c r="BC184" s="197"/>
      <c r="BD184" s="197"/>
      <c r="BE184" s="197"/>
      <c r="BF184" s="197"/>
      <c r="BG184" s="197"/>
      <c r="BH184" s="197"/>
      <c r="BI184" s="197"/>
      <c r="BJ184" s="197"/>
      <c r="BK184" s="197"/>
      <c r="BL184" s="197"/>
      <c r="BM184" s="197"/>
      <c r="BN184" s="197"/>
      <c r="BO184" s="197"/>
      <c r="BP184" s="197"/>
      <c r="BQ184" s="197"/>
      <c r="BR184" s="197"/>
      <c r="BS184" s="197"/>
      <c r="BT184" s="197"/>
      <c r="BU184" s="197"/>
      <c r="BV184" s="197"/>
      <c r="BW184" s="197"/>
      <c r="BX184" s="197"/>
      <c r="BY184" s="197"/>
      <c r="BZ184" s="197"/>
      <c r="CA184" s="197"/>
      <c r="CB184" s="197"/>
      <c r="CC184" s="197"/>
      <c r="CD184" s="197"/>
      <c r="CE184" s="197"/>
      <c r="CF184" s="197"/>
      <c r="CG184" s="197"/>
      <c r="CH184" s="197"/>
      <c r="CI184" s="197"/>
      <c r="CJ184" s="197"/>
      <c r="CK184" s="197"/>
      <c r="CL184" s="197"/>
      <c r="CM184" s="197"/>
      <c r="CN184" s="197"/>
      <c r="CO184" s="197"/>
      <c r="CP184" s="197"/>
      <c r="CQ184" s="197"/>
      <c r="CR184" s="197"/>
      <c r="CS184" s="197"/>
      <c r="CT184" s="197"/>
      <c r="CU184" s="197"/>
      <c r="CV184" s="197"/>
      <c r="CW184" s="197"/>
      <c r="CX184" s="197"/>
      <c r="CY184" s="197"/>
      <c r="CZ184" s="197"/>
      <c r="DA184" s="197"/>
      <c r="DB184" s="197"/>
      <c r="DC184" s="197"/>
      <c r="DD184" s="197"/>
      <c r="DE184" s="197"/>
      <c r="DF184" s="197"/>
      <c r="DG184" s="197"/>
      <c r="DH184" s="197"/>
      <c r="DI184" s="197"/>
      <c r="DJ184" s="197"/>
      <c r="DK184" s="197"/>
      <c r="DL184" s="197"/>
      <c r="DM184" s="197"/>
      <c r="DN184" s="197"/>
      <c r="DO184" s="197"/>
      <c r="DP184" s="197"/>
      <c r="DQ184" s="197"/>
      <c r="DR184" s="197"/>
      <c r="DS184" s="197"/>
      <c r="DT184" s="197"/>
      <c r="DU184" s="197"/>
    </row>
    <row r="185" spans="1:125" s="199" customFormat="1" ht="27" customHeight="1" thickBot="1">
      <c r="A185" s="231" t="s">
        <v>248</v>
      </c>
      <c r="B185" s="234">
        <f>4942000-4942000+4942000</f>
        <v>4942000</v>
      </c>
      <c r="C185" s="230"/>
      <c r="D185" s="230"/>
      <c r="E185" s="230"/>
      <c r="F185" s="51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317"/>
      <c r="AN185" s="318"/>
      <c r="AO185" s="318"/>
      <c r="AP185" s="319"/>
      <c r="AQ185" s="197"/>
      <c r="AR185" s="197"/>
      <c r="AS185" s="197"/>
      <c r="AT185" s="197"/>
      <c r="AU185" s="197"/>
      <c r="AV185" s="197"/>
      <c r="AW185" s="197"/>
      <c r="AX185" s="197"/>
      <c r="AY185" s="197"/>
      <c r="AZ185" s="197"/>
      <c r="BA185" s="197"/>
      <c r="BB185" s="197"/>
      <c r="BC185" s="197"/>
      <c r="BD185" s="197"/>
      <c r="BE185" s="197"/>
      <c r="BF185" s="197"/>
      <c r="BG185" s="197"/>
      <c r="BH185" s="197"/>
      <c r="BI185" s="197"/>
      <c r="BJ185" s="197"/>
      <c r="BK185" s="197"/>
      <c r="BL185" s="197"/>
      <c r="BM185" s="197"/>
      <c r="BN185" s="197"/>
      <c r="BO185" s="197"/>
      <c r="BP185" s="197"/>
      <c r="BQ185" s="197"/>
      <c r="BR185" s="197"/>
      <c r="BS185" s="197"/>
      <c r="BT185" s="197"/>
      <c r="BU185" s="197"/>
      <c r="BV185" s="197"/>
      <c r="BW185" s="197"/>
      <c r="BX185" s="197"/>
      <c r="BY185" s="197"/>
      <c r="BZ185" s="197"/>
      <c r="CA185" s="197"/>
      <c r="CB185" s="197"/>
      <c r="CC185" s="197"/>
      <c r="CD185" s="197"/>
      <c r="CE185" s="197"/>
      <c r="CF185" s="197"/>
      <c r="CG185" s="197"/>
      <c r="CH185" s="197"/>
      <c r="CI185" s="197"/>
      <c r="CJ185" s="197"/>
      <c r="CK185" s="197"/>
      <c r="CL185" s="197"/>
      <c r="CM185" s="197"/>
      <c r="CN185" s="197"/>
      <c r="CO185" s="197"/>
      <c r="CP185" s="197"/>
      <c r="CQ185" s="197"/>
      <c r="CR185" s="197"/>
      <c r="CS185" s="197"/>
      <c r="CT185" s="197"/>
      <c r="CU185" s="197"/>
      <c r="CV185" s="197"/>
      <c r="CW185" s="197"/>
      <c r="CX185" s="197"/>
      <c r="CY185" s="197"/>
      <c r="CZ185" s="197"/>
      <c r="DA185" s="197"/>
      <c r="DB185" s="197"/>
      <c r="DC185" s="197"/>
      <c r="DD185" s="197"/>
      <c r="DE185" s="197"/>
      <c r="DF185" s="197"/>
      <c r="DG185" s="197"/>
      <c r="DH185" s="197"/>
      <c r="DI185" s="197"/>
      <c r="DJ185" s="197"/>
      <c r="DK185" s="197"/>
      <c r="DL185" s="197"/>
      <c r="DM185" s="197"/>
      <c r="DN185" s="197"/>
      <c r="DO185" s="197"/>
      <c r="DP185" s="197"/>
      <c r="DQ185" s="197"/>
      <c r="DR185" s="197"/>
      <c r="DS185" s="197"/>
      <c r="DT185" s="197"/>
      <c r="DU185" s="197"/>
    </row>
    <row r="186" spans="1:125" s="199" customFormat="1" ht="63.75" customHeight="1" thickBot="1">
      <c r="A186" s="538" t="s">
        <v>309</v>
      </c>
      <c r="B186" s="239"/>
      <c r="C186" s="230">
        <v>27169000</v>
      </c>
      <c r="D186" s="230">
        <f>27169000+4064110</f>
        <v>31233110</v>
      </c>
      <c r="E186" s="230">
        <v>843863</v>
      </c>
      <c r="F186" s="517">
        <f>E186/D186</f>
        <v>2.7018218806900755E-2</v>
      </c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80"/>
      <c r="AN186" s="181"/>
      <c r="AO186" s="181"/>
      <c r="AP186" s="182"/>
      <c r="AQ186" s="197"/>
      <c r="AR186" s="197"/>
      <c r="AS186" s="197"/>
      <c r="AT186" s="197"/>
      <c r="AU186" s="197"/>
      <c r="AV186" s="197"/>
      <c r="AW186" s="197"/>
      <c r="AX186" s="197"/>
      <c r="AY186" s="197"/>
      <c r="AZ186" s="197"/>
      <c r="BA186" s="197"/>
      <c r="BB186" s="197"/>
      <c r="BC186" s="197"/>
      <c r="BD186" s="197"/>
      <c r="BE186" s="197"/>
      <c r="BF186" s="197"/>
      <c r="BG186" s="197"/>
      <c r="BH186" s="197"/>
      <c r="BI186" s="197"/>
      <c r="BJ186" s="197"/>
      <c r="BK186" s="197"/>
      <c r="BL186" s="197"/>
      <c r="BM186" s="197"/>
      <c r="BN186" s="197"/>
      <c r="BO186" s="197"/>
      <c r="BP186" s="197"/>
      <c r="BQ186" s="197"/>
      <c r="BR186" s="197"/>
      <c r="BS186" s="197"/>
      <c r="BT186" s="197"/>
      <c r="BU186" s="197"/>
      <c r="BV186" s="197"/>
      <c r="BW186" s="197"/>
      <c r="BX186" s="197"/>
      <c r="BY186" s="197"/>
      <c r="BZ186" s="197"/>
      <c r="CA186" s="197"/>
      <c r="CB186" s="197"/>
      <c r="CC186" s="197"/>
      <c r="CD186" s="197"/>
      <c r="CE186" s="197"/>
      <c r="CF186" s="197"/>
      <c r="CG186" s="197"/>
      <c r="CH186" s="197"/>
      <c r="CI186" s="197"/>
      <c r="CJ186" s="197"/>
      <c r="CK186" s="197"/>
      <c r="CL186" s="197"/>
      <c r="CM186" s="197"/>
      <c r="CN186" s="197"/>
      <c r="CO186" s="197"/>
      <c r="CP186" s="197"/>
      <c r="CQ186" s="197"/>
      <c r="CR186" s="197"/>
      <c r="CS186" s="197"/>
      <c r="CT186" s="197"/>
      <c r="CU186" s="197"/>
      <c r="CV186" s="197"/>
      <c r="CW186" s="197"/>
      <c r="CX186" s="197"/>
      <c r="CY186" s="197"/>
      <c r="CZ186" s="197"/>
      <c r="DA186" s="197"/>
      <c r="DB186" s="197"/>
      <c r="DC186" s="197"/>
      <c r="DD186" s="197"/>
      <c r="DE186" s="197"/>
      <c r="DF186" s="197"/>
      <c r="DG186" s="197"/>
      <c r="DH186" s="197"/>
      <c r="DI186" s="197"/>
      <c r="DJ186" s="197"/>
      <c r="DK186" s="197"/>
      <c r="DL186" s="197"/>
      <c r="DM186" s="197"/>
      <c r="DN186" s="197"/>
      <c r="DO186" s="197"/>
      <c r="DP186" s="197"/>
      <c r="DQ186" s="197"/>
      <c r="DR186" s="197"/>
      <c r="DS186" s="197"/>
      <c r="DT186" s="197"/>
      <c r="DU186" s="197"/>
    </row>
    <row r="187" spans="1:125" s="208" customFormat="1" ht="23.25" customHeight="1" thickBot="1">
      <c r="A187" s="538" t="s">
        <v>251</v>
      </c>
      <c r="B187" s="238"/>
      <c r="C187" s="230">
        <v>10000000</v>
      </c>
      <c r="D187" s="230">
        <f>SUM(B188)</f>
        <v>20000000</v>
      </c>
      <c r="E187" s="230">
        <v>0</v>
      </c>
      <c r="F187" s="517">
        <v>0</v>
      </c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  <c r="AO187" s="207"/>
    </row>
    <row r="188" spans="1:125" s="208" customFormat="1" ht="23.25" customHeight="1" thickBot="1">
      <c r="A188" s="231" t="s">
        <v>335</v>
      </c>
      <c r="B188" s="241">
        <f>10000000+10000000</f>
        <v>20000000</v>
      </c>
      <c r="C188" s="233"/>
      <c r="D188" s="233"/>
      <c r="E188" s="233"/>
      <c r="F188" s="522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  <c r="AI188" s="206"/>
      <c r="AJ188" s="206"/>
      <c r="AK188" s="206"/>
      <c r="AL188" s="206"/>
      <c r="AM188" s="206"/>
      <c r="AN188" s="206"/>
      <c r="AO188" s="207"/>
    </row>
    <row r="189" spans="1:125" s="196" customFormat="1" ht="29.25" customHeight="1" thickBot="1">
      <c r="A189" s="228" t="s">
        <v>79</v>
      </c>
      <c r="B189" s="241"/>
      <c r="C189" s="230"/>
      <c r="D189" s="230">
        <f>SUM(B190:B190)</f>
        <v>2794000</v>
      </c>
      <c r="E189" s="230">
        <v>1397000</v>
      </c>
      <c r="F189" s="517">
        <f>E189/D189</f>
        <v>0.5</v>
      </c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4"/>
      <c r="AT189" s="194"/>
      <c r="AU189" s="194"/>
      <c r="AV189" s="194"/>
      <c r="AW189" s="194"/>
      <c r="AX189" s="194"/>
      <c r="AY189" s="194"/>
      <c r="AZ189" s="194"/>
      <c r="BA189" s="194"/>
      <c r="BB189" s="194"/>
      <c r="BC189" s="194"/>
      <c r="BD189" s="194"/>
      <c r="BE189" s="194"/>
      <c r="BF189" s="194"/>
      <c r="BG189" s="194"/>
      <c r="BH189" s="194"/>
      <c r="BI189" s="194"/>
      <c r="BJ189" s="194"/>
      <c r="BK189" s="194"/>
      <c r="BL189" s="194"/>
      <c r="BM189" s="194"/>
      <c r="BN189" s="194"/>
      <c r="BO189" s="194"/>
      <c r="BP189" s="194"/>
      <c r="BQ189" s="194"/>
      <c r="BR189" s="194"/>
      <c r="BS189" s="194"/>
      <c r="BT189" s="194"/>
      <c r="BU189" s="194"/>
    </row>
    <row r="190" spans="1:125" s="196" customFormat="1" ht="27.75" customHeight="1" thickBot="1">
      <c r="A190" s="231" t="s">
        <v>386</v>
      </c>
      <c r="B190" s="244">
        <v>2794000</v>
      </c>
      <c r="C190" s="230"/>
      <c r="D190" s="230"/>
      <c r="E190" s="230"/>
      <c r="F190" s="517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4"/>
      <c r="AT190" s="194"/>
      <c r="AU190" s="194"/>
      <c r="AV190" s="194"/>
      <c r="AW190" s="194"/>
      <c r="AX190" s="194"/>
      <c r="AY190" s="194"/>
      <c r="AZ190" s="194"/>
      <c r="BA190" s="194"/>
      <c r="BB190" s="194"/>
      <c r="BC190" s="194"/>
      <c r="BD190" s="194"/>
      <c r="BE190" s="194"/>
      <c r="BF190" s="194"/>
      <c r="BG190" s="194"/>
      <c r="BH190" s="194"/>
      <c r="BI190" s="194"/>
      <c r="BJ190" s="194"/>
      <c r="BK190" s="194"/>
      <c r="BL190" s="194"/>
      <c r="BM190" s="194"/>
      <c r="BN190" s="194"/>
      <c r="BO190" s="194"/>
      <c r="BP190" s="194"/>
      <c r="BQ190" s="194"/>
      <c r="BR190" s="194"/>
      <c r="BS190" s="194"/>
      <c r="BT190" s="194"/>
      <c r="BU190" s="194"/>
    </row>
    <row r="191" spans="1:125" s="199" customFormat="1" ht="55.5" customHeight="1" thickBot="1">
      <c r="A191" s="251" t="s">
        <v>369</v>
      </c>
      <c r="B191" s="393"/>
      <c r="C191" s="230"/>
      <c r="D191" s="230">
        <v>305978125</v>
      </c>
      <c r="E191" s="230"/>
      <c r="F191" s="517">
        <v>0</v>
      </c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7"/>
      <c r="AW191" s="197"/>
      <c r="AX191" s="197"/>
      <c r="AY191" s="197"/>
      <c r="AZ191" s="197"/>
      <c r="BA191" s="197"/>
      <c r="BB191" s="197"/>
      <c r="BC191" s="197"/>
      <c r="BD191" s="197"/>
      <c r="BE191" s="197"/>
      <c r="BF191" s="197"/>
      <c r="BG191" s="197"/>
      <c r="BH191" s="197"/>
      <c r="BI191" s="197"/>
      <c r="BJ191" s="197"/>
      <c r="BK191" s="197"/>
      <c r="BL191" s="197"/>
      <c r="BM191" s="197"/>
      <c r="BN191" s="197"/>
      <c r="BO191" s="197"/>
      <c r="BP191" s="197"/>
      <c r="BQ191" s="197"/>
      <c r="BR191" s="197"/>
      <c r="BS191" s="197"/>
      <c r="BT191" s="197"/>
      <c r="BU191" s="197"/>
    </row>
    <row r="192" spans="1:125" s="199" customFormat="1" ht="38.25" customHeight="1" thickBot="1">
      <c r="A192" s="251" t="s">
        <v>370</v>
      </c>
      <c r="B192" s="393"/>
      <c r="C192" s="230"/>
      <c r="D192" s="230">
        <v>4230000</v>
      </c>
      <c r="E192" s="230">
        <v>0</v>
      </c>
      <c r="F192" s="517">
        <v>0</v>
      </c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197"/>
      <c r="AT192" s="197"/>
      <c r="AU192" s="197"/>
      <c r="AV192" s="197"/>
      <c r="AW192" s="197"/>
      <c r="AX192" s="197"/>
      <c r="AY192" s="197"/>
      <c r="AZ192" s="197"/>
      <c r="BA192" s="197"/>
      <c r="BB192" s="197"/>
      <c r="BC192" s="197"/>
      <c r="BD192" s="197"/>
      <c r="BE192" s="197"/>
      <c r="BF192" s="197"/>
      <c r="BG192" s="197"/>
      <c r="BH192" s="197"/>
      <c r="BI192" s="197"/>
      <c r="BJ192" s="197"/>
      <c r="BK192" s="197"/>
      <c r="BL192" s="197"/>
      <c r="BM192" s="197"/>
      <c r="BN192" s="197"/>
      <c r="BO192" s="197"/>
      <c r="BP192" s="197"/>
      <c r="BQ192" s="197"/>
      <c r="BR192" s="197"/>
      <c r="BS192" s="197"/>
      <c r="BT192" s="197"/>
      <c r="BU192" s="197"/>
    </row>
    <row r="193" spans="1:125" s="199" customFormat="1" ht="38.25" customHeight="1" thickBot="1">
      <c r="A193" s="251" t="s">
        <v>371</v>
      </c>
      <c r="B193" s="393"/>
      <c r="C193" s="230"/>
      <c r="D193" s="230">
        <v>23876000</v>
      </c>
      <c r="E193" s="230">
        <v>0</v>
      </c>
      <c r="F193" s="517">
        <v>0</v>
      </c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197"/>
      <c r="AT193" s="197"/>
      <c r="AU193" s="197"/>
      <c r="AV193" s="197"/>
      <c r="AW193" s="197"/>
      <c r="AX193" s="197"/>
      <c r="AY193" s="197"/>
      <c r="AZ193" s="197"/>
      <c r="BA193" s="197"/>
      <c r="BB193" s="197"/>
      <c r="BC193" s="197"/>
      <c r="BD193" s="197"/>
      <c r="BE193" s="197"/>
      <c r="BF193" s="197"/>
      <c r="BG193" s="197"/>
      <c r="BH193" s="197"/>
      <c r="BI193" s="197"/>
      <c r="BJ193" s="197"/>
      <c r="BK193" s="197"/>
      <c r="BL193" s="197"/>
      <c r="BM193" s="197"/>
      <c r="BN193" s="197"/>
      <c r="BO193" s="197"/>
      <c r="BP193" s="197"/>
      <c r="BQ193" s="197"/>
      <c r="BR193" s="197"/>
      <c r="BS193" s="197"/>
      <c r="BT193" s="197"/>
      <c r="BU193" s="197"/>
    </row>
    <row r="194" spans="1:125" s="199" customFormat="1" ht="52.5" customHeight="1" thickBot="1">
      <c r="A194" s="251" t="s">
        <v>372</v>
      </c>
      <c r="B194" s="393"/>
      <c r="C194" s="230"/>
      <c r="D194" s="230">
        <v>3000000</v>
      </c>
      <c r="E194" s="230">
        <v>2943900</v>
      </c>
      <c r="F194" s="517">
        <f>E194/D194</f>
        <v>0.98129999999999995</v>
      </c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197"/>
      <c r="AT194" s="197"/>
      <c r="AU194" s="197"/>
      <c r="AV194" s="197"/>
      <c r="AW194" s="197"/>
      <c r="AX194" s="197"/>
      <c r="AY194" s="197"/>
      <c r="AZ194" s="197"/>
      <c r="BA194" s="197"/>
      <c r="BB194" s="197"/>
      <c r="BC194" s="197"/>
      <c r="BD194" s="197"/>
      <c r="BE194" s="197"/>
      <c r="BF194" s="197"/>
      <c r="BG194" s="197"/>
      <c r="BH194" s="197"/>
      <c r="BI194" s="197"/>
      <c r="BJ194" s="197"/>
      <c r="BK194" s="197"/>
      <c r="BL194" s="197"/>
      <c r="BM194" s="197"/>
      <c r="BN194" s="197"/>
      <c r="BO194" s="197"/>
      <c r="BP194" s="197"/>
      <c r="BQ194" s="197"/>
      <c r="BR194" s="197"/>
      <c r="BS194" s="197"/>
      <c r="BT194" s="197"/>
      <c r="BU194" s="197"/>
    </row>
    <row r="195" spans="1:125" s="199" customFormat="1" ht="35.25" customHeight="1" thickBot="1">
      <c r="A195" s="228" t="s">
        <v>378</v>
      </c>
      <c r="B195" s="344"/>
      <c r="C195" s="230"/>
      <c r="D195" s="230">
        <v>10000000</v>
      </c>
      <c r="E195" s="230">
        <v>0</v>
      </c>
      <c r="F195" s="517">
        <v>0</v>
      </c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  <c r="AR195" s="197"/>
      <c r="AS195" s="197"/>
      <c r="AT195" s="197"/>
      <c r="AU195" s="197"/>
      <c r="AV195" s="197"/>
      <c r="AW195" s="197"/>
      <c r="AX195" s="197"/>
      <c r="AY195" s="197"/>
      <c r="AZ195" s="197"/>
      <c r="BA195" s="197"/>
      <c r="BB195" s="197"/>
      <c r="BC195" s="197"/>
      <c r="BD195" s="197"/>
      <c r="BE195" s="197"/>
      <c r="BF195" s="197"/>
      <c r="BG195" s="197"/>
      <c r="BH195" s="197"/>
      <c r="BI195" s="197"/>
      <c r="BJ195" s="197"/>
      <c r="BK195" s="197"/>
      <c r="BL195" s="197"/>
      <c r="BM195" s="197"/>
      <c r="BN195" s="197"/>
      <c r="BO195" s="197"/>
      <c r="BP195" s="197"/>
      <c r="BQ195" s="197"/>
      <c r="BR195" s="197"/>
      <c r="BS195" s="197"/>
      <c r="BT195" s="197"/>
      <c r="BU195" s="197"/>
    </row>
    <row r="196" spans="1:125" s="199" customFormat="1" ht="26.25" customHeight="1" thickBot="1">
      <c r="A196" s="228" t="s">
        <v>326</v>
      </c>
      <c r="B196" s="239"/>
      <c r="C196" s="230"/>
      <c r="D196" s="398">
        <v>27400000</v>
      </c>
      <c r="E196" s="398">
        <v>22809200</v>
      </c>
      <c r="F196" s="517">
        <f>E196/D196</f>
        <v>0.83245255474452551</v>
      </c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8"/>
    </row>
    <row r="197" spans="1:125" s="199" customFormat="1" ht="26.25" customHeight="1" thickBot="1">
      <c r="A197" s="231" t="s">
        <v>250</v>
      </c>
      <c r="B197" s="234">
        <v>27400000</v>
      </c>
      <c r="C197" s="230"/>
      <c r="D197" s="492"/>
      <c r="E197" s="492"/>
      <c r="F197" s="526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8"/>
    </row>
    <row r="198" spans="1:125" s="199" customFormat="1" ht="32.25" customHeight="1" thickBot="1">
      <c r="A198" s="663" t="s">
        <v>262</v>
      </c>
      <c r="B198" s="665"/>
      <c r="C198" s="230"/>
      <c r="D198" s="230">
        <v>200000</v>
      </c>
      <c r="E198" s="230">
        <v>200000</v>
      </c>
      <c r="F198" s="517">
        <f>E198/D198</f>
        <v>1</v>
      </c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8"/>
      <c r="AP198" s="164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7"/>
      <c r="BQ198" s="197"/>
      <c r="BR198" s="197"/>
      <c r="BS198" s="197"/>
      <c r="BT198" s="197"/>
      <c r="BU198" s="197"/>
      <c r="BV198" s="197"/>
      <c r="BW198" s="197"/>
      <c r="BX198" s="197"/>
      <c r="BY198" s="197"/>
      <c r="BZ198" s="197"/>
      <c r="CA198" s="197"/>
      <c r="CB198" s="197"/>
      <c r="CC198" s="197"/>
      <c r="CD198" s="197"/>
      <c r="CE198" s="197"/>
      <c r="CF198" s="197"/>
      <c r="CG198" s="197"/>
      <c r="CH198" s="197"/>
      <c r="CI198" s="197"/>
      <c r="CJ198" s="197"/>
      <c r="CK198" s="197"/>
      <c r="CL198" s="197"/>
      <c r="CM198" s="197"/>
      <c r="CN198" s="197"/>
      <c r="CO198" s="197"/>
      <c r="CP198" s="197"/>
      <c r="CQ198" s="197"/>
      <c r="CR198" s="197"/>
      <c r="CS198" s="197"/>
      <c r="CT198" s="197"/>
      <c r="CU198" s="197"/>
      <c r="CV198" s="197"/>
      <c r="CW198" s="197"/>
      <c r="CX198" s="197"/>
      <c r="CY198" s="197"/>
      <c r="CZ198" s="197"/>
      <c r="DA198" s="197"/>
      <c r="DB198" s="197"/>
      <c r="DC198" s="197"/>
      <c r="DD198" s="197"/>
      <c r="DE198" s="197"/>
      <c r="DF198" s="197"/>
      <c r="DG198" s="197"/>
      <c r="DH198" s="197"/>
      <c r="DI198" s="197"/>
      <c r="DJ198" s="197"/>
      <c r="DK198" s="197"/>
      <c r="DL198" s="197"/>
      <c r="DM198" s="197"/>
      <c r="DN198" s="197"/>
      <c r="DO198" s="197"/>
      <c r="DP198" s="197"/>
      <c r="DQ198" s="197"/>
      <c r="DR198" s="197"/>
      <c r="DS198" s="197"/>
      <c r="DT198" s="197"/>
      <c r="DU198" s="197"/>
    </row>
    <row r="199" spans="1:125" s="199" customFormat="1" ht="56.25" customHeight="1" thickBot="1">
      <c r="A199" s="228" t="s">
        <v>364</v>
      </c>
      <c r="B199" s="238"/>
      <c r="C199" s="230"/>
      <c r="D199" s="230">
        <v>9000000</v>
      </c>
      <c r="E199" s="230">
        <v>0</v>
      </c>
      <c r="F199" s="517">
        <v>0</v>
      </c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  <c r="AO199" s="197"/>
      <c r="AP199" s="197"/>
      <c r="AQ199" s="197"/>
      <c r="AR199" s="197"/>
      <c r="AS199" s="197"/>
      <c r="AT199" s="197"/>
      <c r="AU199" s="197"/>
      <c r="AV199" s="197"/>
      <c r="AW199" s="197"/>
      <c r="AX199" s="197"/>
      <c r="AY199" s="197"/>
      <c r="AZ199" s="197"/>
      <c r="BA199" s="197"/>
      <c r="BB199" s="197"/>
      <c r="BC199" s="197"/>
      <c r="BD199" s="197"/>
      <c r="BE199" s="197"/>
      <c r="BF199" s="197"/>
      <c r="BG199" s="197"/>
      <c r="BH199" s="197"/>
      <c r="BI199" s="197"/>
      <c r="BJ199" s="197"/>
      <c r="BK199" s="197"/>
      <c r="BL199" s="197"/>
      <c r="BM199" s="197"/>
      <c r="BN199" s="197"/>
      <c r="BO199" s="197"/>
      <c r="BP199" s="197"/>
      <c r="BQ199" s="197"/>
      <c r="BR199" s="197"/>
      <c r="BS199" s="197"/>
      <c r="BT199" s="197"/>
      <c r="BU199" s="197"/>
    </row>
    <row r="200" spans="1:125" s="199" customFormat="1" ht="32.25" customHeight="1" thickBot="1">
      <c r="A200" s="538" t="s">
        <v>416</v>
      </c>
      <c r="B200" s="238"/>
      <c r="C200" s="230"/>
      <c r="D200" s="230"/>
      <c r="E200" s="230">
        <v>73710</v>
      </c>
      <c r="F200" s="517">
        <v>0</v>
      </c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  <c r="AR200" s="197"/>
      <c r="AS200" s="197"/>
      <c r="AT200" s="197"/>
      <c r="AU200" s="197"/>
      <c r="AV200" s="197"/>
      <c r="AW200" s="197"/>
      <c r="AX200" s="197"/>
      <c r="AY200" s="197"/>
      <c r="AZ200" s="197"/>
      <c r="BA200" s="197"/>
      <c r="BB200" s="197"/>
      <c r="BC200" s="197"/>
      <c r="BD200" s="197"/>
      <c r="BE200" s="197"/>
      <c r="BF200" s="197"/>
      <c r="BG200" s="197"/>
      <c r="BH200" s="197"/>
      <c r="BI200" s="197"/>
      <c r="BJ200" s="197"/>
      <c r="BK200" s="197"/>
      <c r="BL200" s="197"/>
      <c r="BM200" s="197"/>
      <c r="BN200" s="197"/>
      <c r="BO200" s="197"/>
      <c r="BP200" s="197"/>
      <c r="BQ200" s="197"/>
      <c r="BR200" s="197"/>
      <c r="BS200" s="197"/>
      <c r="BT200" s="197"/>
      <c r="BU200" s="197"/>
    </row>
    <row r="201" spans="1:125" s="199" customFormat="1" ht="42" customHeight="1" thickBot="1">
      <c r="A201" s="535" t="s">
        <v>366</v>
      </c>
      <c r="B201" s="238"/>
      <c r="C201" s="230"/>
      <c r="D201" s="230"/>
      <c r="E201" s="230">
        <v>1932183</v>
      </c>
      <c r="F201" s="517">
        <v>0</v>
      </c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  <c r="AR201" s="197"/>
      <c r="AS201" s="197"/>
      <c r="AT201" s="197"/>
      <c r="AU201" s="197"/>
      <c r="AV201" s="197"/>
      <c r="AW201" s="197"/>
      <c r="AX201" s="197"/>
      <c r="AY201" s="197"/>
      <c r="AZ201" s="197"/>
      <c r="BA201" s="197"/>
      <c r="BB201" s="197"/>
      <c r="BC201" s="197"/>
      <c r="BD201" s="197"/>
      <c r="BE201" s="197"/>
      <c r="BF201" s="197"/>
      <c r="BG201" s="197"/>
      <c r="BH201" s="197"/>
      <c r="BI201" s="197"/>
      <c r="BJ201" s="197"/>
      <c r="BK201" s="197"/>
      <c r="BL201" s="197"/>
      <c r="BM201" s="197"/>
      <c r="BN201" s="197"/>
      <c r="BO201" s="197"/>
      <c r="BP201" s="197"/>
      <c r="BQ201" s="197"/>
      <c r="BR201" s="197"/>
      <c r="BS201" s="197"/>
      <c r="BT201" s="197"/>
      <c r="BU201" s="197"/>
    </row>
    <row r="202" spans="1:125" s="203" customFormat="1" ht="31.5" customHeight="1" thickBot="1">
      <c r="A202" s="322" t="s">
        <v>324</v>
      </c>
      <c r="B202" s="323"/>
      <c r="C202" s="324">
        <f>SUM(C176:C188)</f>
        <v>89207000</v>
      </c>
      <c r="D202" s="324">
        <f>SUM(D176:D201)</f>
        <v>473653234</v>
      </c>
      <c r="E202" s="324">
        <f>SUM(E176:E201)</f>
        <v>34075416</v>
      </c>
      <c r="F202" s="518">
        <f>SUM(E202/D202)</f>
        <v>7.1941693952415828E-2</v>
      </c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2"/>
    </row>
    <row r="203" spans="1:125" s="203" customFormat="1" ht="31.5" customHeight="1" thickBot="1">
      <c r="A203" s="224"/>
      <c r="B203" s="226"/>
      <c r="C203" s="225"/>
      <c r="D203" s="388"/>
      <c r="E203" s="388"/>
      <c r="F203" s="519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2"/>
    </row>
    <row r="204" spans="1:125" s="218" customFormat="1" ht="33" customHeight="1" thickBot="1">
      <c r="A204" s="660" t="s">
        <v>325</v>
      </c>
      <c r="B204" s="661"/>
      <c r="C204" s="661"/>
      <c r="D204" s="661"/>
      <c r="E204" s="661"/>
      <c r="F204" s="662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K204" s="216"/>
      <c r="AL204" s="216"/>
      <c r="AM204" s="216"/>
      <c r="AN204" s="216"/>
      <c r="AO204" s="217"/>
    </row>
    <row r="205" spans="1:125" s="243" customFormat="1" ht="55.5" customHeight="1" thickBot="1">
      <c r="A205" s="666" t="s">
        <v>287</v>
      </c>
      <c r="B205" s="667"/>
      <c r="C205" s="397">
        <v>24406000</v>
      </c>
      <c r="D205" s="397">
        <f>SUM(B206:B207)</f>
        <v>24405663</v>
      </c>
      <c r="E205" s="397"/>
      <c r="F205" s="525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42"/>
      <c r="AP205" s="175"/>
      <c r="AQ205" s="204"/>
      <c r="AR205" s="204"/>
      <c r="AS205" s="204"/>
      <c r="AT205" s="204"/>
      <c r="AU205" s="204"/>
      <c r="AV205" s="204"/>
      <c r="AW205" s="204"/>
      <c r="AX205" s="204"/>
      <c r="AY205" s="204"/>
      <c r="AZ205" s="204"/>
      <c r="BA205" s="204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  <c r="BZ205" s="204"/>
      <c r="CA205" s="204"/>
      <c r="CB205" s="204"/>
      <c r="CC205" s="204"/>
      <c r="CD205" s="204"/>
      <c r="CE205" s="204"/>
      <c r="CF205" s="204"/>
      <c r="CG205" s="204"/>
      <c r="CH205" s="204"/>
      <c r="CI205" s="204"/>
      <c r="CJ205" s="204"/>
      <c r="CK205" s="204"/>
      <c r="CL205" s="204"/>
      <c r="CM205" s="204"/>
      <c r="CN205" s="204"/>
      <c r="CO205" s="204"/>
      <c r="CP205" s="204"/>
      <c r="CQ205" s="204"/>
      <c r="CR205" s="204"/>
      <c r="CS205" s="204"/>
      <c r="CT205" s="204"/>
      <c r="CU205" s="204"/>
      <c r="CV205" s="204"/>
      <c r="CW205" s="204"/>
      <c r="CX205" s="204"/>
      <c r="CY205" s="204"/>
      <c r="CZ205" s="204"/>
      <c r="DA205" s="204"/>
      <c r="DB205" s="204"/>
      <c r="DC205" s="204"/>
      <c r="DD205" s="204"/>
      <c r="DE205" s="204"/>
      <c r="DF205" s="204"/>
      <c r="DG205" s="204"/>
      <c r="DH205" s="204"/>
      <c r="DI205" s="204"/>
      <c r="DJ205" s="204"/>
      <c r="DK205" s="204"/>
      <c r="DL205" s="204"/>
      <c r="DM205" s="204"/>
      <c r="DN205" s="204"/>
      <c r="DO205" s="204"/>
      <c r="DP205" s="204"/>
      <c r="DQ205" s="204"/>
      <c r="DR205" s="204"/>
      <c r="DS205" s="204"/>
      <c r="DT205" s="204"/>
      <c r="DU205" s="204"/>
    </row>
    <row r="206" spans="1:125" s="199" customFormat="1" ht="24" customHeight="1" thickBot="1">
      <c r="A206" s="231" t="s">
        <v>247</v>
      </c>
      <c r="B206" s="234">
        <f>20606000-337</f>
        <v>20605663</v>
      </c>
      <c r="C206" s="230"/>
      <c r="D206" s="230"/>
      <c r="E206" s="230"/>
      <c r="F206" s="51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8"/>
      <c r="AP206" s="164"/>
      <c r="AQ206" s="197"/>
      <c r="AR206" s="197"/>
      <c r="AS206" s="197"/>
      <c r="AT206" s="197"/>
      <c r="AU206" s="197"/>
      <c r="AV206" s="197"/>
      <c r="AW206" s="197"/>
      <c r="AX206" s="197"/>
      <c r="AY206" s="197"/>
      <c r="AZ206" s="197"/>
      <c r="BA206" s="197"/>
      <c r="BB206" s="197"/>
      <c r="BC206" s="197"/>
      <c r="BD206" s="197"/>
      <c r="BE206" s="197"/>
      <c r="BF206" s="197"/>
      <c r="BG206" s="197"/>
      <c r="BH206" s="197"/>
      <c r="BI206" s="197"/>
      <c r="BJ206" s="197"/>
      <c r="BK206" s="197"/>
      <c r="BL206" s="197"/>
      <c r="BM206" s="197"/>
      <c r="BN206" s="197"/>
      <c r="BO206" s="197"/>
      <c r="BP206" s="197"/>
      <c r="BQ206" s="197"/>
      <c r="BR206" s="197"/>
      <c r="BS206" s="197"/>
      <c r="BT206" s="197"/>
      <c r="BU206" s="197"/>
      <c r="BV206" s="197"/>
      <c r="BW206" s="197"/>
      <c r="BX206" s="197"/>
      <c r="BY206" s="197"/>
      <c r="BZ206" s="197"/>
      <c r="CA206" s="197"/>
      <c r="CB206" s="197"/>
      <c r="CC206" s="197"/>
      <c r="CD206" s="197"/>
      <c r="CE206" s="197"/>
      <c r="CF206" s="197"/>
      <c r="CG206" s="197"/>
      <c r="CH206" s="197"/>
      <c r="CI206" s="197"/>
      <c r="CJ206" s="197"/>
      <c r="CK206" s="197"/>
      <c r="CL206" s="197"/>
      <c r="CM206" s="197"/>
      <c r="CN206" s="197"/>
      <c r="CO206" s="197"/>
      <c r="CP206" s="197"/>
      <c r="CQ206" s="197"/>
      <c r="CR206" s="197"/>
      <c r="CS206" s="197"/>
      <c r="CT206" s="197"/>
      <c r="CU206" s="197"/>
      <c r="CV206" s="197"/>
      <c r="CW206" s="197"/>
      <c r="CX206" s="197"/>
      <c r="CY206" s="197"/>
      <c r="CZ206" s="197"/>
      <c r="DA206" s="197"/>
      <c r="DB206" s="197"/>
      <c r="DC206" s="197"/>
      <c r="DD206" s="197"/>
      <c r="DE206" s="197"/>
      <c r="DF206" s="197"/>
      <c r="DG206" s="197"/>
      <c r="DH206" s="197"/>
      <c r="DI206" s="197"/>
      <c r="DJ206" s="197"/>
      <c r="DK206" s="197"/>
      <c r="DL206" s="197"/>
      <c r="DM206" s="197"/>
      <c r="DN206" s="197"/>
      <c r="DO206" s="197"/>
      <c r="DP206" s="197"/>
      <c r="DQ206" s="197"/>
      <c r="DR206" s="197"/>
      <c r="DS206" s="197"/>
      <c r="DT206" s="197"/>
      <c r="DU206" s="197"/>
    </row>
    <row r="207" spans="1:125" s="199" customFormat="1" ht="24" customHeight="1" thickBot="1">
      <c r="A207" s="231" t="s">
        <v>248</v>
      </c>
      <c r="B207" s="234">
        <f>3800000-3800000+3800000</f>
        <v>3800000</v>
      </c>
      <c r="C207" s="230"/>
      <c r="D207" s="230"/>
      <c r="E207" s="230"/>
      <c r="F207" s="51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8"/>
      <c r="AP207" s="164"/>
      <c r="AQ207" s="197"/>
      <c r="AR207" s="197"/>
      <c r="AS207" s="197"/>
      <c r="AT207" s="197"/>
      <c r="AU207" s="197"/>
      <c r="AV207" s="197"/>
      <c r="AW207" s="197"/>
      <c r="AX207" s="197"/>
      <c r="AY207" s="197"/>
      <c r="AZ207" s="197"/>
      <c r="BA207" s="197"/>
      <c r="BB207" s="197"/>
      <c r="BC207" s="197"/>
      <c r="BD207" s="197"/>
      <c r="BE207" s="197"/>
      <c r="BF207" s="197"/>
      <c r="BG207" s="197"/>
      <c r="BH207" s="197"/>
      <c r="BI207" s="197"/>
      <c r="BJ207" s="197"/>
      <c r="BK207" s="197"/>
      <c r="BL207" s="197"/>
      <c r="BM207" s="197"/>
      <c r="BN207" s="197"/>
      <c r="BO207" s="197"/>
      <c r="BP207" s="197"/>
      <c r="BQ207" s="197"/>
      <c r="BR207" s="197"/>
      <c r="BS207" s="197"/>
      <c r="BT207" s="197"/>
      <c r="BU207" s="197"/>
      <c r="BV207" s="197"/>
      <c r="BW207" s="197"/>
      <c r="BX207" s="197"/>
      <c r="BY207" s="197"/>
      <c r="BZ207" s="197"/>
      <c r="CA207" s="197"/>
      <c r="CB207" s="197"/>
      <c r="CC207" s="197"/>
      <c r="CD207" s="197"/>
      <c r="CE207" s="197"/>
      <c r="CF207" s="197"/>
      <c r="CG207" s="197"/>
      <c r="CH207" s="197"/>
      <c r="CI207" s="197"/>
      <c r="CJ207" s="197"/>
      <c r="CK207" s="197"/>
      <c r="CL207" s="197"/>
      <c r="CM207" s="197"/>
      <c r="CN207" s="197"/>
      <c r="CO207" s="197"/>
      <c r="CP207" s="197"/>
      <c r="CQ207" s="197"/>
      <c r="CR207" s="197"/>
      <c r="CS207" s="197"/>
      <c r="CT207" s="197"/>
      <c r="CU207" s="197"/>
      <c r="CV207" s="197"/>
      <c r="CW207" s="197"/>
      <c r="CX207" s="197"/>
      <c r="CY207" s="197"/>
      <c r="CZ207" s="197"/>
      <c r="DA207" s="197"/>
      <c r="DB207" s="197"/>
      <c r="DC207" s="197"/>
      <c r="DD207" s="197"/>
      <c r="DE207" s="197"/>
      <c r="DF207" s="197"/>
      <c r="DG207" s="197"/>
      <c r="DH207" s="197"/>
      <c r="DI207" s="197"/>
      <c r="DJ207" s="197"/>
      <c r="DK207" s="197"/>
      <c r="DL207" s="197"/>
      <c r="DM207" s="197"/>
      <c r="DN207" s="197"/>
      <c r="DO207" s="197"/>
      <c r="DP207" s="197"/>
      <c r="DQ207" s="197"/>
      <c r="DR207" s="197"/>
      <c r="DS207" s="197"/>
      <c r="DT207" s="197"/>
      <c r="DU207" s="197"/>
    </row>
    <row r="208" spans="1:125" s="199" customFormat="1" ht="72.75" customHeight="1" thickBot="1">
      <c r="A208" s="663" t="s">
        <v>286</v>
      </c>
      <c r="B208" s="665"/>
      <c r="C208" s="230">
        <v>2000000</v>
      </c>
      <c r="D208" s="230">
        <f>2000000+6096000</f>
        <v>8096000</v>
      </c>
      <c r="E208" s="230">
        <v>8095996</v>
      </c>
      <c r="F208" s="517">
        <f>E208/D208</f>
        <v>0.99999950592885378</v>
      </c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8"/>
      <c r="AP208" s="164"/>
      <c r="AQ208" s="197"/>
      <c r="AR208" s="197"/>
      <c r="AS208" s="197"/>
      <c r="AT208" s="197"/>
      <c r="AU208" s="197"/>
      <c r="AV208" s="197"/>
      <c r="AW208" s="197"/>
      <c r="AX208" s="197"/>
      <c r="AY208" s="197"/>
      <c r="AZ208" s="197"/>
      <c r="BA208" s="197"/>
      <c r="BB208" s="197"/>
      <c r="BC208" s="197"/>
      <c r="BD208" s="197"/>
      <c r="BE208" s="197"/>
      <c r="BF208" s="197"/>
      <c r="BG208" s="197"/>
      <c r="BH208" s="197"/>
      <c r="BI208" s="197"/>
      <c r="BJ208" s="197"/>
      <c r="BK208" s="197"/>
      <c r="BL208" s="197"/>
      <c r="BM208" s="197"/>
      <c r="BN208" s="197"/>
      <c r="BO208" s="197"/>
      <c r="BP208" s="197"/>
      <c r="BQ208" s="197"/>
      <c r="BR208" s="197"/>
      <c r="BS208" s="197"/>
      <c r="BT208" s="197"/>
      <c r="BU208" s="197"/>
      <c r="BV208" s="197"/>
      <c r="BW208" s="197"/>
      <c r="BX208" s="197"/>
      <c r="BY208" s="197"/>
      <c r="BZ208" s="197"/>
      <c r="CA208" s="197"/>
      <c r="CB208" s="197"/>
      <c r="CC208" s="197"/>
      <c r="CD208" s="197"/>
      <c r="CE208" s="197"/>
      <c r="CF208" s="197"/>
      <c r="CG208" s="197"/>
      <c r="CH208" s="197"/>
      <c r="CI208" s="197"/>
      <c r="CJ208" s="197"/>
      <c r="CK208" s="197"/>
      <c r="CL208" s="197"/>
      <c r="CM208" s="197"/>
      <c r="CN208" s="197"/>
      <c r="CO208" s="197"/>
      <c r="CP208" s="197"/>
      <c r="CQ208" s="197"/>
      <c r="CR208" s="197"/>
      <c r="CS208" s="197"/>
      <c r="CT208" s="197"/>
      <c r="CU208" s="197"/>
      <c r="CV208" s="197"/>
      <c r="CW208" s="197"/>
      <c r="CX208" s="197"/>
      <c r="CY208" s="197"/>
      <c r="CZ208" s="197"/>
      <c r="DA208" s="197"/>
      <c r="DB208" s="197"/>
      <c r="DC208" s="197"/>
      <c r="DD208" s="197"/>
      <c r="DE208" s="197"/>
      <c r="DF208" s="197"/>
      <c r="DG208" s="197"/>
      <c r="DH208" s="197"/>
      <c r="DI208" s="197"/>
      <c r="DJ208" s="197"/>
      <c r="DK208" s="197"/>
      <c r="DL208" s="197"/>
      <c r="DM208" s="197"/>
      <c r="DN208" s="197"/>
      <c r="DO208" s="197"/>
      <c r="DP208" s="197"/>
      <c r="DQ208" s="197"/>
      <c r="DR208" s="197"/>
      <c r="DS208" s="197"/>
      <c r="DT208" s="197"/>
      <c r="DU208" s="197"/>
    </row>
    <row r="209" spans="1:125" s="247" customFormat="1" ht="28.5" customHeight="1">
      <c r="A209" s="228" t="s">
        <v>122</v>
      </c>
      <c r="B209" s="248"/>
      <c r="C209" s="230"/>
      <c r="D209" s="230">
        <f>SUM(B210:B211)</f>
        <v>8730000</v>
      </c>
      <c r="E209" s="230">
        <v>2000000</v>
      </c>
      <c r="F209" s="517">
        <f>E209/D209</f>
        <v>0.22909507445589919</v>
      </c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4"/>
      <c r="AK209" s="194"/>
      <c r="AL209" s="194"/>
      <c r="AM209" s="311"/>
      <c r="AN209" s="312"/>
      <c r="AO209" s="312"/>
      <c r="AP209" s="313"/>
      <c r="AQ209" s="194"/>
      <c r="AR209" s="194"/>
      <c r="AS209" s="194"/>
      <c r="AT209" s="194"/>
      <c r="AU209" s="194"/>
      <c r="AV209" s="194"/>
      <c r="AW209" s="194"/>
      <c r="AX209" s="246"/>
      <c r="AY209" s="246"/>
      <c r="AZ209" s="246"/>
      <c r="BA209" s="246"/>
      <c r="BB209" s="246"/>
      <c r="BC209" s="246"/>
      <c r="BD209" s="246"/>
      <c r="BE209" s="246"/>
      <c r="BF209" s="246"/>
      <c r="BG209" s="246"/>
      <c r="BH209" s="246"/>
      <c r="BI209" s="246"/>
      <c r="BJ209" s="246"/>
      <c r="BK209" s="246"/>
      <c r="BL209" s="246"/>
      <c r="BM209" s="246"/>
      <c r="BN209" s="246"/>
      <c r="BO209" s="246"/>
      <c r="BP209" s="246"/>
      <c r="BQ209" s="246"/>
      <c r="BR209" s="246"/>
      <c r="BS209" s="246"/>
      <c r="BT209" s="246"/>
      <c r="BU209" s="246"/>
      <c r="BV209" s="246"/>
      <c r="BW209" s="246"/>
      <c r="BX209" s="246"/>
      <c r="BY209" s="246"/>
      <c r="BZ209" s="246"/>
      <c r="CA209" s="246"/>
      <c r="CB209" s="246"/>
      <c r="CC209" s="246"/>
      <c r="CD209" s="246"/>
      <c r="CE209" s="246"/>
      <c r="CF209" s="246"/>
      <c r="CG209" s="246"/>
      <c r="CH209" s="246"/>
      <c r="CI209" s="246"/>
      <c r="CJ209" s="246"/>
      <c r="CK209" s="246"/>
      <c r="CL209" s="246"/>
      <c r="CM209" s="246"/>
      <c r="CN209" s="246"/>
      <c r="CO209" s="246"/>
      <c r="CP209" s="246"/>
      <c r="CQ209" s="246"/>
      <c r="CR209" s="246"/>
      <c r="CS209" s="246"/>
      <c r="CT209" s="246"/>
      <c r="CU209" s="246"/>
      <c r="CV209" s="246"/>
      <c r="CW209" s="246"/>
      <c r="CX209" s="246"/>
      <c r="CY209" s="246"/>
      <c r="CZ209" s="246"/>
      <c r="DA209" s="246"/>
      <c r="DB209" s="246"/>
      <c r="DC209" s="246"/>
      <c r="DD209" s="246"/>
      <c r="DE209" s="246"/>
      <c r="DF209" s="246"/>
      <c r="DG209" s="246"/>
      <c r="DH209" s="246"/>
      <c r="DI209" s="246"/>
      <c r="DJ209" s="246"/>
      <c r="DK209" s="246"/>
      <c r="DL209" s="246"/>
      <c r="DM209" s="246"/>
      <c r="DN209" s="246"/>
      <c r="DO209" s="246"/>
      <c r="DP209" s="246"/>
      <c r="DQ209" s="246"/>
      <c r="DR209" s="246"/>
      <c r="DS209" s="246"/>
      <c r="DT209" s="246"/>
      <c r="DU209" s="246"/>
    </row>
    <row r="210" spans="1:125" s="247" customFormat="1" ht="34.5" customHeight="1">
      <c r="A210" s="231" t="s">
        <v>297</v>
      </c>
      <c r="B210" s="241">
        <f>2540000</f>
        <v>2540000</v>
      </c>
      <c r="C210" s="233"/>
      <c r="D210" s="233"/>
      <c r="E210" s="233"/>
      <c r="F210" s="522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4"/>
      <c r="AK210" s="194"/>
      <c r="AL210" s="194"/>
      <c r="AM210" s="311"/>
      <c r="AN210" s="312"/>
      <c r="AO210" s="312"/>
      <c r="AP210" s="313"/>
      <c r="AQ210" s="194"/>
      <c r="AR210" s="194"/>
      <c r="AS210" s="194"/>
      <c r="AT210" s="194"/>
      <c r="AU210" s="194"/>
      <c r="AV210" s="194"/>
      <c r="AW210" s="194"/>
      <c r="AX210" s="246"/>
      <c r="AY210" s="246"/>
      <c r="AZ210" s="246"/>
      <c r="BA210" s="246"/>
      <c r="BB210" s="246"/>
      <c r="BC210" s="246"/>
      <c r="BD210" s="246"/>
      <c r="BE210" s="246"/>
      <c r="BF210" s="246"/>
      <c r="BG210" s="246"/>
      <c r="BH210" s="246"/>
      <c r="BI210" s="246"/>
      <c r="BJ210" s="246"/>
      <c r="BK210" s="246"/>
      <c r="BL210" s="246"/>
      <c r="BM210" s="246"/>
      <c r="BN210" s="246"/>
      <c r="BO210" s="246"/>
      <c r="BP210" s="246"/>
      <c r="BQ210" s="246"/>
      <c r="BR210" s="246"/>
      <c r="BS210" s="246"/>
      <c r="BT210" s="246"/>
      <c r="BU210" s="246"/>
      <c r="BV210" s="246"/>
      <c r="BW210" s="246"/>
      <c r="BX210" s="246"/>
      <c r="BY210" s="246"/>
      <c r="BZ210" s="246"/>
      <c r="CA210" s="246"/>
      <c r="CB210" s="246"/>
      <c r="CC210" s="246"/>
      <c r="CD210" s="246"/>
      <c r="CE210" s="246"/>
      <c r="CF210" s="246"/>
      <c r="CG210" s="246"/>
      <c r="CH210" s="246"/>
      <c r="CI210" s="246"/>
      <c r="CJ210" s="246"/>
      <c r="CK210" s="246"/>
      <c r="CL210" s="246"/>
      <c r="CM210" s="246"/>
      <c r="CN210" s="246"/>
      <c r="CO210" s="246"/>
      <c r="CP210" s="246"/>
      <c r="CQ210" s="246"/>
      <c r="CR210" s="246"/>
      <c r="CS210" s="246"/>
      <c r="CT210" s="246"/>
      <c r="CU210" s="246"/>
      <c r="CV210" s="246"/>
      <c r="CW210" s="246"/>
      <c r="CX210" s="246"/>
      <c r="CY210" s="246"/>
      <c r="CZ210" s="246"/>
      <c r="DA210" s="246"/>
      <c r="DB210" s="246"/>
      <c r="DC210" s="246"/>
      <c r="DD210" s="246"/>
      <c r="DE210" s="246"/>
      <c r="DF210" s="246"/>
      <c r="DG210" s="246"/>
      <c r="DH210" s="246"/>
      <c r="DI210" s="246"/>
      <c r="DJ210" s="246"/>
      <c r="DK210" s="246"/>
      <c r="DL210" s="246"/>
      <c r="DM210" s="246"/>
      <c r="DN210" s="246"/>
      <c r="DO210" s="246"/>
      <c r="DP210" s="246"/>
      <c r="DQ210" s="246"/>
      <c r="DR210" s="246"/>
      <c r="DS210" s="246"/>
      <c r="DT210" s="246"/>
      <c r="DU210" s="246"/>
    </row>
    <row r="211" spans="1:125" s="247" customFormat="1" ht="34.5" customHeight="1" thickBot="1">
      <c r="A211" s="231" t="s">
        <v>292</v>
      </c>
      <c r="B211" s="241">
        <f>6190000</f>
        <v>6190000</v>
      </c>
      <c r="C211" s="233"/>
      <c r="D211" s="233"/>
      <c r="E211" s="233"/>
      <c r="F211" s="522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4"/>
      <c r="AK211" s="194"/>
      <c r="AL211" s="194"/>
      <c r="AM211" s="311"/>
      <c r="AN211" s="312"/>
      <c r="AO211" s="312"/>
      <c r="AP211" s="313"/>
      <c r="AQ211" s="240"/>
      <c r="AR211" s="194"/>
      <c r="AS211" s="194"/>
      <c r="AT211" s="194"/>
      <c r="AU211" s="194"/>
      <c r="AV211" s="194"/>
      <c r="AW211" s="194"/>
      <c r="AX211" s="246"/>
      <c r="AY211" s="246"/>
      <c r="AZ211" s="246"/>
      <c r="BA211" s="246"/>
      <c r="BB211" s="246"/>
      <c r="BC211" s="246"/>
      <c r="BD211" s="246"/>
      <c r="BE211" s="246"/>
      <c r="BF211" s="246"/>
      <c r="BG211" s="246"/>
      <c r="BH211" s="246"/>
      <c r="BI211" s="246"/>
      <c r="BJ211" s="246"/>
      <c r="BK211" s="246"/>
      <c r="BL211" s="246"/>
      <c r="BM211" s="246"/>
      <c r="BN211" s="246"/>
      <c r="BO211" s="246"/>
      <c r="BP211" s="246"/>
      <c r="BQ211" s="246"/>
      <c r="BR211" s="246"/>
      <c r="BS211" s="246"/>
      <c r="BT211" s="246"/>
      <c r="BU211" s="246"/>
      <c r="BV211" s="246"/>
      <c r="BW211" s="246"/>
      <c r="BX211" s="246"/>
      <c r="BY211" s="246"/>
      <c r="BZ211" s="246"/>
      <c r="CA211" s="246"/>
      <c r="CB211" s="246"/>
      <c r="CC211" s="246"/>
      <c r="CD211" s="246"/>
      <c r="CE211" s="246"/>
      <c r="CF211" s="246"/>
      <c r="CG211" s="246"/>
      <c r="CH211" s="246"/>
      <c r="CI211" s="246"/>
      <c r="CJ211" s="246"/>
      <c r="CK211" s="246"/>
      <c r="CL211" s="246"/>
      <c r="CM211" s="246"/>
      <c r="CN211" s="246"/>
      <c r="CO211" s="246"/>
      <c r="CP211" s="246"/>
      <c r="CQ211" s="246"/>
      <c r="CR211" s="246"/>
      <c r="CS211" s="246"/>
      <c r="CT211" s="246"/>
      <c r="CU211" s="246"/>
      <c r="CV211" s="246"/>
      <c r="CW211" s="246"/>
      <c r="CX211" s="246"/>
      <c r="CY211" s="246"/>
      <c r="CZ211" s="246"/>
      <c r="DA211" s="246"/>
      <c r="DB211" s="246"/>
      <c r="DC211" s="246"/>
      <c r="DD211" s="246"/>
      <c r="DE211" s="246"/>
      <c r="DF211" s="246"/>
      <c r="DG211" s="246"/>
      <c r="DH211" s="246"/>
      <c r="DI211" s="246"/>
      <c r="DJ211" s="246"/>
      <c r="DK211" s="246"/>
      <c r="DL211" s="246"/>
      <c r="DM211" s="246"/>
      <c r="DN211" s="246"/>
      <c r="DO211" s="246"/>
      <c r="DP211" s="246"/>
      <c r="DQ211" s="246"/>
      <c r="DR211" s="246"/>
      <c r="DS211" s="246"/>
      <c r="DT211" s="246"/>
      <c r="DU211" s="246"/>
    </row>
    <row r="212" spans="1:125" s="243" customFormat="1" ht="53.25" customHeight="1" thickBot="1">
      <c r="A212" s="663" t="s">
        <v>288</v>
      </c>
      <c r="B212" s="665"/>
      <c r="C212" s="397"/>
      <c r="D212" s="397"/>
      <c r="E212" s="397">
        <v>11338920</v>
      </c>
      <c r="F212" s="517">
        <v>0</v>
      </c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314"/>
      <c r="AN212" s="315"/>
      <c r="AO212" s="315"/>
      <c r="AP212" s="316"/>
      <c r="AQ212" s="204"/>
      <c r="AR212" s="204"/>
      <c r="AS212" s="204"/>
      <c r="AT212" s="204"/>
      <c r="AU212" s="204"/>
      <c r="AV212" s="204"/>
      <c r="AW212" s="204"/>
      <c r="AX212" s="204"/>
      <c r="AY212" s="204"/>
      <c r="AZ212" s="204"/>
      <c r="BA212" s="204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  <c r="BZ212" s="204"/>
      <c r="CA212" s="204"/>
      <c r="CB212" s="204"/>
      <c r="CC212" s="204"/>
      <c r="CD212" s="204"/>
      <c r="CE212" s="204"/>
      <c r="CF212" s="204"/>
      <c r="CG212" s="204"/>
      <c r="CH212" s="204"/>
      <c r="CI212" s="204"/>
      <c r="CJ212" s="204"/>
      <c r="CK212" s="204"/>
      <c r="CL212" s="204"/>
      <c r="CM212" s="204"/>
      <c r="CN212" s="204"/>
      <c r="CO212" s="204"/>
      <c r="CP212" s="204"/>
      <c r="CQ212" s="204"/>
      <c r="CR212" s="204"/>
      <c r="CS212" s="204"/>
      <c r="CT212" s="204"/>
      <c r="CU212" s="204"/>
      <c r="CV212" s="204"/>
      <c r="CW212" s="204"/>
      <c r="CX212" s="204"/>
      <c r="CY212" s="204"/>
      <c r="CZ212" s="204"/>
      <c r="DA212" s="204"/>
      <c r="DB212" s="204"/>
      <c r="DC212" s="204"/>
      <c r="DD212" s="204"/>
      <c r="DE212" s="204"/>
      <c r="DF212" s="204"/>
      <c r="DG212" s="204"/>
      <c r="DH212" s="204"/>
      <c r="DI212" s="204"/>
      <c r="DJ212" s="204"/>
      <c r="DK212" s="204"/>
      <c r="DL212" s="204"/>
      <c r="DM212" s="204"/>
      <c r="DN212" s="204"/>
      <c r="DO212" s="204"/>
      <c r="DP212" s="204"/>
      <c r="DQ212" s="204"/>
      <c r="DR212" s="204"/>
      <c r="DS212" s="204"/>
      <c r="DT212" s="204"/>
      <c r="DU212" s="204"/>
    </row>
    <row r="213" spans="1:125" s="199" customFormat="1" ht="42" customHeight="1" thickBot="1">
      <c r="A213" s="228" t="s">
        <v>366</v>
      </c>
      <c r="B213" s="238"/>
      <c r="C213" s="230"/>
      <c r="D213" s="230">
        <v>460419</v>
      </c>
      <c r="E213" s="230"/>
      <c r="F213" s="51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197"/>
      <c r="AT213" s="197"/>
      <c r="AU213" s="197"/>
      <c r="AV213" s="197"/>
      <c r="AW213" s="197"/>
      <c r="AX213" s="197"/>
      <c r="AY213" s="197"/>
      <c r="AZ213" s="197"/>
      <c r="BA213" s="197"/>
      <c r="BB213" s="197"/>
      <c r="BC213" s="197"/>
      <c r="BD213" s="197"/>
      <c r="BE213" s="197"/>
      <c r="BF213" s="197"/>
      <c r="BG213" s="197"/>
      <c r="BH213" s="197"/>
      <c r="BI213" s="197"/>
      <c r="BJ213" s="197"/>
      <c r="BK213" s="197"/>
      <c r="BL213" s="197"/>
      <c r="BM213" s="197"/>
      <c r="BN213" s="197"/>
      <c r="BO213" s="197"/>
      <c r="BP213" s="197"/>
      <c r="BQ213" s="197"/>
      <c r="BR213" s="197"/>
      <c r="BS213" s="197"/>
      <c r="BT213" s="197"/>
      <c r="BU213" s="197"/>
    </row>
    <row r="214" spans="1:125" s="199" customFormat="1" ht="26.25" customHeight="1" thickBot="1">
      <c r="A214" s="228" t="s">
        <v>326</v>
      </c>
      <c r="B214" s="239"/>
      <c r="C214" s="230">
        <v>10300000</v>
      </c>
      <c r="D214" s="230">
        <f>SUM(B215)</f>
        <v>18410236</v>
      </c>
      <c r="E214" s="230"/>
      <c r="F214" s="51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8"/>
    </row>
    <row r="215" spans="1:125" s="199" customFormat="1" ht="26.25" customHeight="1" thickBot="1">
      <c r="A215" s="231" t="s">
        <v>249</v>
      </c>
      <c r="B215" s="234">
        <f>10300000+8110236</f>
        <v>18410236</v>
      </c>
      <c r="C215" s="230"/>
      <c r="D215" s="230"/>
      <c r="E215" s="230"/>
      <c r="F215" s="51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8"/>
    </row>
    <row r="216" spans="1:125" s="203" customFormat="1" ht="31.5" customHeight="1" thickBot="1">
      <c r="A216" s="322" t="s">
        <v>327</v>
      </c>
      <c r="B216" s="323"/>
      <c r="C216" s="324">
        <f>SUM(C205:C215)</f>
        <v>36706000</v>
      </c>
      <c r="D216" s="324">
        <f>SUM(D205:D215)</f>
        <v>60102318</v>
      </c>
      <c r="E216" s="324">
        <f>SUM(E205:E215)</f>
        <v>21434916</v>
      </c>
      <c r="F216" s="518">
        <f>SUM(E216/D216)</f>
        <v>0.35664042108991539</v>
      </c>
      <c r="G216" s="201"/>
      <c r="H216" s="201"/>
      <c r="I216" s="201"/>
      <c r="J216" s="201"/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1"/>
      <c r="V216" s="201"/>
      <c r="W216" s="201"/>
      <c r="X216" s="201"/>
      <c r="Y216" s="201"/>
      <c r="Z216" s="201"/>
      <c r="AA216" s="201"/>
      <c r="AB216" s="201"/>
      <c r="AC216" s="201"/>
      <c r="AD216" s="201"/>
      <c r="AE216" s="201"/>
      <c r="AF216" s="201"/>
      <c r="AG216" s="201"/>
      <c r="AH216" s="201"/>
      <c r="AI216" s="201"/>
      <c r="AJ216" s="201"/>
      <c r="AK216" s="201"/>
      <c r="AL216" s="201"/>
      <c r="AM216" s="201"/>
      <c r="AN216" s="201"/>
      <c r="AO216" s="202"/>
    </row>
    <row r="217" spans="1:125" s="218" customFormat="1" ht="66.75" customHeight="1" thickBot="1">
      <c r="A217" s="293" t="s">
        <v>244</v>
      </c>
      <c r="B217" s="320"/>
      <c r="C217" s="321" t="s">
        <v>311</v>
      </c>
      <c r="D217" s="390" t="s">
        <v>352</v>
      </c>
      <c r="E217" s="390" t="s">
        <v>352</v>
      </c>
      <c r="F217" s="521" t="s">
        <v>352</v>
      </c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16"/>
      <c r="AK217" s="216"/>
      <c r="AL217" s="216"/>
      <c r="AM217" s="216"/>
      <c r="AN217" s="216"/>
      <c r="AO217" s="217"/>
    </row>
    <row r="218" spans="1:125" s="203" customFormat="1" ht="31.5" customHeight="1" thickBot="1">
      <c r="A218" s="224"/>
      <c r="B218" s="226"/>
      <c r="C218" s="225"/>
      <c r="D218" s="388"/>
      <c r="E218" s="388"/>
      <c r="F218" s="519"/>
      <c r="G218" s="201"/>
      <c r="H218" s="201"/>
      <c r="I218" s="201"/>
      <c r="J218" s="201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1"/>
      <c r="W218" s="201"/>
      <c r="X218" s="201"/>
      <c r="Y218" s="201"/>
      <c r="Z218" s="201"/>
      <c r="AA218" s="201"/>
      <c r="AB218" s="201"/>
      <c r="AC218" s="201"/>
      <c r="AD218" s="201"/>
      <c r="AE218" s="201"/>
      <c r="AF218" s="201"/>
      <c r="AG218" s="201"/>
      <c r="AH218" s="201"/>
      <c r="AI218" s="201"/>
      <c r="AJ218" s="201"/>
      <c r="AK218" s="201"/>
      <c r="AL218" s="201"/>
      <c r="AM218" s="201"/>
      <c r="AN218" s="201"/>
      <c r="AO218" s="202"/>
    </row>
    <row r="219" spans="1:125" s="218" customFormat="1" ht="33" customHeight="1" thickBot="1">
      <c r="A219" s="660" t="s">
        <v>328</v>
      </c>
      <c r="B219" s="661"/>
      <c r="C219" s="661"/>
      <c r="D219" s="661"/>
      <c r="E219" s="661"/>
      <c r="F219" s="662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216"/>
      <c r="AK219" s="216"/>
      <c r="AL219" s="216"/>
      <c r="AM219" s="216"/>
      <c r="AN219" s="216"/>
      <c r="AO219" s="217"/>
    </row>
    <row r="220" spans="1:125" s="199" customFormat="1" ht="26.25" customHeight="1" thickBot="1">
      <c r="A220" s="228" t="s">
        <v>326</v>
      </c>
      <c r="B220" s="239"/>
      <c r="C220" s="230">
        <v>27400000</v>
      </c>
      <c r="D220" s="388">
        <f>SUM(B221)</f>
        <v>0</v>
      </c>
      <c r="E220" s="388">
        <f t="shared" ref="E220:F220" si="7">SUM(C221)</f>
        <v>0</v>
      </c>
      <c r="F220" s="519">
        <f t="shared" si="7"/>
        <v>0</v>
      </c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8"/>
    </row>
    <row r="221" spans="1:125" s="199" customFormat="1" ht="26.25" customHeight="1" thickBot="1">
      <c r="A221" s="231" t="s">
        <v>250</v>
      </c>
      <c r="B221" s="234">
        <f>27400000-27400000</f>
        <v>0</v>
      </c>
      <c r="C221" s="230"/>
      <c r="D221" s="492"/>
      <c r="E221" s="492"/>
      <c r="F221" s="526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8"/>
    </row>
    <row r="222" spans="1:125" s="208" customFormat="1" ht="23.25" customHeight="1" thickBot="1">
      <c r="A222" s="228" t="s">
        <v>251</v>
      </c>
      <c r="B222" s="238"/>
      <c r="C222" s="230"/>
      <c r="D222" s="230">
        <v>33400000</v>
      </c>
      <c r="E222" s="230"/>
      <c r="F222" s="517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06"/>
      <c r="AK222" s="206"/>
      <c r="AL222" s="206"/>
      <c r="AM222" s="206"/>
      <c r="AN222" s="206"/>
      <c r="AO222" s="207"/>
    </row>
    <row r="223" spans="1:125" s="208" customFormat="1" ht="23.25" customHeight="1" thickBot="1">
      <c r="A223" s="231" t="s">
        <v>410</v>
      </c>
      <c r="B223" s="241">
        <v>33400000</v>
      </c>
      <c r="C223" s="233"/>
      <c r="D223" s="233"/>
      <c r="E223" s="233"/>
      <c r="F223" s="522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  <c r="AI223" s="206"/>
      <c r="AJ223" s="206"/>
      <c r="AK223" s="206"/>
      <c r="AL223" s="206"/>
      <c r="AM223" s="206"/>
      <c r="AN223" s="206"/>
      <c r="AO223" s="207"/>
    </row>
    <row r="224" spans="1:125" s="199" customFormat="1" ht="28.5" customHeight="1" thickBot="1">
      <c r="A224" s="228" t="s">
        <v>365</v>
      </c>
      <c r="B224" s="238"/>
      <c r="C224" s="230"/>
      <c r="D224" s="230">
        <v>37500</v>
      </c>
      <c r="E224" s="230">
        <v>37500</v>
      </c>
      <c r="F224" s="517">
        <f>E224/D224</f>
        <v>1</v>
      </c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197"/>
      <c r="AT224" s="197"/>
      <c r="AU224" s="197"/>
      <c r="AV224" s="197"/>
      <c r="AW224" s="197"/>
      <c r="AX224" s="197"/>
      <c r="AY224" s="197"/>
      <c r="AZ224" s="197"/>
      <c r="BA224" s="197"/>
      <c r="BB224" s="197"/>
      <c r="BC224" s="197"/>
      <c r="BD224" s="197"/>
      <c r="BE224" s="197"/>
      <c r="BF224" s="197"/>
      <c r="BG224" s="197"/>
      <c r="BH224" s="197"/>
      <c r="BI224" s="197"/>
      <c r="BJ224" s="197"/>
      <c r="BK224" s="197"/>
      <c r="BL224" s="197"/>
      <c r="BM224" s="197"/>
      <c r="BN224" s="197"/>
      <c r="BO224" s="197"/>
      <c r="BP224" s="197"/>
      <c r="BQ224" s="197"/>
      <c r="BR224" s="197"/>
      <c r="BS224" s="197"/>
      <c r="BT224" s="197"/>
      <c r="BU224" s="197"/>
    </row>
    <row r="225" spans="1:125" s="199" customFormat="1" ht="44.25" customHeight="1" thickBot="1">
      <c r="A225" s="228" t="s">
        <v>363</v>
      </c>
      <c r="B225" s="238"/>
      <c r="C225" s="230"/>
      <c r="D225" s="230">
        <v>3000000</v>
      </c>
      <c r="E225" s="230">
        <v>3000000</v>
      </c>
      <c r="F225" s="517">
        <f>E225/D225</f>
        <v>1</v>
      </c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  <c r="AR225" s="197"/>
      <c r="AS225" s="197"/>
      <c r="AT225" s="197"/>
      <c r="AU225" s="197"/>
      <c r="AV225" s="197"/>
      <c r="AW225" s="197"/>
      <c r="AX225" s="197"/>
      <c r="AY225" s="197"/>
      <c r="AZ225" s="197"/>
      <c r="BA225" s="197"/>
      <c r="BB225" s="197"/>
      <c r="BC225" s="197"/>
      <c r="BD225" s="197"/>
      <c r="BE225" s="197"/>
      <c r="BF225" s="197"/>
      <c r="BG225" s="197"/>
      <c r="BH225" s="197"/>
      <c r="BI225" s="197"/>
      <c r="BJ225" s="197"/>
      <c r="BK225" s="197"/>
      <c r="BL225" s="197"/>
      <c r="BM225" s="197"/>
      <c r="BN225" s="197"/>
      <c r="BO225" s="197"/>
      <c r="BP225" s="197"/>
      <c r="BQ225" s="197"/>
      <c r="BR225" s="197"/>
      <c r="BS225" s="197"/>
      <c r="BT225" s="197"/>
      <c r="BU225" s="197"/>
    </row>
    <row r="226" spans="1:125" s="203" customFormat="1" ht="31.5" customHeight="1" thickBot="1">
      <c r="A226" s="322" t="s">
        <v>329</v>
      </c>
      <c r="B226" s="323"/>
      <c r="C226" s="324">
        <f>SUM(C220:C225)</f>
        <v>27400000</v>
      </c>
      <c r="D226" s="324">
        <f>SUM(D220:D225)</f>
        <v>36437500</v>
      </c>
      <c r="E226" s="324">
        <f t="shared" ref="E226" si="8">SUM(E220:E225)</f>
        <v>3037500</v>
      </c>
      <c r="F226" s="518">
        <f>SUM(E226/D226)</f>
        <v>8.3361921097770159E-2</v>
      </c>
      <c r="G226" s="201"/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2"/>
    </row>
    <row r="227" spans="1:125" s="203" customFormat="1" ht="31.5" customHeight="1" thickBot="1">
      <c r="A227" s="224"/>
      <c r="B227" s="226"/>
      <c r="C227" s="235"/>
      <c r="D227" s="388"/>
      <c r="E227" s="388"/>
      <c r="F227" s="388"/>
      <c r="G227" s="201"/>
      <c r="H227" s="201"/>
      <c r="I227" s="201"/>
      <c r="J227" s="201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2"/>
    </row>
    <row r="228" spans="1:125" s="218" customFormat="1" ht="33" customHeight="1" thickBot="1">
      <c r="A228" s="532" t="s">
        <v>330</v>
      </c>
      <c r="B228" s="533"/>
      <c r="C228" s="533"/>
      <c r="D228" s="533"/>
      <c r="E228" s="533"/>
      <c r="F228" s="534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  <c r="S228" s="216"/>
      <c r="T228" s="216"/>
      <c r="U228" s="216"/>
      <c r="V228" s="216"/>
      <c r="W228" s="216"/>
      <c r="X228" s="216"/>
      <c r="Y228" s="216"/>
      <c r="Z228" s="216"/>
      <c r="AA228" s="216"/>
      <c r="AB228" s="216"/>
      <c r="AC228" s="216"/>
      <c r="AD228" s="216"/>
      <c r="AE228" s="216"/>
      <c r="AF228" s="216"/>
      <c r="AG228" s="216"/>
      <c r="AH228" s="216"/>
      <c r="AI228" s="216"/>
      <c r="AJ228" s="216"/>
      <c r="AK228" s="216"/>
      <c r="AL228" s="216"/>
      <c r="AM228" s="216"/>
      <c r="AN228" s="216"/>
      <c r="AO228" s="217"/>
    </row>
    <row r="229" spans="1:125" s="210" customFormat="1" ht="38.25" customHeight="1" thickBot="1">
      <c r="A229" s="251" t="s">
        <v>339</v>
      </c>
      <c r="B229" s="327"/>
      <c r="C229" s="328">
        <v>52044000</v>
      </c>
      <c r="D229" s="328">
        <f>52044000-52044000+52044365</f>
        <v>52044365</v>
      </c>
      <c r="E229" s="328">
        <v>52044365</v>
      </c>
      <c r="F229" s="527">
        <f>E229/D229</f>
        <v>1</v>
      </c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209"/>
      <c r="AP229" s="250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7"/>
      <c r="BH229" s="197"/>
      <c r="BI229" s="197"/>
      <c r="BJ229" s="197"/>
      <c r="BK229" s="197"/>
      <c r="BL229" s="197"/>
      <c r="BM229" s="197"/>
      <c r="BN229" s="197"/>
      <c r="BO229" s="197"/>
      <c r="BP229" s="197"/>
      <c r="BQ229" s="197"/>
      <c r="BR229" s="197"/>
      <c r="BS229" s="197"/>
      <c r="BT229" s="197"/>
      <c r="BU229" s="197"/>
      <c r="BV229" s="197"/>
      <c r="BW229" s="197"/>
      <c r="BX229" s="197"/>
      <c r="BY229" s="197"/>
      <c r="BZ229" s="197"/>
      <c r="CA229" s="197"/>
      <c r="CB229" s="197"/>
      <c r="CC229" s="197"/>
      <c r="CD229" s="197"/>
      <c r="CE229" s="197"/>
      <c r="CF229" s="197"/>
      <c r="CG229" s="197"/>
      <c r="CH229" s="197"/>
      <c r="CI229" s="197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</row>
    <row r="230" spans="1:125" s="199" customFormat="1" ht="47.25" customHeight="1" thickBot="1">
      <c r="A230" s="251" t="s">
        <v>115</v>
      </c>
      <c r="B230" s="252"/>
      <c r="C230" s="253">
        <v>1233052000</v>
      </c>
      <c r="D230" s="253">
        <v>1233052000</v>
      </c>
      <c r="E230" s="253">
        <v>651124019</v>
      </c>
      <c r="F230" s="527">
        <f>E230/D230</f>
        <v>0.5280588482886367</v>
      </c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8"/>
    </row>
    <row r="231" spans="1:125" s="203" customFormat="1" ht="31.5" customHeight="1" thickBot="1">
      <c r="A231" s="322" t="s">
        <v>331</v>
      </c>
      <c r="B231" s="323"/>
      <c r="C231" s="324">
        <f>SUM(C229:C230)</f>
        <v>1285096000</v>
      </c>
      <c r="D231" s="324">
        <f>SUM(D229:D230)</f>
        <v>1285096365</v>
      </c>
      <c r="E231" s="324">
        <f t="shared" ref="E231" si="9">SUM(E229:E230)</f>
        <v>703168384</v>
      </c>
      <c r="F231" s="518">
        <f>SUM(E231/D231)</f>
        <v>0.54717171657395514</v>
      </c>
      <c r="G231" s="201"/>
      <c r="H231" s="201"/>
      <c r="I231" s="201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201"/>
      <c r="X231" s="201"/>
      <c r="Y231" s="201"/>
      <c r="Z231" s="201"/>
      <c r="AA231" s="201"/>
      <c r="AB231" s="201"/>
      <c r="AC231" s="201"/>
      <c r="AD231" s="201"/>
      <c r="AE231" s="201"/>
      <c r="AF231" s="201"/>
      <c r="AG231" s="201"/>
      <c r="AH231" s="201"/>
      <c r="AI231" s="201"/>
      <c r="AJ231" s="201"/>
      <c r="AK231" s="201"/>
      <c r="AL231" s="201"/>
      <c r="AM231" s="201"/>
      <c r="AN231" s="201"/>
      <c r="AO231" s="202"/>
    </row>
    <row r="232" spans="1:125" thickBot="1">
      <c r="A232" s="227"/>
      <c r="B232" s="236"/>
      <c r="C232" s="237"/>
      <c r="D232" s="399"/>
      <c r="E232" s="399"/>
      <c r="F232" s="528"/>
    </row>
    <row r="233" spans="1:125" s="203" customFormat="1" ht="31.5" customHeight="1" thickBot="1">
      <c r="A233" s="322" t="s">
        <v>332</v>
      </c>
      <c r="B233" s="326"/>
      <c r="C233" s="324">
        <f>SUM(C21+C37+C117+C131+C172+C202+C216+C226+C231)</f>
        <v>2833338000</v>
      </c>
      <c r="D233" s="325">
        <f>SUM(D21+D37+D117+D131+D172+D202+D216+D226+D231)</f>
        <v>4015558281</v>
      </c>
      <c r="E233" s="325">
        <f>SUM(E21+E37+E117+E131+E172+E202+E216+E226+E231)</f>
        <v>1389272509</v>
      </c>
      <c r="F233" s="518">
        <f>SUM(E233/D233)</f>
        <v>0.34597244312788994</v>
      </c>
      <c r="G233" s="201"/>
      <c r="H233" s="20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01"/>
      <c r="U233" s="201"/>
      <c r="V233" s="201"/>
      <c r="W233" s="201"/>
      <c r="X233" s="201"/>
      <c r="Y233" s="201"/>
      <c r="Z233" s="201"/>
      <c r="AA233" s="201"/>
      <c r="AB233" s="201"/>
      <c r="AC233" s="201"/>
      <c r="AD233" s="201"/>
      <c r="AE233" s="201"/>
      <c r="AF233" s="201"/>
      <c r="AG233" s="201"/>
      <c r="AH233" s="201"/>
      <c r="AI233" s="201"/>
      <c r="AJ233" s="201"/>
      <c r="AK233" s="201"/>
      <c r="AL233" s="201"/>
      <c r="AM233" s="201"/>
      <c r="AN233" s="201"/>
      <c r="AO233" s="202"/>
    </row>
    <row r="234" spans="1:125" thickBot="1">
      <c r="A234" s="221"/>
      <c r="B234" s="221"/>
      <c r="C234" s="212"/>
      <c r="D234" s="240"/>
      <c r="E234" s="240"/>
      <c r="F234" s="529"/>
    </row>
    <row r="235" spans="1:125" thickBot="1">
      <c r="A235" s="221"/>
      <c r="B235" s="221"/>
      <c r="C235" s="212"/>
      <c r="D235" s="240"/>
      <c r="E235" s="240"/>
      <c r="F235" s="529"/>
    </row>
    <row r="236" spans="1:125" thickBot="1">
      <c r="A236" s="221"/>
      <c r="B236" s="221"/>
      <c r="C236" s="212"/>
      <c r="D236" s="240"/>
      <c r="E236" s="240"/>
      <c r="F236" s="529"/>
    </row>
    <row r="237" spans="1:125" thickBot="1">
      <c r="A237" s="221"/>
      <c r="B237" s="221"/>
      <c r="C237" s="212"/>
      <c r="D237" s="240"/>
      <c r="E237" s="240"/>
      <c r="F237" s="529"/>
    </row>
    <row r="238" spans="1:125" thickBot="1">
      <c r="A238" s="221"/>
      <c r="B238" s="221"/>
      <c r="C238" s="212"/>
      <c r="D238" s="240"/>
      <c r="E238" s="240"/>
      <c r="F238" s="529"/>
    </row>
    <row r="239" spans="1:125" thickBot="1">
      <c r="A239" s="221"/>
      <c r="B239" s="221"/>
      <c r="C239" s="212"/>
      <c r="D239" s="240"/>
      <c r="E239" s="240"/>
      <c r="F239" s="529"/>
    </row>
    <row r="240" spans="1:125" thickBot="1">
      <c r="A240" s="221"/>
      <c r="B240" s="221"/>
      <c r="C240" s="212"/>
      <c r="D240" s="240"/>
      <c r="E240" s="240"/>
      <c r="F240" s="529"/>
    </row>
    <row r="241" spans="1:6" thickBot="1">
      <c r="A241" s="221"/>
      <c r="B241" s="221"/>
      <c r="C241" s="212"/>
      <c r="D241" s="240"/>
      <c r="E241" s="240"/>
      <c r="F241" s="529"/>
    </row>
    <row r="242" spans="1:6" thickBot="1">
      <c r="A242" s="221"/>
      <c r="B242" s="221"/>
      <c r="C242" s="212"/>
      <c r="D242" s="240"/>
      <c r="E242" s="240"/>
      <c r="F242" s="529"/>
    </row>
    <row r="243" spans="1:6" thickBot="1">
      <c r="A243" s="221"/>
      <c r="B243" s="221"/>
      <c r="C243" s="212"/>
      <c r="D243" s="240"/>
      <c r="E243" s="240"/>
      <c r="F243" s="529"/>
    </row>
    <row r="244" spans="1:6" thickBot="1">
      <c r="A244" s="221"/>
      <c r="B244" s="221"/>
      <c r="C244" s="212"/>
      <c r="D244" s="240"/>
      <c r="E244" s="240"/>
      <c r="F244" s="529"/>
    </row>
    <row r="245" spans="1:6" thickBot="1">
      <c r="A245" s="221"/>
      <c r="B245" s="221"/>
      <c r="C245" s="212"/>
      <c r="D245" s="240"/>
      <c r="E245" s="240"/>
      <c r="F245" s="529"/>
    </row>
    <row r="246" spans="1:6" thickBot="1">
      <c r="A246" s="221"/>
      <c r="B246" s="221"/>
      <c r="C246" s="212"/>
      <c r="D246" s="240"/>
      <c r="E246" s="240"/>
      <c r="F246" s="529"/>
    </row>
    <row r="247" spans="1:6" thickBot="1">
      <c r="A247" s="221"/>
      <c r="B247" s="221"/>
      <c r="C247" s="212"/>
      <c r="D247" s="240"/>
      <c r="E247" s="240"/>
      <c r="F247" s="529"/>
    </row>
    <row r="248" spans="1:6" thickBot="1">
      <c r="A248" s="221"/>
      <c r="B248" s="221"/>
      <c r="C248" s="212"/>
      <c r="D248" s="240"/>
      <c r="E248" s="240"/>
      <c r="F248" s="529"/>
    </row>
    <row r="249" spans="1:6" thickBot="1">
      <c r="A249" s="221"/>
      <c r="B249" s="221"/>
      <c r="C249" s="212"/>
      <c r="D249" s="240"/>
      <c r="E249" s="240"/>
      <c r="F249" s="529"/>
    </row>
    <row r="250" spans="1:6" thickBot="1">
      <c r="A250" s="221"/>
      <c r="B250" s="221"/>
      <c r="C250" s="212"/>
      <c r="D250" s="240"/>
      <c r="E250" s="240"/>
      <c r="F250" s="529"/>
    </row>
    <row r="251" spans="1:6" thickBot="1">
      <c r="A251" s="221"/>
      <c r="B251" s="221"/>
      <c r="C251" s="212"/>
      <c r="D251" s="240"/>
      <c r="E251" s="240"/>
      <c r="F251" s="529"/>
    </row>
    <row r="252" spans="1:6" thickBot="1">
      <c r="A252" s="221"/>
      <c r="B252" s="221"/>
      <c r="C252" s="212"/>
      <c r="D252" s="240"/>
      <c r="E252" s="240"/>
      <c r="F252" s="529"/>
    </row>
    <row r="253" spans="1:6" thickBot="1">
      <c r="A253" s="221"/>
      <c r="B253" s="221"/>
      <c r="C253" s="212"/>
      <c r="D253" s="240"/>
      <c r="E253" s="240"/>
      <c r="F253" s="529"/>
    </row>
    <row r="254" spans="1:6" thickBot="1">
      <c r="A254" s="221"/>
      <c r="B254" s="221"/>
      <c r="C254" s="212"/>
      <c r="D254" s="240"/>
      <c r="E254" s="240"/>
      <c r="F254" s="529"/>
    </row>
    <row r="255" spans="1:6" thickBot="1">
      <c r="A255" s="221"/>
      <c r="B255" s="221"/>
      <c r="C255" s="212"/>
      <c r="D255" s="240"/>
      <c r="E255" s="240"/>
      <c r="F255" s="529"/>
    </row>
    <row r="256" spans="1:6" thickBot="1">
      <c r="A256" s="221"/>
      <c r="B256" s="221"/>
      <c r="C256" s="212"/>
      <c r="D256" s="240"/>
      <c r="E256" s="240"/>
      <c r="F256" s="529"/>
    </row>
    <row r="257" spans="1:6" thickBot="1">
      <c r="A257" s="221"/>
      <c r="B257" s="221"/>
      <c r="C257" s="212"/>
      <c r="D257" s="240"/>
      <c r="E257" s="240"/>
      <c r="F257" s="529"/>
    </row>
    <row r="258" spans="1:6" thickBot="1">
      <c r="A258" s="221"/>
      <c r="B258" s="221"/>
      <c r="C258" s="212"/>
      <c r="D258" s="240"/>
      <c r="E258" s="240"/>
      <c r="F258" s="529"/>
    </row>
    <row r="259" spans="1:6" thickBot="1">
      <c r="A259" s="221"/>
      <c r="B259" s="221"/>
      <c r="C259" s="212"/>
      <c r="D259" s="240"/>
      <c r="E259" s="240"/>
      <c r="F259" s="529"/>
    </row>
    <row r="260" spans="1:6" thickBot="1">
      <c r="A260" s="221"/>
      <c r="B260" s="221"/>
      <c r="C260" s="212"/>
      <c r="D260" s="240"/>
      <c r="E260" s="240"/>
      <c r="F260" s="529"/>
    </row>
    <row r="261" spans="1:6" thickBot="1">
      <c r="A261" s="221"/>
      <c r="B261" s="221"/>
      <c r="C261" s="212"/>
      <c r="D261" s="240"/>
      <c r="E261" s="240"/>
      <c r="F261" s="529"/>
    </row>
    <row r="262" spans="1:6" thickBot="1">
      <c r="A262" s="221"/>
      <c r="B262" s="221"/>
      <c r="C262" s="212"/>
    </row>
    <row r="263" spans="1:6" thickBot="1">
      <c r="A263" s="221"/>
      <c r="B263" s="221"/>
      <c r="C263" s="212"/>
    </row>
    <row r="264" spans="1:6" thickBot="1">
      <c r="A264" s="221"/>
      <c r="B264" s="221"/>
      <c r="C264" s="212"/>
    </row>
    <row r="265" spans="1:6" thickBot="1">
      <c r="A265" s="221"/>
      <c r="B265" s="221"/>
      <c r="C265" s="212"/>
    </row>
    <row r="266" spans="1:6" thickBot="1">
      <c r="A266" s="221"/>
      <c r="B266" s="221"/>
      <c r="C266" s="212"/>
    </row>
    <row r="267" spans="1:6" thickBot="1">
      <c r="A267" s="221"/>
      <c r="B267" s="221"/>
      <c r="C267" s="212"/>
    </row>
    <row r="268" spans="1:6" thickBot="1">
      <c r="A268" s="221"/>
      <c r="B268" s="221"/>
      <c r="C268" s="212"/>
    </row>
    <row r="269" spans="1:6" thickBot="1">
      <c r="A269" s="221"/>
      <c r="B269" s="221"/>
      <c r="C269" s="212"/>
    </row>
    <row r="270" spans="1:6" thickBot="1">
      <c r="A270" s="221"/>
      <c r="B270" s="221"/>
      <c r="C270" s="212"/>
    </row>
    <row r="271" spans="1:6" thickBot="1">
      <c r="A271" s="221"/>
      <c r="B271" s="221"/>
      <c r="C271" s="212"/>
    </row>
    <row r="272" spans="1:6" thickBot="1">
      <c r="A272" s="221"/>
      <c r="B272" s="221"/>
      <c r="C272" s="212"/>
    </row>
    <row r="273" spans="1:3" thickBot="1">
      <c r="A273" s="221"/>
      <c r="B273" s="221"/>
      <c r="C273" s="212"/>
    </row>
    <row r="274" spans="1:3" thickBot="1">
      <c r="A274" s="221"/>
      <c r="B274" s="221"/>
      <c r="C274" s="212"/>
    </row>
    <row r="275" spans="1:3" thickBot="1">
      <c r="A275" s="221"/>
      <c r="B275" s="221"/>
      <c r="C275" s="212"/>
    </row>
    <row r="276" spans="1:3" thickBot="1">
      <c r="A276" s="221"/>
      <c r="B276" s="221"/>
      <c r="C276" s="212"/>
    </row>
    <row r="277" spans="1:3" thickBot="1">
      <c r="A277" s="221"/>
      <c r="B277" s="221"/>
      <c r="C277" s="212"/>
    </row>
    <row r="278" spans="1:3" thickBot="1">
      <c r="A278" s="221"/>
      <c r="B278" s="221"/>
      <c r="C278" s="212"/>
    </row>
    <row r="279" spans="1:3" thickBot="1">
      <c r="A279" s="221"/>
      <c r="B279" s="221"/>
      <c r="C279" s="212"/>
    </row>
    <row r="280" spans="1:3" thickBot="1">
      <c r="A280" s="221"/>
      <c r="B280" s="221"/>
      <c r="C280" s="212"/>
    </row>
    <row r="281" spans="1:3" thickBot="1">
      <c r="A281" s="221"/>
      <c r="B281" s="221"/>
      <c r="C281" s="212"/>
    </row>
    <row r="282" spans="1:3" thickBot="1">
      <c r="A282" s="221"/>
      <c r="B282" s="221"/>
      <c r="C282" s="212"/>
    </row>
    <row r="283" spans="1:3" thickBot="1">
      <c r="A283" s="221"/>
      <c r="B283" s="221"/>
      <c r="C283" s="212"/>
    </row>
    <row r="284" spans="1:3" thickBot="1">
      <c r="A284" s="221"/>
      <c r="B284" s="221"/>
      <c r="C284" s="212"/>
    </row>
    <row r="285" spans="1:3" thickBot="1">
      <c r="A285" s="221"/>
      <c r="B285" s="221"/>
      <c r="C285" s="212"/>
    </row>
    <row r="286" spans="1:3" thickBot="1">
      <c r="A286" s="221"/>
      <c r="B286" s="221"/>
      <c r="C286" s="212"/>
    </row>
    <row r="287" spans="1:3" thickBot="1">
      <c r="A287" s="221"/>
      <c r="B287" s="221"/>
      <c r="C287" s="212"/>
    </row>
    <row r="288" spans="1:3" thickBot="1">
      <c r="A288" s="221"/>
      <c r="B288" s="221"/>
      <c r="C288" s="212"/>
    </row>
    <row r="289" spans="1:3" thickBot="1">
      <c r="A289" s="221"/>
      <c r="B289" s="221"/>
      <c r="C289" s="212"/>
    </row>
    <row r="290" spans="1:3" thickBot="1">
      <c r="A290" s="221"/>
      <c r="B290" s="221"/>
      <c r="C290" s="212"/>
    </row>
    <row r="291" spans="1:3" thickBot="1">
      <c r="A291" s="221"/>
      <c r="B291" s="221"/>
      <c r="C291" s="212"/>
    </row>
    <row r="292" spans="1:3" thickBot="1">
      <c r="A292" s="221"/>
      <c r="B292" s="221"/>
      <c r="C292" s="212"/>
    </row>
    <row r="293" spans="1:3" thickBot="1">
      <c r="A293" s="221"/>
      <c r="B293" s="221"/>
      <c r="C293" s="212"/>
    </row>
    <row r="294" spans="1:3" thickBot="1">
      <c r="A294" s="221"/>
      <c r="B294" s="221"/>
      <c r="C294" s="212"/>
    </row>
    <row r="295" spans="1:3" thickBot="1">
      <c r="A295" s="221"/>
      <c r="B295" s="221"/>
      <c r="C295" s="212"/>
    </row>
    <row r="296" spans="1:3" thickBot="1">
      <c r="A296" s="221"/>
      <c r="B296" s="221"/>
      <c r="C296" s="212"/>
    </row>
    <row r="297" spans="1:3" thickBot="1">
      <c r="A297" s="221"/>
      <c r="B297" s="221"/>
      <c r="C297" s="212"/>
    </row>
    <row r="298" spans="1:3" thickBot="1">
      <c r="A298" s="221"/>
      <c r="B298" s="221"/>
      <c r="C298" s="212"/>
    </row>
    <row r="299" spans="1:3" thickBot="1">
      <c r="A299" s="221"/>
      <c r="B299" s="221"/>
      <c r="C299" s="212"/>
    </row>
    <row r="300" spans="1:3" thickBot="1">
      <c r="A300" s="221"/>
      <c r="B300" s="221"/>
      <c r="C300" s="212"/>
    </row>
    <row r="301" spans="1:3" thickBot="1">
      <c r="A301" s="221"/>
      <c r="B301" s="221"/>
      <c r="C301" s="212"/>
    </row>
    <row r="302" spans="1:3" thickBot="1">
      <c r="A302" s="221"/>
      <c r="B302" s="221"/>
      <c r="C302" s="212"/>
    </row>
    <row r="303" spans="1:3" thickBot="1">
      <c r="A303" s="221"/>
      <c r="B303" s="221"/>
      <c r="C303" s="212"/>
    </row>
    <row r="304" spans="1:3" thickBot="1">
      <c r="A304" s="221"/>
      <c r="B304" s="221"/>
      <c r="C304" s="212"/>
    </row>
    <row r="305" spans="1:3" thickBot="1">
      <c r="A305" s="221"/>
      <c r="B305" s="221"/>
      <c r="C305" s="212"/>
    </row>
    <row r="306" spans="1:3" thickBot="1">
      <c r="A306" s="221"/>
      <c r="B306" s="221"/>
      <c r="C306" s="212"/>
    </row>
    <row r="307" spans="1:3" thickBot="1">
      <c r="A307" s="221"/>
      <c r="B307" s="221"/>
      <c r="C307" s="212"/>
    </row>
    <row r="308" spans="1:3" thickBot="1">
      <c r="A308" s="221"/>
      <c r="B308" s="221"/>
      <c r="C308" s="212"/>
    </row>
    <row r="309" spans="1:3" thickBot="1">
      <c r="A309" s="221"/>
      <c r="B309" s="221"/>
      <c r="C309" s="212"/>
    </row>
    <row r="310" spans="1:3" thickBot="1">
      <c r="A310" s="221"/>
      <c r="B310" s="221"/>
      <c r="C310" s="212"/>
    </row>
    <row r="311" spans="1:3" thickBot="1">
      <c r="A311" s="221"/>
      <c r="B311" s="221"/>
      <c r="C311" s="212"/>
    </row>
    <row r="312" spans="1:3" thickBot="1">
      <c r="A312" s="221"/>
      <c r="B312" s="221"/>
      <c r="C312" s="212"/>
    </row>
    <row r="313" spans="1:3" thickBot="1">
      <c r="A313" s="221"/>
      <c r="B313" s="221"/>
      <c r="C313" s="212"/>
    </row>
    <row r="314" spans="1:3" thickBot="1">
      <c r="A314" s="221"/>
      <c r="B314" s="221"/>
      <c r="C314" s="212"/>
    </row>
    <row r="315" spans="1:3" thickBot="1">
      <c r="A315" s="221"/>
      <c r="B315" s="221"/>
      <c r="C315" s="212"/>
    </row>
    <row r="316" spans="1:3" thickBot="1">
      <c r="A316" s="221"/>
      <c r="B316" s="221"/>
      <c r="C316" s="212"/>
    </row>
    <row r="317" spans="1:3" thickBot="1">
      <c r="A317" s="221"/>
      <c r="B317" s="221"/>
      <c r="C317" s="212"/>
    </row>
    <row r="318" spans="1:3" thickBot="1">
      <c r="A318" s="221"/>
      <c r="B318" s="221"/>
      <c r="C318" s="212"/>
    </row>
    <row r="319" spans="1:3" thickBot="1">
      <c r="A319" s="221"/>
      <c r="B319" s="221"/>
      <c r="C319" s="212"/>
    </row>
    <row r="320" spans="1:3" thickBot="1">
      <c r="A320" s="221"/>
      <c r="B320" s="221"/>
      <c r="C320" s="212"/>
    </row>
    <row r="321" spans="1:3" thickBot="1">
      <c r="A321" s="221"/>
      <c r="B321" s="221"/>
      <c r="C321" s="212"/>
    </row>
    <row r="322" spans="1:3" thickBot="1">
      <c r="A322" s="221"/>
      <c r="B322" s="221"/>
      <c r="C322" s="212"/>
    </row>
    <row r="323" spans="1:3" thickBot="1">
      <c r="A323" s="221"/>
      <c r="B323" s="221"/>
      <c r="C323" s="212"/>
    </row>
    <row r="324" spans="1:3" thickBot="1">
      <c r="A324" s="221"/>
      <c r="B324" s="221"/>
      <c r="C324" s="212"/>
    </row>
    <row r="325" spans="1:3" thickBot="1">
      <c r="A325" s="221"/>
      <c r="B325" s="221"/>
      <c r="C325" s="212"/>
    </row>
    <row r="326" spans="1:3" thickBot="1">
      <c r="A326" s="221"/>
      <c r="B326" s="221"/>
      <c r="C326" s="212"/>
    </row>
    <row r="327" spans="1:3" thickBot="1">
      <c r="A327" s="221"/>
      <c r="B327" s="221"/>
      <c r="C327" s="212"/>
    </row>
    <row r="328" spans="1:3" thickBot="1">
      <c r="A328" s="221"/>
      <c r="B328" s="221"/>
      <c r="C328" s="212"/>
    </row>
    <row r="329" spans="1:3" thickBot="1">
      <c r="A329" s="221"/>
      <c r="B329" s="221"/>
      <c r="C329" s="212"/>
    </row>
    <row r="330" spans="1:3" thickBot="1">
      <c r="A330" s="221"/>
      <c r="B330" s="221"/>
      <c r="C330" s="212"/>
    </row>
    <row r="331" spans="1:3" thickBot="1">
      <c r="A331" s="221"/>
      <c r="B331" s="221"/>
      <c r="C331" s="212"/>
    </row>
    <row r="332" spans="1:3" thickBot="1">
      <c r="A332" s="221"/>
      <c r="B332" s="221"/>
      <c r="C332" s="212"/>
    </row>
    <row r="333" spans="1:3" thickBot="1">
      <c r="A333" s="221"/>
      <c r="B333" s="221"/>
      <c r="C333" s="212"/>
    </row>
    <row r="334" spans="1:3" thickBot="1">
      <c r="A334" s="221"/>
      <c r="B334" s="221"/>
      <c r="C334" s="212"/>
    </row>
    <row r="335" spans="1:3" thickBot="1">
      <c r="A335" s="221"/>
      <c r="B335" s="221"/>
      <c r="C335" s="212"/>
    </row>
    <row r="336" spans="1:3" thickBot="1">
      <c r="A336" s="221"/>
      <c r="B336" s="221"/>
      <c r="C336" s="212"/>
    </row>
    <row r="337" spans="1:3" thickBot="1">
      <c r="A337" s="221"/>
      <c r="B337" s="221"/>
      <c r="C337" s="212"/>
    </row>
    <row r="338" spans="1:3" thickBot="1">
      <c r="A338" s="221"/>
      <c r="B338" s="221"/>
      <c r="C338" s="212"/>
    </row>
    <row r="339" spans="1:3" thickBot="1">
      <c r="A339" s="221"/>
      <c r="B339" s="221"/>
      <c r="C339" s="212"/>
    </row>
    <row r="340" spans="1:3" thickBot="1">
      <c r="A340" s="221"/>
      <c r="B340" s="221"/>
      <c r="C340" s="212"/>
    </row>
    <row r="341" spans="1:3" thickBot="1">
      <c r="A341" s="221"/>
      <c r="B341" s="221"/>
      <c r="C341" s="212"/>
    </row>
    <row r="342" spans="1:3" thickBot="1">
      <c r="A342" s="221"/>
      <c r="B342" s="221"/>
      <c r="C342" s="212"/>
    </row>
    <row r="343" spans="1:3" thickBot="1">
      <c r="A343" s="221"/>
      <c r="B343" s="221"/>
      <c r="C343" s="212"/>
    </row>
    <row r="344" spans="1:3" thickBot="1">
      <c r="A344" s="221"/>
      <c r="B344" s="221"/>
      <c r="C344" s="212"/>
    </row>
    <row r="345" spans="1:3" thickBot="1">
      <c r="A345" s="221"/>
      <c r="B345" s="221"/>
      <c r="C345" s="212"/>
    </row>
    <row r="346" spans="1:3" thickBot="1">
      <c r="A346" s="221"/>
      <c r="B346" s="221"/>
      <c r="C346" s="212"/>
    </row>
    <row r="347" spans="1:3" thickBot="1">
      <c r="A347" s="221"/>
      <c r="B347" s="221"/>
      <c r="C347" s="212"/>
    </row>
    <row r="348" spans="1:3" thickBot="1">
      <c r="A348" s="221"/>
      <c r="B348" s="221"/>
      <c r="C348" s="212"/>
    </row>
    <row r="349" spans="1:3" thickBot="1">
      <c r="A349" s="221"/>
      <c r="B349" s="221"/>
      <c r="C349" s="212"/>
    </row>
    <row r="350" spans="1:3" thickBot="1">
      <c r="A350" s="221"/>
      <c r="B350" s="221"/>
      <c r="C350" s="212"/>
    </row>
    <row r="351" spans="1:3" thickBot="1">
      <c r="A351" s="221"/>
      <c r="B351" s="221"/>
      <c r="C351" s="212"/>
    </row>
    <row r="352" spans="1:3" thickBot="1">
      <c r="A352" s="221"/>
      <c r="B352" s="221"/>
      <c r="C352" s="212"/>
    </row>
    <row r="353" spans="1:3" thickBot="1">
      <c r="A353" s="221"/>
      <c r="B353" s="221"/>
      <c r="C353" s="212"/>
    </row>
    <row r="354" spans="1:3" thickBot="1">
      <c r="A354" s="221"/>
      <c r="B354" s="221"/>
      <c r="C354" s="212"/>
    </row>
    <row r="355" spans="1:3" thickBot="1">
      <c r="A355" s="221"/>
      <c r="B355" s="221"/>
      <c r="C355" s="212"/>
    </row>
    <row r="356" spans="1:3" thickBot="1">
      <c r="A356" s="221"/>
      <c r="B356" s="221"/>
      <c r="C356" s="212"/>
    </row>
    <row r="357" spans="1:3" thickBot="1">
      <c r="A357" s="221"/>
      <c r="B357" s="221"/>
      <c r="C357" s="212"/>
    </row>
    <row r="358" spans="1:3" thickBot="1">
      <c r="A358" s="221"/>
      <c r="B358" s="221"/>
      <c r="C358" s="212"/>
    </row>
    <row r="359" spans="1:3" thickBot="1">
      <c r="A359" s="221"/>
      <c r="B359" s="221"/>
      <c r="C359" s="212"/>
    </row>
    <row r="360" spans="1:3" thickBot="1">
      <c r="A360" s="221"/>
      <c r="B360" s="221"/>
      <c r="C360" s="212"/>
    </row>
    <row r="361" spans="1:3" thickBot="1">
      <c r="A361" s="221"/>
      <c r="B361" s="221"/>
      <c r="C361" s="212"/>
    </row>
    <row r="362" spans="1:3" thickBot="1">
      <c r="A362" s="221"/>
      <c r="B362" s="221"/>
      <c r="C362" s="212"/>
    </row>
    <row r="363" spans="1:3" thickBot="1">
      <c r="A363" s="221"/>
      <c r="B363" s="221"/>
      <c r="C363" s="212"/>
    </row>
    <row r="364" spans="1:3" thickBot="1">
      <c r="A364" s="221"/>
      <c r="B364" s="221"/>
      <c r="C364" s="212"/>
    </row>
    <row r="365" spans="1:3" thickBot="1">
      <c r="A365" s="221"/>
      <c r="B365" s="221"/>
      <c r="C365" s="212"/>
    </row>
    <row r="366" spans="1:3" thickBot="1">
      <c r="A366" s="221"/>
      <c r="B366" s="221"/>
      <c r="C366" s="212"/>
    </row>
    <row r="367" spans="1:3" thickBot="1">
      <c r="A367" s="221"/>
      <c r="B367" s="221"/>
      <c r="C367" s="212"/>
    </row>
    <row r="368" spans="1:3" thickBot="1">
      <c r="A368" s="221"/>
      <c r="B368" s="221"/>
      <c r="C368" s="212"/>
    </row>
    <row r="369" spans="1:3" thickBot="1">
      <c r="A369" s="221"/>
      <c r="B369" s="221"/>
      <c r="C369" s="212"/>
    </row>
    <row r="370" spans="1:3" thickBot="1">
      <c r="A370" s="221"/>
      <c r="B370" s="221"/>
      <c r="C370" s="212"/>
    </row>
    <row r="371" spans="1:3" thickBot="1">
      <c r="A371" s="221"/>
      <c r="B371" s="221"/>
      <c r="C371" s="212"/>
    </row>
    <row r="372" spans="1:3" thickBot="1">
      <c r="A372" s="221"/>
      <c r="B372" s="221"/>
      <c r="C372" s="212"/>
    </row>
    <row r="373" spans="1:3" thickBot="1">
      <c r="A373" s="221"/>
      <c r="B373" s="221"/>
      <c r="C373" s="212"/>
    </row>
    <row r="374" spans="1:3" thickBot="1">
      <c r="A374" s="221"/>
      <c r="B374" s="221"/>
      <c r="C374" s="212"/>
    </row>
    <row r="375" spans="1:3" thickBot="1">
      <c r="A375" s="221"/>
      <c r="B375" s="221"/>
      <c r="C375" s="212"/>
    </row>
    <row r="376" spans="1:3" thickBot="1">
      <c r="A376" s="221"/>
      <c r="B376" s="221"/>
      <c r="C376" s="212"/>
    </row>
    <row r="377" spans="1:3" thickBot="1">
      <c r="A377" s="221"/>
      <c r="B377" s="221"/>
      <c r="C377" s="212"/>
    </row>
    <row r="378" spans="1:3" thickBot="1">
      <c r="A378" s="221"/>
      <c r="B378" s="221"/>
      <c r="C378" s="212"/>
    </row>
    <row r="379" spans="1:3" thickBot="1">
      <c r="A379" s="221"/>
      <c r="B379" s="221"/>
      <c r="C379" s="212"/>
    </row>
    <row r="380" spans="1:3" thickBot="1">
      <c r="A380" s="221"/>
      <c r="B380" s="221"/>
      <c r="C380" s="212"/>
    </row>
    <row r="381" spans="1:3" thickBot="1">
      <c r="A381" s="221"/>
      <c r="B381" s="221"/>
      <c r="C381" s="212"/>
    </row>
    <row r="382" spans="1:3" thickBot="1">
      <c r="A382" s="221"/>
      <c r="B382" s="221"/>
      <c r="C382" s="212"/>
    </row>
    <row r="383" spans="1:3" thickBot="1">
      <c r="A383" s="221"/>
      <c r="B383" s="221"/>
      <c r="C383" s="212"/>
    </row>
    <row r="384" spans="1:3" thickBot="1">
      <c r="A384" s="221"/>
      <c r="B384" s="221"/>
      <c r="C384" s="212"/>
    </row>
    <row r="385" spans="1:3" thickBot="1">
      <c r="A385" s="221"/>
      <c r="B385" s="221"/>
      <c r="C385" s="212"/>
    </row>
    <row r="386" spans="1:3" thickBot="1">
      <c r="A386" s="221"/>
      <c r="B386" s="221"/>
      <c r="C386" s="212"/>
    </row>
    <row r="387" spans="1:3" thickBot="1">
      <c r="A387" s="221"/>
      <c r="B387" s="221"/>
      <c r="C387" s="212"/>
    </row>
    <row r="388" spans="1:3" thickBot="1">
      <c r="A388" s="221"/>
      <c r="B388" s="221"/>
      <c r="C388" s="212"/>
    </row>
    <row r="389" spans="1:3" thickBot="1">
      <c r="A389" s="221"/>
      <c r="B389" s="221"/>
      <c r="C389" s="212"/>
    </row>
    <row r="390" spans="1:3" thickBot="1">
      <c r="A390" s="221"/>
      <c r="B390" s="221"/>
      <c r="C390" s="212"/>
    </row>
    <row r="391" spans="1:3" thickBot="1">
      <c r="A391" s="221"/>
      <c r="B391" s="221"/>
      <c r="C391" s="212"/>
    </row>
    <row r="392" spans="1:3" thickBot="1">
      <c r="A392" s="221"/>
      <c r="B392" s="221"/>
      <c r="C392" s="212"/>
    </row>
    <row r="393" spans="1:3" thickBot="1">
      <c r="A393" s="221"/>
      <c r="B393" s="221"/>
      <c r="C393" s="212"/>
    </row>
    <row r="394" spans="1:3" thickBot="1">
      <c r="A394" s="221"/>
      <c r="B394" s="221"/>
      <c r="C394" s="212"/>
    </row>
    <row r="395" spans="1:3" thickBot="1">
      <c r="A395" s="221"/>
      <c r="B395" s="221"/>
      <c r="C395" s="212"/>
    </row>
    <row r="396" spans="1:3" thickBot="1">
      <c r="A396" s="221"/>
      <c r="B396" s="221"/>
      <c r="C396" s="212"/>
    </row>
    <row r="397" spans="1:3" thickBot="1">
      <c r="A397" s="221"/>
      <c r="B397" s="221"/>
      <c r="C397" s="212"/>
    </row>
    <row r="398" spans="1:3" thickBot="1">
      <c r="A398" s="221"/>
      <c r="B398" s="221"/>
      <c r="C398" s="212"/>
    </row>
    <row r="399" spans="1:3" thickBot="1">
      <c r="A399" s="221"/>
      <c r="B399" s="221"/>
      <c r="C399" s="212"/>
    </row>
    <row r="400" spans="1:3" thickBot="1">
      <c r="A400" s="221"/>
      <c r="B400" s="221"/>
      <c r="C400" s="212"/>
    </row>
    <row r="401" spans="1:3" thickBot="1">
      <c r="A401" s="221"/>
      <c r="B401" s="221"/>
      <c r="C401" s="212"/>
    </row>
    <row r="402" spans="1:3" thickBot="1">
      <c r="A402" s="221"/>
      <c r="B402" s="221"/>
      <c r="C402" s="212"/>
    </row>
    <row r="403" spans="1:3" thickBot="1">
      <c r="A403" s="221"/>
      <c r="B403" s="221"/>
      <c r="C403" s="212"/>
    </row>
    <row r="404" spans="1:3" thickBot="1">
      <c r="A404" s="221"/>
      <c r="B404" s="221"/>
      <c r="C404" s="212"/>
    </row>
    <row r="405" spans="1:3" thickBot="1">
      <c r="A405" s="221"/>
      <c r="B405" s="221"/>
      <c r="C405" s="212"/>
    </row>
    <row r="406" spans="1:3" thickBot="1">
      <c r="A406" s="221"/>
      <c r="B406" s="221"/>
      <c r="C406" s="212"/>
    </row>
    <row r="407" spans="1:3" thickBot="1">
      <c r="A407" s="221"/>
      <c r="B407" s="221"/>
      <c r="C407" s="212"/>
    </row>
    <row r="408" spans="1:3" thickBot="1">
      <c r="A408" s="221"/>
      <c r="B408" s="221"/>
      <c r="C408" s="212"/>
    </row>
    <row r="409" spans="1:3" thickBot="1">
      <c r="A409" s="221"/>
      <c r="B409" s="221"/>
      <c r="C409" s="212"/>
    </row>
    <row r="410" spans="1:3" thickBot="1">
      <c r="A410" s="221"/>
      <c r="B410" s="221"/>
      <c r="C410" s="212"/>
    </row>
    <row r="411" spans="1:3" thickBot="1">
      <c r="A411" s="221"/>
      <c r="B411" s="221"/>
      <c r="C411" s="212"/>
    </row>
    <row r="412" spans="1:3" thickBot="1">
      <c r="A412" s="221"/>
      <c r="B412" s="221"/>
      <c r="C412" s="212"/>
    </row>
    <row r="413" spans="1:3" thickBot="1">
      <c r="A413" s="221"/>
      <c r="B413" s="221"/>
      <c r="C413" s="212"/>
    </row>
    <row r="414" spans="1:3" thickBot="1">
      <c r="A414" s="221"/>
      <c r="B414" s="221"/>
      <c r="C414" s="212"/>
    </row>
    <row r="415" spans="1:3" thickBot="1">
      <c r="A415" s="221"/>
      <c r="B415" s="221"/>
      <c r="C415" s="212"/>
    </row>
    <row r="416" spans="1:3" thickBot="1">
      <c r="A416" s="221"/>
      <c r="B416" s="221"/>
      <c r="C416" s="212"/>
    </row>
    <row r="417" spans="1:3" thickBot="1">
      <c r="A417" s="221"/>
      <c r="B417" s="221"/>
      <c r="C417" s="212"/>
    </row>
    <row r="418" spans="1:3" thickBot="1">
      <c r="A418" s="221"/>
      <c r="B418" s="221"/>
      <c r="C418" s="212"/>
    </row>
    <row r="419" spans="1:3" thickBot="1">
      <c r="A419" s="221"/>
      <c r="B419" s="221"/>
      <c r="C419" s="212"/>
    </row>
    <row r="420" spans="1:3" thickBot="1">
      <c r="A420" s="221"/>
      <c r="B420" s="221"/>
      <c r="C420" s="212"/>
    </row>
    <row r="421" spans="1:3" thickBot="1">
      <c r="A421" s="221"/>
      <c r="B421" s="221"/>
      <c r="C421" s="212"/>
    </row>
    <row r="422" spans="1:3" thickBot="1">
      <c r="A422" s="221"/>
      <c r="B422" s="221"/>
      <c r="C422" s="212"/>
    </row>
    <row r="423" spans="1:3" thickBot="1">
      <c r="A423" s="221"/>
      <c r="B423" s="221"/>
      <c r="C423" s="212"/>
    </row>
    <row r="424" spans="1:3" thickBot="1">
      <c r="A424" s="221"/>
      <c r="B424" s="221"/>
      <c r="C424" s="212"/>
    </row>
    <row r="425" spans="1:3" thickBot="1">
      <c r="A425" s="221"/>
      <c r="B425" s="221"/>
      <c r="C425" s="212"/>
    </row>
    <row r="426" spans="1:3" thickBot="1">
      <c r="A426" s="221"/>
      <c r="B426" s="221"/>
      <c r="C426" s="212"/>
    </row>
    <row r="427" spans="1:3" thickBot="1">
      <c r="A427" s="221"/>
      <c r="B427" s="221"/>
      <c r="C427" s="212"/>
    </row>
    <row r="428" spans="1:3" thickBot="1">
      <c r="A428" s="221"/>
      <c r="B428" s="221"/>
      <c r="C428" s="212"/>
    </row>
    <row r="429" spans="1:3" thickBot="1">
      <c r="A429" s="221"/>
      <c r="B429" s="221"/>
      <c r="C429" s="212"/>
    </row>
    <row r="430" spans="1:3" thickBot="1">
      <c r="A430" s="221"/>
      <c r="B430" s="221"/>
      <c r="C430" s="212"/>
    </row>
    <row r="431" spans="1:3" thickBot="1">
      <c r="A431" s="221"/>
      <c r="B431" s="221"/>
      <c r="C431" s="212"/>
    </row>
    <row r="432" spans="1:3" thickBot="1">
      <c r="A432" s="221"/>
      <c r="B432" s="221"/>
      <c r="C432" s="212"/>
    </row>
    <row r="433" spans="1:3" thickBot="1">
      <c r="A433" s="221"/>
      <c r="B433" s="221"/>
      <c r="C433" s="212"/>
    </row>
    <row r="434" spans="1:3" thickBot="1">
      <c r="A434" s="221"/>
      <c r="B434" s="221"/>
      <c r="C434" s="212"/>
    </row>
    <row r="435" spans="1:3" thickBot="1">
      <c r="A435" s="221"/>
      <c r="B435" s="221"/>
      <c r="C435" s="212"/>
    </row>
    <row r="436" spans="1:3" thickBot="1">
      <c r="A436" s="221"/>
      <c r="B436" s="221"/>
      <c r="C436" s="212"/>
    </row>
    <row r="437" spans="1:3" thickBot="1">
      <c r="A437" s="221"/>
      <c r="B437" s="221"/>
      <c r="C437" s="212"/>
    </row>
    <row r="438" spans="1:3" thickBot="1">
      <c r="A438" s="221"/>
      <c r="B438" s="221"/>
      <c r="C438" s="212"/>
    </row>
    <row r="439" spans="1:3" thickBot="1">
      <c r="A439" s="221"/>
      <c r="B439" s="221"/>
      <c r="C439" s="212"/>
    </row>
    <row r="440" spans="1:3" thickBot="1">
      <c r="A440" s="221"/>
      <c r="B440" s="221"/>
      <c r="C440" s="212"/>
    </row>
    <row r="441" spans="1:3" thickBot="1">
      <c r="A441" s="221"/>
      <c r="B441" s="221"/>
      <c r="C441" s="212"/>
    </row>
    <row r="442" spans="1:3" thickBot="1">
      <c r="A442" s="221"/>
      <c r="B442" s="221"/>
      <c r="C442" s="212"/>
    </row>
    <row r="443" spans="1:3" thickBot="1">
      <c r="A443" s="221"/>
      <c r="B443" s="221"/>
      <c r="C443" s="212"/>
    </row>
    <row r="444" spans="1:3" thickBot="1">
      <c r="A444" s="221"/>
      <c r="B444" s="221"/>
      <c r="C444" s="212"/>
    </row>
    <row r="445" spans="1:3" thickBot="1">
      <c r="A445" s="221"/>
      <c r="B445" s="221"/>
      <c r="C445" s="212"/>
    </row>
    <row r="446" spans="1:3" thickBot="1">
      <c r="A446" s="221"/>
      <c r="B446" s="221"/>
      <c r="C446" s="212"/>
    </row>
    <row r="447" spans="1:3" thickBot="1">
      <c r="A447" s="221"/>
      <c r="B447" s="221"/>
      <c r="C447" s="212"/>
    </row>
    <row r="448" spans="1:3" thickBot="1">
      <c r="A448" s="221"/>
      <c r="B448" s="221"/>
      <c r="C448" s="212"/>
    </row>
    <row r="449" spans="1:3" thickBot="1">
      <c r="A449" s="221"/>
      <c r="B449" s="221"/>
      <c r="C449" s="212"/>
    </row>
    <row r="450" spans="1:3" thickBot="1">
      <c r="A450" s="221"/>
      <c r="B450" s="221"/>
      <c r="C450" s="212"/>
    </row>
    <row r="451" spans="1:3" thickBot="1">
      <c r="A451" s="221"/>
      <c r="B451" s="221"/>
      <c r="C451" s="212"/>
    </row>
    <row r="452" spans="1:3" thickBot="1">
      <c r="A452" s="221"/>
      <c r="B452" s="221"/>
      <c r="C452" s="212"/>
    </row>
    <row r="453" spans="1:3" thickBot="1">
      <c r="A453" s="221"/>
      <c r="B453" s="221"/>
      <c r="C453" s="212"/>
    </row>
    <row r="454" spans="1:3" thickBot="1">
      <c r="A454" s="221"/>
      <c r="B454" s="221"/>
      <c r="C454" s="212"/>
    </row>
    <row r="455" spans="1:3" thickBot="1">
      <c r="A455" s="221"/>
      <c r="B455" s="221"/>
      <c r="C455" s="212"/>
    </row>
    <row r="456" spans="1:3" thickBot="1">
      <c r="A456" s="221"/>
      <c r="B456" s="221"/>
      <c r="C456" s="212"/>
    </row>
    <row r="457" spans="1:3" thickBot="1">
      <c r="A457" s="221"/>
      <c r="B457" s="221"/>
      <c r="C457" s="212"/>
    </row>
    <row r="458" spans="1:3" thickBot="1">
      <c r="A458" s="221"/>
      <c r="B458" s="221"/>
      <c r="C458" s="212"/>
    </row>
    <row r="459" spans="1:3" thickBot="1">
      <c r="A459" s="221"/>
      <c r="B459" s="221"/>
      <c r="C459" s="212"/>
    </row>
    <row r="460" spans="1:3" thickBot="1">
      <c r="A460" s="221"/>
      <c r="B460" s="221"/>
      <c r="C460" s="212"/>
    </row>
    <row r="461" spans="1:3" thickBot="1">
      <c r="A461" s="221"/>
      <c r="B461" s="221"/>
      <c r="C461" s="212"/>
    </row>
    <row r="462" spans="1:3" thickBot="1">
      <c r="A462" s="221"/>
      <c r="B462" s="221"/>
      <c r="C462" s="212"/>
    </row>
    <row r="463" spans="1:3" thickBot="1">
      <c r="A463" s="221"/>
      <c r="B463" s="221"/>
      <c r="C463" s="212"/>
    </row>
    <row r="464" spans="1:3" thickBot="1">
      <c r="A464" s="221"/>
      <c r="B464" s="221"/>
      <c r="C464" s="212"/>
    </row>
    <row r="465" spans="1:3" thickBot="1">
      <c r="A465" s="221"/>
      <c r="B465" s="221"/>
      <c r="C465" s="212"/>
    </row>
    <row r="466" spans="1:3" thickBot="1">
      <c r="A466" s="221"/>
      <c r="B466" s="221"/>
      <c r="C466" s="212"/>
    </row>
    <row r="467" spans="1:3" thickBot="1">
      <c r="A467" s="221"/>
      <c r="B467" s="221"/>
      <c r="C467" s="212"/>
    </row>
    <row r="468" spans="1:3" thickBot="1">
      <c r="A468" s="221"/>
      <c r="B468" s="221"/>
      <c r="C468" s="212"/>
    </row>
    <row r="469" spans="1:3" thickBot="1">
      <c r="A469" s="221"/>
      <c r="B469" s="221"/>
      <c r="C469" s="212"/>
    </row>
    <row r="470" spans="1:3" thickBot="1">
      <c r="A470" s="221"/>
      <c r="B470" s="221"/>
      <c r="C470" s="212"/>
    </row>
    <row r="471" spans="1:3" thickBot="1">
      <c r="A471" s="221"/>
      <c r="B471" s="221"/>
      <c r="C471" s="212"/>
    </row>
    <row r="472" spans="1:3" thickBot="1">
      <c r="A472" s="221"/>
      <c r="B472" s="221"/>
      <c r="C472" s="212"/>
    </row>
    <row r="473" spans="1:3" thickBot="1">
      <c r="A473" s="221"/>
      <c r="B473" s="221"/>
      <c r="C473" s="212"/>
    </row>
    <row r="474" spans="1:3" thickBot="1">
      <c r="A474" s="221"/>
      <c r="B474" s="221"/>
      <c r="C474" s="212"/>
    </row>
    <row r="475" spans="1:3" thickBot="1">
      <c r="A475" s="221"/>
      <c r="B475" s="221"/>
      <c r="C475" s="212"/>
    </row>
    <row r="476" spans="1:3" thickBot="1">
      <c r="A476" s="221"/>
      <c r="B476" s="221"/>
      <c r="C476" s="212"/>
    </row>
    <row r="477" spans="1:3" thickBot="1">
      <c r="A477" s="221"/>
      <c r="B477" s="221"/>
      <c r="C477" s="212"/>
    </row>
    <row r="478" spans="1:3" thickBot="1">
      <c r="A478" s="221"/>
      <c r="B478" s="221"/>
      <c r="C478" s="212"/>
    </row>
    <row r="479" spans="1:3" thickBot="1">
      <c r="A479" s="221"/>
      <c r="B479" s="221"/>
      <c r="C479" s="212"/>
    </row>
    <row r="480" spans="1:3" thickBot="1">
      <c r="A480" s="221"/>
      <c r="B480" s="221"/>
      <c r="C480" s="212"/>
    </row>
    <row r="481" spans="1:3" thickBot="1">
      <c r="A481" s="221"/>
      <c r="B481" s="221"/>
      <c r="C481" s="212"/>
    </row>
    <row r="482" spans="1:3" thickBot="1">
      <c r="A482" s="221"/>
      <c r="B482" s="221"/>
      <c r="C482" s="212"/>
    </row>
    <row r="483" spans="1:3" thickBot="1">
      <c r="A483" s="221"/>
      <c r="B483" s="221"/>
      <c r="C483" s="212"/>
    </row>
    <row r="484" spans="1:3" thickBot="1">
      <c r="A484" s="221"/>
      <c r="B484" s="221"/>
      <c r="C484" s="212"/>
    </row>
    <row r="485" spans="1:3" thickBot="1">
      <c r="A485" s="221"/>
      <c r="B485" s="221"/>
      <c r="C485" s="212"/>
    </row>
    <row r="486" spans="1:3" thickBot="1">
      <c r="A486" s="221"/>
      <c r="B486" s="221"/>
      <c r="C486" s="212"/>
    </row>
    <row r="487" spans="1:3" thickBot="1">
      <c r="A487" s="221"/>
      <c r="B487" s="221"/>
      <c r="C487" s="212"/>
    </row>
    <row r="488" spans="1:3" thickBot="1">
      <c r="A488" s="221"/>
      <c r="B488" s="221"/>
      <c r="C488" s="212"/>
    </row>
    <row r="489" spans="1:3" thickBot="1">
      <c r="A489" s="221"/>
      <c r="B489" s="221"/>
      <c r="C489" s="212"/>
    </row>
    <row r="490" spans="1:3" thickBot="1">
      <c r="A490" s="221"/>
      <c r="B490" s="221"/>
      <c r="C490" s="212"/>
    </row>
    <row r="491" spans="1:3" thickBot="1">
      <c r="A491" s="221"/>
      <c r="B491" s="221"/>
      <c r="C491" s="212"/>
    </row>
    <row r="492" spans="1:3" thickBot="1">
      <c r="A492" s="221"/>
      <c r="B492" s="221"/>
      <c r="C492" s="212"/>
    </row>
    <row r="493" spans="1:3" thickBot="1">
      <c r="A493" s="221"/>
      <c r="B493" s="221"/>
      <c r="C493" s="212"/>
    </row>
    <row r="494" spans="1:3" thickBot="1">
      <c r="A494" s="221"/>
      <c r="B494" s="221"/>
      <c r="C494" s="212"/>
    </row>
    <row r="495" spans="1:3" thickBot="1">
      <c r="A495" s="221"/>
      <c r="B495" s="221"/>
      <c r="C495" s="212"/>
    </row>
    <row r="496" spans="1:3" thickBot="1">
      <c r="A496" s="221"/>
      <c r="B496" s="221"/>
      <c r="C496" s="212"/>
    </row>
    <row r="497" spans="1:3" thickBot="1">
      <c r="A497" s="221"/>
      <c r="B497" s="221"/>
      <c r="C497" s="212"/>
    </row>
    <row r="498" spans="1:3" thickBot="1">
      <c r="A498" s="221"/>
      <c r="B498" s="221"/>
      <c r="C498" s="212"/>
    </row>
    <row r="499" spans="1:3" thickBot="1">
      <c r="A499" s="221"/>
      <c r="B499" s="221"/>
      <c r="C499" s="212"/>
    </row>
    <row r="500" spans="1:3" thickBot="1">
      <c r="A500" s="221"/>
      <c r="B500" s="221"/>
      <c r="C500" s="212"/>
    </row>
    <row r="501" spans="1:3" thickBot="1">
      <c r="A501" s="221"/>
      <c r="B501" s="221"/>
      <c r="C501" s="212"/>
    </row>
    <row r="502" spans="1:3" thickBot="1">
      <c r="A502" s="221"/>
      <c r="B502" s="221"/>
      <c r="C502" s="212"/>
    </row>
    <row r="503" spans="1:3" thickBot="1">
      <c r="A503" s="221"/>
      <c r="B503" s="221"/>
      <c r="C503" s="212"/>
    </row>
    <row r="504" spans="1:3" thickBot="1">
      <c r="A504" s="221"/>
      <c r="B504" s="221"/>
      <c r="C504" s="212"/>
    </row>
    <row r="505" spans="1:3" thickBot="1">
      <c r="A505" s="221"/>
      <c r="B505" s="221"/>
      <c r="C505" s="212"/>
    </row>
    <row r="506" spans="1:3" thickBot="1">
      <c r="A506" s="221"/>
      <c r="B506" s="221"/>
      <c r="C506" s="212"/>
    </row>
    <row r="507" spans="1:3" thickBot="1">
      <c r="A507" s="221"/>
      <c r="B507" s="221"/>
      <c r="C507" s="212"/>
    </row>
    <row r="508" spans="1:3" thickBot="1">
      <c r="A508" s="221"/>
      <c r="B508" s="221"/>
      <c r="C508" s="212"/>
    </row>
    <row r="509" spans="1:3" thickBot="1">
      <c r="A509" s="221"/>
      <c r="B509" s="221"/>
      <c r="C509" s="212"/>
    </row>
    <row r="510" spans="1:3" thickBot="1">
      <c r="A510" s="221"/>
      <c r="B510" s="221"/>
      <c r="C510" s="212"/>
    </row>
    <row r="511" spans="1:3" thickBot="1">
      <c r="A511" s="221"/>
      <c r="B511" s="221"/>
      <c r="C511" s="212"/>
    </row>
    <row r="512" spans="1:3" thickBot="1">
      <c r="A512" s="221"/>
      <c r="B512" s="221"/>
      <c r="C512" s="212"/>
    </row>
    <row r="513" spans="1:3" thickBot="1">
      <c r="A513" s="221"/>
      <c r="B513" s="221"/>
      <c r="C513" s="212"/>
    </row>
    <row r="514" spans="1:3" thickBot="1">
      <c r="A514" s="221"/>
      <c r="B514" s="221"/>
      <c r="C514" s="212"/>
    </row>
    <row r="515" spans="1:3" thickBot="1">
      <c r="A515" s="221"/>
      <c r="B515" s="221"/>
      <c r="C515" s="212"/>
    </row>
    <row r="516" spans="1:3" thickBot="1">
      <c r="A516" s="221"/>
      <c r="B516" s="221"/>
      <c r="C516" s="212"/>
    </row>
    <row r="517" spans="1:3" thickBot="1">
      <c r="A517" s="221"/>
      <c r="B517" s="221"/>
      <c r="C517" s="212"/>
    </row>
    <row r="518" spans="1:3" thickBot="1">
      <c r="A518" s="221"/>
      <c r="B518" s="221"/>
      <c r="C518" s="212"/>
    </row>
    <row r="519" spans="1:3" thickBot="1">
      <c r="A519" s="221"/>
      <c r="B519" s="221"/>
      <c r="C519" s="212"/>
    </row>
    <row r="520" spans="1:3" thickBot="1">
      <c r="A520" s="221"/>
      <c r="B520" s="221"/>
      <c r="C520" s="212"/>
    </row>
    <row r="521" spans="1:3" thickBot="1">
      <c r="A521" s="221"/>
      <c r="B521" s="221"/>
      <c r="C521" s="212"/>
    </row>
    <row r="522" spans="1:3" thickBot="1">
      <c r="A522" s="221"/>
      <c r="B522" s="221"/>
      <c r="C522" s="212"/>
    </row>
    <row r="523" spans="1:3" thickBot="1">
      <c r="A523" s="221"/>
      <c r="B523" s="221"/>
      <c r="C523" s="212"/>
    </row>
    <row r="524" spans="1:3" thickBot="1">
      <c r="A524" s="221"/>
      <c r="B524" s="221"/>
      <c r="C524" s="212"/>
    </row>
    <row r="525" spans="1:3" thickBot="1">
      <c r="A525" s="221"/>
      <c r="B525" s="221"/>
      <c r="C525" s="212"/>
    </row>
    <row r="526" spans="1:3" thickBot="1">
      <c r="A526" s="221"/>
      <c r="B526" s="221"/>
      <c r="C526" s="212"/>
    </row>
    <row r="527" spans="1:3" thickBot="1">
      <c r="A527" s="221"/>
      <c r="B527" s="221"/>
      <c r="C527" s="212"/>
    </row>
    <row r="528" spans="1:3" thickBot="1">
      <c r="A528" s="221"/>
      <c r="B528" s="221"/>
      <c r="C528" s="212"/>
    </row>
    <row r="529" spans="1:3" thickBot="1">
      <c r="A529" s="221"/>
      <c r="B529" s="221"/>
      <c r="C529" s="212"/>
    </row>
    <row r="530" spans="1:3" thickBot="1">
      <c r="A530" s="221"/>
      <c r="B530" s="221"/>
      <c r="C530" s="212"/>
    </row>
    <row r="531" spans="1:3" thickBot="1">
      <c r="A531" s="221"/>
      <c r="B531" s="221"/>
      <c r="C531" s="212"/>
    </row>
    <row r="532" spans="1:3" thickBot="1">
      <c r="A532" s="221"/>
      <c r="B532" s="221"/>
      <c r="C532" s="212"/>
    </row>
    <row r="533" spans="1:3" thickBot="1">
      <c r="A533" s="221"/>
      <c r="B533" s="221"/>
      <c r="C533" s="212"/>
    </row>
    <row r="534" spans="1:3" thickBot="1">
      <c r="A534" s="221"/>
      <c r="B534" s="221"/>
      <c r="C534" s="212"/>
    </row>
    <row r="535" spans="1:3" thickBot="1">
      <c r="A535" s="221"/>
      <c r="B535" s="221"/>
      <c r="C535" s="212"/>
    </row>
    <row r="536" spans="1:3" thickBot="1">
      <c r="A536" s="221"/>
      <c r="B536" s="221"/>
      <c r="C536" s="212"/>
    </row>
    <row r="537" spans="1:3" thickBot="1">
      <c r="A537" s="221"/>
      <c r="B537" s="221"/>
      <c r="C537" s="212"/>
    </row>
    <row r="538" spans="1:3" thickBot="1">
      <c r="A538" s="221"/>
      <c r="B538" s="221"/>
      <c r="C538" s="212"/>
    </row>
    <row r="539" spans="1:3" thickBot="1">
      <c r="A539" s="221"/>
      <c r="B539" s="221"/>
      <c r="C539" s="212"/>
    </row>
    <row r="540" spans="1:3" thickBot="1">
      <c r="A540" s="221"/>
      <c r="B540" s="221"/>
      <c r="C540" s="212"/>
    </row>
    <row r="541" spans="1:3" thickBot="1">
      <c r="A541" s="221"/>
      <c r="B541" s="221"/>
      <c r="C541" s="212"/>
    </row>
    <row r="542" spans="1:3" thickBot="1">
      <c r="A542" s="221"/>
      <c r="B542" s="221"/>
      <c r="C542" s="212"/>
    </row>
    <row r="543" spans="1:3" thickBot="1">
      <c r="A543" s="221"/>
      <c r="B543" s="221"/>
      <c r="C543" s="212"/>
    </row>
    <row r="544" spans="1:3" thickBot="1">
      <c r="A544" s="221"/>
      <c r="B544" s="221"/>
      <c r="C544" s="212"/>
    </row>
    <row r="545" spans="1:3" thickBot="1">
      <c r="A545" s="221"/>
      <c r="B545" s="221"/>
      <c r="C545" s="212"/>
    </row>
    <row r="546" spans="1:3" thickBot="1">
      <c r="A546" s="221"/>
      <c r="B546" s="221"/>
      <c r="C546" s="212"/>
    </row>
    <row r="547" spans="1:3" thickBot="1">
      <c r="A547" s="221"/>
      <c r="B547" s="221"/>
      <c r="C547" s="212"/>
    </row>
    <row r="548" spans="1:3" thickBot="1">
      <c r="A548" s="221"/>
      <c r="B548" s="221"/>
      <c r="C548" s="212"/>
    </row>
    <row r="549" spans="1:3" thickBot="1">
      <c r="A549" s="221"/>
      <c r="B549" s="221"/>
      <c r="C549" s="212"/>
    </row>
    <row r="550" spans="1:3" thickBot="1">
      <c r="A550" s="221"/>
      <c r="B550" s="221"/>
      <c r="C550" s="212"/>
    </row>
    <row r="551" spans="1:3" thickBot="1">
      <c r="A551" s="221"/>
      <c r="B551" s="221"/>
      <c r="C551" s="212"/>
    </row>
    <row r="552" spans="1:3" thickBot="1">
      <c r="A552" s="221"/>
      <c r="B552" s="221"/>
      <c r="C552" s="212"/>
    </row>
    <row r="553" spans="1:3" thickBot="1">
      <c r="A553" s="221"/>
      <c r="B553" s="221"/>
      <c r="C553" s="212"/>
    </row>
    <row r="554" spans="1:3" thickBot="1">
      <c r="A554" s="221"/>
      <c r="B554" s="221"/>
      <c r="C554" s="212"/>
    </row>
    <row r="555" spans="1:3" thickBot="1">
      <c r="A555" s="221"/>
      <c r="B555" s="221"/>
      <c r="C555" s="212"/>
    </row>
    <row r="556" spans="1:3" thickBot="1">
      <c r="A556" s="221"/>
      <c r="B556" s="221"/>
      <c r="C556" s="212"/>
    </row>
    <row r="557" spans="1:3" thickBot="1">
      <c r="A557" s="221"/>
      <c r="B557" s="221"/>
      <c r="C557" s="212"/>
    </row>
    <row r="558" spans="1:3" thickBot="1">
      <c r="A558" s="221"/>
      <c r="B558" s="221"/>
      <c r="C558" s="212"/>
    </row>
    <row r="559" spans="1:3" thickBot="1">
      <c r="A559" s="221"/>
      <c r="B559" s="221"/>
      <c r="C559" s="212"/>
    </row>
    <row r="560" spans="1:3" thickBot="1">
      <c r="A560" s="221"/>
      <c r="B560" s="221"/>
      <c r="C560" s="212"/>
    </row>
    <row r="561" spans="1:3" thickBot="1">
      <c r="A561" s="221"/>
      <c r="B561" s="221"/>
      <c r="C561" s="212"/>
    </row>
    <row r="562" spans="1:3" thickBot="1">
      <c r="A562" s="221"/>
      <c r="B562" s="221"/>
      <c r="C562" s="212"/>
    </row>
    <row r="563" spans="1:3" thickBot="1">
      <c r="A563" s="221"/>
      <c r="B563" s="221"/>
      <c r="C563" s="212"/>
    </row>
    <row r="564" spans="1:3" thickBot="1">
      <c r="A564" s="221"/>
      <c r="B564" s="221"/>
      <c r="C564" s="212"/>
    </row>
    <row r="565" spans="1:3" thickBot="1">
      <c r="A565" s="221"/>
      <c r="B565" s="221"/>
      <c r="C565" s="212"/>
    </row>
    <row r="566" spans="1:3" thickBot="1">
      <c r="A566" s="221"/>
      <c r="B566" s="221"/>
      <c r="C566" s="212"/>
    </row>
    <row r="567" spans="1:3" thickBot="1">
      <c r="A567" s="221"/>
      <c r="B567" s="221"/>
      <c r="C567" s="212"/>
    </row>
    <row r="568" spans="1:3" thickBot="1">
      <c r="A568" s="221"/>
      <c r="B568" s="221"/>
      <c r="C568" s="212"/>
    </row>
    <row r="569" spans="1:3" thickBot="1">
      <c r="A569" s="221"/>
      <c r="B569" s="221"/>
      <c r="C569" s="212"/>
    </row>
    <row r="570" spans="1:3" thickBot="1">
      <c r="A570" s="221"/>
      <c r="B570" s="221"/>
      <c r="C570" s="212"/>
    </row>
    <row r="571" spans="1:3" thickBot="1">
      <c r="A571" s="221"/>
      <c r="B571" s="221"/>
      <c r="C571" s="212"/>
    </row>
    <row r="572" spans="1:3" thickBot="1">
      <c r="A572" s="221"/>
      <c r="B572" s="221"/>
      <c r="C572" s="212"/>
    </row>
    <row r="573" spans="1:3" ht="18.75"/>
    <row r="574" spans="1:3" ht="18.75"/>
    <row r="575" spans="1:3" ht="18.75"/>
    <row r="576" spans="1:3" ht="18.75"/>
  </sheetData>
  <mergeCells count="21">
    <mergeCell ref="A133:F133"/>
    <mergeCell ref="A175:F175"/>
    <mergeCell ref="A204:F204"/>
    <mergeCell ref="A91:B91"/>
    <mergeCell ref="A219:F219"/>
    <mergeCell ref="A183:B183"/>
    <mergeCell ref="A198:B198"/>
    <mergeCell ref="A205:B205"/>
    <mergeCell ref="A208:B208"/>
    <mergeCell ref="A121:B121"/>
    <mergeCell ref="A134:B134"/>
    <mergeCell ref="A212:B212"/>
    <mergeCell ref="A3:F3"/>
    <mergeCell ref="A7:F7"/>
    <mergeCell ref="A23:F23"/>
    <mergeCell ref="A39:F39"/>
    <mergeCell ref="A120:F120"/>
    <mergeCell ref="A20:B20"/>
    <mergeCell ref="A36:B36"/>
    <mergeCell ref="A102:B102"/>
    <mergeCell ref="A115:B115"/>
  </mergeCells>
  <pageMargins left="0.7" right="0.7" top="0.75" bottom="0.75" header="0.3" footer="0.3"/>
  <pageSetup paperSize="9" scale="41" orientation="portrait" horizontalDpi="300" verticalDpi="300" r:id="rId1"/>
  <rowBreaks count="4" manualBreakCount="4">
    <brk id="64" max="5" man="1"/>
    <brk id="117" max="5" man="1"/>
    <brk id="172" max="5" man="1"/>
    <brk id="216" max="5" man="1"/>
  </rowBreaks>
  <colBreaks count="1" manualBreakCount="1">
    <brk id="43" max="8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CH140"/>
  <sheetViews>
    <sheetView tabSelected="1" view="pageBreakPreview" topLeftCell="A13" zoomScale="82" zoomScaleSheetLayoutView="82" workbookViewId="0">
      <selection activeCell="A2" sqref="A2"/>
    </sheetView>
  </sheetViews>
  <sheetFormatPr defaultRowHeight="15"/>
  <cols>
    <col min="1" max="1" width="46.7109375" customWidth="1"/>
    <col min="2" max="3" width="15.140625" customWidth="1"/>
    <col min="4" max="4" width="14.42578125" customWidth="1"/>
    <col min="5" max="5" width="12" style="491" customWidth="1"/>
    <col min="6" max="7" width="13" customWidth="1"/>
    <col min="8" max="8" width="12" customWidth="1"/>
    <col min="9" max="9" width="15" style="491" customWidth="1"/>
    <col min="10" max="12" width="14.28515625" customWidth="1"/>
    <col min="13" max="13" width="12" style="491" customWidth="1"/>
    <col min="14" max="16" width="12" customWidth="1"/>
    <col min="17" max="17" width="12" style="491" customWidth="1"/>
    <col min="18" max="20" width="12" customWidth="1"/>
    <col min="21" max="21" width="12" style="491" customWidth="1"/>
    <col min="22" max="24" width="12" customWidth="1"/>
    <col min="25" max="25" width="12" style="491" customWidth="1"/>
    <col min="26" max="28" width="12" customWidth="1"/>
    <col min="29" max="29" width="12" style="491" customWidth="1"/>
    <col min="30" max="32" width="12" customWidth="1"/>
    <col min="33" max="33" width="12" style="491" customWidth="1"/>
    <col min="34" max="35" width="17.28515625" customWidth="1"/>
    <col min="36" max="36" width="14.5703125" customWidth="1"/>
    <col min="37" max="37" width="12" style="491" customWidth="1"/>
    <col min="38" max="40" width="12" customWidth="1"/>
    <col min="41" max="41" width="12" style="491" customWidth="1"/>
    <col min="42" max="43" width="15.140625" customWidth="1"/>
    <col min="44" max="44" width="14.28515625" customWidth="1"/>
    <col min="45" max="45" width="12" style="491" customWidth="1"/>
    <col min="46" max="48" width="13" customWidth="1"/>
  </cols>
  <sheetData>
    <row r="1" spans="1:86" s="9" customFormat="1" ht="16.5" customHeight="1">
      <c r="A1" s="552" t="s">
        <v>424</v>
      </c>
      <c r="E1" s="479"/>
      <c r="I1" s="479"/>
      <c r="M1" s="479"/>
      <c r="Q1" s="479"/>
      <c r="U1" s="479"/>
      <c r="Y1" s="479" t="s">
        <v>405</v>
      </c>
      <c r="AC1" s="479"/>
      <c r="AG1" s="479"/>
      <c r="AK1" s="479"/>
      <c r="AO1" s="479"/>
      <c r="AS1" s="479" t="s">
        <v>406</v>
      </c>
    </row>
    <row r="2" spans="1:86" s="36" customFormat="1" ht="6.75" customHeight="1">
      <c r="A2" s="34"/>
      <c r="E2" s="480"/>
      <c r="I2" s="480"/>
      <c r="M2" s="480"/>
      <c r="Q2" s="480"/>
      <c r="U2" s="480"/>
      <c r="Y2" s="480"/>
      <c r="AC2" s="480"/>
      <c r="AG2" s="480"/>
      <c r="AK2" s="480"/>
      <c r="AO2" s="480"/>
      <c r="AS2" s="480"/>
    </row>
    <row r="3" spans="1:86" s="36" customFormat="1" ht="6.75" customHeight="1">
      <c r="A3" s="34"/>
      <c r="E3" s="480"/>
      <c r="I3" s="480"/>
      <c r="M3" s="480"/>
      <c r="Q3" s="480"/>
      <c r="U3" s="480"/>
      <c r="Y3" s="480"/>
      <c r="AC3" s="480"/>
      <c r="AG3" s="480"/>
      <c r="AK3" s="480"/>
      <c r="AO3" s="480"/>
      <c r="AS3" s="480"/>
    </row>
    <row r="4" spans="1:86" s="67" customFormat="1" ht="37.5" customHeight="1">
      <c r="A4" s="668" t="s">
        <v>407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 t="s">
        <v>407</v>
      </c>
      <c r="AA4" s="669"/>
      <c r="AB4" s="669"/>
      <c r="AC4" s="669"/>
      <c r="AD4" s="669"/>
      <c r="AE4" s="669"/>
      <c r="AF4" s="669"/>
      <c r="AG4" s="669"/>
      <c r="AH4" s="669"/>
      <c r="AI4" s="669"/>
      <c r="AJ4" s="669"/>
      <c r="AK4" s="669"/>
      <c r="AL4" s="669"/>
      <c r="AM4" s="669"/>
      <c r="AN4" s="669"/>
      <c r="AO4" s="669"/>
      <c r="AP4" s="669"/>
      <c r="AQ4" s="669"/>
      <c r="AR4" s="669"/>
      <c r="AS4" s="669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</row>
    <row r="5" spans="1:86" ht="15.75">
      <c r="A5" s="407"/>
      <c r="B5" s="407"/>
      <c r="C5" s="407"/>
      <c r="D5" s="407"/>
      <c r="E5" s="481"/>
      <c r="F5" s="407"/>
      <c r="G5" s="407"/>
      <c r="H5" s="407"/>
      <c r="I5" s="481"/>
      <c r="J5" s="407"/>
      <c r="K5" s="407"/>
      <c r="L5" s="407"/>
      <c r="M5" s="481"/>
      <c r="N5" s="407"/>
      <c r="O5" s="407"/>
      <c r="P5" s="407"/>
      <c r="Q5" s="481"/>
      <c r="R5" s="407"/>
      <c r="S5" s="407"/>
      <c r="T5" s="407"/>
      <c r="U5" s="481"/>
      <c r="V5" s="407"/>
      <c r="W5" s="407"/>
      <c r="X5" s="407"/>
      <c r="Y5" s="481"/>
      <c r="Z5" s="407"/>
      <c r="AA5" s="407"/>
      <c r="AB5" s="407"/>
      <c r="AC5" s="481"/>
      <c r="AD5" s="407"/>
      <c r="AE5" s="407"/>
      <c r="AF5" s="407"/>
      <c r="AG5" s="481"/>
      <c r="AH5" s="407"/>
      <c r="AI5" s="407"/>
      <c r="AJ5" s="407"/>
      <c r="AK5" s="481"/>
      <c r="AL5" s="407"/>
      <c r="AM5" s="407"/>
      <c r="AN5" s="407"/>
      <c r="AO5" s="481"/>
      <c r="AP5" s="407"/>
      <c r="AQ5" s="407"/>
      <c r="AR5" s="407"/>
      <c r="AS5" s="481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</row>
    <row r="6" spans="1:86" ht="16.5" thickBot="1">
      <c r="A6" s="407"/>
      <c r="B6" s="407"/>
      <c r="C6" s="407"/>
      <c r="D6" s="407"/>
      <c r="E6" s="481"/>
      <c r="F6" s="407"/>
      <c r="G6" s="407"/>
      <c r="H6" s="407"/>
      <c r="I6" s="481"/>
      <c r="J6" s="407"/>
      <c r="K6" s="407"/>
      <c r="L6" s="407"/>
      <c r="M6" s="481"/>
      <c r="N6" s="407"/>
      <c r="O6" s="407"/>
      <c r="P6" s="407"/>
      <c r="Q6" s="481"/>
      <c r="R6" s="407"/>
      <c r="S6" s="407"/>
      <c r="T6" s="407"/>
      <c r="U6" s="481"/>
      <c r="V6" s="407"/>
      <c r="W6" s="407"/>
      <c r="X6" s="407"/>
      <c r="Y6" s="481"/>
      <c r="Z6" s="407"/>
      <c r="AA6" s="407"/>
      <c r="AB6" s="407"/>
      <c r="AC6" s="481"/>
      <c r="AD6" s="407"/>
      <c r="AE6" s="407"/>
      <c r="AF6" s="407"/>
      <c r="AG6" s="481"/>
      <c r="AH6" s="407"/>
      <c r="AI6" s="407"/>
      <c r="AJ6" s="407"/>
      <c r="AK6" s="481"/>
      <c r="AL6" s="651"/>
      <c r="AM6" s="651"/>
      <c r="AN6" s="651"/>
      <c r="AO6" s="651"/>
      <c r="AP6" s="651"/>
      <c r="AQ6" s="478"/>
      <c r="AR6" s="478"/>
      <c r="AS6" s="482" t="s">
        <v>4</v>
      </c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</row>
    <row r="7" spans="1:86" s="364" customFormat="1" ht="13.5" customHeight="1" thickBot="1">
      <c r="A7" s="630" t="s">
        <v>165</v>
      </c>
      <c r="B7" s="633" t="s">
        <v>66</v>
      </c>
      <c r="C7" s="634"/>
      <c r="D7" s="634"/>
      <c r="E7" s="635"/>
      <c r="F7" s="633" t="s">
        <v>67</v>
      </c>
      <c r="G7" s="634"/>
      <c r="H7" s="634"/>
      <c r="I7" s="635"/>
      <c r="J7" s="633" t="s">
        <v>68</v>
      </c>
      <c r="K7" s="634"/>
      <c r="L7" s="634"/>
      <c r="M7" s="635"/>
      <c r="N7" s="633" t="s">
        <v>69</v>
      </c>
      <c r="O7" s="634"/>
      <c r="P7" s="634"/>
      <c r="Q7" s="635"/>
      <c r="R7" s="633" t="s">
        <v>70</v>
      </c>
      <c r="S7" s="634"/>
      <c r="T7" s="634"/>
      <c r="U7" s="635"/>
      <c r="V7" s="633" t="s">
        <v>71</v>
      </c>
      <c r="W7" s="634"/>
      <c r="X7" s="634"/>
      <c r="Y7" s="635"/>
      <c r="Z7" s="633" t="s">
        <v>72</v>
      </c>
      <c r="AA7" s="634"/>
      <c r="AB7" s="634"/>
      <c r="AC7" s="635"/>
      <c r="AD7" s="633" t="s">
        <v>73</v>
      </c>
      <c r="AE7" s="634"/>
      <c r="AF7" s="634"/>
      <c r="AG7" s="635"/>
      <c r="AH7" s="647">
        <v>3</v>
      </c>
      <c r="AI7" s="647"/>
      <c r="AJ7" s="647"/>
      <c r="AK7" s="647"/>
      <c r="AL7" s="647"/>
      <c r="AM7" s="647"/>
      <c r="AN7" s="647"/>
      <c r="AO7" s="647"/>
      <c r="AP7" s="647"/>
      <c r="AQ7" s="647"/>
      <c r="AR7" s="647"/>
      <c r="AS7" s="647"/>
      <c r="AT7" s="379"/>
      <c r="AU7" s="363"/>
      <c r="AV7" s="363"/>
      <c r="AW7" s="363"/>
      <c r="AX7" s="363"/>
      <c r="AY7" s="363"/>
      <c r="AZ7" s="363"/>
      <c r="BA7" s="363"/>
      <c r="BB7" s="363"/>
      <c r="BC7" s="363"/>
      <c r="BD7" s="363"/>
      <c r="BE7" s="363"/>
      <c r="BF7" s="363"/>
      <c r="BG7" s="363"/>
      <c r="BH7" s="363"/>
      <c r="BI7" s="363"/>
      <c r="BJ7" s="363"/>
      <c r="BK7" s="363"/>
      <c r="BL7" s="363"/>
      <c r="BM7" s="363"/>
      <c r="BN7" s="363"/>
      <c r="BO7" s="363"/>
      <c r="BP7" s="363"/>
      <c r="BQ7" s="363"/>
      <c r="BR7" s="363"/>
      <c r="BS7" s="363"/>
      <c r="BT7" s="363"/>
      <c r="BU7" s="363"/>
      <c r="BV7" s="363"/>
      <c r="BW7" s="363"/>
      <c r="BX7" s="363"/>
      <c r="BY7" s="363"/>
      <c r="BZ7" s="363"/>
      <c r="CA7" s="363"/>
      <c r="CB7" s="363"/>
      <c r="CC7" s="363"/>
      <c r="CD7" s="363"/>
      <c r="CE7" s="363"/>
      <c r="CF7" s="363"/>
      <c r="CG7" s="363"/>
      <c r="CH7" s="363"/>
    </row>
    <row r="8" spans="1:86" s="366" customFormat="1" ht="29.25" customHeight="1" thickBot="1">
      <c r="A8" s="631"/>
      <c r="B8" s="638" t="s">
        <v>41</v>
      </c>
      <c r="C8" s="639"/>
      <c r="D8" s="639"/>
      <c r="E8" s="640"/>
      <c r="F8" s="638" t="s">
        <v>42</v>
      </c>
      <c r="G8" s="639"/>
      <c r="H8" s="639"/>
      <c r="I8" s="640"/>
      <c r="J8" s="638" t="s">
        <v>43</v>
      </c>
      <c r="K8" s="639"/>
      <c r="L8" s="639"/>
      <c r="M8" s="640"/>
      <c r="N8" s="638" t="s">
        <v>52</v>
      </c>
      <c r="O8" s="639"/>
      <c r="P8" s="639"/>
      <c r="Q8" s="640"/>
      <c r="R8" s="638" t="s">
        <v>44</v>
      </c>
      <c r="S8" s="639"/>
      <c r="T8" s="639"/>
      <c r="U8" s="640"/>
      <c r="V8" s="638" t="s">
        <v>46</v>
      </c>
      <c r="W8" s="639"/>
      <c r="X8" s="639"/>
      <c r="Y8" s="640"/>
      <c r="Z8" s="638" t="s">
        <v>45</v>
      </c>
      <c r="AA8" s="639"/>
      <c r="AB8" s="639"/>
      <c r="AC8" s="640"/>
      <c r="AD8" s="638" t="s">
        <v>47</v>
      </c>
      <c r="AE8" s="639"/>
      <c r="AF8" s="639"/>
      <c r="AG8" s="640"/>
      <c r="AH8" s="648" t="s">
        <v>50</v>
      </c>
      <c r="AI8" s="648"/>
      <c r="AJ8" s="648"/>
      <c r="AK8" s="648"/>
      <c r="AL8" s="648"/>
      <c r="AM8" s="648"/>
      <c r="AN8" s="648"/>
      <c r="AO8" s="648"/>
      <c r="AP8" s="648"/>
      <c r="AQ8" s="648"/>
      <c r="AR8" s="648"/>
      <c r="AS8" s="648"/>
      <c r="AT8" s="380"/>
      <c r="AU8" s="365"/>
      <c r="AV8" s="365"/>
      <c r="AW8" s="365"/>
      <c r="AX8" s="365"/>
      <c r="AY8" s="365"/>
      <c r="AZ8" s="365"/>
      <c r="BA8" s="365"/>
      <c r="BB8" s="365"/>
      <c r="BC8" s="365"/>
      <c r="BD8" s="365"/>
      <c r="BE8" s="365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  <c r="CB8" s="365"/>
      <c r="CC8" s="365"/>
      <c r="CD8" s="365"/>
      <c r="CE8" s="365"/>
      <c r="CF8" s="365"/>
      <c r="CG8" s="365"/>
      <c r="CH8" s="365"/>
    </row>
    <row r="9" spans="1:86" s="366" customFormat="1" ht="12.75" hidden="1" customHeight="1" thickBot="1">
      <c r="A9" s="631"/>
      <c r="B9" s="670"/>
      <c r="C9" s="671"/>
      <c r="D9" s="671"/>
      <c r="E9" s="672"/>
      <c r="F9" s="670"/>
      <c r="G9" s="671"/>
      <c r="H9" s="671"/>
      <c r="I9" s="672"/>
      <c r="J9" s="670"/>
      <c r="K9" s="671"/>
      <c r="L9" s="671"/>
      <c r="M9" s="672"/>
      <c r="N9" s="670"/>
      <c r="O9" s="671"/>
      <c r="P9" s="671"/>
      <c r="Q9" s="672"/>
      <c r="R9" s="670"/>
      <c r="S9" s="671"/>
      <c r="T9" s="671"/>
      <c r="U9" s="672"/>
      <c r="V9" s="670"/>
      <c r="W9" s="671"/>
      <c r="X9" s="671"/>
      <c r="Y9" s="672"/>
      <c r="Z9" s="670"/>
      <c r="AA9" s="671"/>
      <c r="AB9" s="671"/>
      <c r="AC9" s="672"/>
      <c r="AD9" s="670"/>
      <c r="AE9" s="671"/>
      <c r="AF9" s="671"/>
      <c r="AG9" s="672"/>
      <c r="AH9" s="648"/>
      <c r="AI9" s="648"/>
      <c r="AJ9" s="648"/>
      <c r="AK9" s="648"/>
      <c r="AL9" s="648"/>
      <c r="AM9" s="648"/>
      <c r="AN9" s="648"/>
      <c r="AO9" s="648"/>
      <c r="AP9" s="648"/>
      <c r="AQ9" s="648"/>
      <c r="AR9" s="648"/>
      <c r="AS9" s="648"/>
      <c r="AT9" s="380"/>
      <c r="AU9" s="365"/>
      <c r="AV9" s="365"/>
      <c r="AW9" s="365"/>
      <c r="AX9" s="365"/>
      <c r="AY9" s="365"/>
      <c r="AZ9" s="365"/>
      <c r="BA9" s="365"/>
      <c r="BB9" s="365"/>
      <c r="BC9" s="365"/>
      <c r="BD9" s="365"/>
      <c r="BE9" s="365"/>
      <c r="BF9" s="365"/>
      <c r="BG9" s="365"/>
      <c r="BH9" s="365"/>
      <c r="BI9" s="365"/>
      <c r="BJ9" s="365"/>
      <c r="BK9" s="365"/>
      <c r="BL9" s="365"/>
      <c r="BM9" s="365"/>
      <c r="BN9" s="365"/>
      <c r="BO9" s="365"/>
      <c r="BP9" s="365"/>
      <c r="BQ9" s="365"/>
      <c r="BR9" s="365"/>
      <c r="BS9" s="365"/>
      <c r="BT9" s="365"/>
      <c r="BU9" s="365"/>
      <c r="BV9" s="365"/>
      <c r="BW9" s="365"/>
      <c r="BX9" s="365"/>
      <c r="BY9" s="365"/>
      <c r="BZ9" s="365"/>
      <c r="CA9" s="365"/>
      <c r="CB9" s="365"/>
      <c r="CC9" s="365"/>
      <c r="CD9" s="365"/>
      <c r="CE9" s="365"/>
      <c r="CF9" s="365"/>
      <c r="CG9" s="365"/>
      <c r="CH9" s="365"/>
    </row>
    <row r="10" spans="1:86" s="366" customFormat="1" ht="24.75" customHeight="1" thickBot="1">
      <c r="A10" s="631"/>
      <c r="B10" s="641"/>
      <c r="C10" s="642"/>
      <c r="D10" s="642"/>
      <c r="E10" s="643"/>
      <c r="F10" s="641"/>
      <c r="G10" s="642"/>
      <c r="H10" s="642"/>
      <c r="I10" s="643"/>
      <c r="J10" s="641"/>
      <c r="K10" s="642"/>
      <c r="L10" s="642"/>
      <c r="M10" s="643"/>
      <c r="N10" s="641"/>
      <c r="O10" s="642"/>
      <c r="P10" s="642"/>
      <c r="Q10" s="643"/>
      <c r="R10" s="641"/>
      <c r="S10" s="642"/>
      <c r="T10" s="642"/>
      <c r="U10" s="643"/>
      <c r="V10" s="641"/>
      <c r="W10" s="642"/>
      <c r="X10" s="642"/>
      <c r="Y10" s="643"/>
      <c r="Z10" s="641"/>
      <c r="AA10" s="642"/>
      <c r="AB10" s="642"/>
      <c r="AC10" s="643"/>
      <c r="AD10" s="641"/>
      <c r="AE10" s="642"/>
      <c r="AF10" s="642"/>
      <c r="AG10" s="643"/>
      <c r="AH10" s="648" t="s">
        <v>75</v>
      </c>
      <c r="AI10" s="648"/>
      <c r="AJ10" s="648"/>
      <c r="AK10" s="648"/>
      <c r="AL10" s="648" t="s">
        <v>76</v>
      </c>
      <c r="AM10" s="648"/>
      <c r="AN10" s="648"/>
      <c r="AO10" s="648"/>
      <c r="AP10" s="648" t="s">
        <v>50</v>
      </c>
      <c r="AQ10" s="648"/>
      <c r="AR10" s="648"/>
      <c r="AS10" s="648"/>
      <c r="AT10" s="380"/>
      <c r="AU10" s="365"/>
      <c r="AV10" s="365"/>
      <c r="AW10" s="365"/>
      <c r="AX10" s="365"/>
      <c r="AY10" s="365"/>
      <c r="AZ10" s="365"/>
      <c r="BA10" s="365"/>
      <c r="BB10" s="365"/>
      <c r="BC10" s="365"/>
      <c r="BD10" s="365"/>
      <c r="BE10" s="365"/>
      <c r="BF10" s="365"/>
      <c r="BG10" s="365"/>
      <c r="BH10" s="365"/>
      <c r="BI10" s="365"/>
      <c r="BJ10" s="365"/>
      <c r="BK10" s="365"/>
      <c r="BL10" s="365"/>
      <c r="BM10" s="365"/>
      <c r="BN10" s="365"/>
      <c r="BO10" s="365"/>
      <c r="BP10" s="365"/>
      <c r="BQ10" s="365"/>
      <c r="BR10" s="365"/>
      <c r="BS10" s="365"/>
      <c r="BT10" s="365"/>
      <c r="BU10" s="365"/>
      <c r="BV10" s="365"/>
      <c r="BW10" s="365"/>
      <c r="BX10" s="365"/>
      <c r="BY10" s="365"/>
      <c r="BZ10" s="365"/>
      <c r="CA10" s="365"/>
      <c r="CB10" s="365"/>
      <c r="CC10" s="365"/>
      <c r="CD10" s="365"/>
      <c r="CE10" s="365"/>
      <c r="CF10" s="365"/>
      <c r="CG10" s="365"/>
      <c r="CH10" s="365"/>
    </row>
    <row r="11" spans="1:86" s="366" customFormat="1" ht="38.25" customHeight="1" thickBot="1">
      <c r="A11" s="632"/>
      <c r="B11" s="476" t="s">
        <v>311</v>
      </c>
      <c r="C11" s="476" t="s">
        <v>352</v>
      </c>
      <c r="D11" s="476" t="s">
        <v>389</v>
      </c>
      <c r="E11" s="483" t="s">
        <v>390</v>
      </c>
      <c r="F11" s="476" t="s">
        <v>311</v>
      </c>
      <c r="G11" s="476" t="s">
        <v>352</v>
      </c>
      <c r="H11" s="476" t="s">
        <v>389</v>
      </c>
      <c r="I11" s="483" t="s">
        <v>390</v>
      </c>
      <c r="J11" s="476" t="s">
        <v>311</v>
      </c>
      <c r="K11" s="476" t="s">
        <v>352</v>
      </c>
      <c r="L11" s="476" t="s">
        <v>389</v>
      </c>
      <c r="M11" s="483" t="s">
        <v>390</v>
      </c>
      <c r="N11" s="476" t="s">
        <v>311</v>
      </c>
      <c r="O11" s="476" t="s">
        <v>352</v>
      </c>
      <c r="P11" s="476" t="s">
        <v>389</v>
      </c>
      <c r="Q11" s="483" t="s">
        <v>390</v>
      </c>
      <c r="R11" s="476" t="s">
        <v>311</v>
      </c>
      <c r="S11" s="476" t="s">
        <v>352</v>
      </c>
      <c r="T11" s="476" t="s">
        <v>389</v>
      </c>
      <c r="U11" s="483" t="s">
        <v>390</v>
      </c>
      <c r="V11" s="476" t="s">
        <v>311</v>
      </c>
      <c r="W11" s="476" t="s">
        <v>352</v>
      </c>
      <c r="X11" s="476" t="s">
        <v>389</v>
      </c>
      <c r="Y11" s="483" t="s">
        <v>390</v>
      </c>
      <c r="Z11" s="476" t="s">
        <v>311</v>
      </c>
      <c r="AA11" s="476" t="s">
        <v>352</v>
      </c>
      <c r="AB11" s="476" t="s">
        <v>389</v>
      </c>
      <c r="AC11" s="483" t="s">
        <v>390</v>
      </c>
      <c r="AD11" s="476" t="s">
        <v>311</v>
      </c>
      <c r="AE11" s="476" t="s">
        <v>352</v>
      </c>
      <c r="AF11" s="476" t="s">
        <v>389</v>
      </c>
      <c r="AG11" s="483" t="s">
        <v>390</v>
      </c>
      <c r="AH11" s="476" t="s">
        <v>311</v>
      </c>
      <c r="AI11" s="476" t="s">
        <v>352</v>
      </c>
      <c r="AJ11" s="476" t="s">
        <v>389</v>
      </c>
      <c r="AK11" s="483" t="s">
        <v>390</v>
      </c>
      <c r="AL11" s="476" t="s">
        <v>311</v>
      </c>
      <c r="AM11" s="476" t="s">
        <v>352</v>
      </c>
      <c r="AN11" s="476" t="s">
        <v>389</v>
      </c>
      <c r="AO11" s="483" t="s">
        <v>390</v>
      </c>
      <c r="AP11" s="476" t="s">
        <v>311</v>
      </c>
      <c r="AQ11" s="476" t="s">
        <v>352</v>
      </c>
      <c r="AR11" s="476" t="s">
        <v>389</v>
      </c>
      <c r="AS11" s="483" t="s">
        <v>390</v>
      </c>
      <c r="AT11" s="380"/>
      <c r="AU11" s="365"/>
      <c r="AV11" s="365"/>
      <c r="AW11" s="365"/>
      <c r="AX11" s="365"/>
      <c r="AY11" s="365"/>
      <c r="AZ11" s="365"/>
      <c r="BA11" s="365"/>
      <c r="BB11" s="365"/>
      <c r="BC11" s="365"/>
      <c r="BD11" s="365"/>
      <c r="BE11" s="365"/>
      <c r="BF11" s="365"/>
      <c r="BG11" s="365"/>
      <c r="BH11" s="365"/>
      <c r="BI11" s="365"/>
      <c r="BJ11" s="365"/>
      <c r="BK11" s="365"/>
      <c r="BL11" s="365"/>
      <c r="BM11" s="365"/>
      <c r="BN11" s="365"/>
      <c r="BO11" s="365"/>
      <c r="BP11" s="365"/>
      <c r="BQ11" s="365"/>
      <c r="BR11" s="365"/>
      <c r="BS11" s="365"/>
      <c r="BT11" s="365"/>
      <c r="BU11" s="365"/>
      <c r="BV11" s="365"/>
      <c r="BW11" s="365"/>
      <c r="BX11" s="365"/>
      <c r="BY11" s="365"/>
      <c r="BZ11" s="365"/>
      <c r="CA11" s="365"/>
      <c r="CB11" s="365"/>
      <c r="CC11" s="365"/>
      <c r="CD11" s="365"/>
      <c r="CE11" s="365"/>
      <c r="CF11" s="365"/>
      <c r="CG11" s="365"/>
      <c r="CH11" s="365"/>
    </row>
    <row r="12" spans="1:86" s="48" customFormat="1" ht="39.950000000000003" customHeight="1">
      <c r="A12" s="44" t="s">
        <v>51</v>
      </c>
      <c r="B12" s="45"/>
      <c r="C12" s="45"/>
      <c r="D12" s="45"/>
      <c r="E12" s="484"/>
      <c r="F12" s="45"/>
      <c r="G12" s="45"/>
      <c r="H12" s="45"/>
      <c r="I12" s="484"/>
      <c r="J12" s="45"/>
      <c r="K12" s="45"/>
      <c r="L12" s="45"/>
      <c r="M12" s="484"/>
      <c r="N12" s="45"/>
      <c r="O12" s="45"/>
      <c r="P12" s="45"/>
      <c r="Q12" s="484"/>
      <c r="R12" s="45"/>
      <c r="S12" s="45"/>
      <c r="T12" s="45"/>
      <c r="U12" s="484"/>
      <c r="V12" s="45"/>
      <c r="W12" s="45"/>
      <c r="X12" s="45"/>
      <c r="Y12" s="484"/>
      <c r="Z12" s="45"/>
      <c r="AA12" s="45"/>
      <c r="AB12" s="45"/>
      <c r="AC12" s="484"/>
      <c r="AD12" s="45"/>
      <c r="AE12" s="45"/>
      <c r="AF12" s="45"/>
      <c r="AG12" s="484"/>
      <c r="AH12" s="45"/>
      <c r="AI12" s="45"/>
      <c r="AJ12" s="45"/>
      <c r="AK12" s="484"/>
      <c r="AL12" s="45"/>
      <c r="AM12" s="45"/>
      <c r="AN12" s="45"/>
      <c r="AO12" s="484"/>
      <c r="AP12" s="45"/>
      <c r="AQ12" s="45"/>
      <c r="AR12" s="45"/>
      <c r="AS12" s="484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</row>
    <row r="13" spans="1:86" s="48" customFormat="1" ht="39.950000000000003" customHeight="1">
      <c r="A13" s="49" t="s">
        <v>77</v>
      </c>
      <c r="B13" s="50">
        <v>355080000</v>
      </c>
      <c r="C13" s="50">
        <v>364158647</v>
      </c>
      <c r="D13" s="50">
        <v>186881193</v>
      </c>
      <c r="E13" s="428">
        <f>D13/C13</f>
        <v>0.51318620205659982</v>
      </c>
      <c r="F13" s="50">
        <v>78028000</v>
      </c>
      <c r="G13" s="50">
        <v>81062362</v>
      </c>
      <c r="H13" s="50">
        <v>43167921</v>
      </c>
      <c r="I13" s="428">
        <f>H13/G13</f>
        <v>0.5325273028683768</v>
      </c>
      <c r="J13" s="50">
        <v>127761000</v>
      </c>
      <c r="K13" s="50">
        <v>128466422</v>
      </c>
      <c r="L13" s="50">
        <v>58142084</v>
      </c>
      <c r="M13" s="428">
        <f>L13/K13</f>
        <v>0.4525858437934856</v>
      </c>
      <c r="N13" s="60"/>
      <c r="O13" s="60"/>
      <c r="P13" s="50"/>
      <c r="Q13" s="428"/>
      <c r="R13" s="50"/>
      <c r="S13" s="50">
        <v>54000</v>
      </c>
      <c r="T13" s="50">
        <v>53637</v>
      </c>
      <c r="U13" s="428">
        <f>T13/S13</f>
        <v>0.99327777777777781</v>
      </c>
      <c r="V13" s="50"/>
      <c r="W13" s="50">
        <v>939000</v>
      </c>
      <c r="X13" s="50">
        <v>1337275</v>
      </c>
      <c r="Y13" s="428">
        <f>X13/W13</f>
        <v>1.4241480298189564</v>
      </c>
      <c r="Z13" s="50"/>
      <c r="AA13" s="50"/>
      <c r="AB13" s="50"/>
      <c r="AC13" s="428">
        <v>0</v>
      </c>
      <c r="AD13" s="50"/>
      <c r="AE13" s="50"/>
      <c r="AF13" s="50"/>
      <c r="AG13" s="428"/>
      <c r="AH13" s="50">
        <f t="shared" ref="AH13:AJ14" si="0">SUM(B13+F13+J13+N13+R13)</f>
        <v>560869000</v>
      </c>
      <c r="AI13" s="50">
        <f t="shared" si="0"/>
        <v>573741431</v>
      </c>
      <c r="AJ13" s="50">
        <f t="shared" si="0"/>
        <v>288244835</v>
      </c>
      <c r="AK13" s="428">
        <f>AJ13/AI13</f>
        <v>0.50239501529043318</v>
      </c>
      <c r="AL13" s="50">
        <f t="shared" ref="AL13:AN14" si="1">SUM(V13+Z13+AD13)</f>
        <v>0</v>
      </c>
      <c r="AM13" s="50">
        <f t="shared" si="1"/>
        <v>939000</v>
      </c>
      <c r="AN13" s="50">
        <f t="shared" si="1"/>
        <v>1337275</v>
      </c>
      <c r="AO13" s="428">
        <f>AN13/AM13</f>
        <v>1.4241480298189564</v>
      </c>
      <c r="AP13" s="50">
        <f t="shared" ref="AP13:AR14" si="2">SUM(AH13+AL13)</f>
        <v>560869000</v>
      </c>
      <c r="AQ13" s="50">
        <f t="shared" si="2"/>
        <v>574680431</v>
      </c>
      <c r="AR13" s="50">
        <f t="shared" si="2"/>
        <v>289582110</v>
      </c>
      <c r="AS13" s="428">
        <f>AR13/AQ13</f>
        <v>0.50390111508773472</v>
      </c>
      <c r="AT13" s="69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</row>
    <row r="14" spans="1:86" s="48" customFormat="1" ht="39.950000000000003" customHeight="1" thickBot="1">
      <c r="A14" s="53" t="s">
        <v>97</v>
      </c>
      <c r="B14" s="54"/>
      <c r="C14" s="54"/>
      <c r="D14" s="54"/>
      <c r="E14" s="437"/>
      <c r="F14" s="54"/>
      <c r="G14" s="54"/>
      <c r="H14" s="54"/>
      <c r="I14" s="437"/>
      <c r="J14" s="54"/>
      <c r="K14" s="54"/>
      <c r="L14" s="54"/>
      <c r="M14" s="437"/>
      <c r="N14" s="54"/>
      <c r="O14" s="54"/>
      <c r="P14" s="54"/>
      <c r="Q14" s="437"/>
      <c r="R14" s="54"/>
      <c r="S14" s="54"/>
      <c r="T14" s="54"/>
      <c r="U14" s="437"/>
      <c r="V14" s="54"/>
      <c r="W14" s="54"/>
      <c r="X14" s="54"/>
      <c r="Y14" s="437"/>
      <c r="Z14" s="54"/>
      <c r="AA14" s="54"/>
      <c r="AB14" s="54"/>
      <c r="AC14" s="437"/>
      <c r="AD14" s="54"/>
      <c r="AE14" s="54"/>
      <c r="AF14" s="54"/>
      <c r="AG14" s="437"/>
      <c r="AH14" s="50">
        <f t="shared" si="0"/>
        <v>0</v>
      </c>
      <c r="AI14" s="50">
        <f t="shared" si="0"/>
        <v>0</v>
      </c>
      <c r="AJ14" s="50">
        <f t="shared" si="0"/>
        <v>0</v>
      </c>
      <c r="AK14" s="437"/>
      <c r="AL14" s="50">
        <f t="shared" si="1"/>
        <v>0</v>
      </c>
      <c r="AM14" s="50">
        <f t="shared" si="1"/>
        <v>0</v>
      </c>
      <c r="AN14" s="50">
        <f t="shared" si="1"/>
        <v>0</v>
      </c>
      <c r="AO14" s="437"/>
      <c r="AP14" s="50">
        <f t="shared" si="2"/>
        <v>0</v>
      </c>
      <c r="AQ14" s="50">
        <f t="shared" si="2"/>
        <v>0</v>
      </c>
      <c r="AR14" s="50">
        <f t="shared" si="2"/>
        <v>0</v>
      </c>
      <c r="AS14" s="43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</row>
    <row r="15" spans="1:86" s="403" customFormat="1" ht="39.950000000000003" customHeight="1" thickBot="1">
      <c r="A15" s="400" t="s">
        <v>168</v>
      </c>
      <c r="B15" s="401">
        <f>B13+B14</f>
        <v>355080000</v>
      </c>
      <c r="C15" s="401">
        <f>C13+C14</f>
        <v>364158647</v>
      </c>
      <c r="D15" s="401">
        <f>D13+D14</f>
        <v>186881193</v>
      </c>
      <c r="E15" s="485">
        <f>D15/C15</f>
        <v>0.51318620205659982</v>
      </c>
      <c r="F15" s="401">
        <f t="shared" ref="F15:AN15" si="3">F13+F14</f>
        <v>78028000</v>
      </c>
      <c r="G15" s="401">
        <f t="shared" si="3"/>
        <v>81062362</v>
      </c>
      <c r="H15" s="401">
        <f>H13+H14</f>
        <v>43167921</v>
      </c>
      <c r="I15" s="485">
        <f>H15/G15</f>
        <v>0.5325273028683768</v>
      </c>
      <c r="J15" s="401">
        <f t="shared" si="3"/>
        <v>127761000</v>
      </c>
      <c r="K15" s="401">
        <f t="shared" si="3"/>
        <v>128466422</v>
      </c>
      <c r="L15" s="401">
        <f>L13+L14</f>
        <v>58142084</v>
      </c>
      <c r="M15" s="485">
        <f>L15/K15</f>
        <v>0.4525858437934856</v>
      </c>
      <c r="N15" s="401">
        <f t="shared" si="3"/>
        <v>0</v>
      </c>
      <c r="O15" s="401">
        <f t="shared" si="3"/>
        <v>0</v>
      </c>
      <c r="P15" s="401">
        <f>P13+P14</f>
        <v>0</v>
      </c>
      <c r="Q15" s="485">
        <v>0</v>
      </c>
      <c r="R15" s="401">
        <f t="shared" si="3"/>
        <v>0</v>
      </c>
      <c r="S15" s="401">
        <f t="shared" si="3"/>
        <v>54000</v>
      </c>
      <c r="T15" s="401">
        <f>T13+T14</f>
        <v>53637</v>
      </c>
      <c r="U15" s="485">
        <f>T15/S15</f>
        <v>0.99327777777777781</v>
      </c>
      <c r="V15" s="401">
        <f t="shared" si="3"/>
        <v>0</v>
      </c>
      <c r="W15" s="401">
        <f t="shared" si="3"/>
        <v>939000</v>
      </c>
      <c r="X15" s="401">
        <f>X13+X14</f>
        <v>1337275</v>
      </c>
      <c r="Y15" s="485">
        <f>X15/W15</f>
        <v>1.4241480298189564</v>
      </c>
      <c r="Z15" s="401">
        <f t="shared" si="3"/>
        <v>0</v>
      </c>
      <c r="AA15" s="401">
        <f t="shared" si="3"/>
        <v>0</v>
      </c>
      <c r="AB15" s="401">
        <f>AB13+AB14</f>
        <v>0</v>
      </c>
      <c r="AC15" s="485">
        <v>0</v>
      </c>
      <c r="AD15" s="401">
        <f t="shared" si="3"/>
        <v>0</v>
      </c>
      <c r="AE15" s="401">
        <f t="shared" si="3"/>
        <v>0</v>
      </c>
      <c r="AF15" s="401">
        <f>AF13+AF14</f>
        <v>0</v>
      </c>
      <c r="AG15" s="485">
        <v>0</v>
      </c>
      <c r="AH15" s="401">
        <f t="shared" si="3"/>
        <v>560869000</v>
      </c>
      <c r="AI15" s="401">
        <f t="shared" si="3"/>
        <v>573741431</v>
      </c>
      <c r="AJ15" s="401">
        <f t="shared" si="3"/>
        <v>288244835</v>
      </c>
      <c r="AK15" s="485">
        <f>AJ15/AI15</f>
        <v>0.50239501529043318</v>
      </c>
      <c r="AL15" s="401">
        <f t="shared" si="3"/>
        <v>0</v>
      </c>
      <c r="AM15" s="401">
        <f t="shared" si="3"/>
        <v>939000</v>
      </c>
      <c r="AN15" s="401">
        <f t="shared" si="3"/>
        <v>1337275</v>
      </c>
      <c r="AO15" s="485">
        <f>AN15/AM15</f>
        <v>1.4241480298189564</v>
      </c>
      <c r="AP15" s="401">
        <f>AP13+AP14</f>
        <v>560869000</v>
      </c>
      <c r="AQ15" s="401">
        <f>AQ13+AQ14</f>
        <v>574680431</v>
      </c>
      <c r="AR15" s="401">
        <f>AR13+AR14</f>
        <v>289582110</v>
      </c>
      <c r="AS15" s="485">
        <f>AR15/AQ15</f>
        <v>0.50390111508773472</v>
      </c>
      <c r="AT15" s="69"/>
      <c r="AU15" s="402"/>
      <c r="AV15" s="402"/>
      <c r="AW15" s="402"/>
      <c r="AX15" s="402"/>
      <c r="AY15" s="402"/>
      <c r="AZ15" s="402"/>
      <c r="BA15" s="402"/>
      <c r="BB15" s="402"/>
      <c r="BC15" s="402"/>
      <c r="BD15" s="402"/>
      <c r="BE15" s="402"/>
      <c r="BF15" s="402"/>
      <c r="BG15" s="402"/>
      <c r="BH15" s="402"/>
      <c r="BI15" s="402"/>
      <c r="BJ15" s="402"/>
      <c r="BK15" s="402"/>
      <c r="BL15" s="402"/>
      <c r="BM15" s="402"/>
      <c r="BN15" s="402"/>
      <c r="BO15" s="402"/>
      <c r="BP15" s="402"/>
      <c r="BQ15" s="402"/>
      <c r="BR15" s="402"/>
      <c r="BS15" s="402"/>
      <c r="BT15" s="402"/>
      <c r="BU15" s="402"/>
      <c r="BV15" s="402"/>
      <c r="BW15" s="402"/>
      <c r="BX15" s="402"/>
      <c r="BY15" s="402"/>
      <c r="BZ15" s="402"/>
      <c r="CA15" s="402"/>
      <c r="CB15" s="402"/>
      <c r="CC15" s="402"/>
      <c r="CD15" s="402"/>
      <c r="CE15" s="402"/>
      <c r="CF15" s="402"/>
      <c r="CG15" s="402"/>
      <c r="CH15" s="402"/>
    </row>
    <row r="16" spans="1:86" s="48" customFormat="1" ht="39.950000000000003" customHeight="1">
      <c r="A16" s="44" t="s">
        <v>185</v>
      </c>
      <c r="B16" s="55"/>
      <c r="C16" s="55"/>
      <c r="D16" s="55"/>
      <c r="E16" s="430"/>
      <c r="F16" s="55"/>
      <c r="G16" s="55"/>
      <c r="H16" s="55"/>
      <c r="I16" s="430"/>
      <c r="J16" s="55"/>
      <c r="K16" s="55"/>
      <c r="L16" s="55"/>
      <c r="M16" s="430"/>
      <c r="N16" s="55"/>
      <c r="O16" s="55"/>
      <c r="P16" s="55"/>
      <c r="Q16" s="430"/>
      <c r="R16" s="55"/>
      <c r="S16" s="55"/>
      <c r="T16" s="55"/>
      <c r="U16" s="430"/>
      <c r="V16" s="55"/>
      <c r="W16" s="55"/>
      <c r="X16" s="55"/>
      <c r="Y16" s="430"/>
      <c r="Z16" s="55"/>
      <c r="AA16" s="55"/>
      <c r="AB16" s="55"/>
      <c r="AC16" s="430"/>
      <c r="AD16" s="55"/>
      <c r="AE16" s="55"/>
      <c r="AF16" s="55"/>
      <c r="AG16" s="430"/>
      <c r="AH16" s="55"/>
      <c r="AI16" s="55"/>
      <c r="AJ16" s="55"/>
      <c r="AK16" s="430"/>
      <c r="AL16" s="55"/>
      <c r="AM16" s="55"/>
      <c r="AN16" s="55"/>
      <c r="AO16" s="430"/>
      <c r="AP16" s="55"/>
      <c r="AQ16" s="55"/>
      <c r="AR16" s="55"/>
      <c r="AS16" s="430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</row>
    <row r="17" spans="1:86" s="63" customFormat="1" ht="39.950000000000003" customHeight="1">
      <c r="A17" s="70" t="s">
        <v>77</v>
      </c>
      <c r="B17" s="60">
        <v>63424000</v>
      </c>
      <c r="C17" s="60">
        <v>73675000</v>
      </c>
      <c r="D17" s="50">
        <v>41609364</v>
      </c>
      <c r="E17" s="428">
        <f>D17/C17</f>
        <v>0.56476910756701726</v>
      </c>
      <c r="F17" s="60">
        <v>12923000</v>
      </c>
      <c r="G17" s="60">
        <v>14621000</v>
      </c>
      <c r="H17" s="50">
        <v>8992834</v>
      </c>
      <c r="I17" s="428">
        <f>H17/G17</f>
        <v>0.61506285479789347</v>
      </c>
      <c r="J17" s="60">
        <v>38388000</v>
      </c>
      <c r="K17" s="60">
        <v>39684290</v>
      </c>
      <c r="L17" s="50">
        <v>33840318</v>
      </c>
      <c r="M17" s="428">
        <f>L17/K17</f>
        <v>0.85273840101460807</v>
      </c>
      <c r="N17" s="60"/>
      <c r="O17" s="60"/>
      <c r="P17" s="50"/>
      <c r="Q17" s="428"/>
      <c r="R17" s="60"/>
      <c r="S17" s="60">
        <v>49000</v>
      </c>
      <c r="T17" s="50">
        <v>48234</v>
      </c>
      <c r="U17" s="428">
        <f>T17/S17</f>
        <v>0.98436734693877548</v>
      </c>
      <c r="V17" s="60">
        <v>7493000</v>
      </c>
      <c r="W17" s="60">
        <v>7493000</v>
      </c>
      <c r="X17" s="50">
        <v>2084200</v>
      </c>
      <c r="Y17" s="428">
        <f>X17/W17</f>
        <v>0.27815294274656344</v>
      </c>
      <c r="Z17" s="60">
        <v>5420000</v>
      </c>
      <c r="AA17" s="60">
        <v>5420000</v>
      </c>
      <c r="AB17" s="50"/>
      <c r="AC17" s="428"/>
      <c r="AD17" s="60"/>
      <c r="AE17" s="60"/>
      <c r="AF17" s="50"/>
      <c r="AG17" s="428"/>
      <c r="AH17" s="50">
        <f t="shared" ref="AH17:AH18" si="4">SUM(B17+F17+J17+N17+R17)</f>
        <v>114735000</v>
      </c>
      <c r="AI17" s="50">
        <f>SUM(C17+G17+K17+O17+S17)</f>
        <v>128029290</v>
      </c>
      <c r="AJ17" s="50">
        <f>SUM(D17+H17+L17+P17+T17)</f>
        <v>84490750</v>
      </c>
      <c r="AK17" s="428">
        <f>AJ17/AI17</f>
        <v>0.65993297315012833</v>
      </c>
      <c r="AL17" s="50">
        <f t="shared" ref="AL17:AN18" si="5">SUM(V17+Z17+AD17)</f>
        <v>12913000</v>
      </c>
      <c r="AM17" s="50">
        <f t="shared" si="5"/>
        <v>12913000</v>
      </c>
      <c r="AN17" s="50">
        <f t="shared" si="5"/>
        <v>2084200</v>
      </c>
      <c r="AO17" s="428">
        <v>0</v>
      </c>
      <c r="AP17" s="50">
        <f>SUM(AH17+AL17)</f>
        <v>127648000</v>
      </c>
      <c r="AQ17" s="50">
        <f t="shared" ref="AQ17:AR18" si="6">SUM(AI17+AM17)</f>
        <v>140942290</v>
      </c>
      <c r="AR17" s="50">
        <f t="shared" si="6"/>
        <v>86574950</v>
      </c>
      <c r="AS17" s="428">
        <f>AR17/AQ17</f>
        <v>0.61425814778516796</v>
      </c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</row>
    <row r="18" spans="1:86" s="63" customFormat="1" ht="39.950000000000003" customHeight="1" thickBot="1">
      <c r="A18" s="58" t="s">
        <v>97</v>
      </c>
      <c r="B18" s="59">
        <v>2737000</v>
      </c>
      <c r="C18" s="59">
        <v>2737000</v>
      </c>
      <c r="D18" s="54"/>
      <c r="E18" s="437"/>
      <c r="F18" s="59">
        <v>642000</v>
      </c>
      <c r="G18" s="59">
        <v>642000</v>
      </c>
      <c r="H18" s="54"/>
      <c r="I18" s="437"/>
      <c r="J18" s="59">
        <v>12850000</v>
      </c>
      <c r="K18" s="59">
        <v>12850000</v>
      </c>
      <c r="L18" s="54"/>
      <c r="M18" s="437"/>
      <c r="N18" s="59"/>
      <c r="O18" s="59"/>
      <c r="P18" s="54"/>
      <c r="Q18" s="437"/>
      <c r="R18" s="59"/>
      <c r="S18" s="59"/>
      <c r="T18" s="54"/>
      <c r="U18" s="437"/>
      <c r="V18" s="59"/>
      <c r="W18" s="59"/>
      <c r="X18" s="54"/>
      <c r="Y18" s="437"/>
      <c r="Z18" s="59"/>
      <c r="AA18" s="59"/>
      <c r="AB18" s="54"/>
      <c r="AC18" s="437"/>
      <c r="AD18" s="59"/>
      <c r="AE18" s="59"/>
      <c r="AF18" s="54"/>
      <c r="AG18" s="437"/>
      <c r="AH18" s="50">
        <f t="shared" si="4"/>
        <v>16229000</v>
      </c>
      <c r="AI18" s="50">
        <f>SUM(C18+G18+K18+O18+S18)</f>
        <v>16229000</v>
      </c>
      <c r="AJ18" s="50">
        <f>SUM(D18+H18+L18+P18+T18)</f>
        <v>0</v>
      </c>
      <c r="AK18" s="437"/>
      <c r="AL18" s="50">
        <f t="shared" si="5"/>
        <v>0</v>
      </c>
      <c r="AM18" s="50">
        <f t="shared" si="5"/>
        <v>0</v>
      </c>
      <c r="AN18" s="50">
        <f t="shared" si="5"/>
        <v>0</v>
      </c>
      <c r="AO18" s="437">
        <v>0</v>
      </c>
      <c r="AP18" s="50">
        <f>SUM(AH18+AL18)</f>
        <v>16229000</v>
      </c>
      <c r="AQ18" s="50">
        <f t="shared" si="6"/>
        <v>16229000</v>
      </c>
      <c r="AR18" s="50">
        <f t="shared" si="6"/>
        <v>0</v>
      </c>
      <c r="AS18" s="437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</row>
    <row r="19" spans="1:86" s="403" customFormat="1" ht="39.950000000000003" customHeight="1" thickBot="1">
      <c r="A19" s="400" t="s">
        <v>170</v>
      </c>
      <c r="B19" s="401">
        <f>B17+B18</f>
        <v>66161000</v>
      </c>
      <c r="C19" s="401">
        <f>C17+C18</f>
        <v>76412000</v>
      </c>
      <c r="D19" s="401">
        <f>D17+D18</f>
        <v>41609364</v>
      </c>
      <c r="E19" s="485">
        <f>D19/C19</f>
        <v>0.54453965345757216</v>
      </c>
      <c r="F19" s="401">
        <f t="shared" ref="F19:AR19" si="7">F17+F18</f>
        <v>13565000</v>
      </c>
      <c r="G19" s="401">
        <f t="shared" si="7"/>
        <v>15263000</v>
      </c>
      <c r="H19" s="401">
        <f>H17+H18</f>
        <v>8992834</v>
      </c>
      <c r="I19" s="485">
        <f>H19/G19</f>
        <v>0.5891917709493546</v>
      </c>
      <c r="J19" s="401">
        <f t="shared" si="7"/>
        <v>51238000</v>
      </c>
      <c r="K19" s="401">
        <f t="shared" si="7"/>
        <v>52534290</v>
      </c>
      <c r="L19" s="401">
        <f>L17+L18</f>
        <v>33840318</v>
      </c>
      <c r="M19" s="485">
        <f>L19/K19</f>
        <v>0.64415675932805028</v>
      </c>
      <c r="N19" s="401">
        <f t="shared" si="7"/>
        <v>0</v>
      </c>
      <c r="O19" s="401">
        <f t="shared" si="7"/>
        <v>0</v>
      </c>
      <c r="P19" s="401">
        <f>P17+P18</f>
        <v>0</v>
      </c>
      <c r="Q19" s="485">
        <v>0</v>
      </c>
      <c r="R19" s="401">
        <f t="shared" si="7"/>
        <v>0</v>
      </c>
      <c r="S19" s="401">
        <f t="shared" si="7"/>
        <v>49000</v>
      </c>
      <c r="T19" s="401">
        <f>T17+T18</f>
        <v>48234</v>
      </c>
      <c r="U19" s="485">
        <f>T19/S19</f>
        <v>0.98436734693877548</v>
      </c>
      <c r="V19" s="401">
        <f t="shared" si="7"/>
        <v>7493000</v>
      </c>
      <c r="W19" s="401">
        <f t="shared" si="7"/>
        <v>7493000</v>
      </c>
      <c r="X19" s="401">
        <f>X17+X18</f>
        <v>2084200</v>
      </c>
      <c r="Y19" s="485">
        <f>X19/W19</f>
        <v>0.27815294274656344</v>
      </c>
      <c r="Z19" s="401">
        <f t="shared" si="7"/>
        <v>5420000</v>
      </c>
      <c r="AA19" s="401">
        <f t="shared" si="7"/>
        <v>5420000</v>
      </c>
      <c r="AB19" s="401">
        <f>AB17+AB18</f>
        <v>0</v>
      </c>
      <c r="AC19" s="485">
        <v>0</v>
      </c>
      <c r="AD19" s="401">
        <f t="shared" si="7"/>
        <v>0</v>
      </c>
      <c r="AE19" s="401">
        <f t="shared" si="7"/>
        <v>0</v>
      </c>
      <c r="AF19" s="401">
        <f>AF17+AF18</f>
        <v>0</v>
      </c>
      <c r="AG19" s="485">
        <v>0</v>
      </c>
      <c r="AH19" s="401">
        <f t="shared" ref="AH19:AJ19" si="8">AH17+AH18</f>
        <v>130964000</v>
      </c>
      <c r="AI19" s="401">
        <f t="shared" si="8"/>
        <v>144258290</v>
      </c>
      <c r="AJ19" s="401">
        <f t="shared" si="8"/>
        <v>84490750</v>
      </c>
      <c r="AK19" s="485">
        <f>AJ19/AI19</f>
        <v>0.58569077728565899</v>
      </c>
      <c r="AL19" s="401">
        <f t="shared" ref="AL19:AN19" si="9">AL17+AL18</f>
        <v>12913000</v>
      </c>
      <c r="AM19" s="401">
        <f t="shared" si="9"/>
        <v>12913000</v>
      </c>
      <c r="AN19" s="401">
        <f t="shared" si="9"/>
        <v>2084200</v>
      </c>
      <c r="AO19" s="485">
        <v>0</v>
      </c>
      <c r="AP19" s="401">
        <f t="shared" si="7"/>
        <v>143877000</v>
      </c>
      <c r="AQ19" s="401">
        <f t="shared" si="7"/>
        <v>157171290</v>
      </c>
      <c r="AR19" s="401">
        <f t="shared" si="7"/>
        <v>86574950</v>
      </c>
      <c r="AS19" s="485">
        <f>AR19/AQ19</f>
        <v>0.55083183449089212</v>
      </c>
      <c r="AT19" s="69"/>
      <c r="AU19" s="402"/>
      <c r="AV19" s="402"/>
      <c r="AW19" s="402"/>
      <c r="AX19" s="402"/>
      <c r="AY19" s="402"/>
      <c r="AZ19" s="402"/>
      <c r="BA19" s="402"/>
      <c r="BB19" s="402"/>
      <c r="BC19" s="402"/>
      <c r="BD19" s="402"/>
      <c r="BE19" s="402"/>
      <c r="BF19" s="402"/>
      <c r="BG19" s="402"/>
      <c r="BH19" s="402"/>
      <c r="BI19" s="402"/>
      <c r="BJ19" s="402"/>
      <c r="BK19" s="402"/>
      <c r="BL19" s="402"/>
      <c r="BM19" s="402"/>
      <c r="BN19" s="402"/>
      <c r="BO19" s="402"/>
      <c r="BP19" s="402"/>
      <c r="BQ19" s="402"/>
      <c r="BR19" s="402"/>
      <c r="BS19" s="402"/>
      <c r="BT19" s="402"/>
      <c r="BU19" s="402"/>
      <c r="BV19" s="402"/>
      <c r="BW19" s="402"/>
      <c r="BX19" s="402"/>
      <c r="BY19" s="402"/>
      <c r="BZ19" s="402"/>
      <c r="CA19" s="402"/>
      <c r="CB19" s="402"/>
      <c r="CC19" s="402"/>
      <c r="CD19" s="402"/>
      <c r="CE19" s="402"/>
      <c r="CF19" s="402"/>
      <c r="CG19" s="402"/>
      <c r="CH19" s="402"/>
    </row>
    <row r="20" spans="1:86" s="48" customFormat="1" ht="39.950000000000003" customHeight="1">
      <c r="A20" s="44" t="s">
        <v>171</v>
      </c>
      <c r="B20" s="55"/>
      <c r="C20" s="55"/>
      <c r="D20" s="55"/>
      <c r="E20" s="430"/>
      <c r="F20" s="55"/>
      <c r="G20" s="55"/>
      <c r="H20" s="55"/>
      <c r="I20" s="430"/>
      <c r="J20" s="55"/>
      <c r="K20" s="55"/>
      <c r="L20" s="55"/>
      <c r="M20" s="430"/>
      <c r="N20" s="55"/>
      <c r="O20" s="55"/>
      <c r="P20" s="55"/>
      <c r="Q20" s="430"/>
      <c r="R20" s="55"/>
      <c r="S20" s="55"/>
      <c r="T20" s="55"/>
      <c r="U20" s="430"/>
      <c r="V20" s="55"/>
      <c r="W20" s="55"/>
      <c r="X20" s="55"/>
      <c r="Y20" s="430"/>
      <c r="Z20" s="55"/>
      <c r="AA20" s="55"/>
      <c r="AB20" s="55"/>
      <c r="AC20" s="430"/>
      <c r="AD20" s="55"/>
      <c r="AE20" s="55"/>
      <c r="AF20" s="55"/>
      <c r="AG20" s="430"/>
      <c r="AH20" s="55"/>
      <c r="AI20" s="55"/>
      <c r="AJ20" s="55"/>
      <c r="AK20" s="430"/>
      <c r="AL20" s="55"/>
      <c r="AM20" s="55"/>
      <c r="AN20" s="55"/>
      <c r="AO20" s="430"/>
      <c r="AP20" s="55"/>
      <c r="AQ20" s="55"/>
      <c r="AR20" s="55"/>
      <c r="AS20" s="430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</row>
    <row r="21" spans="1:86" s="48" customFormat="1" ht="39.950000000000003" customHeight="1">
      <c r="A21" s="49" t="s">
        <v>77</v>
      </c>
      <c r="B21" s="50">
        <v>124967000</v>
      </c>
      <c r="C21" s="50">
        <v>251250795</v>
      </c>
      <c r="D21" s="50">
        <v>201316602</v>
      </c>
      <c r="E21" s="428">
        <f>D21/C21</f>
        <v>0.80125757214021953</v>
      </c>
      <c r="F21" s="50">
        <v>25866000</v>
      </c>
      <c r="G21" s="50">
        <v>40766227</v>
      </c>
      <c r="H21" s="50">
        <v>29340718</v>
      </c>
      <c r="I21" s="428">
        <f>H21/G21</f>
        <v>0.71973101655936911</v>
      </c>
      <c r="J21" s="50">
        <v>226986000</v>
      </c>
      <c r="K21" s="50">
        <v>215802987</v>
      </c>
      <c r="L21" s="50">
        <v>112216183</v>
      </c>
      <c r="M21" s="428">
        <f>L21/K21</f>
        <v>0.51999365050493951</v>
      </c>
      <c r="N21" s="60">
        <v>0</v>
      </c>
      <c r="O21" s="60">
        <v>0</v>
      </c>
      <c r="P21" s="50"/>
      <c r="Q21" s="428">
        <v>0</v>
      </c>
      <c r="R21" s="50"/>
      <c r="S21" s="50">
        <v>12272741</v>
      </c>
      <c r="T21" s="50">
        <v>11333048</v>
      </c>
      <c r="U21" s="428">
        <f>T21/S21</f>
        <v>0.92343250786438014</v>
      </c>
      <c r="V21" s="50"/>
      <c r="W21" s="50">
        <v>11612000</v>
      </c>
      <c r="X21" s="50">
        <v>15885215</v>
      </c>
      <c r="Y21" s="428">
        <f>X21/W21</f>
        <v>1.3679999138821908</v>
      </c>
      <c r="Z21" s="50"/>
      <c r="AA21" s="50">
        <v>33825000</v>
      </c>
      <c r="AB21" s="50">
        <v>33824592</v>
      </c>
      <c r="AC21" s="428">
        <f>AB21/AA21</f>
        <v>0.99998793791574281</v>
      </c>
      <c r="AD21" s="50">
        <v>8000000</v>
      </c>
      <c r="AE21" s="50"/>
      <c r="AF21" s="50"/>
      <c r="AG21" s="428">
        <v>0</v>
      </c>
      <c r="AH21" s="50">
        <f t="shared" ref="AH21:AH22" si="10">SUM(B21+F21+J21+N21+R21)</f>
        <v>377819000</v>
      </c>
      <c r="AI21" s="50">
        <f>SUM(C21+G21+K21+O21+S21)</f>
        <v>520092750</v>
      </c>
      <c r="AJ21" s="50">
        <f>SUM(D21+H21+L21+P21+T21)</f>
        <v>354206551</v>
      </c>
      <c r="AK21" s="428">
        <f>AJ21/AI21</f>
        <v>0.68104496938286485</v>
      </c>
      <c r="AL21" s="50">
        <f t="shared" ref="AL21:AN22" si="11">SUM(V21+Z21+AD21)</f>
        <v>8000000</v>
      </c>
      <c r="AM21" s="50">
        <f t="shared" si="11"/>
        <v>45437000</v>
      </c>
      <c r="AN21" s="50">
        <f t="shared" si="11"/>
        <v>49709807</v>
      </c>
      <c r="AO21" s="428">
        <f>AN21/AM21</f>
        <v>1.0940380526883378</v>
      </c>
      <c r="AP21" s="50">
        <f>SUM(AH21+AL21)</f>
        <v>385819000</v>
      </c>
      <c r="AQ21" s="50">
        <f t="shared" ref="AQ21:AR22" si="12">SUM(AI21+AM21)</f>
        <v>565529750</v>
      </c>
      <c r="AR21" s="50">
        <f t="shared" si="12"/>
        <v>403916358</v>
      </c>
      <c r="AS21" s="428">
        <f>AR21/AQ21</f>
        <v>0.7142265424586417</v>
      </c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</row>
    <row r="22" spans="1:86" s="48" customFormat="1" ht="39.950000000000003" customHeight="1" thickBot="1">
      <c r="A22" s="53" t="s">
        <v>97</v>
      </c>
      <c r="B22" s="54"/>
      <c r="C22" s="54"/>
      <c r="D22" s="54"/>
      <c r="E22" s="437"/>
      <c r="F22" s="54"/>
      <c r="G22" s="54"/>
      <c r="H22" s="54"/>
      <c r="I22" s="437"/>
      <c r="J22" s="54"/>
      <c r="K22" s="54"/>
      <c r="L22" s="54"/>
      <c r="M22" s="437"/>
      <c r="N22" s="54"/>
      <c r="O22" s="54"/>
      <c r="P22" s="54"/>
      <c r="Q22" s="437"/>
      <c r="R22" s="54"/>
      <c r="S22" s="54"/>
      <c r="T22" s="54"/>
      <c r="U22" s="437"/>
      <c r="V22" s="54"/>
      <c r="W22" s="54"/>
      <c r="X22" s="54"/>
      <c r="Y22" s="437"/>
      <c r="Z22" s="54"/>
      <c r="AA22" s="54"/>
      <c r="AB22" s="54"/>
      <c r="AC22" s="437"/>
      <c r="AD22" s="54"/>
      <c r="AE22" s="54"/>
      <c r="AF22" s="54"/>
      <c r="AG22" s="437"/>
      <c r="AH22" s="50">
        <f t="shared" si="10"/>
        <v>0</v>
      </c>
      <c r="AI22" s="50">
        <f>SUM(C22+G22+K22+O22+S22)</f>
        <v>0</v>
      </c>
      <c r="AJ22" s="50">
        <f>SUM(D22+H22+L22+P22+T22)</f>
        <v>0</v>
      </c>
      <c r="AK22" s="437"/>
      <c r="AL22" s="50">
        <f t="shared" si="11"/>
        <v>0</v>
      </c>
      <c r="AM22" s="50">
        <f t="shared" si="11"/>
        <v>0</v>
      </c>
      <c r="AN22" s="50">
        <f t="shared" si="11"/>
        <v>0</v>
      </c>
      <c r="AO22" s="437"/>
      <c r="AP22" s="50">
        <f>SUM(AH22+AL22)</f>
        <v>0</v>
      </c>
      <c r="AQ22" s="50">
        <f t="shared" si="12"/>
        <v>0</v>
      </c>
      <c r="AR22" s="50">
        <f t="shared" si="12"/>
        <v>0</v>
      </c>
      <c r="AS22" s="43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</row>
    <row r="23" spans="1:86" s="403" customFormat="1" ht="39.950000000000003" customHeight="1" thickBot="1">
      <c r="A23" s="400" t="s">
        <v>172</v>
      </c>
      <c r="B23" s="401">
        <f>B21+B22</f>
        <v>124967000</v>
      </c>
      <c r="C23" s="401">
        <f>C21+C22</f>
        <v>251250795</v>
      </c>
      <c r="D23" s="401">
        <f>D21+D22</f>
        <v>201316602</v>
      </c>
      <c r="E23" s="485">
        <f>D23/C23</f>
        <v>0.80125757214021953</v>
      </c>
      <c r="F23" s="401">
        <f t="shared" ref="F23:AR23" si="13">F21+F22</f>
        <v>25866000</v>
      </c>
      <c r="G23" s="401">
        <f t="shared" si="13"/>
        <v>40766227</v>
      </c>
      <c r="H23" s="401">
        <f>H21+H22</f>
        <v>29340718</v>
      </c>
      <c r="I23" s="485">
        <f>H23/G23</f>
        <v>0.71973101655936911</v>
      </c>
      <c r="J23" s="401">
        <f t="shared" si="13"/>
        <v>226986000</v>
      </c>
      <c r="K23" s="401">
        <f t="shared" si="13"/>
        <v>215802987</v>
      </c>
      <c r="L23" s="401">
        <f>L21+L22</f>
        <v>112216183</v>
      </c>
      <c r="M23" s="485">
        <f>L23/K23</f>
        <v>0.51999365050493951</v>
      </c>
      <c r="N23" s="401">
        <f t="shared" si="13"/>
        <v>0</v>
      </c>
      <c r="O23" s="401">
        <f t="shared" si="13"/>
        <v>0</v>
      </c>
      <c r="P23" s="401">
        <f>P21+P22</f>
        <v>0</v>
      </c>
      <c r="Q23" s="485">
        <v>0</v>
      </c>
      <c r="R23" s="401">
        <f t="shared" si="13"/>
        <v>0</v>
      </c>
      <c r="S23" s="401">
        <f t="shared" si="13"/>
        <v>12272741</v>
      </c>
      <c r="T23" s="401">
        <f>T21+T22</f>
        <v>11333048</v>
      </c>
      <c r="U23" s="485">
        <f>T23/S23</f>
        <v>0.92343250786438014</v>
      </c>
      <c r="V23" s="401">
        <f t="shared" si="13"/>
        <v>0</v>
      </c>
      <c r="W23" s="401">
        <f t="shared" si="13"/>
        <v>11612000</v>
      </c>
      <c r="X23" s="401">
        <f>X21+X22</f>
        <v>15885215</v>
      </c>
      <c r="Y23" s="485">
        <f>X23/W23</f>
        <v>1.3679999138821908</v>
      </c>
      <c r="Z23" s="401">
        <f t="shared" si="13"/>
        <v>0</v>
      </c>
      <c r="AA23" s="401">
        <f t="shared" si="13"/>
        <v>33825000</v>
      </c>
      <c r="AB23" s="401">
        <f>AB21+AB22</f>
        <v>33824592</v>
      </c>
      <c r="AC23" s="485">
        <f>AB23/AA23</f>
        <v>0.99998793791574281</v>
      </c>
      <c r="AD23" s="401">
        <f t="shared" si="13"/>
        <v>8000000</v>
      </c>
      <c r="AE23" s="401">
        <f t="shared" si="13"/>
        <v>0</v>
      </c>
      <c r="AF23" s="401">
        <f>AF21+AF22</f>
        <v>0</v>
      </c>
      <c r="AG23" s="485">
        <v>0</v>
      </c>
      <c r="AH23" s="401">
        <f t="shared" ref="AH23:AJ23" si="14">AH21+AH22</f>
        <v>377819000</v>
      </c>
      <c r="AI23" s="401">
        <f t="shared" si="14"/>
        <v>520092750</v>
      </c>
      <c r="AJ23" s="401">
        <f t="shared" si="14"/>
        <v>354206551</v>
      </c>
      <c r="AK23" s="485">
        <f>AJ23/AI23</f>
        <v>0.68104496938286485</v>
      </c>
      <c r="AL23" s="401">
        <f t="shared" ref="AL23:AN23" si="15">AL21+AL22</f>
        <v>8000000</v>
      </c>
      <c r="AM23" s="401">
        <f t="shared" si="15"/>
        <v>45437000</v>
      </c>
      <c r="AN23" s="401">
        <f t="shared" si="15"/>
        <v>49709807</v>
      </c>
      <c r="AO23" s="485">
        <f>AN23/AM23</f>
        <v>1.0940380526883378</v>
      </c>
      <c r="AP23" s="401">
        <f t="shared" si="13"/>
        <v>385819000</v>
      </c>
      <c r="AQ23" s="401">
        <f t="shared" si="13"/>
        <v>565529750</v>
      </c>
      <c r="AR23" s="401">
        <f t="shared" si="13"/>
        <v>403916358</v>
      </c>
      <c r="AS23" s="485">
        <f>AR23/AQ23</f>
        <v>0.7142265424586417</v>
      </c>
      <c r="AT23" s="69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  <c r="BF23" s="402"/>
      <c r="BG23" s="402"/>
      <c r="BH23" s="402"/>
      <c r="BI23" s="402"/>
      <c r="BJ23" s="402"/>
      <c r="BK23" s="402"/>
      <c r="BL23" s="402"/>
      <c r="BM23" s="402"/>
      <c r="BN23" s="402"/>
      <c r="BO23" s="402"/>
      <c r="BP23" s="402"/>
      <c r="BQ23" s="402"/>
      <c r="BR23" s="402"/>
      <c r="BS23" s="402"/>
      <c r="BT23" s="402"/>
      <c r="BU23" s="402"/>
      <c r="BV23" s="402"/>
      <c r="BW23" s="402"/>
      <c r="BX23" s="402"/>
      <c r="BY23" s="402"/>
      <c r="BZ23" s="402"/>
      <c r="CA23" s="402"/>
      <c r="CB23" s="402"/>
      <c r="CC23" s="402"/>
      <c r="CD23" s="402"/>
      <c r="CE23" s="402"/>
      <c r="CF23" s="402"/>
      <c r="CG23" s="402"/>
      <c r="CH23" s="402"/>
    </row>
    <row r="24" spans="1:86" s="48" customFormat="1" ht="39.950000000000003" customHeight="1">
      <c r="A24" s="44" t="s">
        <v>173</v>
      </c>
      <c r="B24" s="55"/>
      <c r="C24" s="55"/>
      <c r="D24" s="55"/>
      <c r="E24" s="430"/>
      <c r="F24" s="55"/>
      <c r="G24" s="55"/>
      <c r="H24" s="55"/>
      <c r="I24" s="430"/>
      <c r="J24" s="55"/>
      <c r="K24" s="55"/>
      <c r="L24" s="55"/>
      <c r="M24" s="430"/>
      <c r="N24" s="55"/>
      <c r="O24" s="55"/>
      <c r="P24" s="55"/>
      <c r="Q24" s="430"/>
      <c r="R24" s="55"/>
      <c r="S24" s="55"/>
      <c r="T24" s="55"/>
      <c r="U24" s="430"/>
      <c r="V24" s="55"/>
      <c r="W24" s="55"/>
      <c r="X24" s="55"/>
      <c r="Y24" s="430"/>
      <c r="Z24" s="55"/>
      <c r="AA24" s="55"/>
      <c r="AB24" s="55"/>
      <c r="AC24" s="430"/>
      <c r="AD24" s="55"/>
      <c r="AE24" s="55"/>
      <c r="AF24" s="55"/>
      <c r="AG24" s="430"/>
      <c r="AH24" s="55"/>
      <c r="AI24" s="55"/>
      <c r="AJ24" s="55"/>
      <c r="AK24" s="430"/>
      <c r="AL24" s="55"/>
      <c r="AM24" s="55"/>
      <c r="AN24" s="55"/>
      <c r="AO24" s="430"/>
      <c r="AP24" s="55"/>
      <c r="AQ24" s="55"/>
      <c r="AR24" s="55"/>
      <c r="AS24" s="430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</row>
    <row r="25" spans="1:86" s="63" customFormat="1" ht="39.950000000000003" customHeight="1">
      <c r="A25" s="431" t="s">
        <v>77</v>
      </c>
      <c r="B25" s="254">
        <v>13230000</v>
      </c>
      <c r="C25" s="254">
        <v>14119310</v>
      </c>
      <c r="D25" s="60">
        <v>8385311</v>
      </c>
      <c r="E25" s="432">
        <f t="shared" ref="E25:E30" si="16">D25/C25</f>
        <v>0.59388957392393826</v>
      </c>
      <c r="F25" s="254">
        <v>2961000</v>
      </c>
      <c r="G25" s="254">
        <v>3123301</v>
      </c>
      <c r="H25" s="60">
        <v>2154820</v>
      </c>
      <c r="I25" s="432">
        <f t="shared" ref="I25:I30" si="17">H25/G25</f>
        <v>0.68991749434332461</v>
      </c>
      <c r="J25" s="254">
        <v>2619000</v>
      </c>
      <c r="K25" s="254">
        <v>2711243</v>
      </c>
      <c r="L25" s="60">
        <v>1752266</v>
      </c>
      <c r="M25" s="432">
        <f t="shared" ref="M25:M30" si="18">L25/K25</f>
        <v>0.64629618223080709</v>
      </c>
      <c r="N25" s="254"/>
      <c r="O25" s="254"/>
      <c r="P25" s="60"/>
      <c r="Q25" s="432"/>
      <c r="R25" s="254"/>
      <c r="S25" s="254">
        <v>1198594</v>
      </c>
      <c r="T25" s="60">
        <v>1198330</v>
      </c>
      <c r="U25" s="432">
        <f t="shared" ref="U25:U30" si="19">T25/S25</f>
        <v>0.99977974193096242</v>
      </c>
      <c r="V25" s="254">
        <v>1100000</v>
      </c>
      <c r="W25" s="254">
        <v>1100000</v>
      </c>
      <c r="X25" s="60"/>
      <c r="Y25" s="432">
        <f t="shared" ref="Y25:Y30" si="20">X25/W25</f>
        <v>0</v>
      </c>
      <c r="Z25" s="254">
        <v>2500000</v>
      </c>
      <c r="AA25" s="254">
        <v>2500000</v>
      </c>
      <c r="AB25" s="60"/>
      <c r="AC25" s="432"/>
      <c r="AD25" s="254"/>
      <c r="AE25" s="254"/>
      <c r="AF25" s="60"/>
      <c r="AG25" s="432"/>
      <c r="AH25" s="60">
        <f t="shared" ref="AH25:AH26" si="21">SUM(B25+F25+J25+N25+R25)</f>
        <v>18810000</v>
      </c>
      <c r="AI25" s="60">
        <f>SUM(C25+G25+K25+O25+S25)</f>
        <v>21152448</v>
      </c>
      <c r="AJ25" s="60">
        <f>SUM(D25+H25+L25+P25+T25)</f>
        <v>13490727</v>
      </c>
      <c r="AK25" s="432">
        <f t="shared" ref="AK25:AK30" si="22">AJ25/AI25</f>
        <v>0.63778561233196274</v>
      </c>
      <c r="AL25" s="60">
        <f t="shared" ref="AL25:AN26" si="23">SUM(V25+Z25+AD25)</f>
        <v>3600000</v>
      </c>
      <c r="AM25" s="60">
        <f t="shared" si="23"/>
        <v>3600000</v>
      </c>
      <c r="AN25" s="60">
        <f t="shared" si="23"/>
        <v>0</v>
      </c>
      <c r="AO25" s="432">
        <f t="shared" ref="AO25:AO30" si="24">AN25/AM25</f>
        <v>0</v>
      </c>
      <c r="AP25" s="60">
        <f>SUM(AH25+AL25)</f>
        <v>22410000</v>
      </c>
      <c r="AQ25" s="60">
        <f t="shared" ref="AQ25:AR26" si="25">SUM(AI25+AM25)</f>
        <v>24752448</v>
      </c>
      <c r="AR25" s="60">
        <f>SUM(AJ25+AN25)</f>
        <v>13490727</v>
      </c>
      <c r="AS25" s="432">
        <f t="shared" ref="AS25:AS30" si="26">AR25/AQ25</f>
        <v>0.54502597076458859</v>
      </c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</row>
    <row r="26" spans="1:86" s="63" customFormat="1" ht="39.950000000000003" customHeight="1" thickBot="1">
      <c r="A26" s="58" t="s">
        <v>97</v>
      </c>
      <c r="B26" s="59">
        <v>10647000</v>
      </c>
      <c r="C26" s="59">
        <v>10691984</v>
      </c>
      <c r="D26" s="59">
        <v>5206092</v>
      </c>
      <c r="E26" s="432">
        <f t="shared" si="16"/>
        <v>0.48691543122398984</v>
      </c>
      <c r="F26" s="59">
        <v>2317000</v>
      </c>
      <c r="G26" s="59">
        <v>2317000</v>
      </c>
      <c r="H26" s="59">
        <v>889935</v>
      </c>
      <c r="I26" s="432">
        <f t="shared" si="17"/>
        <v>0.38408933966335779</v>
      </c>
      <c r="J26" s="59">
        <v>8451000</v>
      </c>
      <c r="K26" s="59">
        <v>8492891</v>
      </c>
      <c r="L26" s="59">
        <v>3771772</v>
      </c>
      <c r="M26" s="432">
        <f t="shared" si="18"/>
        <v>0.44410931448431401</v>
      </c>
      <c r="N26" s="59"/>
      <c r="O26" s="59"/>
      <c r="P26" s="59"/>
      <c r="Q26" s="438"/>
      <c r="R26" s="59"/>
      <c r="S26" s="59">
        <v>390793</v>
      </c>
      <c r="T26" s="59">
        <v>390793</v>
      </c>
      <c r="U26" s="432">
        <f t="shared" si="19"/>
        <v>1</v>
      </c>
      <c r="V26" s="59"/>
      <c r="W26" s="59"/>
      <c r="X26" s="59"/>
      <c r="Y26" s="432"/>
      <c r="Z26" s="59"/>
      <c r="AA26" s="59"/>
      <c r="AB26" s="59"/>
      <c r="AC26" s="438"/>
      <c r="AD26" s="59"/>
      <c r="AE26" s="59"/>
      <c r="AF26" s="59"/>
      <c r="AG26" s="438"/>
      <c r="AH26" s="60">
        <f t="shared" si="21"/>
        <v>21415000</v>
      </c>
      <c r="AI26" s="60">
        <f>SUM(C26+G26+K26+O26+S26)</f>
        <v>21892668</v>
      </c>
      <c r="AJ26" s="60">
        <f>SUM(D26+H26+L26+P26+T26)</f>
        <v>10258592</v>
      </c>
      <c r="AK26" s="432">
        <f t="shared" si="22"/>
        <v>0.46858573838510681</v>
      </c>
      <c r="AL26" s="60">
        <f t="shared" si="23"/>
        <v>0</v>
      </c>
      <c r="AM26" s="60">
        <f t="shared" si="23"/>
        <v>0</v>
      </c>
      <c r="AN26" s="60">
        <f t="shared" si="23"/>
        <v>0</v>
      </c>
      <c r="AO26" s="432">
        <v>0</v>
      </c>
      <c r="AP26" s="60">
        <f>SUM(AH26+AL26)</f>
        <v>21415000</v>
      </c>
      <c r="AQ26" s="60">
        <f t="shared" si="25"/>
        <v>21892668</v>
      </c>
      <c r="AR26" s="60">
        <f t="shared" si="25"/>
        <v>10258592</v>
      </c>
      <c r="AS26" s="432">
        <f t="shared" si="26"/>
        <v>0.46858573838510681</v>
      </c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</row>
    <row r="27" spans="1:86" s="403" customFormat="1" ht="27" customHeight="1" thickBot="1">
      <c r="A27" s="400" t="s">
        <v>174</v>
      </c>
      <c r="B27" s="401">
        <f>B25+B26</f>
        <v>23877000</v>
      </c>
      <c r="C27" s="401">
        <f>C25+C26</f>
        <v>24811294</v>
      </c>
      <c r="D27" s="401">
        <f>D25+D26</f>
        <v>13591403</v>
      </c>
      <c r="E27" s="485">
        <f t="shared" si="16"/>
        <v>0.54779097777004293</v>
      </c>
      <c r="F27" s="401">
        <f t="shared" ref="F27:AR27" si="27">F25+F26</f>
        <v>5278000</v>
      </c>
      <c r="G27" s="401">
        <f t="shared" si="27"/>
        <v>5440301</v>
      </c>
      <c r="H27" s="401">
        <f>H25+H26</f>
        <v>3044755</v>
      </c>
      <c r="I27" s="485">
        <f t="shared" si="17"/>
        <v>0.55966664344491235</v>
      </c>
      <c r="J27" s="401">
        <f t="shared" si="27"/>
        <v>11070000</v>
      </c>
      <c r="K27" s="401">
        <f t="shared" si="27"/>
        <v>11204134</v>
      </c>
      <c r="L27" s="401">
        <f>L25+L26</f>
        <v>5524038</v>
      </c>
      <c r="M27" s="485">
        <f t="shared" si="18"/>
        <v>0.49303569557450849</v>
      </c>
      <c r="N27" s="401">
        <f t="shared" si="27"/>
        <v>0</v>
      </c>
      <c r="O27" s="401">
        <f t="shared" si="27"/>
        <v>0</v>
      </c>
      <c r="P27" s="401">
        <f>P25+P26</f>
        <v>0</v>
      </c>
      <c r="Q27" s="485">
        <v>0</v>
      </c>
      <c r="R27" s="401">
        <f t="shared" si="27"/>
        <v>0</v>
      </c>
      <c r="S27" s="401">
        <f t="shared" si="27"/>
        <v>1589387</v>
      </c>
      <c r="T27" s="401">
        <f>T25+T26</f>
        <v>1589123</v>
      </c>
      <c r="U27" s="485">
        <f t="shared" si="19"/>
        <v>0.99983389822617152</v>
      </c>
      <c r="V27" s="401">
        <f t="shared" si="27"/>
        <v>1100000</v>
      </c>
      <c r="W27" s="401">
        <f t="shared" si="27"/>
        <v>1100000</v>
      </c>
      <c r="X27" s="401">
        <f>X25+X26</f>
        <v>0</v>
      </c>
      <c r="Y27" s="485">
        <f t="shared" si="20"/>
        <v>0</v>
      </c>
      <c r="Z27" s="401">
        <f t="shared" si="27"/>
        <v>2500000</v>
      </c>
      <c r="AA27" s="401">
        <f t="shared" si="27"/>
        <v>2500000</v>
      </c>
      <c r="AB27" s="401">
        <f>AB25+AB26</f>
        <v>0</v>
      </c>
      <c r="AC27" s="485">
        <v>0</v>
      </c>
      <c r="AD27" s="401">
        <f t="shared" si="27"/>
        <v>0</v>
      </c>
      <c r="AE27" s="401">
        <f t="shared" si="27"/>
        <v>0</v>
      </c>
      <c r="AF27" s="401">
        <f>AF25+AF26</f>
        <v>0</v>
      </c>
      <c r="AG27" s="485">
        <v>0</v>
      </c>
      <c r="AH27" s="401">
        <f t="shared" ref="AH27:AJ27" si="28">AH25+AH26</f>
        <v>40225000</v>
      </c>
      <c r="AI27" s="401">
        <f t="shared" si="28"/>
        <v>43045116</v>
      </c>
      <c r="AJ27" s="401">
        <f t="shared" si="28"/>
        <v>23749319</v>
      </c>
      <c r="AK27" s="485">
        <f t="shared" si="22"/>
        <v>0.551730863032173</v>
      </c>
      <c r="AL27" s="401">
        <f t="shared" ref="AL27:AN27" si="29">AL25+AL26</f>
        <v>3600000</v>
      </c>
      <c r="AM27" s="401">
        <f t="shared" si="29"/>
        <v>3600000</v>
      </c>
      <c r="AN27" s="401">
        <f t="shared" si="29"/>
        <v>0</v>
      </c>
      <c r="AO27" s="485">
        <f t="shared" si="24"/>
        <v>0</v>
      </c>
      <c r="AP27" s="401">
        <f t="shared" si="27"/>
        <v>43825000</v>
      </c>
      <c r="AQ27" s="401">
        <f t="shared" si="27"/>
        <v>46645116</v>
      </c>
      <c r="AR27" s="401">
        <f t="shared" si="27"/>
        <v>23749319</v>
      </c>
      <c r="AS27" s="485">
        <f t="shared" si="26"/>
        <v>0.50914910362748378</v>
      </c>
      <c r="AT27" s="69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2"/>
      <c r="BJ27" s="402"/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2"/>
      <c r="CC27" s="402"/>
      <c r="CD27" s="402"/>
      <c r="CE27" s="402"/>
      <c r="CF27" s="402"/>
      <c r="CG27" s="402"/>
      <c r="CH27" s="402"/>
    </row>
    <row r="28" spans="1:86" s="48" customFormat="1" ht="50.1" customHeight="1" thickBot="1">
      <c r="A28" s="287" t="s">
        <v>175</v>
      </c>
      <c r="B28" s="404">
        <f t="shared" ref="B28:D29" si="30">B13+B17+B21+B25</f>
        <v>556701000</v>
      </c>
      <c r="C28" s="404">
        <f t="shared" si="30"/>
        <v>703203752</v>
      </c>
      <c r="D28" s="404">
        <f t="shared" si="30"/>
        <v>438192470</v>
      </c>
      <c r="E28" s="430">
        <f t="shared" si="16"/>
        <v>0.62313727529713181</v>
      </c>
      <c r="F28" s="404">
        <f t="shared" ref="F28:H29" si="31">F13+F17+F21+F25</f>
        <v>119778000</v>
      </c>
      <c r="G28" s="404">
        <f t="shared" si="31"/>
        <v>139572890</v>
      </c>
      <c r="H28" s="404">
        <f t="shared" si="31"/>
        <v>83656293</v>
      </c>
      <c r="I28" s="430">
        <f t="shared" si="17"/>
        <v>0.59937351014226325</v>
      </c>
      <c r="J28" s="404">
        <f t="shared" ref="J28:L29" si="32">J13+J17+J21+J25</f>
        <v>395754000</v>
      </c>
      <c r="K28" s="404">
        <f t="shared" si="32"/>
        <v>386664942</v>
      </c>
      <c r="L28" s="404">
        <f t="shared" si="32"/>
        <v>205950851</v>
      </c>
      <c r="M28" s="430">
        <f t="shared" si="18"/>
        <v>0.5326338869376992</v>
      </c>
      <c r="N28" s="404">
        <f t="shared" ref="N28:P29" si="33">N13+N17+N21+N25</f>
        <v>0</v>
      </c>
      <c r="O28" s="404">
        <f t="shared" si="33"/>
        <v>0</v>
      </c>
      <c r="P28" s="404">
        <f t="shared" si="33"/>
        <v>0</v>
      </c>
      <c r="Q28" s="430">
        <v>0</v>
      </c>
      <c r="R28" s="404">
        <f t="shared" ref="R28:T29" si="34">R13+R17+R21+R25</f>
        <v>0</v>
      </c>
      <c r="S28" s="404">
        <f t="shared" si="34"/>
        <v>13574335</v>
      </c>
      <c r="T28" s="404">
        <f>T13+T17+T21+T25</f>
        <v>12633249</v>
      </c>
      <c r="U28" s="430">
        <f t="shared" si="19"/>
        <v>0.93067166826220216</v>
      </c>
      <c r="V28" s="404">
        <f t="shared" ref="V28:X29" si="35">V13+V17+V21+V25</f>
        <v>8593000</v>
      </c>
      <c r="W28" s="404">
        <f t="shared" si="35"/>
        <v>21144000</v>
      </c>
      <c r="X28" s="404">
        <f t="shared" si="35"/>
        <v>19306690</v>
      </c>
      <c r="Y28" s="430">
        <f t="shared" si="20"/>
        <v>0.91310489973514941</v>
      </c>
      <c r="Z28" s="404">
        <f t="shared" ref="Z28:AB29" si="36">Z13+Z17+Z21+Z25</f>
        <v>7920000</v>
      </c>
      <c r="AA28" s="404">
        <f t="shared" si="36"/>
        <v>41745000</v>
      </c>
      <c r="AB28" s="404">
        <f t="shared" si="36"/>
        <v>33824592</v>
      </c>
      <c r="AC28" s="430">
        <f>AB28/AA28</f>
        <v>0.81026690621631337</v>
      </c>
      <c r="AD28" s="404">
        <f t="shared" ref="AD28:AF29" si="37">AD13+AD17+AD21+AD25</f>
        <v>8000000</v>
      </c>
      <c r="AE28" s="404">
        <f t="shared" si="37"/>
        <v>0</v>
      </c>
      <c r="AF28" s="404">
        <f t="shared" si="37"/>
        <v>0</v>
      </c>
      <c r="AG28" s="430">
        <v>0</v>
      </c>
      <c r="AH28" s="55">
        <f t="shared" ref="AH28:AH29" si="38">SUM(B28+F28+J28+N28+R28)</f>
        <v>1072233000</v>
      </c>
      <c r="AI28" s="55">
        <f>SUM(C28+G28+K28+O28+S28)</f>
        <v>1243015919</v>
      </c>
      <c r="AJ28" s="55">
        <f>SUM(D28+H28+L28+P28+T28)</f>
        <v>740432863</v>
      </c>
      <c r="AK28" s="430">
        <f t="shared" si="22"/>
        <v>0.59567448146253388</v>
      </c>
      <c r="AL28" s="55">
        <f>SUM(V28+Z28+AD28)</f>
        <v>24513000</v>
      </c>
      <c r="AM28" s="55">
        <f>SUM(W28+AA28+AE28)</f>
        <v>62889000</v>
      </c>
      <c r="AN28" s="436">
        <f>AN13+AN17+AN21+AN25</f>
        <v>53131282</v>
      </c>
      <c r="AO28" s="430">
        <f t="shared" si="24"/>
        <v>0.84484221405969251</v>
      </c>
      <c r="AP28" s="55">
        <f>SUM(AH28+AL28)</f>
        <v>1096746000</v>
      </c>
      <c r="AQ28" s="55">
        <f t="shared" ref="AQ28:AR29" si="39">SUM(AI28+AM28)</f>
        <v>1305904919</v>
      </c>
      <c r="AR28" s="55">
        <f t="shared" si="39"/>
        <v>793564145</v>
      </c>
      <c r="AS28" s="430">
        <f t="shared" si="26"/>
        <v>0.6076737543860955</v>
      </c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</row>
    <row r="29" spans="1:86" s="48" customFormat="1" ht="50.1" customHeight="1" thickBot="1">
      <c r="A29" s="287" t="s">
        <v>176</v>
      </c>
      <c r="B29" s="55">
        <f t="shared" si="30"/>
        <v>13384000</v>
      </c>
      <c r="C29" s="55">
        <f t="shared" si="30"/>
        <v>13428984</v>
      </c>
      <c r="D29" s="55">
        <f t="shared" si="30"/>
        <v>5206092</v>
      </c>
      <c r="E29" s="434">
        <f t="shared" si="16"/>
        <v>0.38767579140760017</v>
      </c>
      <c r="F29" s="55">
        <f t="shared" si="31"/>
        <v>2959000</v>
      </c>
      <c r="G29" s="55">
        <f t="shared" si="31"/>
        <v>2959000</v>
      </c>
      <c r="H29" s="55">
        <f t="shared" si="31"/>
        <v>889935</v>
      </c>
      <c r="I29" s="434">
        <f t="shared" si="17"/>
        <v>0.30075532274417033</v>
      </c>
      <c r="J29" s="55">
        <f t="shared" si="32"/>
        <v>21301000</v>
      </c>
      <c r="K29" s="55">
        <f t="shared" si="32"/>
        <v>21342891</v>
      </c>
      <c r="L29" s="55">
        <f t="shared" si="32"/>
        <v>3771772</v>
      </c>
      <c r="M29" s="434">
        <f t="shared" si="18"/>
        <v>0.17672263799688617</v>
      </c>
      <c r="N29" s="55">
        <f t="shared" si="33"/>
        <v>0</v>
      </c>
      <c r="O29" s="55">
        <f t="shared" si="33"/>
        <v>0</v>
      </c>
      <c r="P29" s="55">
        <f t="shared" si="33"/>
        <v>0</v>
      </c>
      <c r="Q29" s="434">
        <v>0</v>
      </c>
      <c r="R29" s="55">
        <f t="shared" si="34"/>
        <v>0</v>
      </c>
      <c r="S29" s="55">
        <f t="shared" si="34"/>
        <v>390793</v>
      </c>
      <c r="T29" s="55">
        <f t="shared" si="34"/>
        <v>390793</v>
      </c>
      <c r="U29" s="434">
        <f t="shared" si="19"/>
        <v>1</v>
      </c>
      <c r="V29" s="55">
        <f t="shared" si="35"/>
        <v>0</v>
      </c>
      <c r="W29" s="55">
        <f t="shared" si="35"/>
        <v>0</v>
      </c>
      <c r="X29" s="55">
        <f t="shared" si="35"/>
        <v>0</v>
      </c>
      <c r="Y29" s="434">
        <v>0</v>
      </c>
      <c r="Z29" s="55">
        <f t="shared" si="36"/>
        <v>0</v>
      </c>
      <c r="AA29" s="55">
        <f t="shared" si="36"/>
        <v>0</v>
      </c>
      <c r="AB29" s="55">
        <f t="shared" si="36"/>
        <v>0</v>
      </c>
      <c r="AC29" s="434">
        <v>0</v>
      </c>
      <c r="AD29" s="55">
        <f t="shared" si="37"/>
        <v>0</v>
      </c>
      <c r="AE29" s="55">
        <f t="shared" si="37"/>
        <v>0</v>
      </c>
      <c r="AF29" s="55">
        <f t="shared" si="37"/>
        <v>0</v>
      </c>
      <c r="AG29" s="434">
        <v>0</v>
      </c>
      <c r="AH29" s="404">
        <f t="shared" si="38"/>
        <v>37644000</v>
      </c>
      <c r="AI29" s="404">
        <f>SUM(C29+G29+K29+O29+S29)</f>
        <v>38121668</v>
      </c>
      <c r="AJ29" s="404">
        <f>SUM(D29+H29+L29+P29+T29)</f>
        <v>10258592</v>
      </c>
      <c r="AK29" s="434">
        <f t="shared" si="22"/>
        <v>0.26910134152576953</v>
      </c>
      <c r="AL29" s="404">
        <f>SUM(V29+Z29+AD29)</f>
        <v>0</v>
      </c>
      <c r="AM29" s="404">
        <f>SUM(W29+AA29+AE29)</f>
        <v>0</v>
      </c>
      <c r="AN29" s="404">
        <f>AN14+AN18+AN22+AN26</f>
        <v>0</v>
      </c>
      <c r="AO29" s="434">
        <v>0</v>
      </c>
      <c r="AP29" s="404">
        <f>SUM(AH29+AL29)</f>
        <v>37644000</v>
      </c>
      <c r="AQ29" s="404">
        <f t="shared" si="39"/>
        <v>38121668</v>
      </c>
      <c r="AR29" s="404">
        <f t="shared" si="39"/>
        <v>10258592</v>
      </c>
      <c r="AS29" s="434">
        <f t="shared" si="26"/>
        <v>0.26910134152576953</v>
      </c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</row>
    <row r="30" spans="1:86" s="403" customFormat="1" ht="50.1" customHeight="1" thickBot="1">
      <c r="A30" s="400" t="s">
        <v>177</v>
      </c>
      <c r="B30" s="401">
        <f t="shared" ref="B30:AR30" si="40">B28+B29</f>
        <v>570085000</v>
      </c>
      <c r="C30" s="401">
        <f>C28+C29</f>
        <v>716632736</v>
      </c>
      <c r="D30" s="401">
        <f>D28+D29</f>
        <v>443398562</v>
      </c>
      <c r="E30" s="485">
        <f t="shared" si="16"/>
        <v>0.61872496151222434</v>
      </c>
      <c r="F30" s="401">
        <f t="shared" si="40"/>
        <v>122737000</v>
      </c>
      <c r="G30" s="401">
        <f t="shared" si="40"/>
        <v>142531890</v>
      </c>
      <c r="H30" s="401">
        <f>H28+H29</f>
        <v>84546228</v>
      </c>
      <c r="I30" s="485">
        <f t="shared" si="17"/>
        <v>0.59317411703444045</v>
      </c>
      <c r="J30" s="401">
        <f t="shared" si="40"/>
        <v>417055000</v>
      </c>
      <c r="K30" s="401">
        <f t="shared" si="40"/>
        <v>408007833</v>
      </c>
      <c r="L30" s="401">
        <f>L28+L29</f>
        <v>209722623</v>
      </c>
      <c r="M30" s="485">
        <f t="shared" si="18"/>
        <v>0.5140161684101785</v>
      </c>
      <c r="N30" s="401">
        <f t="shared" si="40"/>
        <v>0</v>
      </c>
      <c r="O30" s="401">
        <f t="shared" si="40"/>
        <v>0</v>
      </c>
      <c r="P30" s="401">
        <f>P28+P29</f>
        <v>0</v>
      </c>
      <c r="Q30" s="485">
        <v>0</v>
      </c>
      <c r="R30" s="401">
        <f t="shared" si="40"/>
        <v>0</v>
      </c>
      <c r="S30" s="401">
        <f t="shared" si="40"/>
        <v>13965128</v>
      </c>
      <c r="T30" s="401">
        <f>T28+T29</f>
        <v>13024042</v>
      </c>
      <c r="U30" s="485">
        <f t="shared" si="19"/>
        <v>0.93261171684212274</v>
      </c>
      <c r="V30" s="401">
        <f t="shared" si="40"/>
        <v>8593000</v>
      </c>
      <c r="W30" s="401">
        <f t="shared" si="40"/>
        <v>21144000</v>
      </c>
      <c r="X30" s="401">
        <f>X28+X29</f>
        <v>19306690</v>
      </c>
      <c r="Y30" s="485">
        <f t="shared" si="20"/>
        <v>0.91310489973514941</v>
      </c>
      <c r="Z30" s="401">
        <f t="shared" si="40"/>
        <v>7920000</v>
      </c>
      <c r="AA30" s="401">
        <f t="shared" si="40"/>
        <v>41745000</v>
      </c>
      <c r="AB30" s="401">
        <f>AB28+AB29</f>
        <v>33824592</v>
      </c>
      <c r="AC30" s="485">
        <f>AB30/AA30</f>
        <v>0.81026690621631337</v>
      </c>
      <c r="AD30" s="401">
        <f t="shared" si="40"/>
        <v>8000000</v>
      </c>
      <c r="AE30" s="401">
        <f t="shared" si="40"/>
        <v>0</v>
      </c>
      <c r="AF30" s="401">
        <f>AF28+AF29</f>
        <v>0</v>
      </c>
      <c r="AG30" s="485">
        <v>0</v>
      </c>
      <c r="AH30" s="401">
        <f t="shared" si="40"/>
        <v>1109877000</v>
      </c>
      <c r="AI30" s="401">
        <f t="shared" si="40"/>
        <v>1281137587</v>
      </c>
      <c r="AJ30" s="401">
        <f t="shared" si="40"/>
        <v>750691455</v>
      </c>
      <c r="AK30" s="485">
        <f t="shared" si="22"/>
        <v>0.58595693594305576</v>
      </c>
      <c r="AL30" s="401">
        <f t="shared" si="40"/>
        <v>24513000</v>
      </c>
      <c r="AM30" s="401">
        <f t="shared" si="40"/>
        <v>62889000</v>
      </c>
      <c r="AN30" s="401">
        <f>AN28+AN29</f>
        <v>53131282</v>
      </c>
      <c r="AO30" s="485">
        <f t="shared" si="24"/>
        <v>0.84484221405969251</v>
      </c>
      <c r="AP30" s="401">
        <f t="shared" si="40"/>
        <v>1134390000</v>
      </c>
      <c r="AQ30" s="401">
        <f t="shared" si="40"/>
        <v>1344026587</v>
      </c>
      <c r="AR30" s="401">
        <f t="shared" si="40"/>
        <v>803822737</v>
      </c>
      <c r="AS30" s="485">
        <f t="shared" si="26"/>
        <v>0.5980705625728816</v>
      </c>
      <c r="AT30" s="486"/>
      <c r="AU30" s="402"/>
      <c r="AV30" s="402"/>
      <c r="AW30" s="402"/>
      <c r="AX30" s="402"/>
      <c r="AY30" s="402"/>
      <c r="AZ30" s="402"/>
      <c r="BA30" s="402"/>
      <c r="BB30" s="402"/>
      <c r="BC30" s="402"/>
      <c r="BD30" s="402"/>
      <c r="BE30" s="402"/>
      <c r="BF30" s="402"/>
      <c r="BG30" s="402"/>
      <c r="BH30" s="402"/>
      <c r="BI30" s="402"/>
      <c r="BJ30" s="402"/>
      <c r="BK30" s="402"/>
      <c r="BL30" s="402"/>
      <c r="BM30" s="402"/>
      <c r="BN30" s="402"/>
      <c r="BO30" s="402"/>
      <c r="BP30" s="402"/>
      <c r="BQ30" s="402"/>
      <c r="BR30" s="402"/>
      <c r="BS30" s="402"/>
      <c r="BT30" s="402"/>
      <c r="BU30" s="402"/>
      <c r="BV30" s="402"/>
      <c r="BW30" s="402"/>
      <c r="BX30" s="402"/>
      <c r="BY30" s="402"/>
      <c r="BZ30" s="402"/>
      <c r="CA30" s="402"/>
      <c r="CB30" s="402"/>
      <c r="CC30" s="402"/>
      <c r="CD30" s="402"/>
      <c r="CE30" s="402"/>
      <c r="CF30" s="402"/>
      <c r="CG30" s="402"/>
      <c r="CH30" s="402"/>
    </row>
    <row r="31" spans="1:86" s="48" customFormat="1" ht="39.950000000000003" customHeight="1">
      <c r="A31" s="44" t="s">
        <v>178</v>
      </c>
      <c r="B31" s="55"/>
      <c r="C31" s="55"/>
      <c r="D31" s="55"/>
      <c r="E31" s="430"/>
      <c r="F31" s="55"/>
      <c r="G31" s="55"/>
      <c r="H31" s="55"/>
      <c r="I31" s="430"/>
      <c r="J31" s="55"/>
      <c r="K31" s="55"/>
      <c r="L31" s="55"/>
      <c r="M31" s="430"/>
      <c r="N31" s="55"/>
      <c r="O31" s="55"/>
      <c r="P31" s="55"/>
      <c r="Q31" s="430"/>
      <c r="R31" s="55"/>
      <c r="S31" s="55"/>
      <c r="T31" s="55"/>
      <c r="U31" s="430"/>
      <c r="V31" s="55"/>
      <c r="W31" s="55"/>
      <c r="X31" s="55"/>
      <c r="Y31" s="430"/>
      <c r="Z31" s="55"/>
      <c r="AA31" s="55"/>
      <c r="AB31" s="55"/>
      <c r="AC31" s="430"/>
      <c r="AD31" s="55"/>
      <c r="AE31" s="55"/>
      <c r="AF31" s="55"/>
      <c r="AG31" s="430"/>
      <c r="AH31" s="55"/>
      <c r="AI31" s="55"/>
      <c r="AJ31" s="55"/>
      <c r="AK31" s="430"/>
      <c r="AL31" s="55"/>
      <c r="AM31" s="55"/>
      <c r="AN31" s="55"/>
      <c r="AO31" s="430"/>
      <c r="AP31" s="55"/>
      <c r="AQ31" s="55"/>
      <c r="AR31" s="55"/>
      <c r="AS31" s="430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</row>
    <row r="32" spans="1:86" s="48" customFormat="1" ht="39.950000000000003" customHeight="1">
      <c r="A32" s="57" t="s">
        <v>77</v>
      </c>
      <c r="B32" s="50">
        <v>199272000</v>
      </c>
      <c r="C32" s="50">
        <v>199705721</v>
      </c>
      <c r="D32" s="50">
        <v>112436336</v>
      </c>
      <c r="E32" s="428">
        <f t="shared" ref="E32" si="41">D32/C32</f>
        <v>0.56301009023171644</v>
      </c>
      <c r="F32" s="50">
        <v>51928000</v>
      </c>
      <c r="G32" s="50">
        <v>54618284</v>
      </c>
      <c r="H32" s="50">
        <v>29639791</v>
      </c>
      <c r="I32" s="428">
        <f t="shared" ref="I32" si="42">H32/G32</f>
        <v>0.54267158960907669</v>
      </c>
      <c r="J32" s="50">
        <v>69887000</v>
      </c>
      <c r="K32" s="50">
        <v>68727918</v>
      </c>
      <c r="L32" s="50">
        <v>21036004</v>
      </c>
      <c r="M32" s="428">
        <f t="shared" ref="M32" si="43">L32/K32</f>
        <v>0.30607654956170793</v>
      </c>
      <c r="N32" s="50"/>
      <c r="O32" s="50"/>
      <c r="P32" s="50"/>
      <c r="Q32" s="428"/>
      <c r="R32" s="50"/>
      <c r="S32" s="50">
        <v>667593</v>
      </c>
      <c r="T32" s="50">
        <v>667593</v>
      </c>
      <c r="U32" s="428">
        <f t="shared" ref="U32" si="44">T32/S32</f>
        <v>1</v>
      </c>
      <c r="V32" s="50"/>
      <c r="W32" s="50">
        <v>2581000</v>
      </c>
      <c r="X32" s="50">
        <v>2614970</v>
      </c>
      <c r="Y32" s="428">
        <f t="shared" ref="Y32" si="45">X32/W32</f>
        <v>1.0131615652847734</v>
      </c>
      <c r="Z32" s="50"/>
      <c r="AA32" s="50"/>
      <c r="AB32" s="50"/>
      <c r="AC32" s="428"/>
      <c r="AD32" s="55"/>
      <c r="AE32" s="55"/>
      <c r="AF32" s="50"/>
      <c r="AG32" s="428"/>
      <c r="AH32" s="50">
        <f t="shared" ref="AH32:AJ34" si="46">SUM(B32+F32+J32+N32+R32)</f>
        <v>321087000</v>
      </c>
      <c r="AI32" s="50">
        <f t="shared" si="46"/>
        <v>323719516</v>
      </c>
      <c r="AJ32" s="50">
        <f t="shared" si="46"/>
        <v>163779724</v>
      </c>
      <c r="AK32" s="428">
        <f t="shared" ref="AK32" si="47">AJ32/AI32</f>
        <v>0.5059309553644582</v>
      </c>
      <c r="AL32" s="50">
        <f t="shared" ref="AL32:AN34" si="48">SUM(V32+Z32+AD32)</f>
        <v>0</v>
      </c>
      <c r="AM32" s="50">
        <f t="shared" si="48"/>
        <v>2581000</v>
      </c>
      <c r="AN32" s="50">
        <f t="shared" si="48"/>
        <v>2614970</v>
      </c>
      <c r="AO32" s="428">
        <f t="shared" ref="AO32" si="49">AN32/AM32</f>
        <v>1.0131615652847734</v>
      </c>
      <c r="AP32" s="50">
        <f>SUM(AH32+AL32)</f>
        <v>321087000</v>
      </c>
      <c r="AQ32" s="50">
        <f t="shared" ref="AQ32:AR34" si="50">SUM(AI32+AM32)</f>
        <v>326300516</v>
      </c>
      <c r="AR32" s="50">
        <f t="shared" si="50"/>
        <v>166394694</v>
      </c>
      <c r="AS32" s="428">
        <f t="shared" ref="AS32" si="51">AR32/AQ32</f>
        <v>0.50994309184604536</v>
      </c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</row>
    <row r="33" spans="1:86" s="48" customFormat="1" ht="39.950000000000003" customHeight="1">
      <c r="A33" s="53" t="s">
        <v>97</v>
      </c>
      <c r="B33" s="55"/>
      <c r="C33" s="55"/>
      <c r="D33" s="55"/>
      <c r="E33" s="428"/>
      <c r="F33" s="55"/>
      <c r="G33" s="55"/>
      <c r="H33" s="55"/>
      <c r="I33" s="428"/>
      <c r="J33" s="55"/>
      <c r="K33" s="55"/>
      <c r="L33" s="55"/>
      <c r="M33" s="428"/>
      <c r="N33" s="55"/>
      <c r="O33" s="55"/>
      <c r="P33" s="55"/>
      <c r="Q33" s="428"/>
      <c r="R33" s="55"/>
      <c r="S33" s="55"/>
      <c r="T33" s="55"/>
      <c r="U33" s="428"/>
      <c r="V33" s="55"/>
      <c r="W33" s="55"/>
      <c r="X33" s="55"/>
      <c r="Y33" s="428"/>
      <c r="Z33" s="55"/>
      <c r="AA33" s="55"/>
      <c r="AB33" s="55"/>
      <c r="AC33" s="428"/>
      <c r="AD33" s="71"/>
      <c r="AE33" s="71"/>
      <c r="AF33" s="55"/>
      <c r="AG33" s="428"/>
      <c r="AH33" s="50"/>
      <c r="AI33" s="50"/>
      <c r="AJ33" s="50"/>
      <c r="AK33" s="428"/>
      <c r="AL33" s="50"/>
      <c r="AM33" s="50"/>
      <c r="AN33" s="50"/>
      <c r="AO33" s="428"/>
      <c r="AP33" s="50"/>
      <c r="AQ33" s="50"/>
      <c r="AR33" s="50"/>
      <c r="AS33" s="428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</row>
    <row r="34" spans="1:86" s="63" customFormat="1" ht="39.950000000000003" customHeight="1" thickBot="1">
      <c r="A34" s="58" t="s">
        <v>179</v>
      </c>
      <c r="B34" s="59"/>
      <c r="C34" s="59"/>
      <c r="D34" s="59"/>
      <c r="E34" s="428"/>
      <c r="F34" s="59"/>
      <c r="G34" s="59"/>
      <c r="H34" s="59"/>
      <c r="I34" s="428"/>
      <c r="J34" s="59"/>
      <c r="K34" s="59"/>
      <c r="L34" s="59"/>
      <c r="M34" s="428"/>
      <c r="N34" s="59"/>
      <c r="O34" s="59"/>
      <c r="P34" s="59"/>
      <c r="Q34" s="428"/>
      <c r="R34" s="59"/>
      <c r="S34" s="59"/>
      <c r="T34" s="59"/>
      <c r="U34" s="428"/>
      <c r="V34" s="59"/>
      <c r="W34" s="59"/>
      <c r="X34" s="59"/>
      <c r="Y34" s="428"/>
      <c r="Z34" s="59"/>
      <c r="AA34" s="59"/>
      <c r="AB34" s="59"/>
      <c r="AC34" s="428"/>
      <c r="AD34" s="59"/>
      <c r="AE34" s="59"/>
      <c r="AF34" s="59"/>
      <c r="AG34" s="428"/>
      <c r="AH34" s="50">
        <f t="shared" si="46"/>
        <v>0</v>
      </c>
      <c r="AI34" s="50">
        <f t="shared" si="46"/>
        <v>0</v>
      </c>
      <c r="AJ34" s="50">
        <f t="shared" si="46"/>
        <v>0</v>
      </c>
      <c r="AK34" s="428">
        <v>0</v>
      </c>
      <c r="AL34" s="50">
        <f t="shared" si="48"/>
        <v>0</v>
      </c>
      <c r="AM34" s="50">
        <f t="shared" si="48"/>
        <v>0</v>
      </c>
      <c r="AN34" s="50">
        <f t="shared" si="48"/>
        <v>0</v>
      </c>
      <c r="AO34" s="428">
        <v>0</v>
      </c>
      <c r="AP34" s="50">
        <f>SUM(AH34+AL34)</f>
        <v>0</v>
      </c>
      <c r="AQ34" s="50">
        <f t="shared" si="50"/>
        <v>0</v>
      </c>
      <c r="AR34" s="50">
        <f t="shared" si="50"/>
        <v>0</v>
      </c>
      <c r="AS34" s="428">
        <v>0</v>
      </c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</row>
    <row r="35" spans="1:86" s="403" customFormat="1" ht="39.950000000000003" customHeight="1" thickBot="1">
      <c r="A35" s="400" t="s">
        <v>180</v>
      </c>
      <c r="B35" s="401">
        <f>SUM(B32:B34)</f>
        <v>199272000</v>
      </c>
      <c r="C35" s="401">
        <f>SUM(C32:C34)</f>
        <v>199705721</v>
      </c>
      <c r="D35" s="401">
        <f>SUM(D32:D34)</f>
        <v>112436336</v>
      </c>
      <c r="E35" s="485">
        <f>D35/C35</f>
        <v>0.56301009023171644</v>
      </c>
      <c r="F35" s="401">
        <f t="shared" ref="F35:AE35" si="52">SUM(F32:F34)</f>
        <v>51928000</v>
      </c>
      <c r="G35" s="401">
        <f t="shared" si="52"/>
        <v>54618284</v>
      </c>
      <c r="H35" s="401">
        <f>SUM(H32:H34)</f>
        <v>29639791</v>
      </c>
      <c r="I35" s="485">
        <f>H35/G35</f>
        <v>0.54267158960907669</v>
      </c>
      <c r="J35" s="401">
        <f t="shared" si="52"/>
        <v>69887000</v>
      </c>
      <c r="K35" s="401">
        <f t="shared" si="52"/>
        <v>68727918</v>
      </c>
      <c r="L35" s="401">
        <f>SUM(L32:L34)</f>
        <v>21036004</v>
      </c>
      <c r="M35" s="485">
        <f>L35/K35</f>
        <v>0.30607654956170793</v>
      </c>
      <c r="N35" s="401">
        <f t="shared" si="52"/>
        <v>0</v>
      </c>
      <c r="O35" s="401">
        <f t="shared" si="52"/>
        <v>0</v>
      </c>
      <c r="P35" s="401">
        <f>SUM(P32:P34)</f>
        <v>0</v>
      </c>
      <c r="Q35" s="485">
        <v>0</v>
      </c>
      <c r="R35" s="401">
        <f t="shared" si="52"/>
        <v>0</v>
      </c>
      <c r="S35" s="401">
        <f t="shared" si="52"/>
        <v>667593</v>
      </c>
      <c r="T35" s="401">
        <f>SUM(T32:T34)</f>
        <v>667593</v>
      </c>
      <c r="U35" s="485">
        <f>T35/S35</f>
        <v>1</v>
      </c>
      <c r="V35" s="401">
        <f t="shared" si="52"/>
        <v>0</v>
      </c>
      <c r="W35" s="401">
        <f t="shared" si="52"/>
        <v>2581000</v>
      </c>
      <c r="X35" s="401">
        <f>SUM(X32:X34)</f>
        <v>2614970</v>
      </c>
      <c r="Y35" s="485">
        <f>X35/W35</f>
        <v>1.0131615652847734</v>
      </c>
      <c r="Z35" s="401">
        <f t="shared" si="52"/>
        <v>0</v>
      </c>
      <c r="AA35" s="401">
        <f t="shared" si="52"/>
        <v>0</v>
      </c>
      <c r="AB35" s="401">
        <f>SUM(AB32:AB34)</f>
        <v>0</v>
      </c>
      <c r="AC35" s="485">
        <v>0</v>
      </c>
      <c r="AD35" s="401">
        <f t="shared" si="52"/>
        <v>0</v>
      </c>
      <c r="AE35" s="401">
        <f t="shared" si="52"/>
        <v>0</v>
      </c>
      <c r="AF35" s="401">
        <f>SUM(AF32:AF34)</f>
        <v>0</v>
      </c>
      <c r="AG35" s="485">
        <v>0</v>
      </c>
      <c r="AH35" s="401">
        <f t="shared" ref="AH35:AR35" si="53">SUM(AH32:AH34)</f>
        <v>321087000</v>
      </c>
      <c r="AI35" s="401">
        <f t="shared" si="53"/>
        <v>323719516</v>
      </c>
      <c r="AJ35" s="401">
        <f t="shared" si="53"/>
        <v>163779724</v>
      </c>
      <c r="AK35" s="485">
        <f>AJ35/AI35</f>
        <v>0.5059309553644582</v>
      </c>
      <c r="AL35" s="401">
        <f t="shared" si="53"/>
        <v>0</v>
      </c>
      <c r="AM35" s="401">
        <f t="shared" si="53"/>
        <v>2581000</v>
      </c>
      <c r="AN35" s="401">
        <f t="shared" si="53"/>
        <v>2614970</v>
      </c>
      <c r="AO35" s="485">
        <f>AN35/AM35</f>
        <v>1.0131615652847734</v>
      </c>
      <c r="AP35" s="401">
        <f t="shared" si="53"/>
        <v>321087000</v>
      </c>
      <c r="AQ35" s="401">
        <f t="shared" si="53"/>
        <v>326300516</v>
      </c>
      <c r="AR35" s="401">
        <f t="shared" si="53"/>
        <v>166394694</v>
      </c>
      <c r="AS35" s="485">
        <f>AR35/AQ35</f>
        <v>0.50994309184604536</v>
      </c>
      <c r="AT35" s="69"/>
      <c r="AU35" s="402"/>
      <c r="AV35" s="402"/>
      <c r="AW35" s="402"/>
      <c r="AX35" s="402"/>
      <c r="AY35" s="402"/>
      <c r="AZ35" s="402"/>
      <c r="BA35" s="402"/>
      <c r="BB35" s="402"/>
      <c r="BC35" s="402"/>
      <c r="BD35" s="402"/>
      <c r="BE35" s="402"/>
      <c r="BF35" s="402"/>
      <c r="BG35" s="402"/>
      <c r="BH35" s="402"/>
      <c r="BI35" s="402"/>
      <c r="BJ35" s="402"/>
      <c r="BK35" s="402"/>
      <c r="BL35" s="402"/>
      <c r="BM35" s="402"/>
      <c r="BN35" s="402"/>
      <c r="BO35" s="402"/>
      <c r="BP35" s="402"/>
      <c r="BQ35" s="402"/>
      <c r="BR35" s="402"/>
      <c r="BS35" s="402"/>
      <c r="BT35" s="402"/>
      <c r="BU35" s="402"/>
      <c r="BV35" s="402"/>
      <c r="BW35" s="402"/>
      <c r="BX35" s="402"/>
      <c r="BY35" s="402"/>
      <c r="BZ35" s="402"/>
      <c r="CA35" s="402"/>
      <c r="CB35" s="402"/>
      <c r="CC35" s="402"/>
      <c r="CD35" s="402"/>
      <c r="CE35" s="402"/>
      <c r="CF35" s="402"/>
      <c r="CG35" s="402"/>
      <c r="CH35" s="402"/>
    </row>
    <row r="36" spans="1:86" s="48" customFormat="1" ht="39.950000000000003" customHeight="1" thickBot="1">
      <c r="A36" s="289" t="s">
        <v>181</v>
      </c>
      <c r="B36" s="290">
        <f t="shared" ref="B36:AF36" si="54">B28+B32</f>
        <v>755973000</v>
      </c>
      <c r="C36" s="290">
        <f t="shared" si="54"/>
        <v>902909473</v>
      </c>
      <c r="D36" s="290">
        <f t="shared" si="54"/>
        <v>550628806</v>
      </c>
      <c r="E36" s="487">
        <f>D36/C36</f>
        <v>0.60983833093530959</v>
      </c>
      <c r="F36" s="290">
        <f t="shared" si="54"/>
        <v>171706000</v>
      </c>
      <c r="G36" s="290">
        <f t="shared" si="54"/>
        <v>194191174</v>
      </c>
      <c r="H36" s="290">
        <f t="shared" si="54"/>
        <v>113296084</v>
      </c>
      <c r="I36" s="487">
        <f>H36/G36</f>
        <v>0.58342550624880618</v>
      </c>
      <c r="J36" s="290">
        <f t="shared" si="54"/>
        <v>465641000</v>
      </c>
      <c r="K36" s="290">
        <f t="shared" si="54"/>
        <v>455392860</v>
      </c>
      <c r="L36" s="290">
        <f t="shared" si="54"/>
        <v>226986855</v>
      </c>
      <c r="M36" s="487">
        <f>L36/K36</f>
        <v>0.49844183986547352</v>
      </c>
      <c r="N36" s="290">
        <f t="shared" si="54"/>
        <v>0</v>
      </c>
      <c r="O36" s="290">
        <f t="shared" si="54"/>
        <v>0</v>
      </c>
      <c r="P36" s="290">
        <f t="shared" si="54"/>
        <v>0</v>
      </c>
      <c r="Q36" s="487">
        <v>0</v>
      </c>
      <c r="R36" s="290">
        <f t="shared" si="54"/>
        <v>0</v>
      </c>
      <c r="S36" s="290">
        <f t="shared" si="54"/>
        <v>14241928</v>
      </c>
      <c r="T36" s="290">
        <f t="shared" si="54"/>
        <v>13300842</v>
      </c>
      <c r="U36" s="487">
        <f>T36/S36</f>
        <v>0.93392144659065823</v>
      </c>
      <c r="V36" s="290">
        <f t="shared" si="54"/>
        <v>8593000</v>
      </c>
      <c r="W36" s="290">
        <f t="shared" si="54"/>
        <v>23725000</v>
      </c>
      <c r="X36" s="290">
        <f t="shared" si="54"/>
        <v>21921660</v>
      </c>
      <c r="Y36" s="487">
        <f>X36/W36</f>
        <v>0.92398988408851424</v>
      </c>
      <c r="Z36" s="290">
        <f t="shared" si="54"/>
        <v>7920000</v>
      </c>
      <c r="AA36" s="290">
        <f t="shared" si="54"/>
        <v>41745000</v>
      </c>
      <c r="AB36" s="290">
        <f t="shared" si="54"/>
        <v>33824592</v>
      </c>
      <c r="AC36" s="487">
        <f>AB36/AA36</f>
        <v>0.81026690621631337</v>
      </c>
      <c r="AD36" s="290">
        <f t="shared" si="54"/>
        <v>8000000</v>
      </c>
      <c r="AE36" s="290">
        <f t="shared" si="54"/>
        <v>0</v>
      </c>
      <c r="AF36" s="290">
        <f t="shared" si="54"/>
        <v>0</v>
      </c>
      <c r="AG36" s="487">
        <v>0</v>
      </c>
      <c r="AH36" s="56">
        <f t="shared" ref="AH36:AJ38" si="55">SUM(B36+F36+J36+N36+R36)</f>
        <v>1393320000</v>
      </c>
      <c r="AI36" s="56">
        <f t="shared" si="55"/>
        <v>1566735435</v>
      </c>
      <c r="AJ36" s="56">
        <f t="shared" si="55"/>
        <v>904212587</v>
      </c>
      <c r="AK36" s="487">
        <f>AJ36/AI36</f>
        <v>0.57713163741649842</v>
      </c>
      <c r="AL36" s="56">
        <f>SUM(V36+Z36+AD36)</f>
        <v>24513000</v>
      </c>
      <c r="AM36" s="56">
        <f>SUM(W36+AA36+AE36)</f>
        <v>65470000</v>
      </c>
      <c r="AN36" s="56">
        <f>SUM(X36+AB36+AF36)</f>
        <v>55746252</v>
      </c>
      <c r="AO36" s="487">
        <f>AN36/AM36</f>
        <v>0.85147780662899042</v>
      </c>
      <c r="AP36" s="56">
        <f>SUM(AH36+AL36)</f>
        <v>1417833000</v>
      </c>
      <c r="AQ36" s="56">
        <f t="shared" ref="AQ36:AQ38" si="56">SUM(AI36+AM36)</f>
        <v>1632205435</v>
      </c>
      <c r="AR36" s="290">
        <f t="shared" ref="AR36" si="57">AR28+AR32</f>
        <v>959958839</v>
      </c>
      <c r="AS36" s="487">
        <f>AR36/AQ36</f>
        <v>0.5881360387701442</v>
      </c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</row>
    <row r="37" spans="1:86" s="48" customFormat="1" ht="39.950000000000003" customHeight="1" thickBot="1">
      <c r="A37" s="64" t="s">
        <v>182</v>
      </c>
      <c r="B37" s="56">
        <f>SUM(B29+B33)</f>
        <v>13384000</v>
      </c>
      <c r="C37" s="56">
        <f>SUM(C29+C33)</f>
        <v>13428984</v>
      </c>
      <c r="D37" s="56">
        <f>SUM(D29+D33)</f>
        <v>5206092</v>
      </c>
      <c r="E37" s="487">
        <f t="shared" ref="E37" si="58">D37/C37</f>
        <v>0.38767579140760017</v>
      </c>
      <c r="F37" s="56">
        <f t="shared" ref="F37:AE37" si="59">SUM(F29+F33)</f>
        <v>2959000</v>
      </c>
      <c r="G37" s="56">
        <f t="shared" si="59"/>
        <v>2959000</v>
      </c>
      <c r="H37" s="56">
        <f>SUM(H29+H33)</f>
        <v>889935</v>
      </c>
      <c r="I37" s="487">
        <f t="shared" ref="I37" si="60">H37/G37</f>
        <v>0.30075532274417033</v>
      </c>
      <c r="J37" s="56">
        <f t="shared" si="59"/>
        <v>21301000</v>
      </c>
      <c r="K37" s="56">
        <f t="shared" si="59"/>
        <v>21342891</v>
      </c>
      <c r="L37" s="56">
        <f>SUM(L29+L33)</f>
        <v>3771772</v>
      </c>
      <c r="M37" s="487">
        <f t="shared" ref="M37" si="61">L37/K37</f>
        <v>0.17672263799688617</v>
      </c>
      <c r="N37" s="56">
        <f t="shared" si="59"/>
        <v>0</v>
      </c>
      <c r="O37" s="56">
        <f t="shared" si="59"/>
        <v>0</v>
      </c>
      <c r="P37" s="56">
        <f>SUM(P29+P33)</f>
        <v>0</v>
      </c>
      <c r="Q37" s="487">
        <v>0</v>
      </c>
      <c r="R37" s="56">
        <f t="shared" si="59"/>
        <v>0</v>
      </c>
      <c r="S37" s="56">
        <f t="shared" si="59"/>
        <v>390793</v>
      </c>
      <c r="T37" s="56">
        <f>SUM(T29+T33)</f>
        <v>390793</v>
      </c>
      <c r="U37" s="487">
        <f t="shared" ref="U37" si="62">T37/S37</f>
        <v>1</v>
      </c>
      <c r="V37" s="56">
        <f t="shared" si="59"/>
        <v>0</v>
      </c>
      <c r="W37" s="56">
        <f t="shared" si="59"/>
        <v>0</v>
      </c>
      <c r="X37" s="56">
        <f>SUM(X29+X33)</f>
        <v>0</v>
      </c>
      <c r="Y37" s="487">
        <v>0</v>
      </c>
      <c r="Z37" s="56">
        <f t="shared" si="59"/>
        <v>0</v>
      </c>
      <c r="AA37" s="56">
        <f t="shared" si="59"/>
        <v>0</v>
      </c>
      <c r="AB37" s="56">
        <f>SUM(AB29+AB33)</f>
        <v>0</v>
      </c>
      <c r="AC37" s="487">
        <v>0</v>
      </c>
      <c r="AD37" s="56">
        <f t="shared" si="59"/>
        <v>0</v>
      </c>
      <c r="AE37" s="56">
        <f t="shared" si="59"/>
        <v>0</v>
      </c>
      <c r="AF37" s="56">
        <f>SUM(AF29+AF33)</f>
        <v>0</v>
      </c>
      <c r="AG37" s="487">
        <v>0</v>
      </c>
      <c r="AH37" s="65">
        <f t="shared" si="55"/>
        <v>37644000</v>
      </c>
      <c r="AI37" s="65">
        <f t="shared" si="55"/>
        <v>38121668</v>
      </c>
      <c r="AJ37" s="65">
        <f t="shared" si="55"/>
        <v>10258592</v>
      </c>
      <c r="AK37" s="487">
        <f t="shared" ref="AK37" si="63">AJ37/AI37</f>
        <v>0.26910134152576953</v>
      </c>
      <c r="AL37" s="65">
        <f>SUM(V37+Z37+AD37)</f>
        <v>0</v>
      </c>
      <c r="AM37" s="65">
        <f>SUM(W37+AA37+AE37)</f>
        <v>0</v>
      </c>
      <c r="AN37" s="66">
        <f>SUM(AN33)</f>
        <v>0</v>
      </c>
      <c r="AO37" s="487">
        <v>0</v>
      </c>
      <c r="AP37" s="65">
        <f>SUM(AH37+AL37)</f>
        <v>37644000</v>
      </c>
      <c r="AQ37" s="65">
        <f t="shared" si="56"/>
        <v>38121668</v>
      </c>
      <c r="AR37" s="56">
        <f>SUM(AR29+AR33)</f>
        <v>10258592</v>
      </c>
      <c r="AS37" s="487">
        <f t="shared" ref="AS37" si="64">AR37/AQ37</f>
        <v>0.26910134152576953</v>
      </c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</row>
    <row r="38" spans="1:86" ht="39.950000000000003" customHeight="1" thickBot="1">
      <c r="A38" s="291" t="s">
        <v>183</v>
      </c>
      <c r="B38" s="66">
        <f>SUM(B34)</f>
        <v>0</v>
      </c>
      <c r="C38" s="66">
        <f>SUM(C34)</f>
        <v>0</v>
      </c>
      <c r="D38" s="66">
        <f>SUM(D34)</f>
        <v>0</v>
      </c>
      <c r="E38" s="487">
        <v>0</v>
      </c>
      <c r="F38" s="66">
        <f t="shared" ref="F38:AE38" si="65">SUM(F34)</f>
        <v>0</v>
      </c>
      <c r="G38" s="66">
        <f t="shared" si="65"/>
        <v>0</v>
      </c>
      <c r="H38" s="66">
        <f>SUM(H34)</f>
        <v>0</v>
      </c>
      <c r="I38" s="487">
        <v>0</v>
      </c>
      <c r="J38" s="66">
        <f t="shared" si="65"/>
        <v>0</v>
      </c>
      <c r="K38" s="66">
        <f t="shared" si="65"/>
        <v>0</v>
      </c>
      <c r="L38" s="66">
        <f>SUM(L34)</f>
        <v>0</v>
      </c>
      <c r="M38" s="487">
        <v>0</v>
      </c>
      <c r="N38" s="66">
        <f t="shared" si="65"/>
        <v>0</v>
      </c>
      <c r="O38" s="66">
        <f t="shared" si="65"/>
        <v>0</v>
      </c>
      <c r="P38" s="66">
        <f>SUM(P34)</f>
        <v>0</v>
      </c>
      <c r="Q38" s="487">
        <v>0</v>
      </c>
      <c r="R38" s="66">
        <f t="shared" si="65"/>
        <v>0</v>
      </c>
      <c r="S38" s="66">
        <f t="shared" si="65"/>
        <v>0</v>
      </c>
      <c r="T38" s="66">
        <f>SUM(T34)</f>
        <v>0</v>
      </c>
      <c r="U38" s="487">
        <v>0</v>
      </c>
      <c r="V38" s="66">
        <f t="shared" si="65"/>
        <v>0</v>
      </c>
      <c r="W38" s="66">
        <f t="shared" si="65"/>
        <v>0</v>
      </c>
      <c r="X38" s="66">
        <f>SUM(X34)</f>
        <v>0</v>
      </c>
      <c r="Y38" s="487">
        <v>0</v>
      </c>
      <c r="Z38" s="66">
        <f t="shared" si="65"/>
        <v>0</v>
      </c>
      <c r="AA38" s="66">
        <f t="shared" si="65"/>
        <v>0</v>
      </c>
      <c r="AB38" s="66">
        <f>SUM(AB34)</f>
        <v>0</v>
      </c>
      <c r="AC38" s="487">
        <v>0</v>
      </c>
      <c r="AD38" s="66">
        <f t="shared" si="65"/>
        <v>0</v>
      </c>
      <c r="AE38" s="66">
        <f t="shared" si="65"/>
        <v>0</v>
      </c>
      <c r="AF38" s="66">
        <f>SUM(AF34)</f>
        <v>0</v>
      </c>
      <c r="AG38" s="487">
        <v>0</v>
      </c>
      <c r="AH38" s="51">
        <f t="shared" si="55"/>
        <v>0</v>
      </c>
      <c r="AI38" s="51">
        <f t="shared" si="55"/>
        <v>0</v>
      </c>
      <c r="AJ38" s="51">
        <f t="shared" si="55"/>
        <v>0</v>
      </c>
      <c r="AK38" s="487">
        <v>0</v>
      </c>
      <c r="AL38" s="51">
        <f>SUM(V38+Z38+AD38)</f>
        <v>0</v>
      </c>
      <c r="AM38" s="51">
        <f>SUM(W38+AA38+AE38)</f>
        <v>0</v>
      </c>
      <c r="AN38" s="66">
        <f>SUM(AN34)</f>
        <v>0</v>
      </c>
      <c r="AO38" s="487">
        <v>0</v>
      </c>
      <c r="AP38" s="51">
        <f>SUM(AH38+AL38)</f>
        <v>0</v>
      </c>
      <c r="AQ38" s="51">
        <f t="shared" si="56"/>
        <v>0</v>
      </c>
      <c r="AR38" s="66">
        <f>SUM(AR34)</f>
        <v>0</v>
      </c>
      <c r="AS38" s="487">
        <v>0</v>
      </c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</row>
    <row r="39" spans="1:86" s="256" customFormat="1" ht="39.950000000000003" customHeight="1" thickBot="1">
      <c r="A39" s="400" t="s">
        <v>184</v>
      </c>
      <c r="B39" s="401">
        <f>SUM(B36:B38)</f>
        <v>769357000</v>
      </c>
      <c r="C39" s="401">
        <f>SUM(C36:C38)</f>
        <v>916338457</v>
      </c>
      <c r="D39" s="401">
        <f>SUM(D36:D38)</f>
        <v>555834898</v>
      </c>
      <c r="E39" s="485">
        <f>D39/C39</f>
        <v>0.60658252827208359</v>
      </c>
      <c r="F39" s="401">
        <f t="shared" ref="F39:AQ39" si="66">SUM(F36:F38)</f>
        <v>174665000</v>
      </c>
      <c r="G39" s="401">
        <f t="shared" si="66"/>
        <v>197150174</v>
      </c>
      <c r="H39" s="401">
        <f>SUM(H36:H38)</f>
        <v>114186019</v>
      </c>
      <c r="I39" s="485">
        <f>H39/G39</f>
        <v>0.57918294812156745</v>
      </c>
      <c r="J39" s="401">
        <f t="shared" si="66"/>
        <v>486942000</v>
      </c>
      <c r="K39" s="401">
        <f t="shared" si="66"/>
        <v>476735751</v>
      </c>
      <c r="L39" s="401">
        <f>SUM(L36:L38)</f>
        <v>230758627</v>
      </c>
      <c r="M39" s="485">
        <f>L39/K39</f>
        <v>0.48403885489175325</v>
      </c>
      <c r="N39" s="401">
        <f t="shared" si="66"/>
        <v>0</v>
      </c>
      <c r="O39" s="401">
        <f t="shared" si="66"/>
        <v>0</v>
      </c>
      <c r="P39" s="401">
        <f>SUM(P36:P38)</f>
        <v>0</v>
      </c>
      <c r="Q39" s="485">
        <v>0</v>
      </c>
      <c r="R39" s="401">
        <f t="shared" si="66"/>
        <v>0</v>
      </c>
      <c r="S39" s="401">
        <f t="shared" si="66"/>
        <v>14632721</v>
      </c>
      <c r="T39" s="401">
        <f>SUM(T36:T38)</f>
        <v>13691635</v>
      </c>
      <c r="U39" s="485">
        <f>T39/S39</f>
        <v>0.93568619260901642</v>
      </c>
      <c r="V39" s="401">
        <f t="shared" si="66"/>
        <v>8593000</v>
      </c>
      <c r="W39" s="401">
        <f t="shared" si="66"/>
        <v>23725000</v>
      </c>
      <c r="X39" s="401">
        <f>SUM(X36:X38)</f>
        <v>21921660</v>
      </c>
      <c r="Y39" s="485">
        <f>X39/W39</f>
        <v>0.92398988408851424</v>
      </c>
      <c r="Z39" s="401">
        <f t="shared" si="66"/>
        <v>7920000</v>
      </c>
      <c r="AA39" s="401">
        <f t="shared" si="66"/>
        <v>41745000</v>
      </c>
      <c r="AB39" s="401">
        <f>SUM(AB36:AB38)</f>
        <v>33824592</v>
      </c>
      <c r="AC39" s="485">
        <f>AB39/AA39</f>
        <v>0.81026690621631337</v>
      </c>
      <c r="AD39" s="401">
        <f t="shared" si="66"/>
        <v>8000000</v>
      </c>
      <c r="AE39" s="401">
        <f t="shared" si="66"/>
        <v>0</v>
      </c>
      <c r="AF39" s="401">
        <f>SUM(AF36:AF38)</f>
        <v>0</v>
      </c>
      <c r="AG39" s="485">
        <v>0</v>
      </c>
      <c r="AH39" s="401">
        <f t="shared" si="66"/>
        <v>1430964000</v>
      </c>
      <c r="AI39" s="401">
        <f t="shared" si="66"/>
        <v>1604857103</v>
      </c>
      <c r="AJ39" s="401">
        <f t="shared" si="66"/>
        <v>914471179</v>
      </c>
      <c r="AK39" s="485">
        <f>AJ39/AI39</f>
        <v>0.56981470642498688</v>
      </c>
      <c r="AL39" s="401">
        <f t="shared" si="66"/>
        <v>24513000</v>
      </c>
      <c r="AM39" s="401">
        <f t="shared" si="66"/>
        <v>65470000</v>
      </c>
      <c r="AN39" s="401">
        <f>SUM(AN36:AN38)</f>
        <v>55746252</v>
      </c>
      <c r="AO39" s="485">
        <f>AN39/AM39</f>
        <v>0.85147780662899042</v>
      </c>
      <c r="AP39" s="401">
        <f t="shared" si="66"/>
        <v>1455477000</v>
      </c>
      <c r="AQ39" s="401">
        <f t="shared" si="66"/>
        <v>1670327103</v>
      </c>
      <c r="AR39" s="401">
        <f>SUM(AR36:AR38)</f>
        <v>970217431</v>
      </c>
      <c r="AS39" s="485">
        <f>AR39/AQ39</f>
        <v>0.58085474950231952</v>
      </c>
      <c r="AT39" s="69"/>
      <c r="AU39" s="488"/>
      <c r="AV39" s="405"/>
      <c r="AW39" s="405"/>
      <c r="AX39" s="405"/>
      <c r="AY39" s="405"/>
      <c r="AZ39" s="405"/>
      <c r="BA39" s="405"/>
      <c r="BB39" s="405"/>
      <c r="BC39" s="405"/>
      <c r="BD39" s="405"/>
      <c r="BE39" s="405"/>
      <c r="BF39" s="405"/>
      <c r="BG39" s="405"/>
      <c r="BH39" s="405"/>
      <c r="BI39" s="405"/>
      <c r="BJ39" s="405"/>
      <c r="BK39" s="405"/>
      <c r="BL39" s="405"/>
      <c r="BM39" s="405"/>
      <c r="BN39" s="405"/>
      <c r="BO39" s="405"/>
      <c r="BP39" s="405"/>
      <c r="BQ39" s="405"/>
      <c r="BR39" s="405"/>
      <c r="BS39" s="405"/>
      <c r="BT39" s="405"/>
      <c r="BU39" s="405"/>
      <c r="BV39" s="405"/>
      <c r="BW39" s="405"/>
      <c r="BX39" s="405"/>
      <c r="BY39" s="405"/>
      <c r="BZ39" s="405"/>
      <c r="CA39" s="405"/>
      <c r="CB39" s="405"/>
      <c r="CC39" s="405"/>
      <c r="CD39" s="405"/>
      <c r="CE39" s="405"/>
      <c r="CF39" s="405"/>
      <c r="CG39" s="405"/>
      <c r="CH39" s="405"/>
    </row>
    <row r="40" spans="1:86" s="36" customFormat="1" ht="12.75">
      <c r="A40" s="72"/>
      <c r="B40" s="73"/>
      <c r="C40" s="73"/>
      <c r="D40" s="73"/>
      <c r="E40" s="489"/>
      <c r="F40" s="73"/>
      <c r="G40" s="73"/>
      <c r="H40" s="73"/>
      <c r="I40" s="489"/>
      <c r="J40" s="73"/>
      <c r="K40" s="73"/>
      <c r="L40" s="73"/>
      <c r="M40" s="489"/>
      <c r="N40" s="73"/>
      <c r="O40" s="73"/>
      <c r="P40" s="73"/>
      <c r="Q40" s="489"/>
      <c r="R40" s="73"/>
      <c r="S40" s="73"/>
      <c r="T40" s="73"/>
      <c r="U40" s="489"/>
      <c r="V40" s="73"/>
      <c r="W40" s="73"/>
      <c r="X40" s="73"/>
      <c r="Y40" s="489"/>
      <c r="Z40" s="73"/>
      <c r="AA40" s="73"/>
      <c r="AB40" s="73"/>
      <c r="AC40" s="489"/>
      <c r="AD40" s="73"/>
      <c r="AE40" s="73"/>
      <c r="AF40" s="73"/>
      <c r="AG40" s="489"/>
      <c r="AH40" s="73"/>
      <c r="AI40" s="73"/>
      <c r="AJ40" s="73"/>
      <c r="AK40" s="489"/>
      <c r="AL40" s="73"/>
      <c r="AM40" s="73"/>
      <c r="AN40" s="73"/>
      <c r="AO40" s="489"/>
      <c r="AP40" s="73"/>
      <c r="AQ40" s="73"/>
      <c r="AR40" s="73"/>
      <c r="AS40" s="489"/>
      <c r="AT40" s="73"/>
      <c r="AU40" s="73"/>
      <c r="AV40" s="73"/>
      <c r="AW40" s="73"/>
      <c r="AX40" s="73"/>
      <c r="AY40" s="73"/>
      <c r="AZ40" s="73"/>
      <c r="BA40" s="73"/>
    </row>
    <row r="41" spans="1:86" s="36" customFormat="1" ht="17.25" customHeight="1">
      <c r="A41" s="73"/>
      <c r="B41" s="73"/>
      <c r="C41" s="73"/>
      <c r="D41" s="73"/>
      <c r="E41" s="489"/>
      <c r="F41" s="73"/>
      <c r="G41" s="73"/>
      <c r="H41" s="73"/>
      <c r="I41" s="489"/>
      <c r="J41" s="73"/>
      <c r="K41" s="73"/>
      <c r="L41" s="73"/>
      <c r="M41" s="489"/>
      <c r="N41" s="73"/>
      <c r="O41" s="73"/>
      <c r="P41" s="73"/>
      <c r="Q41" s="489"/>
      <c r="R41" s="73"/>
      <c r="S41" s="73"/>
      <c r="T41" s="73"/>
      <c r="U41" s="489"/>
      <c r="V41" s="73"/>
      <c r="W41" s="73"/>
      <c r="X41" s="73"/>
      <c r="Y41" s="489"/>
      <c r="Z41" s="73"/>
      <c r="AA41" s="73"/>
      <c r="AB41" s="73"/>
      <c r="AC41" s="489"/>
      <c r="AD41" s="73"/>
      <c r="AE41" s="73"/>
      <c r="AF41" s="73"/>
      <c r="AG41" s="489"/>
      <c r="AH41" s="73"/>
      <c r="AI41" s="73"/>
      <c r="AJ41" s="73"/>
      <c r="AK41" s="489"/>
      <c r="AL41" s="73"/>
      <c r="AM41" s="73"/>
      <c r="AN41" s="73"/>
      <c r="AO41" s="489"/>
      <c r="AP41" s="73"/>
      <c r="AQ41" s="73"/>
      <c r="AR41" s="490"/>
      <c r="AS41" s="489"/>
      <c r="AT41" s="73"/>
      <c r="AU41" s="73"/>
      <c r="AV41" s="73"/>
      <c r="AW41" s="73"/>
      <c r="AX41" s="73"/>
      <c r="AY41" s="73"/>
      <c r="AZ41" s="73"/>
      <c r="BA41" s="73"/>
    </row>
    <row r="42" spans="1:86" s="36" customFormat="1" ht="12.75">
      <c r="A42" s="73"/>
      <c r="B42" s="73"/>
      <c r="C42" s="73"/>
      <c r="D42" s="73"/>
      <c r="E42" s="489"/>
      <c r="F42" s="73"/>
      <c r="G42" s="73"/>
      <c r="H42" s="73"/>
      <c r="I42" s="489"/>
      <c r="J42" s="73"/>
      <c r="K42" s="73"/>
      <c r="L42" s="73"/>
      <c r="M42" s="489"/>
      <c r="N42" s="73"/>
      <c r="O42" s="73"/>
      <c r="P42" s="73"/>
      <c r="Q42" s="489"/>
      <c r="R42" s="73"/>
      <c r="S42" s="73"/>
      <c r="T42" s="73"/>
      <c r="U42" s="489"/>
      <c r="V42" s="73"/>
      <c r="W42" s="73"/>
      <c r="X42" s="73"/>
      <c r="Y42" s="489"/>
      <c r="Z42" s="73"/>
      <c r="AA42" s="73"/>
      <c r="AB42" s="73"/>
      <c r="AC42" s="489"/>
      <c r="AD42" s="73"/>
      <c r="AE42" s="73"/>
      <c r="AF42" s="73"/>
      <c r="AG42" s="489"/>
      <c r="AH42" s="73"/>
      <c r="AI42" s="73"/>
      <c r="AJ42" s="73"/>
      <c r="AK42" s="489"/>
      <c r="AL42" s="73"/>
      <c r="AM42" s="73"/>
      <c r="AN42" s="73"/>
      <c r="AO42" s="489"/>
      <c r="AP42" s="73"/>
      <c r="AQ42" s="73"/>
      <c r="AR42" s="73"/>
      <c r="AS42" s="489"/>
      <c r="AT42" s="73"/>
      <c r="AU42" s="73"/>
      <c r="AV42" s="73"/>
      <c r="AW42" s="73"/>
      <c r="AX42" s="73"/>
      <c r="AY42" s="73"/>
      <c r="AZ42" s="73"/>
      <c r="BA42" s="73"/>
    </row>
    <row r="43" spans="1:86" s="36" customFormat="1" ht="17.25" customHeight="1">
      <c r="A43" s="73"/>
      <c r="B43" s="73"/>
      <c r="C43" s="73"/>
      <c r="D43" s="73"/>
      <c r="E43" s="489"/>
      <c r="F43" s="73"/>
      <c r="G43" s="73"/>
      <c r="H43" s="73"/>
      <c r="I43" s="489"/>
      <c r="J43" s="73"/>
      <c r="K43" s="73"/>
      <c r="L43" s="73"/>
      <c r="M43" s="489"/>
      <c r="N43" s="73"/>
      <c r="O43" s="73"/>
      <c r="P43" s="73"/>
      <c r="Q43" s="489"/>
      <c r="R43" s="73"/>
      <c r="S43" s="73"/>
      <c r="T43" s="73"/>
      <c r="U43" s="489"/>
      <c r="V43" s="73"/>
      <c r="W43" s="73"/>
      <c r="X43" s="73"/>
      <c r="Y43" s="489"/>
      <c r="Z43" s="73"/>
      <c r="AA43" s="73"/>
      <c r="AB43" s="73"/>
      <c r="AC43" s="489"/>
      <c r="AD43" s="73"/>
      <c r="AE43" s="73"/>
      <c r="AF43" s="73"/>
      <c r="AG43" s="489"/>
      <c r="AH43" s="73"/>
      <c r="AI43" s="73"/>
      <c r="AJ43" s="73"/>
      <c r="AK43" s="489"/>
      <c r="AL43" s="73"/>
      <c r="AM43" s="73"/>
      <c r="AN43" s="73"/>
      <c r="AO43" s="489"/>
      <c r="AP43" s="73"/>
      <c r="AQ43" s="73"/>
      <c r="AR43" s="73"/>
      <c r="AS43" s="489"/>
      <c r="AT43" s="73"/>
      <c r="AU43" s="73"/>
      <c r="AV43" s="73"/>
      <c r="AW43" s="73"/>
      <c r="AX43" s="73"/>
      <c r="AY43" s="73"/>
      <c r="AZ43" s="73"/>
      <c r="BA43" s="73"/>
    </row>
    <row r="44" spans="1:86" s="36" customFormat="1" ht="12.75">
      <c r="A44" s="73"/>
      <c r="B44" s="73"/>
      <c r="C44" s="73"/>
      <c r="D44" s="73"/>
      <c r="E44" s="489"/>
      <c r="F44" s="73"/>
      <c r="G44" s="73"/>
      <c r="H44" s="73"/>
      <c r="I44" s="489"/>
      <c r="J44" s="73"/>
      <c r="K44" s="73"/>
      <c r="L44" s="73"/>
      <c r="M44" s="489"/>
      <c r="N44" s="73"/>
      <c r="O44" s="73"/>
      <c r="P44" s="73"/>
      <c r="Q44" s="489"/>
      <c r="R44" s="73"/>
      <c r="S44" s="73"/>
      <c r="T44" s="73"/>
      <c r="U44" s="489"/>
      <c r="V44" s="73"/>
      <c r="W44" s="73"/>
      <c r="X44" s="73"/>
      <c r="Y44" s="489"/>
      <c r="Z44" s="73"/>
      <c r="AA44" s="73"/>
      <c r="AB44" s="73"/>
      <c r="AC44" s="489"/>
      <c r="AD44" s="73"/>
      <c r="AE44" s="73"/>
      <c r="AF44" s="73"/>
      <c r="AG44" s="489"/>
      <c r="AH44" s="73"/>
      <c r="AI44" s="73"/>
      <c r="AJ44" s="73"/>
      <c r="AK44" s="489"/>
      <c r="AL44" s="73"/>
      <c r="AM44" s="73"/>
      <c r="AN44" s="73"/>
      <c r="AO44" s="489"/>
      <c r="AP44" s="73"/>
      <c r="AQ44" s="73"/>
      <c r="AR44" s="73"/>
      <c r="AS44" s="489"/>
      <c r="AT44" s="73"/>
      <c r="AU44" s="73"/>
      <c r="AV44" s="73"/>
      <c r="AW44" s="73"/>
      <c r="AX44" s="73"/>
      <c r="AY44" s="73"/>
      <c r="AZ44" s="73"/>
      <c r="BA44" s="73"/>
    </row>
    <row r="45" spans="1:86" s="36" customFormat="1" ht="17.25" customHeight="1">
      <c r="A45" s="73"/>
      <c r="B45" s="73"/>
      <c r="C45" s="73"/>
      <c r="D45" s="73"/>
      <c r="E45" s="489"/>
      <c r="F45" s="73"/>
      <c r="G45" s="73"/>
      <c r="H45" s="73"/>
      <c r="I45" s="489"/>
      <c r="J45" s="73"/>
      <c r="K45" s="73"/>
      <c r="L45" s="73"/>
      <c r="M45" s="489"/>
      <c r="N45" s="73"/>
      <c r="O45" s="73"/>
      <c r="P45" s="73"/>
      <c r="Q45" s="489"/>
      <c r="R45" s="73"/>
      <c r="S45" s="73"/>
      <c r="T45" s="73"/>
      <c r="U45" s="489"/>
      <c r="V45" s="73"/>
      <c r="W45" s="73"/>
      <c r="X45" s="73"/>
      <c r="Y45" s="489"/>
      <c r="Z45" s="73"/>
      <c r="AA45" s="73"/>
      <c r="AB45" s="73"/>
      <c r="AC45" s="489"/>
      <c r="AD45" s="73"/>
      <c r="AE45" s="73"/>
      <c r="AF45" s="73"/>
      <c r="AG45" s="489"/>
      <c r="AH45" s="73"/>
      <c r="AI45" s="73"/>
      <c r="AJ45" s="73"/>
      <c r="AK45" s="489"/>
      <c r="AL45" s="73"/>
      <c r="AM45" s="73"/>
      <c r="AN45" s="73"/>
      <c r="AO45" s="489"/>
      <c r="AP45" s="73"/>
      <c r="AQ45" s="73"/>
      <c r="AR45" s="73"/>
      <c r="AS45" s="489"/>
      <c r="AT45" s="73"/>
      <c r="AU45" s="73"/>
      <c r="AV45" s="73"/>
      <c r="AW45" s="73"/>
      <c r="AX45" s="73"/>
      <c r="AY45" s="73"/>
      <c r="AZ45" s="73"/>
      <c r="BA45" s="73"/>
    </row>
    <row r="46" spans="1:86" s="36" customFormat="1" ht="12.75">
      <c r="A46" s="73"/>
      <c r="B46" s="73"/>
      <c r="C46" s="73"/>
      <c r="D46" s="73"/>
      <c r="E46" s="489"/>
      <c r="F46" s="73"/>
      <c r="G46" s="73"/>
      <c r="H46" s="73"/>
      <c r="I46" s="489"/>
      <c r="J46" s="73"/>
      <c r="K46" s="73"/>
      <c r="L46" s="73"/>
      <c r="M46" s="489"/>
      <c r="N46" s="73"/>
      <c r="O46" s="73"/>
      <c r="P46" s="73"/>
      <c r="Q46" s="489"/>
      <c r="R46" s="73"/>
      <c r="S46" s="73"/>
      <c r="T46" s="73"/>
      <c r="U46" s="489"/>
      <c r="V46" s="73"/>
      <c r="W46" s="73"/>
      <c r="X46" s="73"/>
      <c r="Y46" s="489"/>
      <c r="Z46" s="73"/>
      <c r="AA46" s="73"/>
      <c r="AB46" s="73"/>
      <c r="AC46" s="489"/>
      <c r="AD46" s="73"/>
      <c r="AE46" s="73"/>
      <c r="AF46" s="73"/>
      <c r="AG46" s="489"/>
      <c r="AH46" s="73"/>
      <c r="AI46" s="73"/>
      <c r="AJ46" s="73"/>
      <c r="AK46" s="489"/>
      <c r="AL46" s="73"/>
      <c r="AM46" s="73"/>
      <c r="AN46" s="73"/>
      <c r="AO46" s="489"/>
      <c r="AP46" s="73"/>
      <c r="AQ46" s="73"/>
      <c r="AR46" s="73"/>
      <c r="AS46" s="489"/>
      <c r="AT46" s="73"/>
      <c r="AU46" s="73"/>
      <c r="AV46" s="73"/>
      <c r="AW46" s="73"/>
      <c r="AX46" s="73"/>
      <c r="AY46" s="73"/>
      <c r="AZ46" s="73"/>
      <c r="BA46" s="73"/>
    </row>
    <row r="47" spans="1:86" s="36" customFormat="1" ht="17.25" customHeight="1">
      <c r="A47" s="73"/>
      <c r="B47" s="73"/>
      <c r="C47" s="73"/>
      <c r="D47" s="73"/>
      <c r="E47" s="489"/>
      <c r="F47" s="73"/>
      <c r="G47" s="73"/>
      <c r="H47" s="73"/>
      <c r="I47" s="489"/>
      <c r="J47" s="73"/>
      <c r="K47" s="73"/>
      <c r="L47" s="73"/>
      <c r="M47" s="489"/>
      <c r="N47" s="73"/>
      <c r="O47" s="73"/>
      <c r="P47" s="73"/>
      <c r="Q47" s="489"/>
      <c r="R47" s="73"/>
      <c r="S47" s="73"/>
      <c r="T47" s="73"/>
      <c r="U47" s="489"/>
      <c r="V47" s="73"/>
      <c r="W47" s="73"/>
      <c r="X47" s="73"/>
      <c r="Y47" s="489"/>
      <c r="Z47" s="73"/>
      <c r="AA47" s="73"/>
      <c r="AB47" s="73"/>
      <c r="AC47" s="489"/>
      <c r="AD47" s="73"/>
      <c r="AE47" s="73"/>
      <c r="AF47" s="73"/>
      <c r="AG47" s="489"/>
      <c r="AH47" s="73"/>
      <c r="AI47" s="73"/>
      <c r="AJ47" s="73"/>
      <c r="AK47" s="489"/>
      <c r="AL47" s="73"/>
      <c r="AM47" s="73"/>
      <c r="AN47" s="73"/>
      <c r="AO47" s="489"/>
      <c r="AP47" s="73"/>
      <c r="AQ47" s="73"/>
      <c r="AR47" s="73"/>
      <c r="AS47" s="489"/>
      <c r="AT47" s="73"/>
      <c r="AU47" s="73"/>
      <c r="AV47" s="73"/>
      <c r="AW47" s="73"/>
      <c r="AX47" s="73"/>
      <c r="AY47" s="73"/>
      <c r="AZ47" s="73"/>
      <c r="BA47" s="73"/>
    </row>
    <row r="48" spans="1:86" s="36" customFormat="1" ht="12.75">
      <c r="A48" s="73"/>
      <c r="B48" s="73"/>
      <c r="C48" s="73"/>
      <c r="D48" s="73"/>
      <c r="E48" s="489"/>
      <c r="F48" s="73"/>
      <c r="G48" s="73"/>
      <c r="H48" s="73"/>
      <c r="I48" s="489"/>
      <c r="J48" s="73"/>
      <c r="K48" s="73"/>
      <c r="L48" s="73"/>
      <c r="M48" s="489"/>
      <c r="N48" s="73"/>
      <c r="O48" s="73"/>
      <c r="P48" s="73"/>
      <c r="Q48" s="489"/>
      <c r="R48" s="73"/>
      <c r="S48" s="73"/>
      <c r="T48" s="73"/>
      <c r="U48" s="489"/>
      <c r="V48" s="73"/>
      <c r="W48" s="73"/>
      <c r="X48" s="73"/>
      <c r="Y48" s="489"/>
      <c r="Z48" s="73"/>
      <c r="AA48" s="73"/>
      <c r="AB48" s="73"/>
      <c r="AC48" s="489"/>
      <c r="AD48" s="73"/>
      <c r="AE48" s="73"/>
      <c r="AF48" s="73"/>
      <c r="AG48" s="489"/>
      <c r="AH48" s="73"/>
      <c r="AI48" s="73"/>
      <c r="AJ48" s="73"/>
      <c r="AK48" s="489"/>
      <c r="AL48" s="73"/>
      <c r="AM48" s="73"/>
      <c r="AN48" s="73"/>
      <c r="AO48" s="489"/>
      <c r="AP48" s="73"/>
      <c r="AQ48" s="73"/>
      <c r="AR48" s="73"/>
      <c r="AS48" s="489"/>
      <c r="AT48" s="73"/>
      <c r="AU48" s="73"/>
      <c r="AV48" s="73"/>
      <c r="AW48" s="73"/>
      <c r="AX48" s="73"/>
      <c r="AY48" s="73"/>
      <c r="AZ48" s="73"/>
      <c r="BA48" s="73"/>
    </row>
    <row r="49" spans="1:53" s="36" customFormat="1" ht="17.25" customHeight="1">
      <c r="A49" s="73"/>
      <c r="B49" s="73"/>
      <c r="C49" s="73"/>
      <c r="D49" s="73"/>
      <c r="E49" s="489"/>
      <c r="F49" s="73"/>
      <c r="G49" s="73"/>
      <c r="H49" s="73"/>
      <c r="I49" s="489"/>
      <c r="J49" s="73"/>
      <c r="K49" s="73"/>
      <c r="L49" s="73"/>
      <c r="M49" s="489"/>
      <c r="N49" s="73"/>
      <c r="O49" s="73"/>
      <c r="P49" s="73"/>
      <c r="Q49" s="489"/>
      <c r="R49" s="73"/>
      <c r="S49" s="73"/>
      <c r="T49" s="73"/>
      <c r="U49" s="489"/>
      <c r="V49" s="73"/>
      <c r="W49" s="73"/>
      <c r="X49" s="73"/>
      <c r="Y49" s="489"/>
      <c r="Z49" s="73"/>
      <c r="AA49" s="73"/>
      <c r="AB49" s="73"/>
      <c r="AC49" s="489"/>
      <c r="AD49" s="73"/>
      <c r="AE49" s="73"/>
      <c r="AF49" s="73"/>
      <c r="AG49" s="489"/>
      <c r="AH49" s="73"/>
      <c r="AI49" s="73"/>
      <c r="AJ49" s="73"/>
      <c r="AK49" s="489"/>
      <c r="AL49" s="73"/>
      <c r="AM49" s="73"/>
      <c r="AN49" s="73"/>
      <c r="AO49" s="489"/>
      <c r="AP49" s="73"/>
      <c r="AQ49" s="73"/>
      <c r="AR49" s="73"/>
      <c r="AS49" s="489"/>
      <c r="AT49" s="73"/>
      <c r="AU49" s="73"/>
      <c r="AV49" s="73"/>
      <c r="AW49" s="73"/>
      <c r="AX49" s="73"/>
      <c r="AY49" s="73"/>
      <c r="AZ49" s="73"/>
      <c r="BA49" s="73"/>
    </row>
    <row r="50" spans="1:53" s="36" customFormat="1" ht="12.75">
      <c r="A50" s="73"/>
      <c r="B50" s="73"/>
      <c r="C50" s="73"/>
      <c r="D50" s="73"/>
      <c r="E50" s="489"/>
      <c r="F50" s="73"/>
      <c r="G50" s="73"/>
      <c r="H50" s="73"/>
      <c r="I50" s="489"/>
      <c r="J50" s="73"/>
      <c r="K50" s="73"/>
      <c r="L50" s="73"/>
      <c r="M50" s="489"/>
      <c r="N50" s="73"/>
      <c r="O50" s="73"/>
      <c r="P50" s="73"/>
      <c r="Q50" s="489"/>
      <c r="R50" s="73"/>
      <c r="S50" s="73"/>
      <c r="T50" s="73"/>
      <c r="U50" s="489"/>
      <c r="V50" s="73"/>
      <c r="W50" s="73"/>
      <c r="X50" s="73"/>
      <c r="Y50" s="489"/>
      <c r="Z50" s="73"/>
      <c r="AA50" s="73"/>
      <c r="AB50" s="73"/>
      <c r="AC50" s="489"/>
      <c r="AD50" s="73"/>
      <c r="AE50" s="73"/>
      <c r="AF50" s="73"/>
      <c r="AG50" s="489"/>
      <c r="AH50" s="73"/>
      <c r="AI50" s="73"/>
      <c r="AJ50" s="73"/>
      <c r="AK50" s="489"/>
      <c r="AL50" s="73"/>
      <c r="AM50" s="73"/>
      <c r="AN50" s="73"/>
      <c r="AO50" s="489"/>
      <c r="AP50" s="73"/>
      <c r="AQ50" s="73"/>
      <c r="AR50" s="73"/>
      <c r="AS50" s="489"/>
      <c r="AT50" s="73"/>
      <c r="AU50" s="73"/>
      <c r="AV50" s="73"/>
      <c r="AW50" s="73"/>
      <c r="AX50" s="73"/>
      <c r="AY50" s="73"/>
      <c r="AZ50" s="73"/>
      <c r="BA50" s="73"/>
    </row>
    <row r="51" spans="1:53" s="36" customFormat="1" ht="17.25" customHeight="1">
      <c r="A51" s="73"/>
      <c r="B51" s="73"/>
      <c r="C51" s="73"/>
      <c r="D51" s="73"/>
      <c r="E51" s="489"/>
      <c r="F51" s="73"/>
      <c r="G51" s="73"/>
      <c r="H51" s="73"/>
      <c r="I51" s="489"/>
      <c r="J51" s="73"/>
      <c r="K51" s="73"/>
      <c r="L51" s="73"/>
      <c r="M51" s="489"/>
      <c r="N51" s="73"/>
      <c r="O51" s="73"/>
      <c r="P51" s="73"/>
      <c r="Q51" s="489"/>
      <c r="R51" s="73"/>
      <c r="S51" s="73"/>
      <c r="T51" s="73"/>
      <c r="U51" s="489"/>
      <c r="V51" s="73"/>
      <c r="W51" s="73"/>
      <c r="X51" s="73"/>
      <c r="Y51" s="489"/>
      <c r="Z51" s="73"/>
      <c r="AA51" s="73"/>
      <c r="AB51" s="73"/>
      <c r="AC51" s="489"/>
      <c r="AD51" s="73"/>
      <c r="AE51" s="73"/>
      <c r="AF51" s="73"/>
      <c r="AG51" s="489"/>
      <c r="AH51" s="73"/>
      <c r="AI51" s="73"/>
      <c r="AJ51" s="73"/>
      <c r="AK51" s="489"/>
      <c r="AL51" s="73"/>
      <c r="AM51" s="73"/>
      <c r="AN51" s="73"/>
      <c r="AO51" s="489"/>
      <c r="AP51" s="73"/>
      <c r="AQ51" s="73"/>
      <c r="AR51" s="73"/>
      <c r="AS51" s="489"/>
      <c r="AT51" s="73"/>
      <c r="AU51" s="73"/>
      <c r="AV51" s="73"/>
      <c r="AW51" s="73"/>
      <c r="AX51" s="73"/>
      <c r="AY51" s="73"/>
      <c r="AZ51" s="73"/>
      <c r="BA51" s="73"/>
    </row>
    <row r="52" spans="1:53" s="36" customFormat="1" ht="12.75">
      <c r="A52" s="73"/>
      <c r="B52" s="73"/>
      <c r="C52" s="73"/>
      <c r="D52" s="73"/>
      <c r="E52" s="489"/>
      <c r="F52" s="73"/>
      <c r="G52" s="73"/>
      <c r="H52" s="73"/>
      <c r="I52" s="489"/>
      <c r="J52" s="73"/>
      <c r="K52" s="73"/>
      <c r="L52" s="73"/>
      <c r="M52" s="489"/>
      <c r="N52" s="73"/>
      <c r="O52" s="73"/>
      <c r="P52" s="73"/>
      <c r="Q52" s="489"/>
      <c r="R52" s="73"/>
      <c r="S52" s="73"/>
      <c r="T52" s="73"/>
      <c r="U52" s="489"/>
      <c r="V52" s="73"/>
      <c r="W52" s="73"/>
      <c r="X52" s="73"/>
      <c r="Y52" s="489"/>
      <c r="Z52" s="73"/>
      <c r="AA52" s="73"/>
      <c r="AB52" s="73"/>
      <c r="AC52" s="489"/>
      <c r="AD52" s="73"/>
      <c r="AE52" s="73"/>
      <c r="AF52" s="73"/>
      <c r="AG52" s="489"/>
      <c r="AH52" s="73"/>
      <c r="AI52" s="73"/>
      <c r="AJ52" s="73"/>
      <c r="AK52" s="489"/>
      <c r="AL52" s="73"/>
      <c r="AM52" s="73"/>
      <c r="AN52" s="73"/>
      <c r="AO52" s="489"/>
      <c r="AP52" s="73"/>
      <c r="AQ52" s="73"/>
      <c r="AR52" s="73"/>
      <c r="AS52" s="489"/>
      <c r="AT52" s="73"/>
      <c r="AU52" s="73"/>
      <c r="AV52" s="73"/>
      <c r="AW52" s="73"/>
      <c r="AX52" s="73"/>
      <c r="AY52" s="73"/>
      <c r="AZ52" s="73"/>
      <c r="BA52" s="73"/>
    </row>
    <row r="53" spans="1:53" s="36" customFormat="1" ht="17.25" customHeight="1">
      <c r="A53" s="73"/>
      <c r="B53" s="73"/>
      <c r="C53" s="73"/>
      <c r="D53" s="73"/>
      <c r="E53" s="489"/>
      <c r="F53" s="73"/>
      <c r="G53" s="73"/>
      <c r="H53" s="73"/>
      <c r="I53" s="489"/>
      <c r="J53" s="73"/>
      <c r="K53" s="73"/>
      <c r="L53" s="73"/>
      <c r="M53" s="489"/>
      <c r="N53" s="73"/>
      <c r="O53" s="73"/>
      <c r="P53" s="73"/>
      <c r="Q53" s="489"/>
      <c r="R53" s="73"/>
      <c r="S53" s="73"/>
      <c r="T53" s="73"/>
      <c r="U53" s="489"/>
      <c r="V53" s="73"/>
      <c r="W53" s="73"/>
      <c r="X53" s="73"/>
      <c r="Y53" s="489"/>
      <c r="Z53" s="73"/>
      <c r="AA53" s="73"/>
      <c r="AB53" s="73"/>
      <c r="AC53" s="489"/>
      <c r="AD53" s="73"/>
      <c r="AE53" s="73"/>
      <c r="AF53" s="73"/>
      <c r="AG53" s="489"/>
      <c r="AH53" s="73"/>
      <c r="AI53" s="73"/>
      <c r="AJ53" s="73"/>
      <c r="AK53" s="489"/>
      <c r="AL53" s="73"/>
      <c r="AM53" s="73"/>
      <c r="AN53" s="73"/>
      <c r="AO53" s="489"/>
      <c r="AP53" s="73"/>
      <c r="AQ53" s="73"/>
      <c r="AR53" s="73"/>
      <c r="AS53" s="489"/>
      <c r="AT53" s="73"/>
      <c r="AU53" s="73"/>
      <c r="AV53" s="73"/>
      <c r="AW53" s="73"/>
      <c r="AX53" s="73"/>
      <c r="AY53" s="73"/>
      <c r="AZ53" s="73"/>
      <c r="BA53" s="73"/>
    </row>
    <row r="54" spans="1:53" s="36" customFormat="1" ht="12.75">
      <c r="A54" s="73"/>
      <c r="B54" s="73"/>
      <c r="C54" s="73"/>
      <c r="D54" s="73"/>
      <c r="E54" s="489"/>
      <c r="F54" s="73"/>
      <c r="G54" s="73"/>
      <c r="H54" s="73"/>
      <c r="I54" s="489"/>
      <c r="J54" s="73"/>
      <c r="K54" s="73"/>
      <c r="L54" s="73"/>
      <c r="M54" s="489"/>
      <c r="N54" s="73"/>
      <c r="O54" s="73"/>
      <c r="P54" s="73"/>
      <c r="Q54" s="489"/>
      <c r="R54" s="73"/>
      <c r="S54" s="73"/>
      <c r="T54" s="73"/>
      <c r="U54" s="489"/>
      <c r="V54" s="73"/>
      <c r="W54" s="73"/>
      <c r="X54" s="73"/>
      <c r="Y54" s="489"/>
      <c r="Z54" s="73"/>
      <c r="AA54" s="73"/>
      <c r="AB54" s="73"/>
      <c r="AC54" s="489"/>
      <c r="AD54" s="73"/>
      <c r="AE54" s="73"/>
      <c r="AF54" s="73"/>
      <c r="AG54" s="489"/>
      <c r="AH54" s="73"/>
      <c r="AI54" s="73"/>
      <c r="AJ54" s="73"/>
      <c r="AK54" s="489"/>
      <c r="AL54" s="73"/>
      <c r="AM54" s="73"/>
      <c r="AN54" s="73"/>
      <c r="AO54" s="489"/>
      <c r="AP54" s="73"/>
      <c r="AQ54" s="73"/>
      <c r="AR54" s="73"/>
      <c r="AS54" s="489"/>
      <c r="AT54" s="73"/>
      <c r="AU54" s="73"/>
      <c r="AV54" s="73"/>
      <c r="AW54" s="73"/>
      <c r="AX54" s="73"/>
      <c r="AY54" s="73"/>
      <c r="AZ54" s="73"/>
      <c r="BA54" s="73"/>
    </row>
    <row r="55" spans="1:53" s="36" customFormat="1" ht="17.25" customHeight="1">
      <c r="A55" s="73"/>
      <c r="B55" s="73"/>
      <c r="C55" s="73"/>
      <c r="D55" s="73"/>
      <c r="E55" s="489"/>
      <c r="F55" s="73"/>
      <c r="G55" s="73"/>
      <c r="H55" s="73"/>
      <c r="I55" s="489"/>
      <c r="J55" s="73"/>
      <c r="K55" s="73"/>
      <c r="L55" s="73"/>
      <c r="M55" s="489"/>
      <c r="N55" s="73"/>
      <c r="O55" s="73"/>
      <c r="P55" s="73"/>
      <c r="Q55" s="489"/>
      <c r="R55" s="73"/>
      <c r="S55" s="73"/>
      <c r="T55" s="73"/>
      <c r="U55" s="489"/>
      <c r="V55" s="73"/>
      <c r="W55" s="73"/>
      <c r="X55" s="73"/>
      <c r="Y55" s="489"/>
      <c r="Z55" s="73"/>
      <c r="AA55" s="73"/>
      <c r="AB55" s="73"/>
      <c r="AC55" s="489"/>
      <c r="AD55" s="73"/>
      <c r="AE55" s="73"/>
      <c r="AF55" s="73"/>
      <c r="AG55" s="489"/>
      <c r="AH55" s="73"/>
      <c r="AI55" s="73"/>
      <c r="AJ55" s="73"/>
      <c r="AK55" s="489"/>
      <c r="AL55" s="73"/>
      <c r="AM55" s="73"/>
      <c r="AN55" s="73"/>
      <c r="AO55" s="489"/>
      <c r="AP55" s="73"/>
      <c r="AQ55" s="73"/>
      <c r="AR55" s="73"/>
      <c r="AS55" s="489"/>
      <c r="AT55" s="73"/>
      <c r="AU55" s="73"/>
      <c r="AV55" s="73"/>
      <c r="AW55" s="73"/>
      <c r="AX55" s="73"/>
      <c r="AY55" s="73"/>
      <c r="AZ55" s="73"/>
      <c r="BA55" s="73"/>
    </row>
    <row r="56" spans="1:53" s="36" customFormat="1" ht="12.75">
      <c r="A56" s="73"/>
      <c r="B56" s="73"/>
      <c r="C56" s="73"/>
      <c r="D56" s="73"/>
      <c r="E56" s="489"/>
      <c r="F56" s="73"/>
      <c r="G56" s="73"/>
      <c r="H56" s="73"/>
      <c r="I56" s="489"/>
      <c r="J56" s="73"/>
      <c r="K56" s="73"/>
      <c r="L56" s="73"/>
      <c r="M56" s="489"/>
      <c r="N56" s="73"/>
      <c r="O56" s="73"/>
      <c r="P56" s="73"/>
      <c r="Q56" s="489"/>
      <c r="R56" s="73"/>
      <c r="S56" s="73"/>
      <c r="T56" s="73"/>
      <c r="U56" s="489"/>
      <c r="V56" s="73"/>
      <c r="W56" s="73"/>
      <c r="X56" s="73"/>
      <c r="Y56" s="489"/>
      <c r="Z56" s="73"/>
      <c r="AA56" s="73"/>
      <c r="AB56" s="73"/>
      <c r="AC56" s="489"/>
      <c r="AD56" s="73"/>
      <c r="AE56" s="73"/>
      <c r="AF56" s="73"/>
      <c r="AG56" s="489"/>
      <c r="AH56" s="73"/>
      <c r="AI56" s="73"/>
      <c r="AJ56" s="73"/>
      <c r="AK56" s="489"/>
      <c r="AL56" s="73"/>
      <c r="AM56" s="73"/>
      <c r="AN56" s="73"/>
      <c r="AO56" s="489"/>
      <c r="AP56" s="73"/>
      <c r="AQ56" s="73"/>
      <c r="AR56" s="73"/>
      <c r="AS56" s="489"/>
      <c r="AT56" s="73"/>
      <c r="AU56" s="73"/>
      <c r="AV56" s="73"/>
      <c r="AW56" s="73"/>
      <c r="AX56" s="73"/>
      <c r="AY56" s="73"/>
      <c r="AZ56" s="73"/>
      <c r="BA56" s="73"/>
    </row>
    <row r="57" spans="1:53" s="36" customFormat="1" ht="17.25" customHeight="1">
      <c r="A57" s="73"/>
      <c r="B57" s="73"/>
      <c r="C57" s="73"/>
      <c r="D57" s="73"/>
      <c r="E57" s="489"/>
      <c r="F57" s="73"/>
      <c r="G57" s="73"/>
      <c r="H57" s="73"/>
      <c r="I57" s="489"/>
      <c r="J57" s="73"/>
      <c r="K57" s="73"/>
      <c r="L57" s="73"/>
      <c r="M57" s="489"/>
      <c r="N57" s="73"/>
      <c r="O57" s="73"/>
      <c r="P57" s="73"/>
      <c r="Q57" s="489"/>
      <c r="R57" s="73"/>
      <c r="S57" s="73"/>
      <c r="T57" s="73"/>
      <c r="U57" s="489"/>
      <c r="V57" s="73"/>
      <c r="W57" s="73"/>
      <c r="X57" s="73"/>
      <c r="Y57" s="489"/>
      <c r="Z57" s="73"/>
      <c r="AA57" s="73"/>
      <c r="AB57" s="73"/>
      <c r="AC57" s="489"/>
      <c r="AD57" s="73"/>
      <c r="AE57" s="73"/>
      <c r="AF57" s="73"/>
      <c r="AG57" s="489"/>
      <c r="AH57" s="73"/>
      <c r="AI57" s="73"/>
      <c r="AJ57" s="73"/>
      <c r="AK57" s="489"/>
      <c r="AL57" s="73"/>
      <c r="AM57" s="73"/>
      <c r="AN57" s="73"/>
      <c r="AO57" s="489"/>
      <c r="AP57" s="73"/>
      <c r="AQ57" s="73"/>
      <c r="AR57" s="73"/>
      <c r="AS57" s="489"/>
      <c r="AT57" s="73"/>
      <c r="AU57" s="73"/>
      <c r="AV57" s="73"/>
      <c r="AW57" s="73"/>
      <c r="AX57" s="73"/>
      <c r="AY57" s="73"/>
      <c r="AZ57" s="73"/>
      <c r="BA57" s="73"/>
    </row>
    <row r="58" spans="1:53" s="36" customFormat="1" ht="12.75">
      <c r="A58" s="73"/>
      <c r="B58" s="73"/>
      <c r="C58" s="73"/>
      <c r="D58" s="73"/>
      <c r="E58" s="489"/>
      <c r="F58" s="73"/>
      <c r="G58" s="73"/>
      <c r="H58" s="73"/>
      <c r="I58" s="489"/>
      <c r="J58" s="73"/>
      <c r="K58" s="73"/>
      <c r="L58" s="73"/>
      <c r="M58" s="489"/>
      <c r="N58" s="73"/>
      <c r="O58" s="73"/>
      <c r="P58" s="73"/>
      <c r="Q58" s="489"/>
      <c r="R58" s="73"/>
      <c r="S58" s="73"/>
      <c r="T58" s="73"/>
      <c r="U58" s="489"/>
      <c r="V58" s="73"/>
      <c r="W58" s="73"/>
      <c r="X58" s="73"/>
      <c r="Y58" s="489"/>
      <c r="Z58" s="73"/>
      <c r="AA58" s="73"/>
      <c r="AB58" s="73"/>
      <c r="AC58" s="489"/>
      <c r="AD58" s="73"/>
      <c r="AE58" s="73"/>
      <c r="AF58" s="73"/>
      <c r="AG58" s="489"/>
      <c r="AH58" s="73"/>
      <c r="AI58" s="73"/>
      <c r="AJ58" s="73"/>
      <c r="AK58" s="489"/>
      <c r="AL58" s="73"/>
      <c r="AM58" s="73"/>
      <c r="AN58" s="73"/>
      <c r="AO58" s="489"/>
      <c r="AP58" s="73"/>
      <c r="AQ58" s="73"/>
      <c r="AR58" s="73"/>
      <c r="AS58" s="489"/>
      <c r="AT58" s="73"/>
      <c r="AU58" s="73"/>
      <c r="AV58" s="73"/>
      <c r="AW58" s="73"/>
      <c r="AX58" s="73"/>
      <c r="AY58" s="73"/>
      <c r="AZ58" s="73"/>
      <c r="BA58" s="73"/>
    </row>
    <row r="59" spans="1:53" s="36" customFormat="1" ht="17.25" customHeight="1">
      <c r="A59" s="73"/>
      <c r="B59" s="73"/>
      <c r="C59" s="73"/>
      <c r="D59" s="73"/>
      <c r="E59" s="489"/>
      <c r="F59" s="73"/>
      <c r="G59" s="73"/>
      <c r="H59" s="73"/>
      <c r="I59" s="489"/>
      <c r="J59" s="73"/>
      <c r="K59" s="73"/>
      <c r="L59" s="73"/>
      <c r="M59" s="489"/>
      <c r="N59" s="73"/>
      <c r="O59" s="73"/>
      <c r="P59" s="73"/>
      <c r="Q59" s="489"/>
      <c r="R59" s="73"/>
      <c r="S59" s="73"/>
      <c r="T59" s="73"/>
      <c r="U59" s="489"/>
      <c r="V59" s="73"/>
      <c r="W59" s="73"/>
      <c r="X59" s="73"/>
      <c r="Y59" s="489"/>
      <c r="Z59" s="73"/>
      <c r="AA59" s="73"/>
      <c r="AB59" s="73"/>
      <c r="AC59" s="489"/>
      <c r="AD59" s="73"/>
      <c r="AE59" s="73"/>
      <c r="AF59" s="73"/>
      <c r="AG59" s="489"/>
      <c r="AH59" s="73"/>
      <c r="AI59" s="73"/>
      <c r="AJ59" s="73"/>
      <c r="AK59" s="489"/>
      <c r="AL59" s="73"/>
      <c r="AM59" s="73"/>
      <c r="AN59" s="73"/>
      <c r="AO59" s="489"/>
      <c r="AP59" s="73"/>
      <c r="AQ59" s="73"/>
      <c r="AR59" s="73"/>
      <c r="AS59" s="489"/>
      <c r="AT59" s="73"/>
      <c r="AU59" s="73"/>
      <c r="AV59" s="73"/>
      <c r="AW59" s="73"/>
      <c r="AX59" s="73"/>
      <c r="AY59" s="73"/>
      <c r="AZ59" s="73"/>
      <c r="BA59" s="73"/>
    </row>
    <row r="60" spans="1:53" s="36" customFormat="1" ht="12.75">
      <c r="A60" s="73"/>
      <c r="B60" s="73"/>
      <c r="C60" s="73"/>
      <c r="D60" s="73"/>
      <c r="E60" s="489"/>
      <c r="F60" s="73"/>
      <c r="G60" s="73"/>
      <c r="H60" s="73"/>
      <c r="I60" s="489"/>
      <c r="J60" s="73"/>
      <c r="K60" s="73"/>
      <c r="L60" s="73"/>
      <c r="M60" s="489"/>
      <c r="N60" s="73"/>
      <c r="O60" s="73"/>
      <c r="P60" s="73"/>
      <c r="Q60" s="489"/>
      <c r="R60" s="73"/>
      <c r="S60" s="73"/>
      <c r="T60" s="73"/>
      <c r="U60" s="489"/>
      <c r="V60" s="73"/>
      <c r="W60" s="73"/>
      <c r="X60" s="73"/>
      <c r="Y60" s="489"/>
      <c r="Z60" s="73"/>
      <c r="AA60" s="73"/>
      <c r="AB60" s="73"/>
      <c r="AC60" s="489"/>
      <c r="AD60" s="73"/>
      <c r="AE60" s="73"/>
      <c r="AF60" s="73"/>
      <c r="AG60" s="489"/>
      <c r="AH60" s="73"/>
      <c r="AI60" s="73"/>
      <c r="AJ60" s="73"/>
      <c r="AK60" s="489"/>
      <c r="AL60" s="73"/>
      <c r="AM60" s="73"/>
      <c r="AN60" s="73"/>
      <c r="AO60" s="489"/>
      <c r="AP60" s="73"/>
      <c r="AQ60" s="73"/>
      <c r="AR60" s="73"/>
      <c r="AS60" s="489"/>
      <c r="AT60" s="73"/>
      <c r="AU60" s="73"/>
      <c r="AV60" s="73"/>
      <c r="AW60" s="73"/>
      <c r="AX60" s="73"/>
      <c r="AY60" s="73"/>
      <c r="AZ60" s="73"/>
      <c r="BA60" s="73"/>
    </row>
    <row r="61" spans="1:53" s="36" customFormat="1" ht="17.25" customHeight="1">
      <c r="A61" s="73"/>
      <c r="B61" s="73"/>
      <c r="C61" s="73"/>
      <c r="D61" s="73"/>
      <c r="E61" s="489"/>
      <c r="F61" s="73"/>
      <c r="G61" s="73"/>
      <c r="H61" s="73"/>
      <c r="I61" s="489"/>
      <c r="J61" s="73"/>
      <c r="K61" s="73"/>
      <c r="L61" s="73"/>
      <c r="M61" s="489"/>
      <c r="N61" s="73"/>
      <c r="O61" s="73"/>
      <c r="P61" s="73"/>
      <c r="Q61" s="489"/>
      <c r="R61" s="73"/>
      <c r="S61" s="73"/>
      <c r="T61" s="73"/>
      <c r="U61" s="489"/>
      <c r="V61" s="73"/>
      <c r="W61" s="73"/>
      <c r="X61" s="73"/>
      <c r="Y61" s="489"/>
      <c r="Z61" s="73"/>
      <c r="AA61" s="73"/>
      <c r="AB61" s="73"/>
      <c r="AC61" s="489"/>
      <c r="AD61" s="73"/>
      <c r="AE61" s="73"/>
      <c r="AF61" s="73"/>
      <c r="AG61" s="489"/>
      <c r="AH61" s="73"/>
      <c r="AI61" s="73"/>
      <c r="AJ61" s="73"/>
      <c r="AK61" s="489"/>
      <c r="AL61" s="73"/>
      <c r="AM61" s="73"/>
      <c r="AN61" s="73"/>
      <c r="AO61" s="489"/>
      <c r="AP61" s="73"/>
      <c r="AQ61" s="73"/>
      <c r="AR61" s="73"/>
      <c r="AS61" s="489"/>
      <c r="AT61" s="73"/>
      <c r="AU61" s="73"/>
      <c r="AV61" s="73"/>
      <c r="AW61" s="73"/>
      <c r="AX61" s="73"/>
      <c r="AY61" s="73"/>
      <c r="AZ61" s="73"/>
      <c r="BA61" s="73"/>
    </row>
    <row r="62" spans="1:53" s="36" customFormat="1" ht="12.75">
      <c r="A62" s="73"/>
      <c r="B62" s="73"/>
      <c r="C62" s="73"/>
      <c r="D62" s="73"/>
      <c r="E62" s="489"/>
      <c r="F62" s="73"/>
      <c r="G62" s="73"/>
      <c r="H62" s="73"/>
      <c r="I62" s="489"/>
      <c r="J62" s="73"/>
      <c r="K62" s="73"/>
      <c r="L62" s="73"/>
      <c r="M62" s="489"/>
      <c r="N62" s="73"/>
      <c r="O62" s="73"/>
      <c r="P62" s="73"/>
      <c r="Q62" s="489"/>
      <c r="R62" s="73"/>
      <c r="S62" s="73"/>
      <c r="T62" s="73"/>
      <c r="U62" s="489"/>
      <c r="V62" s="73"/>
      <c r="W62" s="73"/>
      <c r="X62" s="73"/>
      <c r="Y62" s="489"/>
      <c r="Z62" s="73"/>
      <c r="AA62" s="73"/>
      <c r="AB62" s="73"/>
      <c r="AC62" s="489"/>
      <c r="AD62" s="73"/>
      <c r="AE62" s="73"/>
      <c r="AF62" s="73"/>
      <c r="AG62" s="489"/>
      <c r="AH62" s="73"/>
      <c r="AI62" s="73"/>
      <c r="AJ62" s="73"/>
      <c r="AK62" s="489"/>
      <c r="AL62" s="73"/>
      <c r="AM62" s="73"/>
      <c r="AN62" s="73"/>
      <c r="AO62" s="489"/>
      <c r="AP62" s="73"/>
      <c r="AQ62" s="73"/>
      <c r="AR62" s="73"/>
      <c r="AS62" s="489"/>
      <c r="AT62" s="73"/>
      <c r="AU62" s="73"/>
      <c r="AV62" s="73"/>
      <c r="AW62" s="73"/>
      <c r="AX62" s="73"/>
      <c r="AY62" s="73"/>
      <c r="AZ62" s="73"/>
      <c r="BA62" s="73"/>
    </row>
    <row r="63" spans="1:53" s="36" customFormat="1" ht="17.25" customHeight="1">
      <c r="A63" s="73"/>
      <c r="B63" s="73"/>
      <c r="C63" s="73"/>
      <c r="D63" s="73"/>
      <c r="E63" s="489"/>
      <c r="F63" s="73"/>
      <c r="G63" s="73"/>
      <c r="H63" s="73"/>
      <c r="I63" s="489"/>
      <c r="J63" s="73"/>
      <c r="K63" s="73"/>
      <c r="L63" s="73"/>
      <c r="M63" s="489"/>
      <c r="N63" s="73"/>
      <c r="O63" s="73"/>
      <c r="P63" s="73"/>
      <c r="Q63" s="489"/>
      <c r="R63" s="73"/>
      <c r="S63" s="73"/>
      <c r="T63" s="73"/>
      <c r="U63" s="489"/>
      <c r="V63" s="73"/>
      <c r="W63" s="73"/>
      <c r="X63" s="73"/>
      <c r="Y63" s="489"/>
      <c r="Z63" s="73"/>
      <c r="AA63" s="73"/>
      <c r="AB63" s="73"/>
      <c r="AC63" s="489"/>
      <c r="AD63" s="73"/>
      <c r="AE63" s="73"/>
      <c r="AF63" s="73"/>
      <c r="AG63" s="489"/>
      <c r="AH63" s="73"/>
      <c r="AI63" s="73"/>
      <c r="AJ63" s="73"/>
      <c r="AK63" s="489"/>
      <c r="AL63" s="73"/>
      <c r="AM63" s="73"/>
      <c r="AN63" s="73"/>
      <c r="AO63" s="489"/>
      <c r="AP63" s="73"/>
      <c r="AQ63" s="73"/>
      <c r="AR63" s="73"/>
      <c r="AS63" s="489"/>
      <c r="AT63" s="73"/>
      <c r="AU63" s="73"/>
      <c r="AV63" s="73"/>
      <c r="AW63" s="73"/>
      <c r="AX63" s="73"/>
      <c r="AY63" s="73"/>
      <c r="AZ63" s="73"/>
      <c r="BA63" s="73"/>
    </row>
    <row r="64" spans="1:53" s="36" customFormat="1" ht="12.75">
      <c r="A64" s="73"/>
      <c r="B64" s="73"/>
      <c r="C64" s="73"/>
      <c r="D64" s="73"/>
      <c r="E64" s="489"/>
      <c r="F64" s="73"/>
      <c r="G64" s="73"/>
      <c r="H64" s="73"/>
      <c r="I64" s="489"/>
      <c r="J64" s="73"/>
      <c r="K64" s="73"/>
      <c r="L64" s="73"/>
      <c r="M64" s="489"/>
      <c r="N64" s="73"/>
      <c r="O64" s="73"/>
      <c r="P64" s="73"/>
      <c r="Q64" s="489"/>
      <c r="R64" s="73"/>
      <c r="S64" s="73"/>
      <c r="T64" s="73"/>
      <c r="U64" s="489"/>
      <c r="V64" s="73"/>
      <c r="W64" s="73"/>
      <c r="X64" s="73"/>
      <c r="Y64" s="489"/>
      <c r="Z64" s="73"/>
      <c r="AA64" s="73"/>
      <c r="AB64" s="73"/>
      <c r="AC64" s="489"/>
      <c r="AD64" s="73"/>
      <c r="AE64" s="73"/>
      <c r="AF64" s="73"/>
      <c r="AG64" s="489"/>
      <c r="AH64" s="73"/>
      <c r="AI64" s="73"/>
      <c r="AJ64" s="73"/>
      <c r="AK64" s="489"/>
      <c r="AL64" s="73"/>
      <c r="AM64" s="73"/>
      <c r="AN64" s="73"/>
      <c r="AO64" s="489"/>
      <c r="AP64" s="73"/>
      <c r="AQ64" s="73"/>
      <c r="AR64" s="73"/>
      <c r="AS64" s="489"/>
      <c r="AT64" s="73"/>
      <c r="AU64" s="73"/>
      <c r="AV64" s="73"/>
      <c r="AW64" s="73"/>
      <c r="AX64" s="73"/>
      <c r="AY64" s="73"/>
      <c r="AZ64" s="73"/>
      <c r="BA64" s="73"/>
    </row>
    <row r="65" spans="1:53" s="36" customFormat="1" ht="17.25" customHeight="1">
      <c r="A65" s="73"/>
      <c r="B65" s="73"/>
      <c r="C65" s="73"/>
      <c r="D65" s="73"/>
      <c r="E65" s="489"/>
      <c r="F65" s="73"/>
      <c r="G65" s="73"/>
      <c r="H65" s="73"/>
      <c r="I65" s="489"/>
      <c r="J65" s="73"/>
      <c r="K65" s="73"/>
      <c r="L65" s="73"/>
      <c r="M65" s="489"/>
      <c r="N65" s="73"/>
      <c r="O65" s="73"/>
      <c r="P65" s="73"/>
      <c r="Q65" s="489"/>
      <c r="R65" s="73"/>
      <c r="S65" s="73"/>
      <c r="T65" s="73"/>
      <c r="U65" s="489"/>
      <c r="V65" s="73"/>
      <c r="W65" s="73"/>
      <c r="X65" s="73"/>
      <c r="Y65" s="489"/>
      <c r="Z65" s="73"/>
      <c r="AA65" s="73"/>
      <c r="AB65" s="73"/>
      <c r="AC65" s="489"/>
      <c r="AD65" s="73"/>
      <c r="AE65" s="73"/>
      <c r="AF65" s="73"/>
      <c r="AG65" s="489"/>
      <c r="AH65" s="73"/>
      <c r="AI65" s="73"/>
      <c r="AJ65" s="73"/>
      <c r="AK65" s="489"/>
      <c r="AL65" s="73"/>
      <c r="AM65" s="73"/>
      <c r="AN65" s="73"/>
      <c r="AO65" s="489"/>
      <c r="AP65" s="73"/>
      <c r="AQ65" s="73"/>
      <c r="AR65" s="73"/>
      <c r="AS65" s="489"/>
      <c r="AT65" s="73"/>
      <c r="AU65" s="73"/>
      <c r="AV65" s="73"/>
      <c r="AW65" s="73"/>
      <c r="AX65" s="73"/>
      <c r="AY65" s="73"/>
      <c r="AZ65" s="73"/>
      <c r="BA65" s="73"/>
    </row>
    <row r="66" spans="1:53" s="36" customFormat="1" ht="12.75">
      <c r="A66" s="73"/>
      <c r="B66" s="73"/>
      <c r="C66" s="73"/>
      <c r="D66" s="73"/>
      <c r="E66" s="489"/>
      <c r="F66" s="73"/>
      <c r="G66" s="73"/>
      <c r="H66" s="73"/>
      <c r="I66" s="489"/>
      <c r="J66" s="73"/>
      <c r="K66" s="73"/>
      <c r="L66" s="73"/>
      <c r="M66" s="489"/>
      <c r="N66" s="73"/>
      <c r="O66" s="73"/>
      <c r="P66" s="73"/>
      <c r="Q66" s="489"/>
      <c r="R66" s="73"/>
      <c r="S66" s="73"/>
      <c r="T66" s="73"/>
      <c r="U66" s="489"/>
      <c r="V66" s="73"/>
      <c r="W66" s="73"/>
      <c r="X66" s="73"/>
      <c r="Y66" s="489"/>
      <c r="Z66" s="73"/>
      <c r="AA66" s="73"/>
      <c r="AB66" s="73"/>
      <c r="AC66" s="489"/>
      <c r="AD66" s="73"/>
      <c r="AE66" s="73"/>
      <c r="AF66" s="73"/>
      <c r="AG66" s="489"/>
      <c r="AH66" s="73"/>
      <c r="AI66" s="73"/>
      <c r="AJ66" s="73"/>
      <c r="AK66" s="489"/>
      <c r="AL66" s="73"/>
      <c r="AM66" s="73"/>
      <c r="AN66" s="73"/>
      <c r="AO66" s="489"/>
      <c r="AP66" s="73"/>
      <c r="AQ66" s="73"/>
      <c r="AR66" s="73"/>
      <c r="AS66" s="489"/>
      <c r="AT66" s="73"/>
      <c r="AU66" s="73"/>
      <c r="AV66" s="73"/>
      <c r="AW66" s="73"/>
      <c r="AX66" s="73"/>
      <c r="AY66" s="73"/>
      <c r="AZ66" s="73"/>
      <c r="BA66" s="73"/>
    </row>
    <row r="67" spans="1:53" s="36" customFormat="1" ht="17.25" customHeight="1">
      <c r="A67" s="73"/>
      <c r="B67" s="73"/>
      <c r="C67" s="73"/>
      <c r="D67" s="73"/>
      <c r="E67" s="489"/>
      <c r="F67" s="73"/>
      <c r="G67" s="73"/>
      <c r="H67" s="73"/>
      <c r="I67" s="489"/>
      <c r="J67" s="73"/>
      <c r="K67" s="73"/>
      <c r="L67" s="73"/>
      <c r="M67" s="489"/>
      <c r="N67" s="73"/>
      <c r="O67" s="73"/>
      <c r="P67" s="73"/>
      <c r="Q67" s="489"/>
      <c r="R67" s="73"/>
      <c r="S67" s="73"/>
      <c r="T67" s="73"/>
      <c r="U67" s="489"/>
      <c r="V67" s="73"/>
      <c r="W67" s="73"/>
      <c r="X67" s="73"/>
      <c r="Y67" s="489"/>
      <c r="Z67" s="73"/>
      <c r="AA67" s="73"/>
      <c r="AB67" s="73"/>
      <c r="AC67" s="489"/>
      <c r="AD67" s="73"/>
      <c r="AE67" s="73"/>
      <c r="AF67" s="73"/>
      <c r="AG67" s="489"/>
      <c r="AH67" s="73"/>
      <c r="AI67" s="73"/>
      <c r="AJ67" s="73"/>
      <c r="AK67" s="489"/>
      <c r="AL67" s="73"/>
      <c r="AM67" s="73"/>
      <c r="AN67" s="73"/>
      <c r="AO67" s="489"/>
      <c r="AP67" s="73"/>
      <c r="AQ67" s="73"/>
      <c r="AR67" s="73"/>
      <c r="AS67" s="489"/>
      <c r="AT67" s="73"/>
      <c r="AU67" s="73"/>
      <c r="AV67" s="73"/>
      <c r="AW67" s="73"/>
      <c r="AX67" s="73"/>
      <c r="AY67" s="73"/>
      <c r="AZ67" s="73"/>
      <c r="BA67" s="73"/>
    </row>
    <row r="68" spans="1:53" s="36" customFormat="1" ht="12.75">
      <c r="A68" s="73"/>
      <c r="B68" s="73"/>
      <c r="C68" s="73"/>
      <c r="D68" s="73"/>
      <c r="E68" s="489"/>
      <c r="F68" s="73"/>
      <c r="G68" s="73"/>
      <c r="H68" s="73"/>
      <c r="I68" s="489"/>
      <c r="J68" s="73"/>
      <c r="K68" s="73"/>
      <c r="L68" s="73"/>
      <c r="M68" s="489"/>
      <c r="N68" s="73"/>
      <c r="O68" s="73"/>
      <c r="P68" s="73"/>
      <c r="Q68" s="489"/>
      <c r="R68" s="73"/>
      <c r="S68" s="73"/>
      <c r="T68" s="73"/>
      <c r="U68" s="489"/>
      <c r="V68" s="73"/>
      <c r="W68" s="73"/>
      <c r="X68" s="73"/>
      <c r="Y68" s="489"/>
      <c r="Z68" s="73"/>
      <c r="AA68" s="73"/>
      <c r="AB68" s="73"/>
      <c r="AC68" s="489"/>
      <c r="AD68" s="73"/>
      <c r="AE68" s="73"/>
      <c r="AF68" s="73"/>
      <c r="AG68" s="489"/>
      <c r="AH68" s="73"/>
      <c r="AI68" s="73"/>
      <c r="AJ68" s="73"/>
      <c r="AK68" s="489"/>
      <c r="AL68" s="73"/>
      <c r="AM68" s="73"/>
      <c r="AN68" s="73"/>
      <c r="AO68" s="489"/>
      <c r="AP68" s="73"/>
      <c r="AQ68" s="73"/>
      <c r="AR68" s="73"/>
      <c r="AS68" s="489"/>
      <c r="AT68" s="73"/>
      <c r="AU68" s="73"/>
      <c r="AV68" s="73"/>
      <c r="AW68" s="73"/>
      <c r="AX68" s="73"/>
      <c r="AY68" s="73"/>
      <c r="AZ68" s="73"/>
      <c r="BA68" s="73"/>
    </row>
    <row r="69" spans="1:53" s="36" customFormat="1" ht="17.25" customHeight="1">
      <c r="A69" s="73"/>
      <c r="B69" s="73"/>
      <c r="C69" s="73"/>
      <c r="D69" s="73"/>
      <c r="E69" s="489"/>
      <c r="F69" s="73"/>
      <c r="G69" s="73"/>
      <c r="H69" s="73"/>
      <c r="I69" s="489"/>
      <c r="J69" s="73"/>
      <c r="K69" s="73"/>
      <c r="L69" s="73"/>
      <c r="M69" s="489"/>
      <c r="N69" s="73"/>
      <c r="O69" s="73"/>
      <c r="P69" s="73"/>
      <c r="Q69" s="489"/>
      <c r="R69" s="73"/>
      <c r="S69" s="73"/>
      <c r="T69" s="73"/>
      <c r="U69" s="489"/>
      <c r="V69" s="73"/>
      <c r="W69" s="73"/>
      <c r="X69" s="73"/>
      <c r="Y69" s="489"/>
      <c r="Z69" s="73"/>
      <c r="AA69" s="73"/>
      <c r="AB69" s="73"/>
      <c r="AC69" s="489"/>
      <c r="AD69" s="73"/>
      <c r="AE69" s="73"/>
      <c r="AF69" s="73"/>
      <c r="AG69" s="489"/>
      <c r="AH69" s="73"/>
      <c r="AI69" s="73"/>
      <c r="AJ69" s="73"/>
      <c r="AK69" s="489"/>
      <c r="AL69" s="73"/>
      <c r="AM69" s="73"/>
      <c r="AN69" s="73"/>
      <c r="AO69" s="489"/>
      <c r="AP69" s="73"/>
      <c r="AQ69" s="73"/>
      <c r="AR69" s="73"/>
      <c r="AS69" s="489"/>
      <c r="AT69" s="73"/>
      <c r="AU69" s="73"/>
      <c r="AV69" s="73"/>
      <c r="AW69" s="73"/>
      <c r="AX69" s="73"/>
      <c r="AY69" s="73"/>
      <c r="AZ69" s="73"/>
      <c r="BA69" s="73"/>
    </row>
    <row r="70" spans="1:53" s="36" customFormat="1" ht="12.75">
      <c r="A70" s="73"/>
      <c r="B70" s="73"/>
      <c r="C70" s="73"/>
      <c r="D70" s="73"/>
      <c r="E70" s="489"/>
      <c r="F70" s="73"/>
      <c r="G70" s="73"/>
      <c r="H70" s="73"/>
      <c r="I70" s="489"/>
      <c r="J70" s="73"/>
      <c r="K70" s="73"/>
      <c r="L70" s="73"/>
      <c r="M70" s="489"/>
      <c r="N70" s="73"/>
      <c r="O70" s="73"/>
      <c r="P70" s="73"/>
      <c r="Q70" s="489"/>
      <c r="R70" s="73"/>
      <c r="S70" s="73"/>
      <c r="T70" s="73"/>
      <c r="U70" s="489"/>
      <c r="V70" s="73"/>
      <c r="W70" s="73"/>
      <c r="X70" s="73"/>
      <c r="Y70" s="489"/>
      <c r="Z70" s="73"/>
      <c r="AA70" s="73"/>
      <c r="AB70" s="73"/>
      <c r="AC70" s="489"/>
      <c r="AD70" s="73"/>
      <c r="AE70" s="73"/>
      <c r="AF70" s="73"/>
      <c r="AG70" s="489"/>
      <c r="AH70" s="73"/>
      <c r="AI70" s="73"/>
      <c r="AJ70" s="73"/>
      <c r="AK70" s="489"/>
      <c r="AL70" s="73"/>
      <c r="AM70" s="73"/>
      <c r="AN70" s="73"/>
      <c r="AO70" s="489"/>
      <c r="AP70" s="73"/>
      <c r="AQ70" s="73"/>
      <c r="AR70" s="73"/>
      <c r="AS70" s="489"/>
      <c r="AT70" s="73"/>
      <c r="AU70" s="73"/>
      <c r="AV70" s="73"/>
      <c r="AW70" s="73"/>
      <c r="AX70" s="73"/>
      <c r="AY70" s="73"/>
      <c r="AZ70" s="73"/>
      <c r="BA70" s="73"/>
    </row>
    <row r="71" spans="1:53" s="36" customFormat="1" ht="17.25" customHeight="1">
      <c r="A71" s="73"/>
      <c r="B71" s="73"/>
      <c r="C71" s="73"/>
      <c r="D71" s="73"/>
      <c r="E71" s="489"/>
      <c r="F71" s="73"/>
      <c r="G71" s="73"/>
      <c r="H71" s="73"/>
      <c r="I71" s="489"/>
      <c r="J71" s="73"/>
      <c r="K71" s="73"/>
      <c r="L71" s="73"/>
      <c r="M71" s="489"/>
      <c r="N71" s="73"/>
      <c r="O71" s="73"/>
      <c r="P71" s="73"/>
      <c r="Q71" s="489"/>
      <c r="R71" s="73"/>
      <c r="S71" s="73"/>
      <c r="T71" s="73"/>
      <c r="U71" s="489"/>
      <c r="V71" s="73"/>
      <c r="W71" s="73"/>
      <c r="X71" s="73"/>
      <c r="Y71" s="489"/>
      <c r="Z71" s="73"/>
      <c r="AA71" s="73"/>
      <c r="AB71" s="73"/>
      <c r="AC71" s="489"/>
      <c r="AD71" s="73"/>
      <c r="AE71" s="73"/>
      <c r="AF71" s="73"/>
      <c r="AG71" s="489"/>
      <c r="AH71" s="73"/>
      <c r="AI71" s="73"/>
      <c r="AJ71" s="73"/>
      <c r="AK71" s="489"/>
      <c r="AL71" s="73"/>
      <c r="AM71" s="73"/>
      <c r="AN71" s="73"/>
      <c r="AO71" s="489"/>
      <c r="AP71" s="73"/>
      <c r="AQ71" s="73"/>
      <c r="AR71" s="73"/>
      <c r="AS71" s="489"/>
      <c r="AT71" s="73"/>
      <c r="AU71" s="73"/>
      <c r="AV71" s="73"/>
      <c r="AW71" s="73"/>
      <c r="AX71" s="73"/>
      <c r="AY71" s="73"/>
      <c r="AZ71" s="73"/>
      <c r="BA71" s="73"/>
    </row>
    <row r="72" spans="1:53" s="36" customFormat="1" ht="12.75">
      <c r="A72" s="73"/>
      <c r="B72" s="73"/>
      <c r="C72" s="73"/>
      <c r="D72" s="73"/>
      <c r="E72" s="489"/>
      <c r="F72" s="73"/>
      <c r="G72" s="73"/>
      <c r="H72" s="73"/>
      <c r="I72" s="489"/>
      <c r="J72" s="73"/>
      <c r="K72" s="73"/>
      <c r="L72" s="73"/>
      <c r="M72" s="489"/>
      <c r="N72" s="73"/>
      <c r="O72" s="73"/>
      <c r="P72" s="73"/>
      <c r="Q72" s="489"/>
      <c r="R72" s="73"/>
      <c r="S72" s="73"/>
      <c r="T72" s="73"/>
      <c r="U72" s="489"/>
      <c r="V72" s="73"/>
      <c r="W72" s="73"/>
      <c r="X72" s="73"/>
      <c r="Y72" s="489"/>
      <c r="Z72" s="73"/>
      <c r="AA72" s="73"/>
      <c r="AB72" s="73"/>
      <c r="AC72" s="489"/>
      <c r="AD72" s="73"/>
      <c r="AE72" s="73"/>
      <c r="AF72" s="73"/>
      <c r="AG72" s="489"/>
      <c r="AH72" s="73"/>
      <c r="AI72" s="73"/>
      <c r="AJ72" s="73"/>
      <c r="AK72" s="489"/>
      <c r="AL72" s="73"/>
      <c r="AM72" s="73"/>
      <c r="AN72" s="73"/>
      <c r="AO72" s="489"/>
      <c r="AP72" s="73"/>
      <c r="AQ72" s="73"/>
      <c r="AR72" s="73"/>
      <c r="AS72" s="489"/>
      <c r="AT72" s="73"/>
      <c r="AU72" s="73"/>
      <c r="AV72" s="73"/>
      <c r="AW72" s="73"/>
      <c r="AX72" s="73"/>
      <c r="AY72" s="73"/>
      <c r="AZ72" s="73"/>
      <c r="BA72" s="73"/>
    </row>
    <row r="73" spans="1:53" s="36" customFormat="1" ht="17.25" customHeight="1">
      <c r="A73" s="73"/>
      <c r="B73" s="73"/>
      <c r="C73" s="73"/>
      <c r="D73" s="73"/>
      <c r="E73" s="489"/>
      <c r="F73" s="73"/>
      <c r="G73" s="73"/>
      <c r="H73" s="73"/>
      <c r="I73" s="489"/>
      <c r="J73" s="73"/>
      <c r="K73" s="73"/>
      <c r="L73" s="73"/>
      <c r="M73" s="489"/>
      <c r="N73" s="73"/>
      <c r="O73" s="73"/>
      <c r="P73" s="73"/>
      <c r="Q73" s="489"/>
      <c r="R73" s="73"/>
      <c r="S73" s="73"/>
      <c r="T73" s="73"/>
      <c r="U73" s="489"/>
      <c r="V73" s="73"/>
      <c r="W73" s="73"/>
      <c r="X73" s="73"/>
      <c r="Y73" s="489"/>
      <c r="Z73" s="73"/>
      <c r="AA73" s="73"/>
      <c r="AB73" s="73"/>
      <c r="AC73" s="489"/>
      <c r="AD73" s="73"/>
      <c r="AE73" s="73"/>
      <c r="AF73" s="73"/>
      <c r="AG73" s="489"/>
      <c r="AH73" s="73"/>
      <c r="AI73" s="73"/>
      <c r="AJ73" s="73"/>
      <c r="AK73" s="489"/>
      <c r="AL73" s="73"/>
      <c r="AM73" s="73"/>
      <c r="AN73" s="73"/>
      <c r="AO73" s="489"/>
      <c r="AP73" s="73"/>
      <c r="AQ73" s="73"/>
      <c r="AR73" s="73"/>
      <c r="AS73" s="489"/>
      <c r="AT73" s="73"/>
      <c r="AU73" s="73"/>
      <c r="AV73" s="73"/>
      <c r="AW73" s="73"/>
      <c r="AX73" s="73"/>
      <c r="AY73" s="73"/>
      <c r="AZ73" s="73"/>
      <c r="BA73" s="73"/>
    </row>
    <row r="74" spans="1:53" s="36" customFormat="1" ht="12.75">
      <c r="A74" s="73"/>
      <c r="B74" s="73"/>
      <c r="C74" s="73"/>
      <c r="D74" s="73"/>
      <c r="E74" s="489"/>
      <c r="F74" s="73"/>
      <c r="G74" s="73"/>
      <c r="H74" s="73"/>
      <c r="I74" s="489"/>
      <c r="J74" s="73"/>
      <c r="K74" s="73"/>
      <c r="L74" s="73"/>
      <c r="M74" s="489"/>
      <c r="N74" s="73"/>
      <c r="O74" s="73"/>
      <c r="P74" s="73"/>
      <c r="Q74" s="489"/>
      <c r="R74" s="73"/>
      <c r="S74" s="73"/>
      <c r="T74" s="73"/>
      <c r="U74" s="489"/>
      <c r="V74" s="73"/>
      <c r="W74" s="73"/>
      <c r="X74" s="73"/>
      <c r="Y74" s="489"/>
      <c r="Z74" s="73"/>
      <c r="AA74" s="73"/>
      <c r="AB74" s="73"/>
      <c r="AC74" s="489"/>
      <c r="AD74" s="73"/>
      <c r="AE74" s="73"/>
      <c r="AF74" s="73"/>
      <c r="AG74" s="489"/>
      <c r="AH74" s="73"/>
      <c r="AI74" s="73"/>
      <c r="AJ74" s="73"/>
      <c r="AK74" s="489"/>
      <c r="AL74" s="73"/>
      <c r="AM74" s="73"/>
      <c r="AN74" s="73"/>
      <c r="AO74" s="489"/>
      <c r="AP74" s="73"/>
      <c r="AQ74" s="73"/>
      <c r="AR74" s="73"/>
      <c r="AS74" s="489"/>
      <c r="AT74" s="73"/>
      <c r="AU74" s="73"/>
      <c r="AV74" s="73"/>
      <c r="AW74" s="73"/>
      <c r="AX74" s="73"/>
      <c r="AY74" s="73"/>
      <c r="AZ74" s="73"/>
      <c r="BA74" s="73"/>
    </row>
    <row r="75" spans="1:53" s="36" customFormat="1" ht="17.25" customHeight="1">
      <c r="A75" s="73"/>
      <c r="B75" s="73"/>
      <c r="C75" s="73"/>
      <c r="D75" s="73"/>
      <c r="E75" s="489"/>
      <c r="F75" s="73"/>
      <c r="G75" s="73"/>
      <c r="H75" s="73"/>
      <c r="I75" s="489"/>
      <c r="J75" s="73"/>
      <c r="K75" s="73"/>
      <c r="L75" s="73"/>
      <c r="M75" s="489"/>
      <c r="N75" s="73"/>
      <c r="O75" s="73"/>
      <c r="P75" s="73"/>
      <c r="Q75" s="489"/>
      <c r="R75" s="73"/>
      <c r="S75" s="73"/>
      <c r="T75" s="73"/>
      <c r="U75" s="489"/>
      <c r="V75" s="73"/>
      <c r="W75" s="73"/>
      <c r="X75" s="73"/>
      <c r="Y75" s="489"/>
      <c r="Z75" s="73"/>
      <c r="AA75" s="73"/>
      <c r="AB75" s="73"/>
      <c r="AC75" s="489"/>
      <c r="AD75" s="73"/>
      <c r="AE75" s="73"/>
      <c r="AF75" s="73"/>
      <c r="AG75" s="489"/>
      <c r="AH75" s="73"/>
      <c r="AI75" s="73"/>
      <c r="AJ75" s="73"/>
      <c r="AK75" s="489"/>
      <c r="AL75" s="73"/>
      <c r="AM75" s="73"/>
      <c r="AN75" s="73"/>
      <c r="AO75" s="489"/>
      <c r="AP75" s="73"/>
      <c r="AQ75" s="73"/>
      <c r="AR75" s="73"/>
      <c r="AS75" s="489"/>
      <c r="AT75" s="73"/>
      <c r="AU75" s="73"/>
      <c r="AV75" s="73"/>
      <c r="AW75" s="73"/>
      <c r="AX75" s="73"/>
      <c r="AY75" s="73"/>
      <c r="AZ75" s="73"/>
      <c r="BA75" s="73"/>
    </row>
    <row r="76" spans="1:53" s="36" customFormat="1" ht="12.75">
      <c r="A76" s="73"/>
      <c r="B76" s="73"/>
      <c r="C76" s="73"/>
      <c r="D76" s="73"/>
      <c r="E76" s="489"/>
      <c r="F76" s="73"/>
      <c r="G76" s="73"/>
      <c r="H76" s="73"/>
      <c r="I76" s="489"/>
      <c r="J76" s="73"/>
      <c r="K76" s="73"/>
      <c r="L76" s="73"/>
      <c r="M76" s="489"/>
      <c r="N76" s="73"/>
      <c r="O76" s="73"/>
      <c r="P76" s="73"/>
      <c r="Q76" s="489"/>
      <c r="R76" s="73"/>
      <c r="S76" s="73"/>
      <c r="T76" s="73"/>
      <c r="U76" s="489"/>
      <c r="V76" s="73"/>
      <c r="W76" s="73"/>
      <c r="X76" s="73"/>
      <c r="Y76" s="489"/>
      <c r="Z76" s="73"/>
      <c r="AA76" s="73"/>
      <c r="AB76" s="73"/>
      <c r="AC76" s="489"/>
      <c r="AD76" s="73"/>
      <c r="AE76" s="73"/>
      <c r="AF76" s="73"/>
      <c r="AG76" s="489"/>
      <c r="AH76" s="73"/>
      <c r="AI76" s="73"/>
      <c r="AJ76" s="73"/>
      <c r="AK76" s="489"/>
      <c r="AL76" s="73"/>
      <c r="AM76" s="73"/>
      <c r="AN76" s="73"/>
      <c r="AO76" s="489"/>
      <c r="AP76" s="73"/>
      <c r="AQ76" s="73"/>
      <c r="AR76" s="73"/>
      <c r="AS76" s="489"/>
      <c r="AT76" s="73"/>
      <c r="AU76" s="73"/>
      <c r="AV76" s="73"/>
      <c r="AW76" s="73"/>
      <c r="AX76" s="73"/>
      <c r="AY76" s="73"/>
      <c r="AZ76" s="73"/>
      <c r="BA76" s="73"/>
    </row>
    <row r="77" spans="1:53" s="36" customFormat="1" ht="17.25" customHeight="1">
      <c r="A77" s="73"/>
      <c r="B77" s="73"/>
      <c r="C77" s="73"/>
      <c r="D77" s="73"/>
      <c r="E77" s="489"/>
      <c r="F77" s="73"/>
      <c r="G77" s="73"/>
      <c r="H77" s="73"/>
      <c r="I77" s="489"/>
      <c r="J77" s="73"/>
      <c r="K77" s="73"/>
      <c r="L77" s="73"/>
      <c r="M77" s="489"/>
      <c r="N77" s="73"/>
      <c r="O77" s="73"/>
      <c r="P77" s="73"/>
      <c r="Q77" s="489"/>
      <c r="R77" s="73"/>
      <c r="S77" s="73"/>
      <c r="T77" s="73"/>
      <c r="U77" s="489"/>
      <c r="V77" s="73"/>
      <c r="W77" s="73"/>
      <c r="X77" s="73"/>
      <c r="Y77" s="489"/>
      <c r="Z77" s="73"/>
      <c r="AA77" s="73"/>
      <c r="AB77" s="73"/>
      <c r="AC77" s="489"/>
      <c r="AD77" s="73"/>
      <c r="AE77" s="73"/>
      <c r="AF77" s="73"/>
      <c r="AG77" s="489"/>
      <c r="AH77" s="73"/>
      <c r="AI77" s="73"/>
      <c r="AJ77" s="73"/>
      <c r="AK77" s="489"/>
      <c r="AL77" s="73"/>
      <c r="AM77" s="73"/>
      <c r="AN77" s="73"/>
      <c r="AO77" s="489"/>
      <c r="AP77" s="73"/>
      <c r="AQ77" s="73"/>
      <c r="AR77" s="73"/>
      <c r="AS77" s="489"/>
      <c r="AT77" s="73"/>
      <c r="AU77" s="73"/>
      <c r="AV77" s="73"/>
      <c r="AW77" s="73"/>
      <c r="AX77" s="73"/>
      <c r="AY77" s="73"/>
      <c r="AZ77" s="73"/>
      <c r="BA77" s="73"/>
    </row>
    <row r="78" spans="1:53" s="36" customFormat="1" ht="12.75">
      <c r="A78" s="73"/>
      <c r="B78" s="73"/>
      <c r="C78" s="73"/>
      <c r="D78" s="73"/>
      <c r="E78" s="489"/>
      <c r="F78" s="73"/>
      <c r="G78" s="73"/>
      <c r="H78" s="73"/>
      <c r="I78" s="489"/>
      <c r="J78" s="73"/>
      <c r="K78" s="73"/>
      <c r="L78" s="73"/>
      <c r="M78" s="489"/>
      <c r="N78" s="73"/>
      <c r="O78" s="73"/>
      <c r="P78" s="73"/>
      <c r="Q78" s="489"/>
      <c r="R78" s="73"/>
      <c r="S78" s="73"/>
      <c r="T78" s="73"/>
      <c r="U78" s="489"/>
      <c r="V78" s="73"/>
      <c r="W78" s="73"/>
      <c r="X78" s="73"/>
      <c r="Y78" s="489"/>
      <c r="Z78" s="73"/>
      <c r="AA78" s="73"/>
      <c r="AB78" s="73"/>
      <c r="AC78" s="489"/>
      <c r="AD78" s="73"/>
      <c r="AE78" s="73"/>
      <c r="AF78" s="73"/>
      <c r="AG78" s="489"/>
      <c r="AH78" s="73"/>
      <c r="AI78" s="73"/>
      <c r="AJ78" s="73"/>
      <c r="AK78" s="489"/>
      <c r="AL78" s="73"/>
      <c r="AM78" s="73"/>
      <c r="AN78" s="73"/>
      <c r="AO78" s="489"/>
      <c r="AP78" s="73"/>
      <c r="AQ78" s="73"/>
      <c r="AR78" s="73"/>
      <c r="AS78" s="489"/>
      <c r="AT78" s="73"/>
      <c r="AU78" s="73"/>
      <c r="AV78" s="73"/>
      <c r="AW78" s="73"/>
      <c r="AX78" s="73"/>
      <c r="AY78" s="73"/>
      <c r="AZ78" s="73"/>
      <c r="BA78" s="73"/>
    </row>
    <row r="79" spans="1:53" s="36" customFormat="1" ht="17.25" customHeight="1">
      <c r="A79" s="73"/>
      <c r="B79" s="73"/>
      <c r="C79" s="73"/>
      <c r="D79" s="73"/>
      <c r="E79" s="489"/>
      <c r="F79" s="73"/>
      <c r="G79" s="73"/>
      <c r="H79" s="73"/>
      <c r="I79" s="489"/>
      <c r="J79" s="73"/>
      <c r="K79" s="73"/>
      <c r="L79" s="73"/>
      <c r="M79" s="489"/>
      <c r="N79" s="73"/>
      <c r="O79" s="73"/>
      <c r="P79" s="73"/>
      <c r="Q79" s="489"/>
      <c r="R79" s="73"/>
      <c r="S79" s="73"/>
      <c r="T79" s="73"/>
      <c r="U79" s="489"/>
      <c r="V79" s="73"/>
      <c r="W79" s="73"/>
      <c r="X79" s="73"/>
      <c r="Y79" s="489"/>
      <c r="Z79" s="73"/>
      <c r="AA79" s="73"/>
      <c r="AB79" s="73"/>
      <c r="AC79" s="489"/>
      <c r="AD79" s="73"/>
      <c r="AE79" s="73"/>
      <c r="AF79" s="73"/>
      <c r="AG79" s="489"/>
      <c r="AH79" s="73"/>
      <c r="AI79" s="73"/>
      <c r="AJ79" s="73"/>
      <c r="AK79" s="489"/>
      <c r="AL79" s="73"/>
      <c r="AM79" s="73"/>
      <c r="AN79" s="73"/>
      <c r="AO79" s="489"/>
      <c r="AP79" s="73"/>
      <c r="AQ79" s="73"/>
      <c r="AR79" s="73"/>
      <c r="AS79" s="489"/>
      <c r="AT79" s="73"/>
      <c r="AU79" s="73"/>
      <c r="AV79" s="73"/>
      <c r="AW79" s="73"/>
      <c r="AX79" s="73"/>
      <c r="AY79" s="73"/>
      <c r="AZ79" s="73"/>
      <c r="BA79" s="73"/>
    </row>
    <row r="80" spans="1:53" s="36" customFormat="1" ht="12.75">
      <c r="A80" s="73"/>
      <c r="B80" s="73"/>
      <c r="C80" s="73"/>
      <c r="D80" s="73"/>
      <c r="E80" s="489"/>
      <c r="F80" s="73"/>
      <c r="G80" s="73"/>
      <c r="H80" s="73"/>
      <c r="I80" s="489"/>
      <c r="J80" s="73"/>
      <c r="K80" s="73"/>
      <c r="L80" s="73"/>
      <c r="M80" s="489"/>
      <c r="N80" s="73"/>
      <c r="O80" s="73"/>
      <c r="P80" s="73"/>
      <c r="Q80" s="489"/>
      <c r="R80" s="73"/>
      <c r="S80" s="73"/>
      <c r="T80" s="73"/>
      <c r="U80" s="489"/>
      <c r="V80" s="73"/>
      <c r="W80" s="73"/>
      <c r="X80" s="73"/>
      <c r="Y80" s="489"/>
      <c r="Z80" s="73"/>
      <c r="AA80" s="73"/>
      <c r="AB80" s="73"/>
      <c r="AC80" s="489"/>
      <c r="AD80" s="73"/>
      <c r="AE80" s="73"/>
      <c r="AF80" s="73"/>
      <c r="AG80" s="489"/>
      <c r="AH80" s="73"/>
      <c r="AI80" s="73"/>
      <c r="AJ80" s="73"/>
      <c r="AK80" s="489"/>
      <c r="AL80" s="73"/>
      <c r="AM80" s="73"/>
      <c r="AN80" s="73"/>
      <c r="AO80" s="489"/>
      <c r="AP80" s="73"/>
      <c r="AQ80" s="73"/>
      <c r="AR80" s="73"/>
      <c r="AS80" s="489"/>
      <c r="AT80" s="73"/>
      <c r="AU80" s="73"/>
      <c r="AV80" s="73"/>
      <c r="AW80" s="73"/>
      <c r="AX80" s="73"/>
      <c r="AY80" s="73"/>
      <c r="AZ80" s="73"/>
      <c r="BA80" s="73"/>
    </row>
    <row r="81" spans="1:53" s="36" customFormat="1" ht="17.25" customHeight="1">
      <c r="A81" s="73"/>
      <c r="B81" s="73"/>
      <c r="C81" s="73"/>
      <c r="D81" s="73"/>
      <c r="E81" s="489"/>
      <c r="F81" s="73"/>
      <c r="G81" s="73"/>
      <c r="H81" s="73"/>
      <c r="I81" s="489"/>
      <c r="J81" s="73"/>
      <c r="K81" s="73"/>
      <c r="L81" s="73"/>
      <c r="M81" s="489"/>
      <c r="N81" s="73"/>
      <c r="O81" s="73"/>
      <c r="P81" s="73"/>
      <c r="Q81" s="489"/>
      <c r="R81" s="73"/>
      <c r="S81" s="73"/>
      <c r="T81" s="73"/>
      <c r="U81" s="489"/>
      <c r="V81" s="73"/>
      <c r="W81" s="73"/>
      <c r="X81" s="73"/>
      <c r="Y81" s="489"/>
      <c r="Z81" s="73"/>
      <c r="AA81" s="73"/>
      <c r="AB81" s="73"/>
      <c r="AC81" s="489"/>
      <c r="AD81" s="73"/>
      <c r="AE81" s="73"/>
      <c r="AF81" s="73"/>
      <c r="AG81" s="489"/>
      <c r="AH81" s="73"/>
      <c r="AI81" s="73"/>
      <c r="AJ81" s="73"/>
      <c r="AK81" s="489"/>
      <c r="AL81" s="73"/>
      <c r="AM81" s="73"/>
      <c r="AN81" s="73"/>
      <c r="AO81" s="489"/>
      <c r="AP81" s="73"/>
      <c r="AQ81" s="73"/>
      <c r="AR81" s="73"/>
      <c r="AS81" s="489"/>
      <c r="AT81" s="73"/>
      <c r="AU81" s="73"/>
      <c r="AV81" s="73"/>
      <c r="AW81" s="73"/>
      <c r="AX81" s="73"/>
      <c r="AY81" s="73"/>
      <c r="AZ81" s="73"/>
      <c r="BA81" s="73"/>
    </row>
    <row r="82" spans="1:53" s="36" customFormat="1" ht="12.75">
      <c r="A82" s="73"/>
      <c r="B82" s="73"/>
      <c r="C82" s="73"/>
      <c r="D82" s="73"/>
      <c r="E82" s="489"/>
      <c r="F82" s="73"/>
      <c r="G82" s="73"/>
      <c r="H82" s="73"/>
      <c r="I82" s="489"/>
      <c r="J82" s="73"/>
      <c r="K82" s="73"/>
      <c r="L82" s="73"/>
      <c r="M82" s="489"/>
      <c r="N82" s="73"/>
      <c r="O82" s="73"/>
      <c r="P82" s="73"/>
      <c r="Q82" s="489"/>
      <c r="R82" s="73"/>
      <c r="S82" s="73"/>
      <c r="T82" s="73"/>
      <c r="U82" s="489"/>
      <c r="V82" s="73"/>
      <c r="W82" s="73"/>
      <c r="X82" s="73"/>
      <c r="Y82" s="489"/>
      <c r="Z82" s="73"/>
      <c r="AA82" s="73"/>
      <c r="AB82" s="73"/>
      <c r="AC82" s="489"/>
      <c r="AD82" s="73"/>
      <c r="AE82" s="73"/>
      <c r="AF82" s="73"/>
      <c r="AG82" s="489"/>
      <c r="AH82" s="73"/>
      <c r="AI82" s="73"/>
      <c r="AJ82" s="73"/>
      <c r="AK82" s="489"/>
      <c r="AL82" s="73"/>
      <c r="AM82" s="73"/>
      <c r="AN82" s="73"/>
      <c r="AO82" s="489"/>
      <c r="AP82" s="73"/>
      <c r="AQ82" s="73"/>
      <c r="AR82" s="73"/>
      <c r="AS82" s="489"/>
      <c r="AT82" s="73"/>
      <c r="AU82" s="73"/>
      <c r="AV82" s="73"/>
      <c r="AW82" s="73"/>
      <c r="AX82" s="73"/>
      <c r="AY82" s="73"/>
      <c r="AZ82" s="73"/>
      <c r="BA82" s="73"/>
    </row>
    <row r="83" spans="1:53" s="36" customFormat="1" ht="17.25" customHeight="1">
      <c r="A83" s="73"/>
      <c r="B83" s="73"/>
      <c r="C83" s="73"/>
      <c r="D83" s="73"/>
      <c r="E83" s="489"/>
      <c r="F83" s="73"/>
      <c r="G83" s="73"/>
      <c r="H83" s="73"/>
      <c r="I83" s="489"/>
      <c r="J83" s="73"/>
      <c r="K83" s="73"/>
      <c r="L83" s="73"/>
      <c r="M83" s="489"/>
      <c r="N83" s="73"/>
      <c r="O83" s="73"/>
      <c r="P83" s="73"/>
      <c r="Q83" s="489"/>
      <c r="R83" s="73"/>
      <c r="S83" s="73"/>
      <c r="T83" s="73"/>
      <c r="U83" s="489"/>
      <c r="V83" s="73"/>
      <c r="W83" s="73"/>
      <c r="X83" s="73"/>
      <c r="Y83" s="489"/>
      <c r="Z83" s="73"/>
      <c r="AA83" s="73"/>
      <c r="AB83" s="73"/>
      <c r="AC83" s="489"/>
      <c r="AD83" s="73"/>
      <c r="AE83" s="73"/>
      <c r="AF83" s="73"/>
      <c r="AG83" s="489"/>
      <c r="AH83" s="73"/>
      <c r="AI83" s="73"/>
      <c r="AJ83" s="73"/>
      <c r="AK83" s="489"/>
      <c r="AL83" s="73"/>
      <c r="AM83" s="73"/>
      <c r="AN83" s="73"/>
      <c r="AO83" s="489"/>
      <c r="AP83" s="73"/>
      <c r="AQ83" s="73"/>
      <c r="AR83" s="73"/>
      <c r="AS83" s="489"/>
      <c r="AT83" s="73"/>
      <c r="AU83" s="73"/>
      <c r="AV83" s="73"/>
      <c r="AW83" s="73"/>
      <c r="AX83" s="73"/>
      <c r="AY83" s="73"/>
      <c r="AZ83" s="73"/>
      <c r="BA83" s="73"/>
    </row>
    <row r="84" spans="1:53" s="36" customFormat="1" ht="12.75">
      <c r="A84" s="73"/>
      <c r="B84" s="73"/>
      <c r="C84" s="73"/>
      <c r="D84" s="73"/>
      <c r="E84" s="489"/>
      <c r="F84" s="73"/>
      <c r="G84" s="73"/>
      <c r="H84" s="73"/>
      <c r="I84" s="489"/>
      <c r="J84" s="73"/>
      <c r="K84" s="73"/>
      <c r="L84" s="73"/>
      <c r="M84" s="489"/>
      <c r="N84" s="73"/>
      <c r="O84" s="73"/>
      <c r="P84" s="73"/>
      <c r="Q84" s="489"/>
      <c r="R84" s="73"/>
      <c r="S84" s="73"/>
      <c r="T84" s="73"/>
      <c r="U84" s="489"/>
      <c r="V84" s="73"/>
      <c r="W84" s="73"/>
      <c r="X84" s="73"/>
      <c r="Y84" s="489"/>
      <c r="Z84" s="73"/>
      <c r="AA84" s="73"/>
      <c r="AB84" s="73"/>
      <c r="AC84" s="489"/>
      <c r="AD84" s="73"/>
      <c r="AE84" s="73"/>
      <c r="AF84" s="73"/>
      <c r="AG84" s="489"/>
      <c r="AH84" s="73"/>
      <c r="AI84" s="73"/>
      <c r="AJ84" s="73"/>
      <c r="AK84" s="489"/>
      <c r="AL84" s="73"/>
      <c r="AM84" s="73"/>
      <c r="AN84" s="73"/>
      <c r="AO84" s="489"/>
      <c r="AP84" s="73"/>
      <c r="AQ84" s="73"/>
      <c r="AR84" s="73"/>
      <c r="AS84" s="489"/>
      <c r="AT84" s="73"/>
      <c r="AU84" s="73"/>
      <c r="AV84" s="73"/>
      <c r="AW84" s="73"/>
      <c r="AX84" s="73"/>
      <c r="AY84" s="73"/>
      <c r="AZ84" s="73"/>
      <c r="BA84" s="73"/>
    </row>
    <row r="85" spans="1:53" s="36" customFormat="1" ht="17.25" customHeight="1">
      <c r="A85" s="73"/>
      <c r="B85" s="73"/>
      <c r="C85" s="73"/>
      <c r="D85" s="73"/>
      <c r="E85" s="489"/>
      <c r="F85" s="73"/>
      <c r="G85" s="73"/>
      <c r="H85" s="73"/>
      <c r="I85" s="489"/>
      <c r="J85" s="73"/>
      <c r="K85" s="73"/>
      <c r="L85" s="73"/>
      <c r="M85" s="489"/>
      <c r="N85" s="73"/>
      <c r="O85" s="73"/>
      <c r="P85" s="73"/>
      <c r="Q85" s="489"/>
      <c r="R85" s="73"/>
      <c r="S85" s="73"/>
      <c r="T85" s="73"/>
      <c r="U85" s="489"/>
      <c r="V85" s="73"/>
      <c r="W85" s="73"/>
      <c r="X85" s="73"/>
      <c r="Y85" s="489"/>
      <c r="Z85" s="73"/>
      <c r="AA85" s="73"/>
      <c r="AB85" s="73"/>
      <c r="AC85" s="489"/>
      <c r="AD85" s="73"/>
      <c r="AE85" s="73"/>
      <c r="AF85" s="73"/>
      <c r="AG85" s="489"/>
      <c r="AH85" s="73"/>
      <c r="AI85" s="73"/>
      <c r="AJ85" s="73"/>
      <c r="AK85" s="489"/>
      <c r="AL85" s="73"/>
      <c r="AM85" s="73"/>
      <c r="AN85" s="73"/>
      <c r="AO85" s="489"/>
      <c r="AP85" s="73"/>
      <c r="AQ85" s="73"/>
      <c r="AR85" s="73"/>
      <c r="AS85" s="489"/>
      <c r="AT85" s="73"/>
      <c r="AU85" s="73"/>
      <c r="AV85" s="73"/>
      <c r="AW85" s="73"/>
      <c r="AX85" s="73"/>
      <c r="AY85" s="73"/>
      <c r="AZ85" s="73"/>
      <c r="BA85" s="73"/>
    </row>
    <row r="86" spans="1:53" s="36" customFormat="1" ht="12.75">
      <c r="A86" s="73"/>
      <c r="B86" s="73"/>
      <c r="C86" s="73"/>
      <c r="D86" s="73"/>
      <c r="E86" s="489"/>
      <c r="F86" s="73"/>
      <c r="G86" s="73"/>
      <c r="H86" s="73"/>
      <c r="I86" s="489"/>
      <c r="J86" s="73"/>
      <c r="K86" s="73"/>
      <c r="L86" s="73"/>
      <c r="M86" s="489"/>
      <c r="N86" s="73"/>
      <c r="O86" s="73"/>
      <c r="P86" s="73"/>
      <c r="Q86" s="489"/>
      <c r="R86" s="73"/>
      <c r="S86" s="73"/>
      <c r="T86" s="73"/>
      <c r="U86" s="489"/>
      <c r="V86" s="73"/>
      <c r="W86" s="73"/>
      <c r="X86" s="73"/>
      <c r="Y86" s="489"/>
      <c r="Z86" s="73"/>
      <c r="AA86" s="73"/>
      <c r="AB86" s="73"/>
      <c r="AC86" s="489"/>
      <c r="AD86" s="73"/>
      <c r="AE86" s="73"/>
      <c r="AF86" s="73"/>
      <c r="AG86" s="489"/>
      <c r="AH86" s="73"/>
      <c r="AI86" s="73"/>
      <c r="AJ86" s="73"/>
      <c r="AK86" s="489"/>
      <c r="AL86" s="73"/>
      <c r="AM86" s="73"/>
      <c r="AN86" s="73"/>
      <c r="AO86" s="489"/>
      <c r="AP86" s="73"/>
      <c r="AQ86" s="73"/>
      <c r="AR86" s="73"/>
      <c r="AS86" s="489"/>
      <c r="AT86" s="73"/>
      <c r="AU86" s="73"/>
      <c r="AV86" s="73"/>
      <c r="AW86" s="73"/>
      <c r="AX86" s="73"/>
      <c r="AY86" s="73"/>
      <c r="AZ86" s="73"/>
      <c r="BA86" s="73"/>
    </row>
    <row r="87" spans="1:53" s="36" customFormat="1" ht="17.25" customHeight="1">
      <c r="A87" s="73"/>
      <c r="B87" s="73"/>
      <c r="C87" s="73"/>
      <c r="D87" s="73"/>
      <c r="E87" s="489"/>
      <c r="F87" s="73"/>
      <c r="G87" s="73"/>
      <c r="H87" s="73"/>
      <c r="I87" s="489"/>
      <c r="J87" s="73"/>
      <c r="K87" s="73"/>
      <c r="L87" s="73"/>
      <c r="M87" s="489"/>
      <c r="N87" s="73"/>
      <c r="O87" s="73"/>
      <c r="P87" s="73"/>
      <c r="Q87" s="489"/>
      <c r="R87" s="73"/>
      <c r="S87" s="73"/>
      <c r="T87" s="73"/>
      <c r="U87" s="489"/>
      <c r="V87" s="73"/>
      <c r="W87" s="73"/>
      <c r="X87" s="73"/>
      <c r="Y87" s="489"/>
      <c r="Z87" s="73"/>
      <c r="AA87" s="73"/>
      <c r="AB87" s="73"/>
      <c r="AC87" s="489"/>
      <c r="AD87" s="73"/>
      <c r="AE87" s="73"/>
      <c r="AF87" s="73"/>
      <c r="AG87" s="489"/>
      <c r="AH87" s="73"/>
      <c r="AI87" s="73"/>
      <c r="AJ87" s="73"/>
      <c r="AK87" s="489"/>
      <c r="AL87" s="73"/>
      <c r="AM87" s="73"/>
      <c r="AN87" s="73"/>
      <c r="AO87" s="489"/>
      <c r="AP87" s="73"/>
      <c r="AQ87" s="73"/>
      <c r="AR87" s="73"/>
      <c r="AS87" s="489"/>
      <c r="AT87" s="73"/>
      <c r="AU87" s="73"/>
      <c r="AV87" s="73"/>
      <c r="AW87" s="73"/>
      <c r="AX87" s="73"/>
      <c r="AY87" s="73"/>
      <c r="AZ87" s="73"/>
      <c r="BA87" s="73"/>
    </row>
    <row r="88" spans="1:53" s="36" customFormat="1" ht="12.75">
      <c r="E88" s="480"/>
      <c r="I88" s="480"/>
      <c r="M88" s="480"/>
      <c r="Q88" s="480"/>
      <c r="U88" s="480"/>
      <c r="Y88" s="480"/>
      <c r="AC88" s="480"/>
      <c r="AG88" s="480"/>
      <c r="AK88" s="480"/>
      <c r="AO88" s="480"/>
      <c r="AS88" s="480"/>
    </row>
    <row r="89" spans="1:53" s="36" customFormat="1" ht="17.25" customHeight="1">
      <c r="E89" s="480"/>
      <c r="I89" s="480"/>
      <c r="M89" s="480"/>
      <c r="Q89" s="480"/>
      <c r="U89" s="480"/>
      <c r="Y89" s="480"/>
      <c r="AC89" s="480"/>
      <c r="AG89" s="480"/>
      <c r="AK89" s="480"/>
      <c r="AO89" s="480"/>
      <c r="AS89" s="480"/>
    </row>
    <row r="90" spans="1:53" s="36" customFormat="1" ht="12.75">
      <c r="E90" s="480"/>
      <c r="I90" s="480"/>
      <c r="M90" s="480"/>
      <c r="Q90" s="480"/>
      <c r="U90" s="480"/>
      <c r="Y90" s="480"/>
      <c r="AC90" s="480"/>
      <c r="AG90" s="480"/>
      <c r="AK90" s="480"/>
      <c r="AO90" s="480"/>
      <c r="AS90" s="480"/>
    </row>
    <row r="91" spans="1:53" s="36" customFormat="1" ht="17.25" customHeight="1">
      <c r="E91" s="480"/>
      <c r="I91" s="480"/>
      <c r="M91" s="480"/>
      <c r="Q91" s="480"/>
      <c r="U91" s="480"/>
      <c r="Y91" s="480"/>
      <c r="AC91" s="480"/>
      <c r="AG91" s="480"/>
      <c r="AK91" s="480"/>
      <c r="AO91" s="480"/>
      <c r="AS91" s="480"/>
    </row>
    <row r="92" spans="1:53" s="36" customFormat="1" ht="12.75">
      <c r="E92" s="480"/>
      <c r="I92" s="480"/>
      <c r="M92" s="480"/>
      <c r="Q92" s="480"/>
      <c r="U92" s="480"/>
      <c r="Y92" s="480"/>
      <c r="AC92" s="480"/>
      <c r="AG92" s="480"/>
      <c r="AK92" s="480"/>
      <c r="AO92" s="480"/>
      <c r="AS92" s="480"/>
    </row>
    <row r="93" spans="1:53" s="36" customFormat="1" ht="17.25" customHeight="1">
      <c r="E93" s="480"/>
      <c r="I93" s="480"/>
      <c r="M93" s="480"/>
      <c r="Q93" s="480"/>
      <c r="U93" s="480"/>
      <c r="Y93" s="480"/>
      <c r="AC93" s="480"/>
      <c r="AG93" s="480"/>
      <c r="AK93" s="480"/>
      <c r="AO93" s="480"/>
      <c r="AS93" s="480"/>
    </row>
    <row r="94" spans="1:53" s="36" customFormat="1" ht="12.75">
      <c r="E94" s="480"/>
      <c r="I94" s="480"/>
      <c r="M94" s="480"/>
      <c r="Q94" s="480"/>
      <c r="U94" s="480"/>
      <c r="Y94" s="480"/>
      <c r="AC94" s="480"/>
      <c r="AG94" s="480"/>
      <c r="AK94" s="480"/>
      <c r="AO94" s="480"/>
      <c r="AS94" s="480"/>
    </row>
    <row r="95" spans="1:53" s="36" customFormat="1" ht="17.25" customHeight="1">
      <c r="E95" s="480"/>
      <c r="I95" s="480"/>
      <c r="M95" s="480"/>
      <c r="Q95" s="480"/>
      <c r="U95" s="480"/>
      <c r="Y95" s="480"/>
      <c r="AC95" s="480"/>
      <c r="AG95" s="480"/>
      <c r="AK95" s="480"/>
      <c r="AO95" s="480"/>
      <c r="AS95" s="480"/>
    </row>
    <row r="96" spans="1:53" s="36" customFormat="1" ht="12.75">
      <c r="E96" s="480"/>
      <c r="I96" s="480"/>
      <c r="M96" s="480"/>
      <c r="Q96" s="480"/>
      <c r="U96" s="480"/>
      <c r="Y96" s="480"/>
      <c r="AC96" s="480"/>
      <c r="AG96" s="480"/>
      <c r="AK96" s="480"/>
      <c r="AO96" s="480"/>
      <c r="AS96" s="480"/>
    </row>
    <row r="97" spans="5:45" s="36" customFormat="1" ht="17.25" customHeight="1">
      <c r="E97" s="480"/>
      <c r="I97" s="480"/>
      <c r="M97" s="480"/>
      <c r="Q97" s="480"/>
      <c r="U97" s="480"/>
      <c r="Y97" s="480"/>
      <c r="AC97" s="480"/>
      <c r="AG97" s="480"/>
      <c r="AK97" s="480"/>
      <c r="AO97" s="480"/>
      <c r="AS97" s="480"/>
    </row>
    <row r="98" spans="5:45" s="36" customFormat="1" ht="12.75">
      <c r="E98" s="480"/>
      <c r="I98" s="480"/>
      <c r="M98" s="480"/>
      <c r="Q98" s="480"/>
      <c r="U98" s="480"/>
      <c r="Y98" s="480"/>
      <c r="AC98" s="480"/>
      <c r="AG98" s="480"/>
      <c r="AK98" s="480"/>
      <c r="AO98" s="480"/>
      <c r="AS98" s="480"/>
    </row>
    <row r="99" spans="5:45" s="36" customFormat="1" ht="17.25" customHeight="1">
      <c r="E99" s="480"/>
      <c r="I99" s="480"/>
      <c r="M99" s="480"/>
      <c r="Q99" s="480"/>
      <c r="U99" s="480"/>
      <c r="Y99" s="480"/>
      <c r="AC99" s="480"/>
      <c r="AG99" s="480"/>
      <c r="AK99" s="480"/>
      <c r="AO99" s="480"/>
      <c r="AS99" s="480"/>
    </row>
    <row r="100" spans="5:45" s="36" customFormat="1" ht="12.75">
      <c r="E100" s="480"/>
      <c r="I100" s="480"/>
      <c r="M100" s="480"/>
      <c r="Q100" s="480"/>
      <c r="U100" s="480"/>
      <c r="Y100" s="480"/>
      <c r="AC100" s="480"/>
      <c r="AG100" s="480"/>
      <c r="AK100" s="480"/>
      <c r="AO100" s="480"/>
      <c r="AS100" s="480"/>
    </row>
    <row r="101" spans="5:45" s="36" customFormat="1" ht="17.25" customHeight="1">
      <c r="E101" s="480"/>
      <c r="I101" s="480"/>
      <c r="M101" s="480"/>
      <c r="Q101" s="480"/>
      <c r="U101" s="480"/>
      <c r="Y101" s="480"/>
      <c r="AC101" s="480"/>
      <c r="AG101" s="480"/>
      <c r="AK101" s="480"/>
      <c r="AO101" s="480"/>
      <c r="AS101" s="480"/>
    </row>
    <row r="102" spans="5:45" s="36" customFormat="1" ht="12.75">
      <c r="E102" s="480"/>
      <c r="I102" s="480"/>
      <c r="M102" s="480"/>
      <c r="Q102" s="480"/>
      <c r="U102" s="480"/>
      <c r="Y102" s="480"/>
      <c r="AC102" s="480"/>
      <c r="AG102" s="480"/>
      <c r="AK102" s="480"/>
      <c r="AO102" s="480"/>
      <c r="AS102" s="480"/>
    </row>
    <row r="103" spans="5:45" s="36" customFormat="1" ht="17.25" customHeight="1">
      <c r="E103" s="480"/>
      <c r="I103" s="480"/>
      <c r="M103" s="480"/>
      <c r="Q103" s="480"/>
      <c r="U103" s="480"/>
      <c r="Y103" s="480"/>
      <c r="AC103" s="480"/>
      <c r="AG103" s="480"/>
      <c r="AK103" s="480"/>
      <c r="AO103" s="480"/>
      <c r="AS103" s="480"/>
    </row>
    <row r="104" spans="5:45" s="36" customFormat="1" ht="12.75">
      <c r="E104" s="480"/>
      <c r="I104" s="480"/>
      <c r="M104" s="480"/>
      <c r="Q104" s="480"/>
      <c r="U104" s="480"/>
      <c r="Y104" s="480"/>
      <c r="AC104" s="480"/>
      <c r="AG104" s="480"/>
      <c r="AK104" s="480"/>
      <c r="AO104" s="480"/>
      <c r="AS104" s="480"/>
    </row>
    <row r="105" spans="5:45" s="36" customFormat="1" ht="17.25" customHeight="1">
      <c r="E105" s="480"/>
      <c r="I105" s="480"/>
      <c r="M105" s="480"/>
      <c r="Q105" s="480"/>
      <c r="U105" s="480"/>
      <c r="Y105" s="480"/>
      <c r="AC105" s="480"/>
      <c r="AG105" s="480"/>
      <c r="AK105" s="480"/>
      <c r="AO105" s="480"/>
      <c r="AS105" s="480"/>
    </row>
    <row r="106" spans="5:45" s="36" customFormat="1" ht="12.75">
      <c r="E106" s="480"/>
      <c r="I106" s="480"/>
      <c r="M106" s="480"/>
      <c r="Q106" s="480"/>
      <c r="U106" s="480"/>
      <c r="Y106" s="480"/>
      <c r="AC106" s="480"/>
      <c r="AG106" s="480"/>
      <c r="AK106" s="480"/>
      <c r="AO106" s="480"/>
      <c r="AS106" s="480"/>
    </row>
    <row r="107" spans="5:45" s="36" customFormat="1" ht="17.25" customHeight="1">
      <c r="E107" s="480"/>
      <c r="I107" s="480"/>
      <c r="M107" s="480"/>
      <c r="Q107" s="480"/>
      <c r="U107" s="480"/>
      <c r="Y107" s="480"/>
      <c r="AC107" s="480"/>
      <c r="AG107" s="480"/>
      <c r="AK107" s="480"/>
      <c r="AO107" s="480"/>
      <c r="AS107" s="480"/>
    </row>
    <row r="108" spans="5:45" s="36" customFormat="1" ht="12.75">
      <c r="E108" s="480"/>
      <c r="I108" s="480"/>
      <c r="M108" s="480"/>
      <c r="Q108" s="480"/>
      <c r="U108" s="480"/>
      <c r="Y108" s="480"/>
      <c r="AC108" s="480"/>
      <c r="AG108" s="480"/>
      <c r="AK108" s="480"/>
      <c r="AO108" s="480"/>
      <c r="AS108" s="480"/>
    </row>
    <row r="109" spans="5:45" s="36" customFormat="1" ht="17.25" customHeight="1">
      <c r="E109" s="480"/>
      <c r="I109" s="480"/>
      <c r="M109" s="480"/>
      <c r="Q109" s="480"/>
      <c r="U109" s="480"/>
      <c r="Y109" s="480"/>
      <c r="AC109" s="480"/>
      <c r="AG109" s="480"/>
      <c r="AK109" s="480"/>
      <c r="AO109" s="480"/>
      <c r="AS109" s="480"/>
    </row>
    <row r="110" spans="5:45" s="36" customFormat="1" ht="12.75">
      <c r="E110" s="480"/>
      <c r="I110" s="480"/>
      <c r="M110" s="480"/>
      <c r="Q110" s="480"/>
      <c r="U110" s="480"/>
      <c r="Y110" s="480"/>
      <c r="AC110" s="480"/>
      <c r="AG110" s="480"/>
      <c r="AK110" s="480"/>
      <c r="AO110" s="480"/>
      <c r="AS110" s="480"/>
    </row>
    <row r="111" spans="5:45" s="36" customFormat="1" ht="17.25" customHeight="1">
      <c r="E111" s="480"/>
      <c r="I111" s="480"/>
      <c r="M111" s="480"/>
      <c r="Q111" s="480"/>
      <c r="U111" s="480"/>
      <c r="Y111" s="480"/>
      <c r="AC111" s="480"/>
      <c r="AG111" s="480"/>
      <c r="AK111" s="480"/>
      <c r="AO111" s="480"/>
      <c r="AS111" s="480"/>
    </row>
    <row r="112" spans="5:45" s="36" customFormat="1" ht="12.75">
      <c r="E112" s="480"/>
      <c r="I112" s="480"/>
      <c r="M112" s="480"/>
      <c r="Q112" s="480"/>
      <c r="U112" s="480"/>
      <c r="Y112" s="480"/>
      <c r="AC112" s="480"/>
      <c r="AG112" s="480"/>
      <c r="AK112" s="480"/>
      <c r="AO112" s="480"/>
      <c r="AS112" s="480"/>
    </row>
    <row r="113" spans="5:45" s="36" customFormat="1" ht="17.25" customHeight="1">
      <c r="E113" s="480"/>
      <c r="I113" s="480"/>
      <c r="M113" s="480"/>
      <c r="Q113" s="480"/>
      <c r="U113" s="480"/>
      <c r="Y113" s="480"/>
      <c r="AC113" s="480"/>
      <c r="AG113" s="480"/>
      <c r="AK113" s="480"/>
      <c r="AO113" s="480"/>
      <c r="AS113" s="480"/>
    </row>
    <row r="114" spans="5:45" s="36" customFormat="1" ht="12.75">
      <c r="E114" s="480"/>
      <c r="I114" s="480"/>
      <c r="M114" s="480"/>
      <c r="Q114" s="480"/>
      <c r="U114" s="480"/>
      <c r="Y114" s="480"/>
      <c r="AC114" s="480"/>
      <c r="AG114" s="480"/>
      <c r="AK114" s="480"/>
      <c r="AO114" s="480"/>
      <c r="AS114" s="480"/>
    </row>
    <row r="115" spans="5:45" s="36" customFormat="1" ht="17.25" customHeight="1">
      <c r="E115" s="480"/>
      <c r="I115" s="480"/>
      <c r="M115" s="480"/>
      <c r="Q115" s="480"/>
      <c r="U115" s="480"/>
      <c r="Y115" s="480"/>
      <c r="AC115" s="480"/>
      <c r="AG115" s="480"/>
      <c r="AK115" s="480"/>
      <c r="AO115" s="480"/>
      <c r="AS115" s="480"/>
    </row>
    <row r="116" spans="5:45" s="36" customFormat="1" ht="12.75">
      <c r="E116" s="480"/>
      <c r="I116" s="480"/>
      <c r="M116" s="480"/>
      <c r="Q116" s="480"/>
      <c r="U116" s="480"/>
      <c r="Y116" s="480"/>
      <c r="AC116" s="480"/>
      <c r="AG116" s="480"/>
      <c r="AK116" s="480"/>
      <c r="AO116" s="480"/>
      <c r="AS116" s="480"/>
    </row>
    <row r="117" spans="5:45" s="36" customFormat="1" ht="17.25" customHeight="1">
      <c r="E117" s="480"/>
      <c r="I117" s="480"/>
      <c r="M117" s="480"/>
      <c r="Q117" s="480"/>
      <c r="U117" s="480"/>
      <c r="Y117" s="480"/>
      <c r="AC117" s="480"/>
      <c r="AG117" s="480"/>
      <c r="AK117" s="480"/>
      <c r="AO117" s="480"/>
      <c r="AS117" s="480"/>
    </row>
    <row r="118" spans="5:45" s="36" customFormat="1" ht="12.75">
      <c r="E118" s="480"/>
      <c r="I118" s="480"/>
      <c r="M118" s="480"/>
      <c r="Q118" s="480"/>
      <c r="U118" s="480"/>
      <c r="Y118" s="480"/>
      <c r="AC118" s="480"/>
      <c r="AG118" s="480"/>
      <c r="AK118" s="480"/>
      <c r="AO118" s="480"/>
      <c r="AS118" s="480"/>
    </row>
    <row r="119" spans="5:45" s="36" customFormat="1" ht="17.25" customHeight="1">
      <c r="E119" s="480"/>
      <c r="I119" s="480"/>
      <c r="M119" s="480"/>
      <c r="Q119" s="480"/>
      <c r="U119" s="480"/>
      <c r="Y119" s="480"/>
      <c r="AC119" s="480"/>
      <c r="AG119" s="480"/>
      <c r="AK119" s="480"/>
      <c r="AO119" s="480"/>
      <c r="AS119" s="480"/>
    </row>
    <row r="120" spans="5:45" s="36" customFormat="1" ht="12.75">
      <c r="E120" s="480"/>
      <c r="I120" s="480"/>
      <c r="M120" s="480"/>
      <c r="Q120" s="480"/>
      <c r="U120" s="480"/>
      <c r="Y120" s="480"/>
      <c r="AC120" s="480"/>
      <c r="AG120" s="480"/>
      <c r="AK120" s="480"/>
      <c r="AO120" s="480"/>
      <c r="AS120" s="480"/>
    </row>
    <row r="121" spans="5:45" s="36" customFormat="1" ht="17.25" customHeight="1">
      <c r="E121" s="480"/>
      <c r="I121" s="480"/>
      <c r="M121" s="480"/>
      <c r="Q121" s="480"/>
      <c r="U121" s="480"/>
      <c r="Y121" s="480"/>
      <c r="AC121" s="480"/>
      <c r="AG121" s="480"/>
      <c r="AK121" s="480"/>
      <c r="AO121" s="480"/>
      <c r="AS121" s="480"/>
    </row>
    <row r="122" spans="5:45" s="36" customFormat="1" ht="12.75">
      <c r="E122" s="480"/>
      <c r="I122" s="480"/>
      <c r="M122" s="480"/>
      <c r="Q122" s="480"/>
      <c r="U122" s="480"/>
      <c r="Y122" s="480"/>
      <c r="AC122" s="480"/>
      <c r="AG122" s="480"/>
      <c r="AK122" s="480"/>
      <c r="AO122" s="480"/>
      <c r="AS122" s="480"/>
    </row>
    <row r="123" spans="5:45" s="36" customFormat="1" ht="17.25" customHeight="1">
      <c r="E123" s="480"/>
      <c r="I123" s="480"/>
      <c r="M123" s="480"/>
      <c r="Q123" s="480"/>
      <c r="U123" s="480"/>
      <c r="Y123" s="480"/>
      <c r="AC123" s="480"/>
      <c r="AG123" s="480"/>
      <c r="AK123" s="480"/>
      <c r="AO123" s="480"/>
      <c r="AS123" s="480"/>
    </row>
    <row r="124" spans="5:45" s="36" customFormat="1" ht="12.75">
      <c r="E124" s="480"/>
      <c r="I124" s="480"/>
      <c r="M124" s="480"/>
      <c r="Q124" s="480"/>
      <c r="U124" s="480"/>
      <c r="Y124" s="480"/>
      <c r="AC124" s="480"/>
      <c r="AG124" s="480"/>
      <c r="AK124" s="480"/>
      <c r="AO124" s="480"/>
      <c r="AS124" s="480"/>
    </row>
    <row r="125" spans="5:45" s="36" customFormat="1" ht="17.25" customHeight="1">
      <c r="E125" s="480"/>
      <c r="I125" s="480"/>
      <c r="M125" s="480"/>
      <c r="Q125" s="480"/>
      <c r="U125" s="480"/>
      <c r="Y125" s="480"/>
      <c r="AC125" s="480"/>
      <c r="AG125" s="480"/>
      <c r="AK125" s="480"/>
      <c r="AO125" s="480"/>
      <c r="AS125" s="480"/>
    </row>
    <row r="126" spans="5:45" s="36" customFormat="1" ht="12.75">
      <c r="E126" s="480"/>
      <c r="I126" s="480"/>
      <c r="M126" s="480"/>
      <c r="Q126" s="480"/>
      <c r="U126" s="480"/>
      <c r="Y126" s="480"/>
      <c r="AC126" s="480"/>
      <c r="AG126" s="480"/>
      <c r="AK126" s="480"/>
      <c r="AO126" s="480"/>
      <c r="AS126" s="480"/>
    </row>
    <row r="127" spans="5:45" s="36" customFormat="1" ht="17.25" customHeight="1">
      <c r="E127" s="480"/>
      <c r="I127" s="480"/>
      <c r="M127" s="480"/>
      <c r="Q127" s="480"/>
      <c r="U127" s="480"/>
      <c r="Y127" s="480"/>
      <c r="AC127" s="480"/>
      <c r="AG127" s="480"/>
      <c r="AK127" s="480"/>
      <c r="AO127" s="480"/>
      <c r="AS127" s="480"/>
    </row>
    <row r="128" spans="5:45" s="36" customFormat="1" ht="12.75">
      <c r="E128" s="480"/>
      <c r="I128" s="480"/>
      <c r="M128" s="480"/>
      <c r="Q128" s="480"/>
      <c r="U128" s="480"/>
      <c r="Y128" s="480"/>
      <c r="AC128" s="480"/>
      <c r="AG128" s="480"/>
      <c r="AK128" s="480"/>
      <c r="AO128" s="480"/>
      <c r="AS128" s="480"/>
    </row>
    <row r="129" spans="5:45" s="36" customFormat="1" ht="17.25" customHeight="1">
      <c r="E129" s="480"/>
      <c r="I129" s="480"/>
      <c r="M129" s="480"/>
      <c r="Q129" s="480"/>
      <c r="U129" s="480"/>
      <c r="Y129" s="480"/>
      <c r="AC129" s="480"/>
      <c r="AG129" s="480"/>
      <c r="AK129" s="480"/>
      <c r="AO129" s="480"/>
      <c r="AS129" s="480"/>
    </row>
    <row r="130" spans="5:45" s="36" customFormat="1" ht="12.75">
      <c r="E130" s="480"/>
      <c r="I130" s="480"/>
      <c r="M130" s="480"/>
      <c r="Q130" s="480"/>
      <c r="U130" s="480"/>
      <c r="Y130" s="480"/>
      <c r="AC130" s="480"/>
      <c r="AG130" s="480"/>
      <c r="AK130" s="480"/>
      <c r="AO130" s="480"/>
      <c r="AS130" s="480"/>
    </row>
    <row r="131" spans="5:45" s="36" customFormat="1" ht="17.25" customHeight="1">
      <c r="E131" s="480"/>
      <c r="I131" s="480"/>
      <c r="M131" s="480"/>
      <c r="Q131" s="480"/>
      <c r="U131" s="480"/>
      <c r="Y131" s="480"/>
      <c r="AC131" s="480"/>
      <c r="AG131" s="480"/>
      <c r="AK131" s="480"/>
      <c r="AO131" s="480"/>
      <c r="AS131" s="480"/>
    </row>
    <row r="132" spans="5:45" s="36" customFormat="1" ht="12.75">
      <c r="E132" s="480"/>
      <c r="I132" s="480"/>
      <c r="M132" s="480"/>
      <c r="Q132" s="480"/>
      <c r="U132" s="480"/>
      <c r="Y132" s="480"/>
      <c r="AC132" s="480"/>
      <c r="AG132" s="480"/>
      <c r="AK132" s="480"/>
      <c r="AO132" s="480"/>
      <c r="AS132" s="480"/>
    </row>
    <row r="133" spans="5:45" s="36" customFormat="1" ht="17.25" customHeight="1">
      <c r="E133" s="480"/>
      <c r="I133" s="480"/>
      <c r="M133" s="480"/>
      <c r="Q133" s="480"/>
      <c r="U133" s="480"/>
      <c r="Y133" s="480"/>
      <c r="AC133" s="480"/>
      <c r="AG133" s="480"/>
      <c r="AK133" s="480"/>
      <c r="AO133" s="480"/>
      <c r="AS133" s="480"/>
    </row>
    <row r="134" spans="5:45" s="36" customFormat="1" ht="12.75">
      <c r="E134" s="480"/>
      <c r="I134" s="480"/>
      <c r="M134" s="480"/>
      <c r="Q134" s="480"/>
      <c r="U134" s="480"/>
      <c r="Y134" s="480"/>
      <c r="AC134" s="480"/>
      <c r="AG134" s="480"/>
      <c r="AK134" s="480"/>
      <c r="AO134" s="480"/>
      <c r="AS134" s="480"/>
    </row>
    <row r="135" spans="5:45" s="36" customFormat="1" ht="17.25" customHeight="1">
      <c r="E135" s="480"/>
      <c r="I135" s="480"/>
      <c r="M135" s="480"/>
      <c r="Q135" s="480"/>
      <c r="U135" s="480"/>
      <c r="Y135" s="480"/>
      <c r="AC135" s="480"/>
      <c r="AG135" s="480"/>
      <c r="AK135" s="480"/>
      <c r="AO135" s="480"/>
      <c r="AS135" s="480"/>
    </row>
    <row r="136" spans="5:45" s="36" customFormat="1" ht="12.75">
      <c r="E136" s="480"/>
      <c r="I136" s="480"/>
      <c r="M136" s="480"/>
      <c r="Q136" s="480"/>
      <c r="U136" s="480"/>
      <c r="Y136" s="480"/>
      <c r="AC136" s="480"/>
      <c r="AG136" s="480"/>
      <c r="AK136" s="480"/>
      <c r="AO136" s="480"/>
      <c r="AS136" s="480"/>
    </row>
    <row r="137" spans="5:45" s="36" customFormat="1" ht="17.25" customHeight="1">
      <c r="E137" s="480"/>
      <c r="I137" s="480"/>
      <c r="M137" s="480"/>
      <c r="Q137" s="480"/>
      <c r="U137" s="480"/>
      <c r="Y137" s="480"/>
      <c r="AC137" s="480"/>
      <c r="AG137" s="480"/>
      <c r="AK137" s="480"/>
      <c r="AO137" s="480"/>
      <c r="AS137" s="480"/>
    </row>
    <row r="138" spans="5:45" s="36" customFormat="1" ht="12.75">
      <c r="E138" s="480"/>
      <c r="I138" s="480"/>
      <c r="M138" s="480"/>
      <c r="Q138" s="480"/>
      <c r="U138" s="480"/>
      <c r="Y138" s="480"/>
      <c r="AC138" s="480"/>
      <c r="AG138" s="480"/>
      <c r="AK138" s="480"/>
      <c r="AO138" s="480"/>
      <c r="AS138" s="480"/>
    </row>
    <row r="139" spans="5:45" s="36" customFormat="1" ht="17.25" customHeight="1">
      <c r="E139" s="480"/>
      <c r="I139" s="480"/>
      <c r="M139" s="480"/>
      <c r="Q139" s="480"/>
      <c r="U139" s="480"/>
      <c r="Y139" s="480"/>
      <c r="AC139" s="480"/>
      <c r="AG139" s="480"/>
      <c r="AK139" s="480"/>
      <c r="AO139" s="480"/>
      <c r="AS139" s="480"/>
    </row>
    <row r="140" spans="5:45" s="36" customFormat="1" ht="12.75">
      <c r="E140" s="480"/>
      <c r="I140" s="480"/>
      <c r="M140" s="480"/>
      <c r="Q140" s="480"/>
      <c r="U140" s="480"/>
      <c r="Y140" s="480"/>
      <c r="AC140" s="480"/>
      <c r="AG140" s="480"/>
      <c r="AK140" s="480"/>
      <c r="AO140" s="480"/>
      <c r="AS140" s="480"/>
    </row>
  </sheetData>
  <mergeCells count="25">
    <mergeCell ref="AL10:AO10"/>
    <mergeCell ref="AP10:AS10"/>
    <mergeCell ref="F8:I10"/>
    <mergeCell ref="J8:M10"/>
    <mergeCell ref="V8:Y10"/>
    <mergeCell ref="Z8:AC10"/>
    <mergeCell ref="AD8:AG10"/>
    <mergeCell ref="N8:Q10"/>
    <mergeCell ref="R8:U10"/>
    <mergeCell ref="A4:Y4"/>
    <mergeCell ref="Z4:AS4"/>
    <mergeCell ref="AL6:AP6"/>
    <mergeCell ref="A7:A11"/>
    <mergeCell ref="B7:E7"/>
    <mergeCell ref="F7:I7"/>
    <mergeCell ref="J7:M7"/>
    <mergeCell ref="N7:Q7"/>
    <mergeCell ref="R7:U7"/>
    <mergeCell ref="V7:Y7"/>
    <mergeCell ref="Z7:AC7"/>
    <mergeCell ref="AD7:AG7"/>
    <mergeCell ref="AH7:AS7"/>
    <mergeCell ref="B8:E10"/>
    <mergeCell ref="AH8:AS9"/>
    <mergeCell ref="AH10:AK10"/>
  </mergeCells>
  <pageMargins left="0.70866141732283472" right="0.70866141732283472" top="0.55118110236220474" bottom="0.74803149606299213" header="0.31496062992125984" footer="0.31496062992125984"/>
  <pageSetup paperSize="9" scale="36" orientation="landscape" horizontalDpi="300" verticalDpi="300" r:id="rId1"/>
  <colBreaks count="1" manualBreakCount="1">
    <brk id="25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8</vt:i4>
      </vt:variant>
    </vt:vector>
  </HeadingPairs>
  <TitlesOfParts>
    <vt:vector size="16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'1.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samari</cp:lastModifiedBy>
  <cp:lastPrinted>2017-09-07T07:23:57Z</cp:lastPrinted>
  <dcterms:created xsi:type="dcterms:W3CDTF">2016-01-13T14:03:35Z</dcterms:created>
  <dcterms:modified xsi:type="dcterms:W3CDTF">2017-09-29T07:19:06Z</dcterms:modified>
</cp:coreProperties>
</file>