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 firstSheet="13" activeTab="11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3" r:id="rId11"/>
    <sheet name="12. sz. melléklet" sheetId="14" r:id="rId12"/>
    <sheet name="13. sz. melléklet" sheetId="11" r:id="rId13"/>
    <sheet name="14. sz. melléklet" sheetId="15" r:id="rId14"/>
    <sheet name="15. sz. melléklet" sheetId="16" r:id="rId15"/>
    <sheet name="16. sz. melléklet" sheetId="17" r:id="rId16"/>
    <sheet name="17. sz. melléklet" sheetId="18" r:id="rId17"/>
    <sheet name="18. sz. melléklet" sheetId="12" r:id="rId18"/>
  </sheets>
  <definedNames>
    <definedName name="_xlnm.Print_Area" localSheetId="0">'1. sz. melléklet'!$A$1:$E$34</definedName>
    <definedName name="_xlnm.Print_Area" localSheetId="9">'10. sz. melléklet'!$A$1:$AX$19</definedName>
    <definedName name="_xlnm.Print_Area" localSheetId="10">'11. sz. melléklet'!$A$1:$F$195</definedName>
    <definedName name="_xlnm.Print_Area" localSheetId="11">'12. sz. melléklet'!$A$1:$F$272</definedName>
    <definedName name="_xlnm.Print_Area" localSheetId="12">'13. sz. melléklet'!$A$1:$AS$39</definedName>
    <definedName name="_xlnm.Print_Area" localSheetId="13">'14. sz. melléklet'!$A$1:$Z$17</definedName>
    <definedName name="_xlnm.Print_Area" localSheetId="14">'15. sz. melléklet'!$A$1:$F$28</definedName>
    <definedName name="_xlnm.Print_Area" localSheetId="17">'18. sz. melléklet'!$A$1:$V$38</definedName>
    <definedName name="_xlnm.Print_Area" localSheetId="1">'2. sz. melléklet'!$A$1:$D$38</definedName>
    <definedName name="_xlnm.Print_Area" localSheetId="2">'3. sz. melléklet'!$A$1:$E$113</definedName>
    <definedName name="_xlnm.Print_Area" localSheetId="3">'4. sz. melléklet'!$A$1:$D$217</definedName>
    <definedName name="_xlnm.Print_Area" localSheetId="4">'5. sz. melléklet'!$A$1:$B$16</definedName>
    <definedName name="_xlnm.Print_Area" localSheetId="7">'8. sz. melléklet'!$A$1:$BC$61</definedName>
    <definedName name="_xlnm.Print_Area" localSheetId="8">'9. sz. melléklet'!$A$1:$AY$39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4"/>
  <c r="C112"/>
  <c r="D126"/>
  <c r="C126"/>
  <c r="D114"/>
  <c r="C114"/>
  <c r="D30"/>
  <c r="C30"/>
  <c r="D131"/>
  <c r="D132" s="1"/>
  <c r="D216"/>
  <c r="D211"/>
  <c r="D207"/>
  <c r="D203"/>
  <c r="D196"/>
  <c r="D200" s="1"/>
  <c r="D191"/>
  <c r="D188"/>
  <c r="D185"/>
  <c r="D183"/>
  <c r="D180"/>
  <c r="D171"/>
  <c r="D181" s="1"/>
  <c r="D159"/>
  <c r="D140"/>
  <c r="D138"/>
  <c r="D135"/>
  <c r="C127" l="1"/>
  <c r="D212"/>
  <c r="D217" s="1"/>
  <c r="D127"/>
  <c r="D192" s="1"/>
  <c r="D141"/>
  <c r="F230" i="14"/>
  <c r="F195" i="13"/>
  <c r="F158"/>
  <c r="F94"/>
  <c r="BC55" i="8"/>
  <c r="BC56"/>
  <c r="BC54"/>
  <c r="BC47"/>
  <c r="BC35"/>
  <c r="F114" i="6"/>
  <c r="F113"/>
  <c r="R36" i="12" l="1"/>
  <c r="E113" i="6"/>
  <c r="D113"/>
  <c r="AY49" i="8"/>
  <c r="AY51"/>
  <c r="AY52"/>
  <c r="AY53"/>
  <c r="AY54"/>
  <c r="AY55"/>
  <c r="AY56"/>
  <c r="AY57"/>
  <c r="AY47"/>
  <c r="AU15"/>
  <c r="AU16"/>
  <c r="AU17"/>
  <c r="AU18"/>
  <c r="AU19"/>
  <c r="AU20"/>
  <c r="AU21"/>
  <c r="AU22"/>
  <c r="AU23"/>
  <c r="AU24"/>
  <c r="AU25"/>
  <c r="AU28"/>
  <c r="AU14"/>
  <c r="BC34"/>
  <c r="BC28"/>
  <c r="BC27"/>
  <c r="BC26"/>
  <c r="BC25"/>
  <c r="AR33"/>
  <c r="AS33"/>
  <c r="AT33"/>
  <c r="AT35" s="1"/>
  <c r="AV33"/>
  <c r="AW33"/>
  <c r="AX33"/>
  <c r="AZ33"/>
  <c r="BA33"/>
  <c r="BB33"/>
  <c r="BB35" s="1"/>
  <c r="BB61" s="1"/>
  <c r="F270" i="14"/>
  <c r="U35" i="12"/>
  <c r="U37" s="1"/>
  <c r="AK18" i="10"/>
  <c r="AI18"/>
  <c r="S35" i="12" s="1"/>
  <c r="S37" s="1"/>
  <c r="E219" i="14"/>
  <c r="E139"/>
  <c r="F149"/>
  <c r="E49"/>
  <c r="F26"/>
  <c r="E14" i="13"/>
  <c r="E46" i="14"/>
  <c r="E11" i="13"/>
  <c r="F45" i="14"/>
  <c r="F9" i="13"/>
  <c r="F178" i="14"/>
  <c r="F152" i="13"/>
  <c r="E80" i="14"/>
  <c r="E69" i="13"/>
  <c r="F134" i="14"/>
  <c r="F65" i="13"/>
  <c r="F171"/>
  <c r="F228" i="14"/>
  <c r="F170" i="13"/>
  <c r="F169"/>
  <c r="E137"/>
  <c r="E32" i="14"/>
  <c r="E103" i="13"/>
  <c r="F231" i="14"/>
  <c r="E88"/>
  <c r="E81" i="13"/>
  <c r="F224" i="14"/>
  <c r="F97"/>
  <c r="F225"/>
  <c r="F63" i="13"/>
  <c r="F264" i="14"/>
  <c r="F263"/>
  <c r="F119"/>
  <c r="F126" i="13"/>
  <c r="F77" i="14"/>
  <c r="F55" i="13"/>
  <c r="F261" i="14" l="1"/>
  <c r="F37" i="13"/>
  <c r="F38"/>
  <c r="F157" i="14"/>
  <c r="F158"/>
  <c r="F181"/>
  <c r="F180"/>
  <c r="F77" i="13"/>
  <c r="F76"/>
  <c r="E69" i="14"/>
  <c r="F69" s="1"/>
  <c r="F108" i="13"/>
  <c r="F116"/>
  <c r="F117"/>
  <c r="F118"/>
  <c r="F119"/>
  <c r="F120"/>
  <c r="E46"/>
  <c r="F46" s="1"/>
  <c r="F233" i="14"/>
  <c r="F235"/>
  <c r="F236"/>
  <c r="F40"/>
  <c r="F22"/>
  <c r="D135"/>
  <c r="F135" s="1"/>
  <c r="D172" i="13"/>
  <c r="F172" s="1"/>
  <c r="E115" i="14"/>
  <c r="E31"/>
  <c r="F31" s="1"/>
  <c r="E14"/>
  <c r="E13"/>
  <c r="F13" s="1"/>
  <c r="F139" i="13"/>
  <c r="F137"/>
  <c r="F117" i="14"/>
  <c r="F139"/>
  <c r="E39" i="13"/>
  <c r="F39" s="1"/>
  <c r="F136"/>
  <c r="F179" i="14"/>
  <c r="E65"/>
  <c r="E30" i="13"/>
  <c r="F177" i="14"/>
  <c r="F143" i="13"/>
  <c r="F120" i="14"/>
  <c r="F44"/>
  <c r="F110"/>
  <c r="F108"/>
  <c r="F115" i="13"/>
  <c r="F250" i="14"/>
  <c r="F237"/>
  <c r="F64" i="13"/>
  <c r="F67"/>
  <c r="E205" i="14" l="1"/>
  <c r="F205" s="1"/>
  <c r="F88"/>
  <c r="F226"/>
  <c r="F110" i="13"/>
  <c r="E238" i="14"/>
  <c r="E246"/>
  <c r="F246" s="1"/>
  <c r="F81" i="13"/>
  <c r="F107"/>
  <c r="F69"/>
  <c r="F154" i="14"/>
  <c r="F34" i="13"/>
  <c r="E140"/>
  <c r="E155"/>
  <c r="F155" s="1"/>
  <c r="E35" i="14"/>
  <c r="F35" s="1"/>
  <c r="E16"/>
  <c r="F16" s="1"/>
  <c r="F29"/>
  <c r="F11"/>
  <c r="E270"/>
  <c r="E265"/>
  <c r="E201"/>
  <c r="E150"/>
  <c r="E41"/>
  <c r="C270"/>
  <c r="D269"/>
  <c r="F269" s="1"/>
  <c r="D268"/>
  <c r="C265"/>
  <c r="AE18" i="10" s="1"/>
  <c r="B260" i="14"/>
  <c r="D259" s="1"/>
  <c r="D265" s="1"/>
  <c r="AF18" i="10" s="1"/>
  <c r="C256" i="14"/>
  <c r="AA18" i="10" s="1"/>
  <c r="B255" i="14"/>
  <c r="D254" s="1"/>
  <c r="F254" s="1"/>
  <c r="D253"/>
  <c r="D252"/>
  <c r="F252" s="1"/>
  <c r="D249"/>
  <c r="F249" s="1"/>
  <c r="B248"/>
  <c r="B247"/>
  <c r="D245"/>
  <c r="F245" s="1"/>
  <c r="B244"/>
  <c r="B243"/>
  <c r="C238"/>
  <c r="V18" i="10" s="1"/>
  <c r="D234" i="14"/>
  <c r="F234" s="1"/>
  <c r="D223"/>
  <c r="F223" s="1"/>
  <c r="B221"/>
  <c r="D219" s="1"/>
  <c r="F219" s="1"/>
  <c r="B218"/>
  <c r="D217" s="1"/>
  <c r="D216"/>
  <c r="F216" s="1"/>
  <c r="B215"/>
  <c r="B214"/>
  <c r="C201"/>
  <c r="R18" i="10" s="1"/>
  <c r="B199" i="14"/>
  <c r="B197"/>
  <c r="B196"/>
  <c r="B195"/>
  <c r="B192"/>
  <c r="B189" s="1"/>
  <c r="B188"/>
  <c r="B186"/>
  <c r="D184"/>
  <c r="D168"/>
  <c r="F168" s="1"/>
  <c r="B165"/>
  <c r="D164" s="1"/>
  <c r="F164" s="1"/>
  <c r="B161"/>
  <c r="D159" s="1"/>
  <c r="F159" s="1"/>
  <c r="D156"/>
  <c r="F156" s="1"/>
  <c r="D155"/>
  <c r="F155" s="1"/>
  <c r="B148"/>
  <c r="D145" s="1"/>
  <c r="C139"/>
  <c r="C150" s="1"/>
  <c r="N18" i="10" s="1"/>
  <c r="C136" i="14"/>
  <c r="J18" i="10" s="1"/>
  <c r="D133" i="14"/>
  <c r="F133" s="1"/>
  <c r="B132"/>
  <c r="B131"/>
  <c r="B130"/>
  <c r="B126"/>
  <c r="B125"/>
  <c r="B122"/>
  <c r="D121"/>
  <c r="F121" s="1"/>
  <c r="D116"/>
  <c r="F116" s="1"/>
  <c r="D111"/>
  <c r="D106"/>
  <c r="F106" s="1"/>
  <c r="B105"/>
  <c r="D104" s="1"/>
  <c r="F104" s="1"/>
  <c r="D102"/>
  <c r="F102" s="1"/>
  <c r="D101"/>
  <c r="F101" s="1"/>
  <c r="D100"/>
  <c r="F100" s="1"/>
  <c r="D99"/>
  <c r="F99" s="1"/>
  <c r="D98"/>
  <c r="F98" s="1"/>
  <c r="D96"/>
  <c r="F96" s="1"/>
  <c r="D87"/>
  <c r="F87" s="1"/>
  <c r="B86"/>
  <c r="B83"/>
  <c r="D76"/>
  <c r="F76" s="1"/>
  <c r="D73"/>
  <c r="F73" s="1"/>
  <c r="B67"/>
  <c r="D65" s="1"/>
  <c r="F65" s="1"/>
  <c r="D59"/>
  <c r="F59" s="1"/>
  <c r="B52"/>
  <c r="D49" s="1"/>
  <c r="F49" s="1"/>
  <c r="B48"/>
  <c r="D46" s="1"/>
  <c r="F46" s="1"/>
  <c r="C41"/>
  <c r="F18" i="10" s="1"/>
  <c r="D37" i="14"/>
  <c r="F37" s="1"/>
  <c r="D33"/>
  <c r="F33" s="1"/>
  <c r="D32"/>
  <c r="F32" s="1"/>
  <c r="C23"/>
  <c r="B18" i="10" s="1"/>
  <c r="D19" i="14"/>
  <c r="F19" s="1"/>
  <c r="D15"/>
  <c r="F15" s="1"/>
  <c r="D14"/>
  <c r="F14" s="1"/>
  <c r="B10"/>
  <c r="D8" s="1"/>
  <c r="F8" i="13"/>
  <c r="F178"/>
  <c r="E178"/>
  <c r="E78"/>
  <c r="B194"/>
  <c r="D193" s="1"/>
  <c r="F193" s="1"/>
  <c r="B191"/>
  <c r="B190"/>
  <c r="B189"/>
  <c r="B188"/>
  <c r="B185"/>
  <c r="B182" s="1"/>
  <c r="B181"/>
  <c r="B179"/>
  <c r="D177"/>
  <c r="D176"/>
  <c r="F176" s="1"/>
  <c r="C173"/>
  <c r="B167"/>
  <c r="B166"/>
  <c r="B165"/>
  <c r="B161"/>
  <c r="B160"/>
  <c r="B154"/>
  <c r="D153" s="1"/>
  <c r="F153" s="1"/>
  <c r="D144"/>
  <c r="F144" s="1"/>
  <c r="D142"/>
  <c r="F142" s="1"/>
  <c r="D141"/>
  <c r="F141" s="1"/>
  <c r="D138"/>
  <c r="F138" s="1"/>
  <c r="D132"/>
  <c r="D127"/>
  <c r="F127" s="1"/>
  <c r="B123"/>
  <c r="B122"/>
  <c r="D114"/>
  <c r="F114" s="1"/>
  <c r="D113"/>
  <c r="F113" s="1"/>
  <c r="D112"/>
  <c r="F112" s="1"/>
  <c r="D111"/>
  <c r="F111" s="1"/>
  <c r="D109"/>
  <c r="F109" s="1"/>
  <c r="D106"/>
  <c r="F106" s="1"/>
  <c r="B104"/>
  <c r="D103" s="1"/>
  <c r="F103" s="1"/>
  <c r="D102"/>
  <c r="F102" s="1"/>
  <c r="B101"/>
  <c r="B100"/>
  <c r="B97"/>
  <c r="B96"/>
  <c r="B75"/>
  <c r="B72"/>
  <c r="C67"/>
  <c r="D66"/>
  <c r="F66" s="1"/>
  <c r="D59"/>
  <c r="F59" s="1"/>
  <c r="C59"/>
  <c r="D54"/>
  <c r="F54" s="1"/>
  <c r="B52"/>
  <c r="D50"/>
  <c r="F50" s="1"/>
  <c r="B49"/>
  <c r="C46" s="1"/>
  <c r="C39"/>
  <c r="D36"/>
  <c r="F36" s="1"/>
  <c r="D35"/>
  <c r="F35" s="1"/>
  <c r="B33"/>
  <c r="B32"/>
  <c r="D30" s="1"/>
  <c r="F30" s="1"/>
  <c r="D24"/>
  <c r="F24" s="1"/>
  <c r="C24"/>
  <c r="C20"/>
  <c r="B16"/>
  <c r="D14" s="1"/>
  <c r="F14" s="1"/>
  <c r="B13"/>
  <c r="D11" s="1"/>
  <c r="F11" s="1"/>
  <c r="C9"/>
  <c r="D242" i="14" l="1"/>
  <c r="F242" s="1"/>
  <c r="D185"/>
  <c r="D201" s="1"/>
  <c r="S18" i="10" s="1"/>
  <c r="D80" i="14"/>
  <c r="F80" s="1"/>
  <c r="F265"/>
  <c r="AG18" i="10"/>
  <c r="X18"/>
  <c r="D123" i="14"/>
  <c r="F123" s="1"/>
  <c r="H18" i="10"/>
  <c r="D213" i="14"/>
  <c r="D270"/>
  <c r="AJ18" i="10"/>
  <c r="T35" i="12" s="1"/>
  <c r="T37" s="1"/>
  <c r="F268" i="14"/>
  <c r="P18" i="10"/>
  <c r="T18"/>
  <c r="D121" i="13"/>
  <c r="F121" s="1"/>
  <c r="D99"/>
  <c r="F99" s="1"/>
  <c r="E173"/>
  <c r="E174" s="1"/>
  <c r="E195" s="1"/>
  <c r="E196" s="1"/>
  <c r="C78"/>
  <c r="C174" s="1"/>
  <c r="C195" s="1"/>
  <c r="D95"/>
  <c r="F95" s="1"/>
  <c r="D158"/>
  <c r="D173" s="1"/>
  <c r="F140"/>
  <c r="D178"/>
  <c r="D41" i="14"/>
  <c r="G18" i="10" s="1"/>
  <c r="D136" i="14"/>
  <c r="K18" i="10" s="1"/>
  <c r="D150" i="14"/>
  <c r="O18" i="10" s="1"/>
  <c r="F145" i="14"/>
  <c r="E136"/>
  <c r="L18" i="10" s="1"/>
  <c r="D23" i="14"/>
  <c r="C18" i="10" s="1"/>
  <c r="E23" i="14"/>
  <c r="F8"/>
  <c r="F136"/>
  <c r="E256"/>
  <c r="C272"/>
  <c r="F78" i="13"/>
  <c r="D78"/>
  <c r="D256" i="14" l="1"/>
  <c r="AB18" i="10" s="1"/>
  <c r="F41" i="14"/>
  <c r="F201"/>
  <c r="D18" i="10"/>
  <c r="F23" i="14"/>
  <c r="D238"/>
  <c r="F213"/>
  <c r="AC18" i="10"/>
  <c r="F150" i="14"/>
  <c r="F173" i="13"/>
  <c r="F174" s="1"/>
  <c r="E272" i="14"/>
  <c r="F272" s="1"/>
  <c r="D174" i="13"/>
  <c r="D195" s="1"/>
  <c r="F256" i="14" l="1"/>
  <c r="W18" i="10"/>
  <c r="F238" i="14"/>
  <c r="D272"/>
  <c r="D196" i="13"/>
  <c r="Q36" i="12"/>
  <c r="Q37" s="1"/>
  <c r="R37"/>
  <c r="V37" s="1"/>
  <c r="P36"/>
  <c r="P37" s="1"/>
  <c r="J36"/>
  <c r="F36"/>
  <c r="Q35"/>
  <c r="J35"/>
  <c r="F35"/>
  <c r="Q29"/>
  <c r="R29"/>
  <c r="P29"/>
  <c r="Q19"/>
  <c r="R19"/>
  <c r="P19"/>
  <c r="Q28"/>
  <c r="R28"/>
  <c r="P28"/>
  <c r="Q18"/>
  <c r="R18"/>
  <c r="P18"/>
  <c r="Q27"/>
  <c r="R27"/>
  <c r="P27"/>
  <c r="Q17"/>
  <c r="R17"/>
  <c r="P17"/>
  <c r="R12"/>
  <c r="P12"/>
  <c r="C14"/>
  <c r="C15"/>
  <c r="C16"/>
  <c r="Q33" l="1"/>
  <c r="P25"/>
  <c r="R25"/>
  <c r="P33"/>
  <c r="R33"/>
  <c r="F12" i="15"/>
  <c r="B14" i="5"/>
  <c r="B15" s="1"/>
  <c r="B16" s="1"/>
  <c r="B13"/>
  <c r="B10"/>
  <c r="E114" i="3"/>
  <c r="E113"/>
  <c r="E112"/>
  <c r="E108"/>
  <c r="E107"/>
  <c r="E102"/>
  <c r="E98"/>
  <c r="E92"/>
  <c r="E95" s="1"/>
  <c r="E87"/>
  <c r="E84"/>
  <c r="E81"/>
  <c r="E79"/>
  <c r="E76"/>
  <c r="E67"/>
  <c r="E55"/>
  <c r="E33"/>
  <c r="E35"/>
  <c r="E30"/>
  <c r="E26"/>
  <c r="E27" s="1"/>
  <c r="E21"/>
  <c r="E18"/>
  <c r="E15"/>
  <c r="E10"/>
  <c r="D30" i="2"/>
  <c r="D19"/>
  <c r="D15"/>
  <c r="D36"/>
  <c r="D37" s="1"/>
  <c r="D33"/>
  <c r="D28"/>
  <c r="D24"/>
  <c r="D14"/>
  <c r="D11"/>
  <c r="D31" s="1"/>
  <c r="C19"/>
  <c r="B38"/>
  <c r="B37"/>
  <c r="B36"/>
  <c r="B33"/>
  <c r="B28"/>
  <c r="B24"/>
  <c r="C11"/>
  <c r="C14"/>
  <c r="B19"/>
  <c r="B14"/>
  <c r="B11"/>
  <c r="B31" s="1"/>
  <c r="P38" i="12" l="1"/>
  <c r="R38"/>
  <c r="E77" i="3"/>
  <c r="E36"/>
  <c r="E22"/>
  <c r="D38" i="2"/>
  <c r="E88" i="3" l="1"/>
  <c r="E32" i="1"/>
  <c r="E28"/>
  <c r="E34" s="1"/>
  <c r="E21"/>
  <c r="E17"/>
  <c r="E14"/>
  <c r="E12"/>
  <c r="E24" s="1"/>
  <c r="E35" s="1"/>
  <c r="C35"/>
  <c r="C24"/>
  <c r="C34"/>
  <c r="C32"/>
  <c r="C28"/>
  <c r="C21"/>
  <c r="C17"/>
  <c r="C14"/>
  <c r="C12"/>
  <c r="I14" i="17"/>
  <c r="H14"/>
  <c r="D14"/>
  <c r="E13" i="16"/>
  <c r="F13"/>
  <c r="F28" s="1"/>
  <c r="E28"/>
  <c r="C28"/>
  <c r="B26"/>
  <c r="B25"/>
  <c r="B24"/>
  <c r="B23"/>
  <c r="B20"/>
  <c r="B17"/>
  <c r="D13" s="1"/>
  <c r="B16"/>
  <c r="B14"/>
  <c r="D28" l="1"/>
  <c r="W14" i="15" l="1"/>
  <c r="X14"/>
  <c r="Y14"/>
  <c r="S14"/>
  <c r="Q14"/>
  <c r="M14"/>
  <c r="K14"/>
  <c r="AH33" i="11"/>
  <c r="AI33"/>
  <c r="AJ33"/>
  <c r="AK33"/>
  <c r="AL33"/>
  <c r="AM33"/>
  <c r="AN33"/>
  <c r="AP33"/>
  <c r="AQ33"/>
  <c r="AR33"/>
  <c r="AS33"/>
  <c r="Y26"/>
  <c r="Y25"/>
  <c r="AC17"/>
  <c r="AC13"/>
  <c r="Y13"/>
  <c r="C27"/>
  <c r="AL38"/>
  <c r="AF38"/>
  <c r="AE38"/>
  <c r="AD38"/>
  <c r="AB38"/>
  <c r="AA38"/>
  <c r="Z38"/>
  <c r="X38"/>
  <c r="W38"/>
  <c r="V38"/>
  <c r="T38"/>
  <c r="S38"/>
  <c r="R38"/>
  <c r="P38"/>
  <c r="O38"/>
  <c r="N38"/>
  <c r="L38"/>
  <c r="K38"/>
  <c r="J38"/>
  <c r="H38"/>
  <c r="G38"/>
  <c r="F38"/>
  <c r="D38"/>
  <c r="AJ38" s="1"/>
  <c r="C38"/>
  <c r="AI38" s="1"/>
  <c r="B38"/>
  <c r="AN37"/>
  <c r="AE37"/>
  <c r="AD37"/>
  <c r="Z37"/>
  <c r="U37"/>
  <c r="T37"/>
  <c r="P37"/>
  <c r="O37"/>
  <c r="O39" s="1"/>
  <c r="K37"/>
  <c r="D37"/>
  <c r="C37"/>
  <c r="AE36"/>
  <c r="AE39" s="1"/>
  <c r="AD36"/>
  <c r="AD39" s="1"/>
  <c r="Z36"/>
  <c r="Z39" s="1"/>
  <c r="W36"/>
  <c r="V36"/>
  <c r="S36"/>
  <c r="R36"/>
  <c r="N36"/>
  <c r="N39" s="1"/>
  <c r="J36"/>
  <c r="F36"/>
  <c r="F39" s="1"/>
  <c r="B36"/>
  <c r="AH35"/>
  <c r="AF35"/>
  <c r="AE35"/>
  <c r="AD35"/>
  <c r="AB35"/>
  <c r="AA35"/>
  <c r="Z35"/>
  <c r="X35"/>
  <c r="W35"/>
  <c r="V35"/>
  <c r="T35"/>
  <c r="S35"/>
  <c r="R35"/>
  <c r="P35"/>
  <c r="O35"/>
  <c r="N35"/>
  <c r="L35"/>
  <c r="K35"/>
  <c r="J35"/>
  <c r="H35"/>
  <c r="G35"/>
  <c r="F35"/>
  <c r="D35"/>
  <c r="C35"/>
  <c r="B35"/>
  <c r="AP34"/>
  <c r="AN34"/>
  <c r="AN38" s="1"/>
  <c r="AM34"/>
  <c r="AL34"/>
  <c r="AJ34"/>
  <c r="AR34" s="1"/>
  <c r="AR38" s="1"/>
  <c r="AI34"/>
  <c r="AQ34" s="1"/>
  <c r="AH34"/>
  <c r="AN32"/>
  <c r="AM32"/>
  <c r="AM35" s="1"/>
  <c r="AL32"/>
  <c r="AL35" s="1"/>
  <c r="AJ32"/>
  <c r="AI32"/>
  <c r="AI35" s="1"/>
  <c r="AH32"/>
  <c r="Y32"/>
  <c r="U32"/>
  <c r="M32"/>
  <c r="I32"/>
  <c r="E32"/>
  <c r="AE30"/>
  <c r="O30"/>
  <c r="N30"/>
  <c r="F30"/>
  <c r="AF29"/>
  <c r="AF37" s="1"/>
  <c r="AF39" s="1"/>
  <c r="AE29"/>
  <c r="AD29"/>
  <c r="AB29"/>
  <c r="AB37" s="1"/>
  <c r="AA29"/>
  <c r="AA37" s="1"/>
  <c r="Z29"/>
  <c r="X29"/>
  <c r="X37" s="1"/>
  <c r="W29"/>
  <c r="V29"/>
  <c r="V37" s="1"/>
  <c r="AL37" s="1"/>
  <c r="T29"/>
  <c r="S29"/>
  <c r="S37" s="1"/>
  <c r="R29"/>
  <c r="R37" s="1"/>
  <c r="P29"/>
  <c r="O29"/>
  <c r="N29"/>
  <c r="N37" s="1"/>
  <c r="L29"/>
  <c r="K29"/>
  <c r="J29"/>
  <c r="J37" s="1"/>
  <c r="H29"/>
  <c r="H37" s="1"/>
  <c r="G29"/>
  <c r="F29"/>
  <c r="F37" s="1"/>
  <c r="D29"/>
  <c r="E29" s="1"/>
  <c r="C29"/>
  <c r="B29"/>
  <c r="B37" s="1"/>
  <c r="AL28"/>
  <c r="AH28"/>
  <c r="AF28"/>
  <c r="AF36" s="1"/>
  <c r="AE28"/>
  <c r="AD28"/>
  <c r="AD30" s="1"/>
  <c r="AB28"/>
  <c r="AB36" s="1"/>
  <c r="AA28"/>
  <c r="AA36" s="1"/>
  <c r="Z28"/>
  <c r="Z30" s="1"/>
  <c r="X28"/>
  <c r="X36" s="1"/>
  <c r="W28"/>
  <c r="V28"/>
  <c r="U28"/>
  <c r="T28"/>
  <c r="T36" s="1"/>
  <c r="U36" s="1"/>
  <c r="S28"/>
  <c r="R28"/>
  <c r="R30" s="1"/>
  <c r="P28"/>
  <c r="O28"/>
  <c r="O36" s="1"/>
  <c r="N28"/>
  <c r="L28"/>
  <c r="K28"/>
  <c r="K36" s="1"/>
  <c r="J28"/>
  <c r="H28"/>
  <c r="G28"/>
  <c r="G36" s="1"/>
  <c r="F28"/>
  <c r="D28"/>
  <c r="C28"/>
  <c r="B28"/>
  <c r="AF27"/>
  <c r="AE27"/>
  <c r="AD27"/>
  <c r="AB27"/>
  <c r="AA27"/>
  <c r="Z27"/>
  <c r="X27"/>
  <c r="W27"/>
  <c r="Y27" s="1"/>
  <c r="V27"/>
  <c r="U27"/>
  <c r="T27"/>
  <c r="S27"/>
  <c r="R27"/>
  <c r="P27"/>
  <c r="O27"/>
  <c r="N27"/>
  <c r="L27"/>
  <c r="K27"/>
  <c r="J27"/>
  <c r="H27"/>
  <c r="G27"/>
  <c r="F27"/>
  <c r="D27"/>
  <c r="B27"/>
  <c r="AN26"/>
  <c r="AM26"/>
  <c r="AL26"/>
  <c r="AJ26"/>
  <c r="AI26"/>
  <c r="AH26"/>
  <c r="AP26" s="1"/>
  <c r="U26"/>
  <c r="M26"/>
  <c r="I26"/>
  <c r="E26"/>
  <c r="AN25"/>
  <c r="AM25"/>
  <c r="AL25"/>
  <c r="AL27" s="1"/>
  <c r="AJ25"/>
  <c r="AI25"/>
  <c r="AH25"/>
  <c r="AH27" s="1"/>
  <c r="U25"/>
  <c r="M25"/>
  <c r="I25"/>
  <c r="E25"/>
  <c r="AF23"/>
  <c r="AE23"/>
  <c r="AD23"/>
  <c r="AB23"/>
  <c r="AC23" s="1"/>
  <c r="AA23"/>
  <c r="Z23"/>
  <c r="X23"/>
  <c r="W23"/>
  <c r="V23"/>
  <c r="T23"/>
  <c r="S23"/>
  <c r="R23"/>
  <c r="P23"/>
  <c r="O23"/>
  <c r="N23"/>
  <c r="L23"/>
  <c r="K23"/>
  <c r="J23"/>
  <c r="H23"/>
  <c r="G23"/>
  <c r="I23" s="1"/>
  <c r="F23"/>
  <c r="D23"/>
  <c r="C23"/>
  <c r="E23" s="1"/>
  <c r="B23"/>
  <c r="AP22"/>
  <c r="AN22"/>
  <c r="AM22"/>
  <c r="AL22"/>
  <c r="AJ22"/>
  <c r="AI22"/>
  <c r="AQ22" s="1"/>
  <c r="AH22"/>
  <c r="AN21"/>
  <c r="AM21"/>
  <c r="AM23" s="1"/>
  <c r="AL21"/>
  <c r="AL23" s="1"/>
  <c r="AJ21"/>
  <c r="AI21"/>
  <c r="AI23" s="1"/>
  <c r="AH21"/>
  <c r="AP21" s="1"/>
  <c r="AP23" s="1"/>
  <c r="AC21"/>
  <c r="Y21"/>
  <c r="U21"/>
  <c r="M21"/>
  <c r="I21"/>
  <c r="E21"/>
  <c r="AP19"/>
  <c r="AF19"/>
  <c r="AE19"/>
  <c r="AD19"/>
  <c r="AB19"/>
  <c r="AA19"/>
  <c r="Z19"/>
  <c r="X19"/>
  <c r="W19"/>
  <c r="Y19" s="1"/>
  <c r="V19"/>
  <c r="T19"/>
  <c r="S19"/>
  <c r="U19" s="1"/>
  <c r="R19"/>
  <c r="P19"/>
  <c r="O19"/>
  <c r="N19"/>
  <c r="L19"/>
  <c r="K19"/>
  <c r="J19"/>
  <c r="H19"/>
  <c r="G19"/>
  <c r="F19"/>
  <c r="D19"/>
  <c r="C19"/>
  <c r="B19"/>
  <c r="AN18"/>
  <c r="AN19" s="1"/>
  <c r="AM18"/>
  <c r="AL18"/>
  <c r="AJ18"/>
  <c r="AI18"/>
  <c r="AQ18" s="1"/>
  <c r="AH18"/>
  <c r="AP18" s="1"/>
  <c r="AP17"/>
  <c r="AN17"/>
  <c r="AM17"/>
  <c r="AM19" s="1"/>
  <c r="AL17"/>
  <c r="AL19" s="1"/>
  <c r="AJ17"/>
  <c r="AI17"/>
  <c r="AH17"/>
  <c r="AH19" s="1"/>
  <c r="Y17"/>
  <c r="U17"/>
  <c r="M17"/>
  <c r="I17"/>
  <c r="E17"/>
  <c r="AF15"/>
  <c r="AE15"/>
  <c r="AD15"/>
  <c r="AB15"/>
  <c r="AA15"/>
  <c r="Z15"/>
  <c r="X15"/>
  <c r="Y15" s="1"/>
  <c r="W15"/>
  <c r="V15"/>
  <c r="T15"/>
  <c r="U15" s="1"/>
  <c r="S15"/>
  <c r="R15"/>
  <c r="P15"/>
  <c r="O15"/>
  <c r="N15"/>
  <c r="L15"/>
  <c r="K15"/>
  <c r="J15"/>
  <c r="H15"/>
  <c r="G15"/>
  <c r="I15" s="1"/>
  <c r="F15"/>
  <c r="D15"/>
  <c r="E15" s="1"/>
  <c r="C15"/>
  <c r="B15"/>
  <c r="AR14"/>
  <c r="AN14"/>
  <c r="AM14"/>
  <c r="AL14"/>
  <c r="AJ14"/>
  <c r="AI14"/>
  <c r="AQ14" s="1"/>
  <c r="AH14"/>
  <c r="AP14" s="1"/>
  <c r="AN13"/>
  <c r="AN15" s="1"/>
  <c r="AM13"/>
  <c r="AM15" s="1"/>
  <c r="AL13"/>
  <c r="AL15" s="1"/>
  <c r="AJ13"/>
  <c r="AJ15" s="1"/>
  <c r="AI13"/>
  <c r="AI15" s="1"/>
  <c r="AH13"/>
  <c r="AH15" s="1"/>
  <c r="U13"/>
  <c r="M13"/>
  <c r="I13"/>
  <c r="E13"/>
  <c r="AR32" l="1"/>
  <c r="I29"/>
  <c r="AN27"/>
  <c r="AR17"/>
  <c r="I19"/>
  <c r="E19"/>
  <c r="AN36"/>
  <c r="AN39" s="1"/>
  <c r="X30"/>
  <c r="X39"/>
  <c r="AQ17"/>
  <c r="AS17" s="1"/>
  <c r="AM28"/>
  <c r="AC36"/>
  <c r="AC28"/>
  <c r="AP32"/>
  <c r="AP35" s="1"/>
  <c r="AM27"/>
  <c r="AO27" s="1"/>
  <c r="W30"/>
  <c r="Y30" s="1"/>
  <c r="Y23"/>
  <c r="Y28"/>
  <c r="K39"/>
  <c r="M35"/>
  <c r="M29"/>
  <c r="M27"/>
  <c r="M19"/>
  <c r="M15"/>
  <c r="L37"/>
  <c r="M37" s="1"/>
  <c r="AJ29"/>
  <c r="M23"/>
  <c r="AK26"/>
  <c r="G37"/>
  <c r="AI27"/>
  <c r="G39"/>
  <c r="I27"/>
  <c r="AK15"/>
  <c r="E37"/>
  <c r="AI37"/>
  <c r="AK25"/>
  <c r="AQ25"/>
  <c r="E27"/>
  <c r="AK13"/>
  <c r="AO15"/>
  <c r="AP13"/>
  <c r="AP15" s="1"/>
  <c r="AR19"/>
  <c r="P36"/>
  <c r="P39" s="1"/>
  <c r="P30"/>
  <c r="AH30"/>
  <c r="AP28"/>
  <c r="AR35"/>
  <c r="AQ13"/>
  <c r="AQ15" s="1"/>
  <c r="AN29"/>
  <c r="AK17"/>
  <c r="AR18"/>
  <c r="AJ19"/>
  <c r="L36"/>
  <c r="L30"/>
  <c r="M28"/>
  <c r="V30"/>
  <c r="W37"/>
  <c r="AM37" s="1"/>
  <c r="AM29"/>
  <c r="AH29"/>
  <c r="G30"/>
  <c r="AF30"/>
  <c r="AN28"/>
  <c r="AR13"/>
  <c r="AK21"/>
  <c r="AQ21"/>
  <c r="AQ23" s="1"/>
  <c r="AR22"/>
  <c r="C36"/>
  <c r="AI28"/>
  <c r="H36"/>
  <c r="H30"/>
  <c r="I28"/>
  <c r="AH37"/>
  <c r="AP37" s="1"/>
  <c r="B30"/>
  <c r="J30"/>
  <c r="S30"/>
  <c r="AA30"/>
  <c r="AN35"/>
  <c r="AO35" s="1"/>
  <c r="AO32"/>
  <c r="E35"/>
  <c r="U35"/>
  <c r="B39"/>
  <c r="AH36"/>
  <c r="J39"/>
  <c r="S39"/>
  <c r="AA39"/>
  <c r="I37"/>
  <c r="AJ37"/>
  <c r="AR26"/>
  <c r="AJ27"/>
  <c r="AO21"/>
  <c r="U23"/>
  <c r="AN23"/>
  <c r="AO23" s="1"/>
  <c r="AR25"/>
  <c r="I35"/>
  <c r="Y35"/>
  <c r="R39"/>
  <c r="AO13"/>
  <c r="AI19"/>
  <c r="AR21"/>
  <c r="AJ23"/>
  <c r="AK23" s="1"/>
  <c r="AO25"/>
  <c r="AQ26"/>
  <c r="D36"/>
  <c r="AJ28"/>
  <c r="D30"/>
  <c r="E28"/>
  <c r="Y36"/>
  <c r="AI29"/>
  <c r="U29"/>
  <c r="AL29"/>
  <c r="AL30" s="1"/>
  <c r="C30"/>
  <c r="K30"/>
  <c r="T30"/>
  <c r="AB30"/>
  <c r="AJ35"/>
  <c r="AK35" s="1"/>
  <c r="AK32"/>
  <c r="AQ32"/>
  <c r="AQ35" s="1"/>
  <c r="AL36"/>
  <c r="AL39" s="1"/>
  <c r="V39"/>
  <c r="AM36"/>
  <c r="AH38"/>
  <c r="AP38" s="1"/>
  <c r="AM38"/>
  <c r="AQ38" s="1"/>
  <c r="T39"/>
  <c r="U39" s="1"/>
  <c r="AB39"/>
  <c r="AH23"/>
  <c r="AP25"/>
  <c r="AP27" s="1"/>
  <c r="AR29" l="1"/>
  <c r="AS29" s="1"/>
  <c r="AO36"/>
  <c r="AQ19"/>
  <c r="AC39"/>
  <c r="AM30"/>
  <c r="AQ29"/>
  <c r="AQ37"/>
  <c r="AQ27"/>
  <c r="AS26"/>
  <c r="AK29"/>
  <c r="AK37"/>
  <c r="AK27"/>
  <c r="AS32"/>
  <c r="AS35"/>
  <c r="AK19"/>
  <c r="AS21"/>
  <c r="AR23"/>
  <c r="AS23" s="1"/>
  <c r="I30"/>
  <c r="AR15"/>
  <c r="AS15" s="1"/>
  <c r="AS13"/>
  <c r="AM39"/>
  <c r="AR28"/>
  <c r="AK28"/>
  <c r="AJ30"/>
  <c r="AS25"/>
  <c r="AR27"/>
  <c r="AS27" s="1"/>
  <c r="AI30"/>
  <c r="AQ28"/>
  <c r="AQ30" s="1"/>
  <c r="M36"/>
  <c r="L39"/>
  <c r="M39" s="1"/>
  <c r="W39"/>
  <c r="Y39" s="1"/>
  <c r="E36"/>
  <c r="AJ36"/>
  <c r="D39"/>
  <c r="C39"/>
  <c r="AI36"/>
  <c r="AS19"/>
  <c r="AC30"/>
  <c r="AP29"/>
  <c r="AP30" s="1"/>
  <c r="U30"/>
  <c r="E30"/>
  <c r="AP36"/>
  <c r="AP39" s="1"/>
  <c r="AH39"/>
  <c r="H39"/>
  <c r="I39" s="1"/>
  <c r="I36"/>
  <c r="AO28"/>
  <c r="AN30"/>
  <c r="AO30" s="1"/>
  <c r="M30"/>
  <c r="AO39"/>
  <c r="AR37" l="1"/>
  <c r="AS37" s="1"/>
  <c r="AK30"/>
  <c r="AI39"/>
  <c r="AQ36"/>
  <c r="AQ39" s="1"/>
  <c r="E39"/>
  <c r="AJ39"/>
  <c r="AK36"/>
  <c r="AR36"/>
  <c r="AR30"/>
  <c r="AS30" s="1"/>
  <c r="AS28"/>
  <c r="AK39" l="1"/>
  <c r="AR39"/>
  <c r="AS39" s="1"/>
  <c r="AS36"/>
  <c r="AZ15" i="9" l="1"/>
  <c r="AR25"/>
  <c r="AR26"/>
  <c r="AR17"/>
  <c r="AS21"/>
  <c r="AS17"/>
  <c r="AN21"/>
  <c r="AI28"/>
  <c r="AI36"/>
  <c r="AI39"/>
  <c r="X28"/>
  <c r="Z25"/>
  <c r="Z17"/>
  <c r="Q17"/>
  <c r="E33"/>
  <c r="E32"/>
  <c r="O27"/>
  <c r="AR48" i="8" l="1"/>
  <c r="AR60" s="1"/>
  <c r="AS48"/>
  <c r="AT48"/>
  <c r="AV48"/>
  <c r="AW48"/>
  <c r="AX48"/>
  <c r="AZ48"/>
  <c r="BA48"/>
  <c r="BB48"/>
  <c r="BB47"/>
  <c r="BA47"/>
  <c r="AZ47"/>
  <c r="AZ60" s="1"/>
  <c r="AX47"/>
  <c r="AW47"/>
  <c r="AV47"/>
  <c r="AT47"/>
  <c r="AS47"/>
  <c r="AR47"/>
  <c r="BB46"/>
  <c r="BA46"/>
  <c r="BA60" s="1"/>
  <c r="AZ46"/>
  <c r="AX46"/>
  <c r="AW46"/>
  <c r="AV46"/>
  <c r="AV60" s="1"/>
  <c r="AT46"/>
  <c r="AS46"/>
  <c r="AS60" s="1"/>
  <c r="AR46"/>
  <c r="AW60"/>
  <c r="AR20"/>
  <c r="AS20"/>
  <c r="AT20"/>
  <c r="AV20"/>
  <c r="AW20"/>
  <c r="AX20"/>
  <c r="AZ20"/>
  <c r="BA20"/>
  <c r="BB20"/>
  <c r="BC20" s="1"/>
  <c r="AR29"/>
  <c r="AS29"/>
  <c r="AT29"/>
  <c r="AV29"/>
  <c r="AW29"/>
  <c r="AX29"/>
  <c r="AZ29"/>
  <c r="BA29"/>
  <c r="BB29"/>
  <c r="AR30"/>
  <c r="AS30"/>
  <c r="AT30"/>
  <c r="AV30"/>
  <c r="AW30"/>
  <c r="AX30"/>
  <c r="AZ30"/>
  <c r="BA30"/>
  <c r="BB30"/>
  <c r="AR31"/>
  <c r="AS31"/>
  <c r="AT31"/>
  <c r="AV31"/>
  <c r="AW31"/>
  <c r="AX31"/>
  <c r="AZ31"/>
  <c r="BA31"/>
  <c r="BB31"/>
  <c r="AR32"/>
  <c r="AS32"/>
  <c r="AT32"/>
  <c r="AV32"/>
  <c r="AW32"/>
  <c r="AX32"/>
  <c r="AZ32"/>
  <c r="BA32"/>
  <c r="BB32"/>
  <c r="AR34"/>
  <c r="AS34"/>
  <c r="AT34"/>
  <c r="AV34"/>
  <c r="AW34"/>
  <c r="AX34"/>
  <c r="AZ34"/>
  <c r="BA34"/>
  <c r="BB34"/>
  <c r="AX60"/>
  <c r="AT60"/>
  <c r="BB59"/>
  <c r="BC59" s="1"/>
  <c r="BA59"/>
  <c r="AZ59"/>
  <c r="AX59"/>
  <c r="AY59" s="1"/>
  <c r="AW59"/>
  <c r="AV59"/>
  <c r="AT59"/>
  <c r="AU59" s="1"/>
  <c r="AS59"/>
  <c r="AR59"/>
  <c r="BB58"/>
  <c r="BC58" s="1"/>
  <c r="BA58"/>
  <c r="AZ58"/>
  <c r="AX58"/>
  <c r="AW58"/>
  <c r="AV58"/>
  <c r="AT58"/>
  <c r="AU58" s="1"/>
  <c r="AS58"/>
  <c r="AR58"/>
  <c r="AL61"/>
  <c r="AL60"/>
  <c r="AH61"/>
  <c r="AH60"/>
  <c r="AD61"/>
  <c r="AC60"/>
  <c r="U60"/>
  <c r="Z50"/>
  <c r="Z44"/>
  <c r="U47"/>
  <c r="I60"/>
  <c r="Q42"/>
  <c r="Q41"/>
  <c r="Q40"/>
  <c r="Q39"/>
  <c r="Q38"/>
  <c r="Q37"/>
  <c r="M35"/>
  <c r="Q28"/>
  <c r="Q19"/>
  <c r="S45"/>
  <c r="AT43"/>
  <c r="BB43"/>
  <c r="M24"/>
  <c r="B71" i="7"/>
  <c r="G71"/>
  <c r="BB60" i="8" l="1"/>
  <c r="BC60" s="1"/>
  <c r="AY60"/>
  <c r="AU60"/>
  <c r="N35"/>
  <c r="I35"/>
  <c r="M23"/>
  <c r="M22"/>
  <c r="M21"/>
  <c r="M20"/>
  <c r="M18"/>
  <c r="L20"/>
  <c r="I61"/>
  <c r="I57"/>
  <c r="I56"/>
  <c r="I55"/>
  <c r="I54"/>
  <c r="I53"/>
  <c r="I52"/>
  <c r="I51"/>
  <c r="I34"/>
  <c r="I27"/>
  <c r="I26"/>
  <c r="E61"/>
  <c r="E60"/>
  <c r="E35"/>
  <c r="E25"/>
  <c r="E17"/>
  <c r="E15"/>
  <c r="E16"/>
  <c r="E14"/>
  <c r="D35"/>
  <c r="D60"/>
  <c r="D61" l="1"/>
  <c r="AE35" l="1"/>
  <c r="AF35"/>
  <c r="AG35"/>
  <c r="AH35"/>
  <c r="AI35"/>
  <c r="AJ35"/>
  <c r="AK35"/>
  <c r="AL35"/>
  <c r="AM35"/>
  <c r="AN35"/>
  <c r="AO35"/>
  <c r="AO61" s="1"/>
  <c r="AP35"/>
  <c r="AE60"/>
  <c r="AF60"/>
  <c r="AG60"/>
  <c r="AI60"/>
  <c r="AJ60"/>
  <c r="AK60"/>
  <c r="AK61" s="1"/>
  <c r="AM60"/>
  <c r="AN60"/>
  <c r="AO60"/>
  <c r="AP60"/>
  <c r="AE61"/>
  <c r="AF61"/>
  <c r="AG61"/>
  <c r="AI61"/>
  <c r="AJ61"/>
  <c r="AM61"/>
  <c r="AN61"/>
  <c r="AP61"/>
  <c r="AC35"/>
  <c r="AC61" s="1"/>
  <c r="AD35"/>
  <c r="AA60"/>
  <c r="AB49"/>
  <c r="AB60" s="1"/>
  <c r="AB61" s="1"/>
  <c r="AB35"/>
  <c r="AA35"/>
  <c r="Y35"/>
  <c r="Z35"/>
  <c r="Y60"/>
  <c r="W60"/>
  <c r="W61" s="1"/>
  <c r="X49"/>
  <c r="X60" s="1"/>
  <c r="X61" s="1"/>
  <c r="T60"/>
  <c r="R60"/>
  <c r="S47"/>
  <c r="S60"/>
  <c r="U35"/>
  <c r="T35"/>
  <c r="S35"/>
  <c r="R35"/>
  <c r="P35"/>
  <c r="Q35" s="1"/>
  <c r="P60"/>
  <c r="Q60" s="1"/>
  <c r="L35"/>
  <c r="L60"/>
  <c r="O60"/>
  <c r="N60"/>
  <c r="O42"/>
  <c r="N61"/>
  <c r="O28"/>
  <c r="O35" s="1"/>
  <c r="O61" s="1"/>
  <c r="K60"/>
  <c r="J60"/>
  <c r="J35"/>
  <c r="J61" s="1"/>
  <c r="K22"/>
  <c r="K21"/>
  <c r="K20"/>
  <c r="K35" s="1"/>
  <c r="K18"/>
  <c r="H35"/>
  <c r="H60"/>
  <c r="G60"/>
  <c r="F60"/>
  <c r="G35"/>
  <c r="G61" s="1"/>
  <c r="F35"/>
  <c r="F61" s="1"/>
  <c r="C60"/>
  <c r="B60"/>
  <c r="C35"/>
  <c r="C61" s="1"/>
  <c r="B35"/>
  <c r="B61" s="1"/>
  <c r="D112" i="7"/>
  <c r="E111"/>
  <c r="E112" s="1"/>
  <c r="E108"/>
  <c r="E107"/>
  <c r="G107" s="1"/>
  <c r="D106"/>
  <c r="E105"/>
  <c r="E104"/>
  <c r="E102"/>
  <c r="G102" s="1"/>
  <c r="D101"/>
  <c r="E101"/>
  <c r="E86"/>
  <c r="G86" s="1"/>
  <c r="E83"/>
  <c r="G83" s="1"/>
  <c r="D81"/>
  <c r="G78"/>
  <c r="G75"/>
  <c r="G74"/>
  <c r="E79"/>
  <c r="E70"/>
  <c r="D70"/>
  <c r="G65"/>
  <c r="D62"/>
  <c r="G57"/>
  <c r="G37"/>
  <c r="D33"/>
  <c r="E33"/>
  <c r="E25"/>
  <c r="D25"/>
  <c r="G108"/>
  <c r="F106"/>
  <c r="F100"/>
  <c r="C100"/>
  <c r="C98"/>
  <c r="F97"/>
  <c r="G97" s="1"/>
  <c r="F94"/>
  <c r="G94" s="1"/>
  <c r="C90"/>
  <c r="F89" s="1"/>
  <c r="F101" s="1"/>
  <c r="G84"/>
  <c r="G81"/>
  <c r="F79"/>
  <c r="G77"/>
  <c r="G76"/>
  <c r="G73"/>
  <c r="G72"/>
  <c r="C79"/>
  <c r="F70"/>
  <c r="B69"/>
  <c r="G69" s="1"/>
  <c r="G67"/>
  <c r="F62"/>
  <c r="G60"/>
  <c r="C60"/>
  <c r="C59"/>
  <c r="G56"/>
  <c r="B56"/>
  <c r="C56" s="1"/>
  <c r="B55"/>
  <c r="B54"/>
  <c r="G53" s="1"/>
  <c r="B52"/>
  <c r="G49" s="1"/>
  <c r="B51"/>
  <c r="C49"/>
  <c r="B48"/>
  <c r="B46"/>
  <c r="B44"/>
  <c r="B42"/>
  <c r="B41"/>
  <c r="B40"/>
  <c r="G36"/>
  <c r="F33"/>
  <c r="G32"/>
  <c r="C31"/>
  <c r="C33" s="1"/>
  <c r="G29"/>
  <c r="G27"/>
  <c r="F25"/>
  <c r="C25"/>
  <c r="G24"/>
  <c r="B23"/>
  <c r="G21"/>
  <c r="G16"/>
  <c r="G10"/>
  <c r="G108" i="6"/>
  <c r="G104"/>
  <c r="C100"/>
  <c r="F100"/>
  <c r="G100" s="1"/>
  <c r="C98"/>
  <c r="F97" s="1"/>
  <c r="G97" s="1"/>
  <c r="F94"/>
  <c r="G94" s="1"/>
  <c r="E86"/>
  <c r="G86" s="1"/>
  <c r="G84"/>
  <c r="G67"/>
  <c r="G36"/>
  <c r="G29"/>
  <c r="G27"/>
  <c r="G24"/>
  <c r="G21"/>
  <c r="G10"/>
  <c r="F25"/>
  <c r="F33"/>
  <c r="G33" s="1"/>
  <c r="F70"/>
  <c r="F79"/>
  <c r="F106"/>
  <c r="F111"/>
  <c r="G113" s="1"/>
  <c r="E111"/>
  <c r="D111"/>
  <c r="E108"/>
  <c r="D108"/>
  <c r="E107"/>
  <c r="G107" s="1"/>
  <c r="D107"/>
  <c r="D106"/>
  <c r="E105"/>
  <c r="E104"/>
  <c r="E102"/>
  <c r="G102" s="1"/>
  <c r="D102"/>
  <c r="D101"/>
  <c r="C90"/>
  <c r="F89" s="1"/>
  <c r="G89" s="1"/>
  <c r="E83"/>
  <c r="G83" s="1"/>
  <c r="D83"/>
  <c r="E81"/>
  <c r="G81" s="1"/>
  <c r="D81"/>
  <c r="E78"/>
  <c r="G78" s="1"/>
  <c r="E77"/>
  <c r="G77" s="1"/>
  <c r="E76"/>
  <c r="G76" s="1"/>
  <c r="E75"/>
  <c r="G75" s="1"/>
  <c r="E74"/>
  <c r="G74" s="1"/>
  <c r="E73"/>
  <c r="G73" s="1"/>
  <c r="E72"/>
  <c r="G72" s="1"/>
  <c r="B71"/>
  <c r="C79" s="1"/>
  <c r="D70"/>
  <c r="B69"/>
  <c r="C70" s="1"/>
  <c r="E65"/>
  <c r="G65" s="1"/>
  <c r="D62"/>
  <c r="C60"/>
  <c r="E60" s="1"/>
  <c r="G60" s="1"/>
  <c r="C59"/>
  <c r="E59" s="1"/>
  <c r="G59" s="1"/>
  <c r="E57"/>
  <c r="G57" s="1"/>
  <c r="B56"/>
  <c r="E56" s="1"/>
  <c r="G56" s="1"/>
  <c r="B55"/>
  <c r="E53" s="1"/>
  <c r="G53" s="1"/>
  <c r="B54"/>
  <c r="B52"/>
  <c r="B51"/>
  <c r="C49" s="1"/>
  <c r="B48"/>
  <c r="B46"/>
  <c r="B44"/>
  <c r="B42"/>
  <c r="B41"/>
  <c r="B40"/>
  <c r="C37"/>
  <c r="D33"/>
  <c r="E32"/>
  <c r="G32" s="1"/>
  <c r="C31"/>
  <c r="E31" s="1"/>
  <c r="E33" s="1"/>
  <c r="D25"/>
  <c r="C25"/>
  <c r="B23"/>
  <c r="E16"/>
  <c r="G16" s="1"/>
  <c r="E13"/>
  <c r="G13" s="1"/>
  <c r="AA61" i="8" l="1"/>
  <c r="AD60"/>
  <c r="R61"/>
  <c r="Y61"/>
  <c r="Z61" s="1"/>
  <c r="Z60"/>
  <c r="S61"/>
  <c r="T61"/>
  <c r="L61"/>
  <c r="M61" s="1"/>
  <c r="E106" i="6"/>
  <c r="G106" s="1"/>
  <c r="E49"/>
  <c r="G49" s="1"/>
  <c r="C53"/>
  <c r="G31"/>
  <c r="G111"/>
  <c r="C33"/>
  <c r="E25"/>
  <c r="D82"/>
  <c r="D85" s="1"/>
  <c r="D109" s="1"/>
  <c r="D114" s="1"/>
  <c r="E37"/>
  <c r="C70" i="7"/>
  <c r="D109"/>
  <c r="D113" s="1"/>
  <c r="C37"/>
  <c r="G25"/>
  <c r="D82"/>
  <c r="D85" s="1"/>
  <c r="E106"/>
  <c r="G106" s="1"/>
  <c r="K61" i="8"/>
  <c r="P61"/>
  <c r="Q61" s="1"/>
  <c r="H61"/>
  <c r="G101" i="7"/>
  <c r="E62"/>
  <c r="G104"/>
  <c r="G111"/>
  <c r="G59"/>
  <c r="G62"/>
  <c r="G70"/>
  <c r="G100"/>
  <c r="F82"/>
  <c r="C53"/>
  <c r="G89"/>
  <c r="F112"/>
  <c r="G112" s="1"/>
  <c r="G13"/>
  <c r="F101" i="6"/>
  <c r="E101"/>
  <c r="G101" s="1"/>
  <c r="F62"/>
  <c r="F82" s="1"/>
  <c r="C56"/>
  <c r="E69"/>
  <c r="E71"/>
  <c r="U61" i="8" l="1"/>
  <c r="C62" i="6"/>
  <c r="C62" i="7"/>
  <c r="E70" i="6"/>
  <c r="G70" s="1"/>
  <c r="G69"/>
  <c r="G37"/>
  <c r="E62"/>
  <c r="G25"/>
  <c r="E79"/>
  <c r="G79" s="1"/>
  <c r="G71"/>
  <c r="E82" i="7"/>
  <c r="E85" s="1"/>
  <c r="E109" s="1"/>
  <c r="E113" s="1"/>
  <c r="G31"/>
  <c r="F85"/>
  <c r="G79"/>
  <c r="F85" i="6"/>
  <c r="G62"/>
  <c r="E82" l="1"/>
  <c r="F109" i="7"/>
  <c r="G33"/>
  <c r="F109" i="6"/>
  <c r="E85" l="1"/>
  <c r="Q12" i="12" s="1"/>
  <c r="Q25" s="1"/>
  <c r="Q38" s="1"/>
  <c r="G82" i="6"/>
  <c r="G82" i="7"/>
  <c r="F113"/>
  <c r="E109" i="6" l="1"/>
  <c r="G85"/>
  <c r="G85" i="7"/>
  <c r="E114" i="6" l="1"/>
  <c r="G114" s="1"/>
  <c r="G109"/>
  <c r="G113" i="7"/>
  <c r="G109"/>
  <c r="B16" i="18" l="1"/>
  <c r="C16" l="1"/>
  <c r="I15" i="17"/>
  <c r="I16" s="1"/>
  <c r="G15"/>
  <c r="G16" s="1"/>
  <c r="F15"/>
  <c r="F16" s="1"/>
  <c r="E15"/>
  <c r="E16" s="1"/>
  <c r="C15"/>
  <c r="C16" s="1"/>
  <c r="H15"/>
  <c r="H16" s="1"/>
  <c r="D15" l="1"/>
  <c r="D16" s="1"/>
  <c r="R14" i="15"/>
  <c r="R17" s="1"/>
  <c r="W17"/>
  <c r="Y17"/>
  <c r="S17"/>
  <c r="Q17"/>
  <c r="M17"/>
  <c r="K17"/>
  <c r="G16"/>
  <c r="F16"/>
  <c r="E16"/>
  <c r="D16"/>
  <c r="C16"/>
  <c r="B16"/>
  <c r="G15"/>
  <c r="F15"/>
  <c r="E15"/>
  <c r="D15"/>
  <c r="C15"/>
  <c r="B15"/>
  <c r="X17"/>
  <c r="V14"/>
  <c r="V17" s="1"/>
  <c r="U14"/>
  <c r="U17" s="1"/>
  <c r="T14"/>
  <c r="T17" s="1"/>
  <c r="P14"/>
  <c r="P17" s="1"/>
  <c r="O14"/>
  <c r="O17" s="1"/>
  <c r="N14"/>
  <c r="N17" s="1"/>
  <c r="L14"/>
  <c r="L17" s="1"/>
  <c r="J14"/>
  <c r="J17" s="1"/>
  <c r="I14"/>
  <c r="I17" s="1"/>
  <c r="C17" s="1"/>
  <c r="H14"/>
  <c r="H17" s="1"/>
  <c r="G14"/>
  <c r="E14"/>
  <c r="C14"/>
  <c r="B14"/>
  <c r="G13"/>
  <c r="F13"/>
  <c r="E13"/>
  <c r="D13"/>
  <c r="C13"/>
  <c r="B13"/>
  <c r="G12"/>
  <c r="E12"/>
  <c r="D12"/>
  <c r="C12"/>
  <c r="B12"/>
  <c r="G11"/>
  <c r="F11"/>
  <c r="E11"/>
  <c r="D11"/>
  <c r="C11"/>
  <c r="B11"/>
  <c r="G10"/>
  <c r="F10"/>
  <c r="E10"/>
  <c r="D10"/>
  <c r="C10"/>
  <c r="B10"/>
  <c r="B17" l="1"/>
  <c r="E17"/>
  <c r="D17"/>
  <c r="G17"/>
  <c r="F17"/>
  <c r="F14"/>
  <c r="D14"/>
  <c r="AR28" i="8" l="1"/>
  <c r="AS28"/>
  <c r="AT28"/>
  <c r="AV28"/>
  <c r="AW28"/>
  <c r="AX28"/>
  <c r="AZ28"/>
  <c r="BA28"/>
  <c r="BB28"/>
  <c r="F20" i="12" l="1"/>
  <c r="J20"/>
  <c r="Q20"/>
  <c r="F21"/>
  <c r="J21"/>
  <c r="Q21"/>
  <c r="F22"/>
  <c r="J22"/>
  <c r="Q22"/>
  <c r="F23"/>
  <c r="Q23"/>
  <c r="Q24"/>
  <c r="D25"/>
  <c r="E25"/>
  <c r="G25"/>
  <c r="H25"/>
  <c r="I25"/>
  <c r="K25"/>
  <c r="L25"/>
  <c r="M25"/>
  <c r="N25"/>
  <c r="O25"/>
  <c r="Q30"/>
  <c r="G33"/>
  <c r="Q31"/>
  <c r="Q32"/>
  <c r="D33"/>
  <c r="H33"/>
  <c r="J33"/>
  <c r="K33"/>
  <c r="L33"/>
  <c r="M33"/>
  <c r="N33"/>
  <c r="O33"/>
  <c r="N38" l="1"/>
  <c r="H38"/>
  <c r="K38"/>
  <c r="G38"/>
  <c r="J25"/>
  <c r="J38" s="1"/>
  <c r="O38"/>
  <c r="F25"/>
  <c r="M38"/>
  <c r="L38"/>
  <c r="D38"/>
  <c r="F33" l="1"/>
  <c r="F38" s="1"/>
  <c r="E33"/>
  <c r="E38" s="1"/>
  <c r="I33"/>
  <c r="I38" s="1"/>
  <c r="AJ19" i="10"/>
  <c r="AI19"/>
  <c r="AD18"/>
  <c r="M18"/>
  <c r="AP26" i="9"/>
  <c r="AP25"/>
  <c r="AO26"/>
  <c r="AO25"/>
  <c r="AN25"/>
  <c r="AH26"/>
  <c r="AL18"/>
  <c r="Q18"/>
  <c r="AK38"/>
  <c r="AJ38"/>
  <c r="AI38"/>
  <c r="AG38"/>
  <c r="AF38"/>
  <c r="AE38"/>
  <c r="AC38"/>
  <c r="AB38"/>
  <c r="AA38"/>
  <c r="Y38"/>
  <c r="X38"/>
  <c r="W38"/>
  <c r="T38"/>
  <c r="S38"/>
  <c r="R38"/>
  <c r="P38"/>
  <c r="O38"/>
  <c r="N38"/>
  <c r="L38"/>
  <c r="K38"/>
  <c r="M38" s="1"/>
  <c r="J38"/>
  <c r="H38"/>
  <c r="G38"/>
  <c r="F38"/>
  <c r="D38"/>
  <c r="C38"/>
  <c r="B38"/>
  <c r="AK35"/>
  <c r="AJ35"/>
  <c r="AI35"/>
  <c r="AG35"/>
  <c r="AF35"/>
  <c r="AE35"/>
  <c r="AC35"/>
  <c r="AB35"/>
  <c r="AA35"/>
  <c r="Y35"/>
  <c r="X35"/>
  <c r="W35"/>
  <c r="T35"/>
  <c r="S35"/>
  <c r="R35"/>
  <c r="P35"/>
  <c r="N35"/>
  <c r="L35"/>
  <c r="K35"/>
  <c r="J35"/>
  <c r="H35"/>
  <c r="G35"/>
  <c r="F35"/>
  <c r="D35"/>
  <c r="C35"/>
  <c r="B35"/>
  <c r="AT34"/>
  <c r="AS34"/>
  <c r="AS38" s="1"/>
  <c r="AR34"/>
  <c r="AR38" s="1"/>
  <c r="AP34"/>
  <c r="AO34"/>
  <c r="AN34"/>
  <c r="AN38" s="1"/>
  <c r="M34"/>
  <c r="AT33"/>
  <c r="AS33"/>
  <c r="AR33"/>
  <c r="AP33"/>
  <c r="AX33" s="1"/>
  <c r="AO33"/>
  <c r="AW33" s="1"/>
  <c r="AN33"/>
  <c r="AV33" s="1"/>
  <c r="AT32"/>
  <c r="AS32"/>
  <c r="AR32"/>
  <c r="AP32"/>
  <c r="AX32" s="1"/>
  <c r="AN32"/>
  <c r="AV32" s="1"/>
  <c r="AL32"/>
  <c r="AH32"/>
  <c r="O35"/>
  <c r="AK29"/>
  <c r="AK37" s="1"/>
  <c r="AJ29"/>
  <c r="AI29"/>
  <c r="AI37" s="1"/>
  <c r="AG29"/>
  <c r="AG37" s="1"/>
  <c r="AF29"/>
  <c r="AF37" s="1"/>
  <c r="AE29"/>
  <c r="AE37" s="1"/>
  <c r="AC29"/>
  <c r="AC37" s="1"/>
  <c r="AB29"/>
  <c r="AB37" s="1"/>
  <c r="AB39" s="1"/>
  <c r="AA29"/>
  <c r="AA37" s="1"/>
  <c r="Y29"/>
  <c r="Y37" s="1"/>
  <c r="X29"/>
  <c r="X37" s="1"/>
  <c r="W29"/>
  <c r="W37" s="1"/>
  <c r="T29"/>
  <c r="T37" s="1"/>
  <c r="S29"/>
  <c r="S37" s="1"/>
  <c r="R29"/>
  <c r="R37" s="1"/>
  <c r="P29"/>
  <c r="P37" s="1"/>
  <c r="O29"/>
  <c r="N29"/>
  <c r="N37" s="1"/>
  <c r="L29"/>
  <c r="L37" s="1"/>
  <c r="K29"/>
  <c r="K37" s="1"/>
  <c r="J29"/>
  <c r="J37" s="1"/>
  <c r="H29"/>
  <c r="H37" s="1"/>
  <c r="G29"/>
  <c r="G37" s="1"/>
  <c r="F29"/>
  <c r="F37" s="1"/>
  <c r="D29"/>
  <c r="D37" s="1"/>
  <c r="C29"/>
  <c r="C37" s="1"/>
  <c r="B29"/>
  <c r="B37" s="1"/>
  <c r="AK28"/>
  <c r="AJ28"/>
  <c r="AJ36" s="1"/>
  <c r="AG28"/>
  <c r="AE28"/>
  <c r="AC28"/>
  <c r="AC36" s="1"/>
  <c r="AB28"/>
  <c r="AB30" s="1"/>
  <c r="AA28"/>
  <c r="Y28"/>
  <c r="Y36" s="1"/>
  <c r="X36"/>
  <c r="W28"/>
  <c r="W36" s="1"/>
  <c r="W39" s="1"/>
  <c r="T28"/>
  <c r="T36" s="1"/>
  <c r="S28"/>
  <c r="R28"/>
  <c r="R36" s="1"/>
  <c r="P28"/>
  <c r="O28"/>
  <c r="O36" s="1"/>
  <c r="N28"/>
  <c r="N36" s="1"/>
  <c r="L28"/>
  <c r="L36" s="1"/>
  <c r="L39" s="1"/>
  <c r="K28"/>
  <c r="J28"/>
  <c r="J36" s="1"/>
  <c r="H28"/>
  <c r="G28"/>
  <c r="G36" s="1"/>
  <c r="G39" s="1"/>
  <c r="F28"/>
  <c r="D28"/>
  <c r="C28"/>
  <c r="C30" s="1"/>
  <c r="B28"/>
  <c r="B30" s="1"/>
  <c r="AK27"/>
  <c r="AJ27"/>
  <c r="AI27"/>
  <c r="AG27"/>
  <c r="AF27"/>
  <c r="AE27"/>
  <c r="AC27"/>
  <c r="AB27"/>
  <c r="AA27"/>
  <c r="Y27"/>
  <c r="X27"/>
  <c r="W27"/>
  <c r="T27"/>
  <c r="S27"/>
  <c r="R27"/>
  <c r="P27"/>
  <c r="N27"/>
  <c r="L27"/>
  <c r="K27"/>
  <c r="J27"/>
  <c r="H27"/>
  <c r="G27"/>
  <c r="F27"/>
  <c r="D27"/>
  <c r="C27"/>
  <c r="B27"/>
  <c r="AT26"/>
  <c r="AS26"/>
  <c r="AN26"/>
  <c r="AL26"/>
  <c r="Q26"/>
  <c r="AT25"/>
  <c r="AT27" s="1"/>
  <c r="AS25"/>
  <c r="AS27" s="1"/>
  <c r="AR27"/>
  <c r="AL25"/>
  <c r="AH25"/>
  <c r="Q25"/>
  <c r="E25"/>
  <c r="AK23"/>
  <c r="AJ23"/>
  <c r="AI23"/>
  <c r="AG23"/>
  <c r="AE23"/>
  <c r="AC23"/>
  <c r="AB23"/>
  <c r="AA23"/>
  <c r="Y23"/>
  <c r="X23"/>
  <c r="W23"/>
  <c r="T23"/>
  <c r="S23"/>
  <c r="R23"/>
  <c r="P23"/>
  <c r="O23"/>
  <c r="N23"/>
  <c r="L23"/>
  <c r="K23"/>
  <c r="J23"/>
  <c r="H23"/>
  <c r="G23"/>
  <c r="F23"/>
  <c r="D23"/>
  <c r="C23"/>
  <c r="B23"/>
  <c r="AT22"/>
  <c r="AS22"/>
  <c r="AR22"/>
  <c r="AR23" s="1"/>
  <c r="AP22"/>
  <c r="AO22"/>
  <c r="AN22"/>
  <c r="AV22" s="1"/>
  <c r="AT21"/>
  <c r="AS23"/>
  <c r="AP21"/>
  <c r="AV21"/>
  <c r="AV23" s="1"/>
  <c r="AL21"/>
  <c r="AH21"/>
  <c r="AO21"/>
  <c r="Q21"/>
  <c r="I21"/>
  <c r="E21"/>
  <c r="AK19"/>
  <c r="AJ19"/>
  <c r="AI19"/>
  <c r="AG19"/>
  <c r="AF19"/>
  <c r="AE19"/>
  <c r="AC19"/>
  <c r="AB19"/>
  <c r="AA19"/>
  <c r="Y19"/>
  <c r="X19"/>
  <c r="W19"/>
  <c r="T19"/>
  <c r="S19"/>
  <c r="R19"/>
  <c r="P19"/>
  <c r="O19"/>
  <c r="N19"/>
  <c r="L19"/>
  <c r="K19"/>
  <c r="J19"/>
  <c r="H19"/>
  <c r="G19"/>
  <c r="F19"/>
  <c r="D19"/>
  <c r="C19"/>
  <c r="B19"/>
  <c r="AT18"/>
  <c r="AS18"/>
  <c r="AR18"/>
  <c r="AP18"/>
  <c r="AO18"/>
  <c r="AN18"/>
  <c r="AT17"/>
  <c r="AP17"/>
  <c r="AO17"/>
  <c r="AN17"/>
  <c r="AN19" s="1"/>
  <c r="AL17"/>
  <c r="AH17"/>
  <c r="E17"/>
  <c r="AK15"/>
  <c r="AJ15"/>
  <c r="AI15"/>
  <c r="AG15"/>
  <c r="AF15"/>
  <c r="AE15"/>
  <c r="AC15"/>
  <c r="AB15"/>
  <c r="AA15"/>
  <c r="Y15"/>
  <c r="X15"/>
  <c r="W15"/>
  <c r="T15"/>
  <c r="S15"/>
  <c r="R15"/>
  <c r="P15"/>
  <c r="Q15" s="1"/>
  <c r="O15"/>
  <c r="N15"/>
  <c r="L15"/>
  <c r="K15"/>
  <c r="J15"/>
  <c r="H15"/>
  <c r="G15"/>
  <c r="F15"/>
  <c r="D15"/>
  <c r="C15"/>
  <c r="E15" s="1"/>
  <c r="B15"/>
  <c r="AT14"/>
  <c r="AS14"/>
  <c r="AR14"/>
  <c r="AP14"/>
  <c r="AO14"/>
  <c r="AN14"/>
  <c r="AT13"/>
  <c r="AS13"/>
  <c r="AR13"/>
  <c r="AR15" s="1"/>
  <c r="AP13"/>
  <c r="AX13" s="1"/>
  <c r="AO13"/>
  <c r="AN13"/>
  <c r="AN15" s="1"/>
  <c r="AL13"/>
  <c r="AH13"/>
  <c r="Q13"/>
  <c r="E13"/>
  <c r="AR56" i="8"/>
  <c r="AS56"/>
  <c r="AT56"/>
  <c r="AV56"/>
  <c r="AW56"/>
  <c r="AX56"/>
  <c r="AZ56"/>
  <c r="BA56"/>
  <c r="BB56"/>
  <c r="AR45"/>
  <c r="AS45"/>
  <c r="AT45"/>
  <c r="AV45"/>
  <c r="AW45"/>
  <c r="AX45"/>
  <c r="AZ45"/>
  <c r="BA45"/>
  <c r="BB45"/>
  <c r="AR51"/>
  <c r="AS51"/>
  <c r="AT51"/>
  <c r="AV51"/>
  <c r="AW51"/>
  <c r="AX51"/>
  <c r="AZ51"/>
  <c r="BA51"/>
  <c r="BB51"/>
  <c r="AR52"/>
  <c r="AS52"/>
  <c r="AT52"/>
  <c r="AV52"/>
  <c r="AW52"/>
  <c r="AX52"/>
  <c r="AZ52"/>
  <c r="BA52"/>
  <c r="BB52"/>
  <c r="AR53"/>
  <c r="AS53"/>
  <c r="AT53"/>
  <c r="AV53"/>
  <c r="AW53"/>
  <c r="AX53"/>
  <c r="AZ53"/>
  <c r="BA53"/>
  <c r="BB53"/>
  <c r="BB57"/>
  <c r="AZ57"/>
  <c r="AX57"/>
  <c r="AV57"/>
  <c r="AT57"/>
  <c r="AS57"/>
  <c r="AR57"/>
  <c r="BB55"/>
  <c r="BA55"/>
  <c r="AZ55"/>
  <c r="AX55"/>
  <c r="AW55"/>
  <c r="AV55"/>
  <c r="AT55"/>
  <c r="AS55"/>
  <c r="AR55"/>
  <c r="BB54"/>
  <c r="BA54"/>
  <c r="AZ54"/>
  <c r="AX54"/>
  <c r="AW54"/>
  <c r="AV54"/>
  <c r="AT54"/>
  <c r="AS54"/>
  <c r="AR54"/>
  <c r="BB50"/>
  <c r="BA50"/>
  <c r="AZ50"/>
  <c r="AX50"/>
  <c r="AW50"/>
  <c r="AV50"/>
  <c r="AT50"/>
  <c r="AS50"/>
  <c r="AR50"/>
  <c r="BB49"/>
  <c r="BA49"/>
  <c r="AZ49"/>
  <c r="AX49"/>
  <c r="AW49"/>
  <c r="AV49"/>
  <c r="AT49"/>
  <c r="AS49"/>
  <c r="AR49"/>
  <c r="BB44"/>
  <c r="BA44"/>
  <c r="AZ44"/>
  <c r="AX44"/>
  <c r="AW44"/>
  <c r="AV44"/>
  <c r="AT44"/>
  <c r="AS44"/>
  <c r="AR44"/>
  <c r="BB42"/>
  <c r="BA42"/>
  <c r="AZ42"/>
  <c r="AX42"/>
  <c r="AW42"/>
  <c r="AV42"/>
  <c r="AT42"/>
  <c r="AS42"/>
  <c r="AR42"/>
  <c r="BB41"/>
  <c r="BA41"/>
  <c r="AZ41"/>
  <c r="AX41"/>
  <c r="AW41"/>
  <c r="AV41"/>
  <c r="AT41"/>
  <c r="AS41"/>
  <c r="AR41"/>
  <c r="BB40"/>
  <c r="BA40"/>
  <c r="AZ40"/>
  <c r="AT40"/>
  <c r="AS40"/>
  <c r="AR40"/>
  <c r="BB39"/>
  <c r="BA39"/>
  <c r="AZ39"/>
  <c r="AX39"/>
  <c r="AW39"/>
  <c r="AV39"/>
  <c r="AT39"/>
  <c r="AS39"/>
  <c r="AR39"/>
  <c r="BB38"/>
  <c r="BA38"/>
  <c r="AZ38"/>
  <c r="AX38"/>
  <c r="AW38"/>
  <c r="AV38"/>
  <c r="AT38"/>
  <c r="AS38"/>
  <c r="AR38"/>
  <c r="BB37"/>
  <c r="BA37"/>
  <c r="AZ37"/>
  <c r="AX37"/>
  <c r="AW37"/>
  <c r="AV37"/>
  <c r="AT37"/>
  <c r="AS37"/>
  <c r="AR37"/>
  <c r="X35"/>
  <c r="W35"/>
  <c r="BB27"/>
  <c r="BA27"/>
  <c r="AZ27"/>
  <c r="AX27"/>
  <c r="AW27"/>
  <c r="AV27"/>
  <c r="AT27"/>
  <c r="AS27"/>
  <c r="AR27"/>
  <c r="BB26"/>
  <c r="BA26"/>
  <c r="AZ26"/>
  <c r="AX26"/>
  <c r="AW26"/>
  <c r="AV26"/>
  <c r="AT26"/>
  <c r="AS26"/>
  <c r="AR26"/>
  <c r="BB25"/>
  <c r="BA25"/>
  <c r="AZ25"/>
  <c r="AX25"/>
  <c r="AW25"/>
  <c r="AV25"/>
  <c r="AT25"/>
  <c r="AS25"/>
  <c r="AR25"/>
  <c r="BB24"/>
  <c r="BA24"/>
  <c r="AZ24"/>
  <c r="AX24"/>
  <c r="AW24"/>
  <c r="AV24"/>
  <c r="AT24"/>
  <c r="AS24"/>
  <c r="AR24"/>
  <c r="BB23"/>
  <c r="BA23"/>
  <c r="AZ23"/>
  <c r="AX23"/>
  <c r="AW23"/>
  <c r="AV23"/>
  <c r="AT23"/>
  <c r="AS23"/>
  <c r="AR23"/>
  <c r="BB22"/>
  <c r="BA22"/>
  <c r="AZ22"/>
  <c r="AX22"/>
  <c r="AW22"/>
  <c r="AV22"/>
  <c r="AT22"/>
  <c r="AS22"/>
  <c r="AR22"/>
  <c r="BB21"/>
  <c r="BA21"/>
  <c r="AZ21"/>
  <c r="AX21"/>
  <c r="AW21"/>
  <c r="AV21"/>
  <c r="AT21"/>
  <c r="AS21"/>
  <c r="AR21"/>
  <c r="BB19"/>
  <c r="BA19"/>
  <c r="AZ19"/>
  <c r="AX19"/>
  <c r="AW19"/>
  <c r="AV19"/>
  <c r="AT19"/>
  <c r="AS19"/>
  <c r="AR19"/>
  <c r="BB18"/>
  <c r="BA18"/>
  <c r="AZ18"/>
  <c r="AX18"/>
  <c r="AW18"/>
  <c r="AV18"/>
  <c r="AT18"/>
  <c r="AS18"/>
  <c r="AR18"/>
  <c r="BB17"/>
  <c r="BA17"/>
  <c r="AZ17"/>
  <c r="AX17"/>
  <c r="AW17"/>
  <c r="AV17"/>
  <c r="AT17"/>
  <c r="AS17"/>
  <c r="AR17"/>
  <c r="BB16"/>
  <c r="BA16"/>
  <c r="AZ16"/>
  <c r="AX16"/>
  <c r="AW16"/>
  <c r="AV16"/>
  <c r="AT16"/>
  <c r="AS16"/>
  <c r="AR16"/>
  <c r="BA15"/>
  <c r="AZ15"/>
  <c r="AX15"/>
  <c r="AW15"/>
  <c r="AV15"/>
  <c r="AS15"/>
  <c r="AR15"/>
  <c r="AT15"/>
  <c r="BB14"/>
  <c r="BA14"/>
  <c r="AZ14"/>
  <c r="AX14"/>
  <c r="AW14"/>
  <c r="AV14"/>
  <c r="AT14"/>
  <c r="AS14"/>
  <c r="AR14"/>
  <c r="AR35" s="1"/>
  <c r="AR61" s="1"/>
  <c r="AZ19" i="9" l="1"/>
  <c r="AX22"/>
  <c r="AR19"/>
  <c r="AW22"/>
  <c r="AF23"/>
  <c r="AL23"/>
  <c r="AV26"/>
  <c r="AH27"/>
  <c r="X30"/>
  <c r="AX35"/>
  <c r="AX34"/>
  <c r="AX38" s="1"/>
  <c r="N16" i="10"/>
  <c r="N19" s="1"/>
  <c r="S23" i="12" s="1"/>
  <c r="P16" i="10"/>
  <c r="P19" s="1"/>
  <c r="U23" i="12" s="1"/>
  <c r="AA16" i="10"/>
  <c r="AA19" s="1"/>
  <c r="S31" i="12" s="1"/>
  <c r="AR18" i="10"/>
  <c r="AV13" i="9"/>
  <c r="AV17"/>
  <c r="AT38"/>
  <c r="AV34"/>
  <c r="AV35" s="1"/>
  <c r="AF16" i="10"/>
  <c r="BC51" i="8"/>
  <c r="AW13" i="9"/>
  <c r="AY13" s="1"/>
  <c r="AR28"/>
  <c r="AR36" s="1"/>
  <c r="AW18"/>
  <c r="Q19"/>
  <c r="AU21"/>
  <c r="AH23"/>
  <c r="AZ23"/>
  <c r="AZ27"/>
  <c r="R39"/>
  <c r="AR35"/>
  <c r="AV38"/>
  <c r="AQ34"/>
  <c r="M35"/>
  <c r="AH35"/>
  <c r="AZ35"/>
  <c r="AW34"/>
  <c r="AW38" s="1"/>
  <c r="AY38" s="1"/>
  <c r="AN28"/>
  <c r="AN36" s="1"/>
  <c r="AQ26"/>
  <c r="AF19" i="10"/>
  <c r="T32" i="12" s="1"/>
  <c r="F16" i="10"/>
  <c r="F19" s="1"/>
  <c r="S21" i="12" s="1"/>
  <c r="R16" i="10"/>
  <c r="R19" s="1"/>
  <c r="S24" i="12" s="1"/>
  <c r="AB16" i="10"/>
  <c r="AB19" s="1"/>
  <c r="T31" i="12" s="1"/>
  <c r="AE16" i="10"/>
  <c r="AE19" s="1"/>
  <c r="S32" i="12" s="1"/>
  <c r="AN18" i="10"/>
  <c r="AV18" s="1"/>
  <c r="E18"/>
  <c r="U18"/>
  <c r="AL18"/>
  <c r="I18"/>
  <c r="Y18"/>
  <c r="Q18"/>
  <c r="AQ18"/>
  <c r="AH18"/>
  <c r="W16"/>
  <c r="H16"/>
  <c r="H19" s="1"/>
  <c r="U21" i="12" s="1"/>
  <c r="G16" i="10"/>
  <c r="G19" s="1"/>
  <c r="T21" i="12" s="1"/>
  <c r="O16" i="10"/>
  <c r="O19" s="1"/>
  <c r="T23" i="12" s="1"/>
  <c r="AM18" i="10"/>
  <c r="AO18"/>
  <c r="AS18"/>
  <c r="AT18" s="1"/>
  <c r="AK19"/>
  <c r="AL19" s="1"/>
  <c r="E23" i="9"/>
  <c r="AN27"/>
  <c r="AL27"/>
  <c r="AT23"/>
  <c r="AU23" s="1"/>
  <c r="AC39"/>
  <c r="AN37"/>
  <c r="AT15"/>
  <c r="AV18"/>
  <c r="AR29"/>
  <c r="AC30"/>
  <c r="AS35"/>
  <c r="AO38"/>
  <c r="AH19"/>
  <c r="Q23"/>
  <c r="AV25"/>
  <c r="AV27" s="1"/>
  <c r="AX26"/>
  <c r="R30"/>
  <c r="AT35"/>
  <c r="N39"/>
  <c r="AP38"/>
  <c r="AQ38" s="1"/>
  <c r="AW25"/>
  <c r="AS15"/>
  <c r="AL15"/>
  <c r="AT28"/>
  <c r="AX18"/>
  <c r="AY18" s="1"/>
  <c r="I23"/>
  <c r="T30"/>
  <c r="AA30"/>
  <c r="AF28"/>
  <c r="AF36" s="1"/>
  <c r="AF39" s="1"/>
  <c r="AT29"/>
  <c r="AT37" s="1"/>
  <c r="N30"/>
  <c r="AS37"/>
  <c r="W30"/>
  <c r="Q35"/>
  <c r="E19"/>
  <c r="AL35"/>
  <c r="AL19"/>
  <c r="X39"/>
  <c r="AS28"/>
  <c r="AS36" s="1"/>
  <c r="E35"/>
  <c r="E27"/>
  <c r="AO27"/>
  <c r="C36"/>
  <c r="C39" s="1"/>
  <c r="AQ13"/>
  <c r="AW14"/>
  <c r="AW15" s="1"/>
  <c r="AO15"/>
  <c r="AP28"/>
  <c r="AX17"/>
  <c r="AW21"/>
  <c r="AW23" s="1"/>
  <c r="AO28"/>
  <c r="AO23"/>
  <c r="AP23"/>
  <c r="AX21"/>
  <c r="F30"/>
  <c r="F36"/>
  <c r="F39" s="1"/>
  <c r="K36"/>
  <c r="K39" s="1"/>
  <c r="M39" s="1"/>
  <c r="K30"/>
  <c r="P36"/>
  <c r="Q28"/>
  <c r="P30"/>
  <c r="AQ33"/>
  <c r="AH15"/>
  <c r="AQ17"/>
  <c r="AQ21"/>
  <c r="AP27"/>
  <c r="AX25"/>
  <c r="AQ25"/>
  <c r="AJ37"/>
  <c r="AL37" s="1"/>
  <c r="AL29"/>
  <c r="AJ30"/>
  <c r="AP19"/>
  <c r="AJ39"/>
  <c r="O37"/>
  <c r="O39" s="1"/>
  <c r="Q29"/>
  <c r="D30"/>
  <c r="E30" s="1"/>
  <c r="AP35"/>
  <c r="J39"/>
  <c r="T39"/>
  <c r="AN29"/>
  <c r="AV14"/>
  <c r="AT19"/>
  <c r="AL28"/>
  <c r="AK30"/>
  <c r="AO29"/>
  <c r="AO37" s="1"/>
  <c r="AK36"/>
  <c r="AR37"/>
  <c r="AA39"/>
  <c r="AG36"/>
  <c r="AP29"/>
  <c r="AP37" s="1"/>
  <c r="AN23"/>
  <c r="H36"/>
  <c r="I28"/>
  <c r="AI30"/>
  <c r="AS29"/>
  <c r="G30"/>
  <c r="L30"/>
  <c r="AG30"/>
  <c r="Q32"/>
  <c r="AO32"/>
  <c r="AW32" s="1"/>
  <c r="AW35" s="1"/>
  <c r="Y39"/>
  <c r="AX14"/>
  <c r="AP15"/>
  <c r="AO19"/>
  <c r="AW17"/>
  <c r="AS19"/>
  <c r="AW26"/>
  <c r="Q27"/>
  <c r="D36"/>
  <c r="E28"/>
  <c r="J30"/>
  <c r="O30"/>
  <c r="S30"/>
  <c r="Y30"/>
  <c r="AE36"/>
  <c r="AE39" s="1"/>
  <c r="AE30"/>
  <c r="H30"/>
  <c r="AN35"/>
  <c r="B36"/>
  <c r="B39" s="1"/>
  <c r="S36"/>
  <c r="S39" s="1"/>
  <c r="AU38" i="8"/>
  <c r="BC52"/>
  <c r="BC53"/>
  <c r="BC41"/>
  <c r="AW57"/>
  <c r="AU37"/>
  <c r="BC40"/>
  <c r="BB15"/>
  <c r="BC15" s="1"/>
  <c r="AU40"/>
  <c r="AU42"/>
  <c r="BA57"/>
  <c r="BC57" s="1"/>
  <c r="AU39"/>
  <c r="BC37"/>
  <c r="AU41"/>
  <c r="BC50"/>
  <c r="AS35"/>
  <c r="AS61" s="1"/>
  <c r="BC17"/>
  <c r="BC19"/>
  <c r="BC24"/>
  <c r="AW35"/>
  <c r="AW61" s="1"/>
  <c r="AZ35"/>
  <c r="AZ61" s="1"/>
  <c r="AV35"/>
  <c r="AV61" s="1"/>
  <c r="AX35"/>
  <c r="AX61" s="1"/>
  <c r="BC14"/>
  <c r="BC23"/>
  <c r="BC42"/>
  <c r="AU49"/>
  <c r="BC16"/>
  <c r="BC18"/>
  <c r="BC22"/>
  <c r="BC39"/>
  <c r="AU50"/>
  <c r="BC21"/>
  <c r="BC38"/>
  <c r="BC44"/>
  <c r="BC49"/>
  <c r="AT61"/>
  <c r="AR16" i="10" l="1"/>
  <c r="AR19" s="1"/>
  <c r="AR30" i="9"/>
  <c r="AH28"/>
  <c r="AV37"/>
  <c r="AV28"/>
  <c r="AY34"/>
  <c r="BA35"/>
  <c r="AQ32"/>
  <c r="AN30"/>
  <c r="AV19"/>
  <c r="AY61" i="8"/>
  <c r="AU61"/>
  <c r="AU18" i="10"/>
  <c r="AU28" i="9"/>
  <c r="I16" i="10"/>
  <c r="W19"/>
  <c r="T30" i="12" s="1"/>
  <c r="T33" s="1"/>
  <c r="I19" i="10"/>
  <c r="Q19"/>
  <c r="Q37" i="9"/>
  <c r="AZ30"/>
  <c r="AW37"/>
  <c r="AV29"/>
  <c r="L16" i="10"/>
  <c r="K16"/>
  <c r="K19" s="1"/>
  <c r="T22" i="12" s="1"/>
  <c r="T16" i="10"/>
  <c r="C16"/>
  <c r="B16"/>
  <c r="D16"/>
  <c r="S16"/>
  <c r="S19" s="1"/>
  <c r="T24" i="12" s="1"/>
  <c r="V16" i="10"/>
  <c r="J16"/>
  <c r="J19" s="1"/>
  <c r="S22" i="12" s="1"/>
  <c r="AP18" i="10"/>
  <c r="AW18"/>
  <c r="AW27" i="9"/>
  <c r="AT36"/>
  <c r="AT39" s="1"/>
  <c r="AV15"/>
  <c r="AF30"/>
  <c r="AH30" s="1"/>
  <c r="AT30"/>
  <c r="AO36"/>
  <c r="AS39"/>
  <c r="AQ27"/>
  <c r="AQ23"/>
  <c r="AL30"/>
  <c r="AS30"/>
  <c r="AQ15"/>
  <c r="AY25"/>
  <c r="AX27"/>
  <c r="BA27" s="1"/>
  <c r="Q30"/>
  <c r="AY21"/>
  <c r="AX23"/>
  <c r="AX19"/>
  <c r="BA19" s="1"/>
  <c r="AY17"/>
  <c r="AX28"/>
  <c r="AQ37"/>
  <c r="AX37"/>
  <c r="AY26"/>
  <c r="AQ28"/>
  <c r="AP36"/>
  <c r="AP30"/>
  <c r="AX29"/>
  <c r="AX15"/>
  <c r="AO35"/>
  <c r="AQ35" s="1"/>
  <c r="AV36"/>
  <c r="AV39" s="1"/>
  <c r="AN39"/>
  <c r="AK39"/>
  <c r="AL39" s="1"/>
  <c r="AL36"/>
  <c r="AQ19"/>
  <c r="AR39"/>
  <c r="Q36"/>
  <c r="P39"/>
  <c r="Q39" s="1"/>
  <c r="I30"/>
  <c r="D39"/>
  <c r="E39" s="1"/>
  <c r="E36"/>
  <c r="AW19"/>
  <c r="AW28"/>
  <c r="H39"/>
  <c r="I39" s="1"/>
  <c r="I36"/>
  <c r="AH36"/>
  <c r="AG39"/>
  <c r="AY33"/>
  <c r="AO30"/>
  <c r="AW29"/>
  <c r="AY35" i="8"/>
  <c r="BA35"/>
  <c r="BA61" s="1"/>
  <c r="AU35"/>
  <c r="AU36" i="9" l="1"/>
  <c r="AV30"/>
  <c r="AY37"/>
  <c r="BC61" i="8"/>
  <c r="AQ16" i="10"/>
  <c r="AQ19" s="1"/>
  <c r="V19"/>
  <c r="S30" i="12" s="1"/>
  <c r="S33" s="1"/>
  <c r="AN16" i="10"/>
  <c r="C19"/>
  <c r="T20" i="12" s="1"/>
  <c r="T25" s="1"/>
  <c r="T38" s="1"/>
  <c r="M16" i="10"/>
  <c r="L19"/>
  <c r="AG16"/>
  <c r="AO16"/>
  <c r="E16"/>
  <c r="D19"/>
  <c r="U20" i="12" s="1"/>
  <c r="AM16" i="10"/>
  <c r="B19"/>
  <c r="S20" i="12" s="1"/>
  <c r="S25" s="1"/>
  <c r="U16" i="10"/>
  <c r="T19"/>
  <c r="X16"/>
  <c r="AC16"/>
  <c r="AZ39" i="9"/>
  <c r="AH39"/>
  <c r="AY15"/>
  <c r="BA15"/>
  <c r="AY23"/>
  <c r="BA23"/>
  <c r="AX18" i="10"/>
  <c r="AY27" i="9"/>
  <c r="AU39"/>
  <c r="AU30"/>
  <c r="AY29"/>
  <c r="AY35"/>
  <c r="AY32"/>
  <c r="AQ30"/>
  <c r="AY28"/>
  <c r="AX30"/>
  <c r="BA30" s="1"/>
  <c r="AX36"/>
  <c r="AX39" s="1"/>
  <c r="AP39"/>
  <c r="AQ36"/>
  <c r="AO39"/>
  <c r="AW36"/>
  <c r="AW39" s="1"/>
  <c r="AW30"/>
  <c r="AY19"/>
  <c r="S38" i="12" l="1"/>
  <c r="U19" i="10"/>
  <c r="U24" i="12"/>
  <c r="M19" i="10"/>
  <c r="U22" i="12"/>
  <c r="E19" i="10"/>
  <c r="AU16"/>
  <c r="AU19" s="1"/>
  <c r="AM19"/>
  <c r="AG19"/>
  <c r="AD16"/>
  <c r="AC19"/>
  <c r="AS16"/>
  <c r="AW16" s="1"/>
  <c r="Y16"/>
  <c r="X19"/>
  <c r="AP16"/>
  <c r="AO19"/>
  <c r="AV16"/>
  <c r="AV19" s="1"/>
  <c r="AN19"/>
  <c r="AY30" i="9"/>
  <c r="AY36"/>
  <c r="AY39"/>
  <c r="AQ39"/>
  <c r="U25" i="12" l="1"/>
  <c r="V25" s="1"/>
  <c r="AH19" i="10"/>
  <c r="U32" i="12"/>
  <c r="AD19" i="10"/>
  <c r="U31" i="12"/>
  <c r="Y19" i="10"/>
  <c r="U30" i="12"/>
  <c r="AP19" i="10"/>
  <c r="AX16"/>
  <c r="AW19"/>
  <c r="AX19" s="1"/>
  <c r="AT16"/>
  <c r="AS19"/>
  <c r="AT19" s="1"/>
  <c r="BA39" i="9"/>
  <c r="U33" i="12" l="1"/>
  <c r="V33" l="1"/>
  <c r="V38" s="1"/>
  <c r="U38"/>
</calcChain>
</file>

<file path=xl/sharedStrings.xml><?xml version="1.0" encoding="utf-8"?>
<sst xmlns="http://schemas.openxmlformats.org/spreadsheetml/2006/main" count="2182" uniqueCount="976">
  <si>
    <t>Megnevezés</t>
  </si>
  <si>
    <t>Konszolidálás előtti összeg</t>
  </si>
  <si>
    <t>Konszolidálás</t>
  </si>
  <si>
    <t>Konszolidált összeg</t>
  </si>
  <si>
    <t xml:space="preserve">ESZKÖZÖK ÖSSZESEN </t>
  </si>
  <si>
    <t>FORRÁSOK ÖSSZESEN</t>
  </si>
  <si>
    <t>H/II Költségvetési évet követően esedékes kötelezettségek (=H/II/1+…+H/II/9)</t>
  </si>
  <si>
    <t>Adatok Ft-ban</t>
  </si>
  <si>
    <t>Sorszám</t>
  </si>
  <si>
    <t xml:space="preserve">A) </t>
  </si>
  <si>
    <t xml:space="preserve">B/I </t>
  </si>
  <si>
    <t xml:space="preserve">B) </t>
  </si>
  <si>
    <t xml:space="preserve">C/II </t>
  </si>
  <si>
    <t>C/III-IV.</t>
  </si>
  <si>
    <t xml:space="preserve">D/I </t>
  </si>
  <si>
    <t>G/IV</t>
  </si>
  <si>
    <t xml:space="preserve">H/II </t>
  </si>
  <si>
    <t xml:space="preserve">H/III </t>
  </si>
  <si>
    <t>A/I.</t>
  </si>
  <si>
    <t>A/II.</t>
  </si>
  <si>
    <t xml:space="preserve">A/III.  </t>
  </si>
  <si>
    <t xml:space="preserve">A/IV.  </t>
  </si>
  <si>
    <t>A)</t>
  </si>
  <si>
    <t>B/I.</t>
  </si>
  <si>
    <t>B)</t>
  </si>
  <si>
    <t>C/II.</t>
  </si>
  <si>
    <t>C)</t>
  </si>
  <si>
    <t xml:space="preserve">D/I. </t>
  </si>
  <si>
    <t>D/II.</t>
  </si>
  <si>
    <t xml:space="preserve">D/III. </t>
  </si>
  <si>
    <t>D)</t>
  </si>
  <si>
    <t>E)</t>
  </si>
  <si>
    <t>F)</t>
  </si>
  <si>
    <t xml:space="preserve">A-F) </t>
  </si>
  <si>
    <t>G/I-III.</t>
  </si>
  <si>
    <t>G/IV.</t>
  </si>
  <si>
    <t>G/VI.</t>
  </si>
  <si>
    <t>G)</t>
  </si>
  <si>
    <t>H)</t>
  </si>
  <si>
    <t>H/II.</t>
  </si>
  <si>
    <t xml:space="preserve">H/III. </t>
  </si>
  <si>
    <t>J)</t>
  </si>
  <si>
    <t>G-J)</t>
  </si>
  <si>
    <t xml:space="preserve">Immateriális javak </t>
  </si>
  <si>
    <t xml:space="preserve">Tárgyi eszközök </t>
  </si>
  <si>
    <t xml:space="preserve">Befektetett pénzügyi eszközök </t>
  </si>
  <si>
    <t xml:space="preserve">Koncesszióba, vagyonkezelésbe adott eszközök </t>
  </si>
  <si>
    <t xml:space="preserve">NEMZETI VAGYONBA TARTOZÓ BEFEKTETETT ESZKÖZÖK </t>
  </si>
  <si>
    <t>Készletek</t>
  </si>
  <si>
    <t xml:space="preserve">NEMZETI VAGYONBA TARTOZÓ FORGÓESZKÖZÖK </t>
  </si>
  <si>
    <t xml:space="preserve">Pénztárak, csekkek, betétkönyvek </t>
  </si>
  <si>
    <t>Forintszámlák és Devizaszámlák</t>
  </si>
  <si>
    <t>PÉNZESZKÖZÖK</t>
  </si>
  <si>
    <t>Költségvetési évben esedékes követelések</t>
  </si>
  <si>
    <t xml:space="preserve">Költségvetési évet követően esedékes követelések </t>
  </si>
  <si>
    <t xml:space="preserve">Követelés jellegű sajátos elszámolások </t>
  </si>
  <si>
    <t xml:space="preserve">KÖVETELÉSEK </t>
  </si>
  <si>
    <t xml:space="preserve">EGYÉB SAJÁTOS ELSZÁMOLÁSOK </t>
  </si>
  <si>
    <t xml:space="preserve">AKTÍV IDŐBELI  ELHATÁROLÁSOK  </t>
  </si>
  <si>
    <t>Nemzeti vagyon és egyéb eszközök induláskori értéke és változásai</t>
  </si>
  <si>
    <t>Felhalmozott eredmény</t>
  </si>
  <si>
    <t>Mérleg szerinti eredmény</t>
  </si>
  <si>
    <t xml:space="preserve">SAJÁT TŐKE </t>
  </si>
  <si>
    <t>Költségvetési évben esedékes kötelezettségek</t>
  </si>
  <si>
    <t xml:space="preserve">Költségvetési évet követően esedékes kötelezettségek </t>
  </si>
  <si>
    <t xml:space="preserve">Kötelezettség jellegű sajátos elszámolások </t>
  </si>
  <si>
    <t xml:space="preserve">KÖTELEZETTSÉGEK </t>
  </si>
  <si>
    <t>PASSZÍV IDŐBELI ELHATÁROLÁSOK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</si>
  <si>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</si>
  <si>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</si>
  <si>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</si>
  <si>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 xml:space="preserve">I.    Tevékenység nettó eredményszemléletű bevétele </t>
  </si>
  <si>
    <t>06   Központi működési célú támogatások eredményszemléletű bevételei</t>
  </si>
  <si>
    <t>07   Egyéb működési célú támogatások eredményszemléletű bevételei</t>
  </si>
  <si>
    <t>III. Egyéb eredményszemléletű bevételek</t>
  </si>
  <si>
    <t xml:space="preserve">IV. Anyagjellegű ráfordítások </t>
  </si>
  <si>
    <t>VII. Egyéb ráfordítások</t>
  </si>
  <si>
    <t>26b - ebből: egyéb pénzeszközök mérlegfordulónapi értékelése során megállapított (nem realizált) árfolyamvesztesége</t>
  </si>
  <si>
    <t>04   Saját termelésű készletek állományváltozása</t>
  </si>
  <si>
    <t>05   Saját előállítású eszközök aktivált értéke</t>
  </si>
  <si>
    <t>08   Felhalmozási célú támogatások eredményszemléletű bevételei</t>
  </si>
  <si>
    <t>09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</si>
  <si>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</si>
  <si>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</si>
  <si>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</si>
  <si>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</si>
  <si>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</si>
  <si>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</si>
  <si>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</si>
  <si>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VI.  Értékcsökkenési leírás</t>
  </si>
  <si>
    <t>20   Egyéb kapott (járó) kamatok és kamatjellegű eredményszemléletű bevételek</t>
  </si>
  <si>
    <t>VIII. Pénzügyi műveletek eredményszemléletű bevételei</t>
  </si>
  <si>
    <t xml:space="preserve">II.   Aktivált saját teljesítmények értéke </t>
  </si>
  <si>
    <t xml:space="preserve">V.   Személyi jellegű ráfordítások </t>
  </si>
  <si>
    <t>A)   TEVÉKENYSÉGEK EREDMÉNYE</t>
  </si>
  <si>
    <t xml:space="preserve">26   Pénzügyi műveletek egyéb ráfordításai </t>
  </si>
  <si>
    <t xml:space="preserve">IX.  Pénzügyi műveletek ráfordításai </t>
  </si>
  <si>
    <t xml:space="preserve">B)   PÉNZÜGYI MŰVELETEK EREDMÉNYE </t>
  </si>
  <si>
    <t xml:space="preserve">C)   MÉRLEG SZERINTI EREDMÉNY </t>
  </si>
  <si>
    <t>Módosítások (+/-)</t>
  </si>
  <si>
    <t>2016. év</t>
  </si>
  <si>
    <t xml:space="preserve">A/I/1 </t>
  </si>
  <si>
    <t xml:space="preserve">A/I/2 </t>
  </si>
  <si>
    <t xml:space="preserve">A/I </t>
  </si>
  <si>
    <t xml:space="preserve">A/II/1 </t>
  </si>
  <si>
    <t xml:space="preserve">A/II/2 </t>
  </si>
  <si>
    <t xml:space="preserve">A/II/3 </t>
  </si>
  <si>
    <t xml:space="preserve">A/II/4 </t>
  </si>
  <si>
    <t xml:space="preserve">A/II </t>
  </si>
  <si>
    <t xml:space="preserve">A/III/1 </t>
  </si>
  <si>
    <t xml:space="preserve">A/III/1b </t>
  </si>
  <si>
    <t xml:space="preserve">A/III </t>
  </si>
  <si>
    <t>A/IV/1</t>
  </si>
  <si>
    <t>A/IV/1b</t>
  </si>
  <si>
    <t xml:space="preserve">A/IV </t>
  </si>
  <si>
    <t>B/I/1</t>
  </si>
  <si>
    <t xml:space="preserve">B/I/4  </t>
  </si>
  <si>
    <t xml:space="preserve">B/I/5 </t>
  </si>
  <si>
    <t xml:space="preserve">C/II/1 </t>
  </si>
  <si>
    <t xml:space="preserve">C/II/2 </t>
  </si>
  <si>
    <t>C/III/1</t>
  </si>
  <si>
    <t xml:space="preserve">C/IV/1 </t>
  </si>
  <si>
    <t>C/III</t>
  </si>
  <si>
    <t xml:space="preserve">C/IV </t>
  </si>
  <si>
    <t xml:space="preserve">C) </t>
  </si>
  <si>
    <t xml:space="preserve">D/I/3 </t>
  </si>
  <si>
    <t xml:space="preserve">D/I/3a  </t>
  </si>
  <si>
    <t>D/I/3e</t>
  </si>
  <si>
    <t xml:space="preserve">D/I/3f </t>
  </si>
  <si>
    <t xml:space="preserve">D/I/4 </t>
  </si>
  <si>
    <t xml:space="preserve">D/I/4a </t>
  </si>
  <si>
    <t xml:space="preserve">D/I/4b </t>
  </si>
  <si>
    <t xml:space="preserve">D/I/4c </t>
  </si>
  <si>
    <t xml:space="preserve">D/I/4d </t>
  </si>
  <si>
    <t xml:space="preserve">D/I/4i </t>
  </si>
  <si>
    <t xml:space="preserve">D/I/4f </t>
  </si>
  <si>
    <t xml:space="preserve">D/I/5 </t>
  </si>
  <si>
    <t xml:space="preserve">D/I/5b </t>
  </si>
  <si>
    <t xml:space="preserve">D/I/7 </t>
  </si>
  <si>
    <t xml:space="preserve">D/I/7c </t>
  </si>
  <si>
    <t>D/II/4</t>
  </si>
  <si>
    <t>D/II/4e</t>
  </si>
  <si>
    <t xml:space="preserve">D/II/5 </t>
  </si>
  <si>
    <t xml:space="preserve">D/II/5b </t>
  </si>
  <si>
    <t xml:space="preserve">D/II/6 </t>
  </si>
  <si>
    <t xml:space="preserve">D/II/6c </t>
  </si>
  <si>
    <t>D/II/7</t>
  </si>
  <si>
    <t xml:space="preserve">D/II/7c </t>
  </si>
  <si>
    <t xml:space="preserve">D/II </t>
  </si>
  <si>
    <t xml:space="preserve">D/III/1 </t>
  </si>
  <si>
    <t xml:space="preserve">D/III/1b </t>
  </si>
  <si>
    <t xml:space="preserve">D/III/1e </t>
  </si>
  <si>
    <t xml:space="preserve">D/III/1f </t>
  </si>
  <si>
    <t xml:space="preserve">D/III/4 </t>
  </si>
  <si>
    <t xml:space="preserve">D/III/7 </t>
  </si>
  <si>
    <t>D/III</t>
  </si>
  <si>
    <t xml:space="preserve">D) </t>
  </si>
  <si>
    <t xml:space="preserve">E/I/2 </t>
  </si>
  <si>
    <t xml:space="preserve">E/I </t>
  </si>
  <si>
    <t xml:space="preserve">E/II/2 </t>
  </si>
  <si>
    <t xml:space="preserve">E/II </t>
  </si>
  <si>
    <t xml:space="preserve">E/III/1 </t>
  </si>
  <si>
    <t xml:space="preserve">E/III/2 </t>
  </si>
  <si>
    <t xml:space="preserve">E/III </t>
  </si>
  <si>
    <t xml:space="preserve">E) </t>
  </si>
  <si>
    <t>F/2</t>
  </si>
  <si>
    <t xml:space="preserve">F) </t>
  </si>
  <si>
    <t>A-F)</t>
  </si>
  <si>
    <t xml:space="preserve">G/I  </t>
  </si>
  <si>
    <t xml:space="preserve">G/II </t>
  </si>
  <si>
    <t>G/III/3</t>
  </si>
  <si>
    <t xml:space="preserve">G/III </t>
  </si>
  <si>
    <t>G/VI</t>
  </si>
  <si>
    <t xml:space="preserve">H/I/3 </t>
  </si>
  <si>
    <t xml:space="preserve">H/I/6 </t>
  </si>
  <si>
    <t xml:space="preserve">H/I </t>
  </si>
  <si>
    <t>H/II/3</t>
  </si>
  <si>
    <t xml:space="preserve">H/II/9 </t>
  </si>
  <si>
    <t xml:space="preserve">H/II/9e </t>
  </si>
  <si>
    <t>H/III/1</t>
  </si>
  <si>
    <t>H/III/3</t>
  </si>
  <si>
    <t xml:space="preserve">H/III/8 </t>
  </si>
  <si>
    <t xml:space="preserve">H) </t>
  </si>
  <si>
    <t xml:space="preserve">J/1 </t>
  </si>
  <si>
    <t>J/2</t>
  </si>
  <si>
    <t xml:space="preserve">J/3 </t>
  </si>
  <si>
    <t xml:space="preserve">J) </t>
  </si>
  <si>
    <t>Vagyoni értékű jogok</t>
  </si>
  <si>
    <t>Szellemi termékek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</si>
  <si>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</si>
  <si>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</si>
  <si>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</si>
  <si>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</si>
  <si>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</si>
  <si>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 xml:space="preserve">    ebből: tartós részesedések nem pénzügyi vállalkozásban</t>
  </si>
  <si>
    <t>Tartós részesedések</t>
  </si>
  <si>
    <t xml:space="preserve">    ebből: tárgyi eszközök</t>
  </si>
  <si>
    <t>Koncesszióba, vagyonkezelésbe adott eszközök</t>
  </si>
  <si>
    <t>Befektetett pénzügyi eszközök</t>
  </si>
  <si>
    <t>NEMZETI VAGYONBA TARTOZÓ BEFEKTETETT ESZKÖZÖK</t>
  </si>
  <si>
    <t>Vásárolt készletek</t>
  </si>
  <si>
    <t>Befejezetlen termelés, félkész termékek, késztermékek</t>
  </si>
  <si>
    <t>Növendék-, hízó és egyéb állatok</t>
  </si>
  <si>
    <t>NEMZETI VAGYONBA TARTOZÓ FORGÓESZKÖZÖK</t>
  </si>
  <si>
    <t>Forintpénztár</t>
  </si>
  <si>
    <t>Valutapénztár</t>
  </si>
  <si>
    <t>Pénztárak, csekkek, betétkönyvek</t>
  </si>
  <si>
    <t>Kincstáron kívüli forintszámlák</t>
  </si>
  <si>
    <t>Forintszámlák</t>
  </si>
  <si>
    <t>Kincstáron kívüli devizaszámlák</t>
  </si>
  <si>
    <t>Devizaszámlák</t>
  </si>
  <si>
    <t>Költségvetési évben esedékes követelések közhatalmi bevételre</t>
  </si>
  <si>
    <t xml:space="preserve">    ebből: költségvetési évben esedékes követelések jövedelemadókra</t>
  </si>
  <si>
    <t xml:space="preserve">    ebből: költségvetési évben esedékes követelések termékek és szolgáltatások adóira</t>
  </si>
  <si>
    <t xml:space="preserve">    ebből: költségvetési évben esedékes követelések egyéb közhatalmi bevételekre</t>
  </si>
  <si>
    <t>Költségvetési évben esedékes követelések működési bevételre</t>
  </si>
  <si>
    <t xml:space="preserve">    ebből: költségvetési évben esedékes követelések tulajdonosi bevételekre</t>
  </si>
  <si>
    <t xml:space="preserve">    szolgáltatások ellenértékére, közvetített szolgáltatások ellenértékére</t>
  </si>
  <si>
    <t xml:space="preserve">    ebből: költségvetési évben esedékes követelések készletértékesítés ellenértékére,  </t>
  </si>
  <si>
    <t xml:space="preserve">    ebből: költségvetési évben esedékes követelések ellátási díjakra</t>
  </si>
  <si>
    <t xml:space="preserve">    ebből: költségvetési évben esedékes követelések kiszámlázott általános forgalmi adóra</t>
  </si>
  <si>
    <t xml:space="preserve">    ebből: költségvetési évben esedékes követelések egyéb működési bevételekre</t>
  </si>
  <si>
    <t xml:space="preserve">    ebből: költségvetési évben esedékes köv. kamatbevételekre és más nyereségjell. bevételekre</t>
  </si>
  <si>
    <t>Költségvetési évben esedékes követelések felhalmozási bevételre</t>
  </si>
  <si>
    <t xml:space="preserve">    ebből: költségvetési évben esedékes követelések ingatlanok értékesítésére</t>
  </si>
  <si>
    <t xml:space="preserve">Költségvetési évben esedékes követelések felhalmozási célú átvett pénzeszközre </t>
  </si>
  <si>
    <t xml:space="preserve">    ebből: költségvetési évben esedékes követelések felhalmozási célú visszatérítendő támogatások, </t>
  </si>
  <si>
    <t xml:space="preserve">    kölcsönök visszatérülésére államháztartáson kívülről</t>
  </si>
  <si>
    <t>Költségvetési évet követően esedékes köv. működési bevételre</t>
  </si>
  <si>
    <t>Költségvetési évet követően esedékes követelések felhalmozási bevételre</t>
  </si>
  <si>
    <t xml:space="preserve">    ebből: költségvetési évet követően esedékes követelések ingatlanok értékesítésére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</si>
  <si>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</si>
  <si>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</si>
  <si>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</t>
  </si>
  <si>
    <t>Adott előlegek</t>
  </si>
  <si>
    <t xml:space="preserve">    ebből: beruházásokra, felújításokra adott előlegek</t>
  </si>
  <si>
    <t xml:space="preserve">    ebből: foglalkoztatottaknak adott előlegek</t>
  </si>
  <si>
    <t xml:space="preserve">    ebből: túlfizetések, téves és visszajáró kifizetések</t>
  </si>
  <si>
    <t>Forgótőke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</si>
  <si>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</si>
  <si>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</si>
  <si>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</si>
  <si>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</si>
  <si>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</si>
  <si>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</si>
  <si>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</si>
  <si>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</si>
  <si>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Egyéb sajátos eszközoldali elszámolások</t>
  </si>
  <si>
    <t>EGYÉB SAJÁTOS ELSZÁMOLÁSOK</t>
  </si>
  <si>
    <t>Költségek, ráfordítások aktív időbeli elhatárolása</t>
  </si>
  <si>
    <t>AKTÍV IDŐBELI  ELHATÁROLÁSOK</t>
  </si>
  <si>
    <t>Nemzeti vagyon induláskori értéke</t>
  </si>
  <si>
    <t>Nemzeti vagyon változásai</t>
  </si>
  <si>
    <t>Pénzeszközön kívüli egyéb eszközök induláskori értéke és változásai</t>
  </si>
  <si>
    <t>Egyéb eszközök induláskori értéke és változásai</t>
  </si>
  <si>
    <t>SAJÁT TŐKE</t>
  </si>
  <si>
    <t>Költségvetési évben esedékes kötelezettségek dologi kiadásokra</t>
  </si>
  <si>
    <t>Költségvetési évben esedékes kötelezettségek beruházásokra</t>
  </si>
  <si>
    <t>Költségvetési évben esedékes kötelezettségek (=H/I/1+…+H/I/9)</t>
  </si>
  <si>
    <t>Költségvetési évet követően esedékes kötelezettségek dologi kiadásokra</t>
  </si>
  <si>
    <t xml:space="preserve">Költségvetési évet követően esedékes kötelezettségek finanszírozási kiadásokra </t>
  </si>
  <si>
    <t>Kapott előlegek</t>
  </si>
  <si>
    <t>Más szervezetet megillető bevételek elszámolása</t>
  </si>
  <si>
    <t>Letétre, megőrzésre, fedezetkezelésre átvett pénzeszközök, biztosítékok</t>
  </si>
  <si>
    <t>Kötelezettség jellegű sajátos elszámolások</t>
  </si>
  <si>
    <t>KÖTELEZETTSÉGEK</t>
  </si>
  <si>
    <t>Eredményszemléletű bevételek passzív időbeli elhatárolása</t>
  </si>
  <si>
    <t>Költségek, ráfordítások passzív időbeli elhatárolása</t>
  </si>
  <si>
    <t>Halasztott eredményszemléletű bevételek</t>
  </si>
  <si>
    <t xml:space="preserve">    támogatások, kölcsönök visszatérülésére államháztartáson kívülről</t>
  </si>
  <si>
    <t xml:space="preserve">    ebből: költségvetési évet követően esedékes követelések működési célú visszatérítendő </t>
  </si>
  <si>
    <t xml:space="preserve">    ebből: költségvetési évet követően esedékes követelések felhalmozási célú visszatérítendő </t>
  </si>
  <si>
    <t>Utalványok, bérletek és más hasonló, készpénz-hely. fiz. eszköznek nem minősülő eszk. elsz.</t>
  </si>
  <si>
    <t xml:space="preserve">    ebből: költségvetési évet köv. esed. köt. áht-on belüli megelőlegezések visszafizetésére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</si>
  <si>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</si>
  <si>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</si>
  <si>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</si>
  <si>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</si>
  <si>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</si>
  <si>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</si>
  <si>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</si>
  <si>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</si>
  <si>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</si>
  <si>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</si>
  <si>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 xml:space="preserve"> </t>
  </si>
  <si>
    <t>Adatok ezer Ft-ban</t>
  </si>
  <si>
    <t>Eredeti 
előirányzat</t>
  </si>
  <si>
    <t>Módosított
előirányzat</t>
  </si>
  <si>
    <t>Teljesítés</t>
  </si>
  <si>
    <t>%</t>
  </si>
  <si>
    <t>B1. Működési célú támogatások államháztartáson belülről</t>
  </si>
  <si>
    <t xml:space="preserve">   1. Helyi önkormányzatok működésének támogatása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</si>
  <si>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</si>
  <si>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</si>
  <si>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</si>
  <si>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</si>
  <si>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</si>
  <si>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</si>
  <si>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</si>
  <si>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</si>
  <si>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</si>
  <si>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</si>
  <si>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</si>
  <si>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</si>
  <si>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</si>
  <si>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</si>
  <si>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</si>
  <si>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</si>
  <si>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</si>
  <si>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</si>
  <si>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</si>
  <si>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</si>
  <si>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</si>
  <si>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</si>
  <si>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</si>
  <si>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</si>
  <si>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</si>
  <si>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</si>
  <si>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</si>
  <si>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</si>
  <si>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</si>
  <si>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</si>
  <si>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</si>
  <si>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</si>
  <si>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>1/3. oldal</t>
  </si>
  <si>
    <t>2/3. oldal</t>
  </si>
  <si>
    <t>3/3. oldal</t>
  </si>
  <si>
    <t>kiemelt előirányzatonkénti bontásban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</si>
  <si>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</si>
  <si>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</si>
  <si>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</si>
  <si>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</si>
  <si>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</si>
  <si>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</si>
  <si>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</si>
  <si>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B8.</t>
  </si>
  <si>
    <t>B1-B8.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</si>
  <si>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</si>
  <si>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</si>
  <si>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</si>
  <si>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</si>
  <si>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</si>
  <si>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</si>
  <si>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</si>
  <si>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</si>
  <si>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</si>
  <si>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 működésre</t>
  </si>
  <si>
    <t>Előző évi maradvány igénybevétele felhalmozásra</t>
  </si>
  <si>
    <t>Működési célú</t>
  </si>
  <si>
    <t>Felhalmozási célú</t>
  </si>
  <si>
    <t>Eredeti előirányzat</t>
  </si>
  <si>
    <t>Módosított előirányzat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</si>
  <si>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</si>
  <si>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</si>
  <si>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</si>
  <si>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</si>
  <si>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</si>
  <si>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</si>
  <si>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</si>
  <si>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</si>
  <si>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</si>
  <si>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</si>
  <si>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</si>
  <si>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 xml:space="preserve">Előző évi maradvány igénybevétele 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</si>
  <si>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</si>
  <si>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</si>
  <si>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</si>
  <si>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</si>
  <si>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</si>
  <si>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Továbbszámlázott kiadások bevételei</t>
  </si>
  <si>
    <t>Önként válallt feladatok összesen</t>
  </si>
  <si>
    <t>Mindösszesen:</t>
  </si>
  <si>
    <t>Költségvetési szerv megnevezése</t>
  </si>
  <si>
    <t xml:space="preserve">B8.  </t>
  </si>
  <si>
    <t xml:space="preserve">B1-B8.  </t>
  </si>
  <si>
    <t>Előző évi maradvány igénybevétele</t>
  </si>
  <si>
    <t>Irányító szervi támogatás</t>
  </si>
  <si>
    <t>Madarász Imre Egyesített Óvoda</t>
  </si>
  <si>
    <t>Kötelező feladat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</si>
  <si>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</si>
  <si>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</si>
  <si>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</si>
  <si>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</si>
  <si>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</si>
  <si>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</si>
  <si>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</si>
  <si>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</si>
  <si>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</si>
  <si>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</si>
  <si>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</si>
  <si>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</si>
  <si>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</si>
  <si>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</si>
  <si>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</si>
  <si>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</si>
  <si>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</si>
  <si>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</si>
  <si>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1/2. oldal</t>
  </si>
  <si>
    <t>2/2. oldal</t>
  </si>
  <si>
    <t xml:space="preserve">               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</si>
  <si>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</si>
  <si>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</si>
  <si>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</si>
  <si>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</si>
  <si>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</si>
  <si>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</si>
  <si>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</si>
  <si>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</si>
  <si>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</si>
  <si>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 xml:space="preserve">K1-K9.  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</si>
  <si>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</si>
  <si>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</si>
  <si>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</si>
  <si>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</si>
  <si>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</si>
  <si>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</si>
  <si>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</si>
  <si>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</si>
  <si>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</si>
  <si>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Kiadások összesen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</si>
  <si>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</si>
  <si>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</si>
  <si>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</si>
  <si>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</si>
  <si>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</si>
  <si>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>Déryné Kulturális,Turisztikai,Sport Központ és Könyvtár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</si>
  <si>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</si>
  <si>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</si>
  <si>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</si>
  <si>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</si>
  <si>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</si>
  <si>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</si>
  <si>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</si>
  <si>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ebből: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</si>
  <si>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</si>
  <si>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</si>
  <si>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</si>
  <si>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</si>
  <si>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</si>
  <si>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</si>
  <si>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Működési célú átvett pénzeszköz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</si>
  <si>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</si>
  <si>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</si>
  <si>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</si>
  <si>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</si>
  <si>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</si>
  <si>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</si>
  <si>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</si>
  <si>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</si>
  <si>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</si>
  <si>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</si>
  <si>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B5.</t>
  </si>
  <si>
    <t>Felhalmozási célú átvett pénzeszköz</t>
  </si>
  <si>
    <t>K6.</t>
  </si>
  <si>
    <t>K7.</t>
  </si>
  <si>
    <t>K8.</t>
  </si>
  <si>
    <t>Egyéb felhalmozási kiadások</t>
  </si>
  <si>
    <t>Felhalmozás összesen:</t>
  </si>
  <si>
    <t>Elvonások és befizetések</t>
  </si>
  <si>
    <t>B6.</t>
  </si>
  <si>
    <t>B7.</t>
  </si>
  <si>
    <t>Teljesítés egyenleg</t>
  </si>
  <si>
    <t>Egyéb finanszírozási bevétel</t>
  </si>
  <si>
    <t xml:space="preserve">                       M e g n e v e z é s</t>
  </si>
  <si>
    <t>Városi közvilágítás</t>
  </si>
  <si>
    <t>Építési és településfejlesztési feladatok</t>
  </si>
  <si>
    <t>Hatósági kényszerintézkedések, utcanévtáblák elhelyezése, szakhatósági díjak, egyéb 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</si>
  <si>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</si>
  <si>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</si>
  <si>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</si>
  <si>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</si>
  <si>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</si>
  <si>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</si>
  <si>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>Egészségügyi feladatok</t>
  </si>
  <si>
    <t>Tüdőszűrés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</si>
  <si>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</si>
  <si>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</si>
  <si>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lakhatási támogatás</t>
  </si>
  <si>
    <t>gyógyszertámogatás</t>
  </si>
  <si>
    <t>közköltséges temetés</t>
  </si>
  <si>
    <t>Egyéb szociális ellátás</t>
  </si>
  <si>
    <t xml:space="preserve">ebből: </t>
  </si>
  <si>
    <t>Helyi autóbusz közlekedés közszolgáltatás támogatása</t>
  </si>
  <si>
    <t>Tilalmasi ivóvíz biztosítása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</si>
  <si>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</si>
  <si>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</si>
  <si>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</si>
  <si>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</si>
  <si>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</si>
  <si>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</si>
  <si>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</si>
  <si>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kiadások</t>
  </si>
  <si>
    <t>2013. évi állami támogatás visszafizetése és kamata</t>
  </si>
  <si>
    <t>Kötelező feladatok összesen:</t>
  </si>
  <si>
    <t xml:space="preserve">Önként vállalt feladatok </t>
  </si>
  <si>
    <t>Pályázati előkészítési alap</t>
  </si>
  <si>
    <t>Pályázati támogatás</t>
  </si>
  <si>
    <t>Megvalósításhoz szükséges önerő</t>
  </si>
  <si>
    <t>Karcag Város feladatainak támogatása</t>
  </si>
  <si>
    <t>K127 termálkút hőellátási rendszerének javítása</t>
  </si>
  <si>
    <t>Hulladéklerakó kapacitás fejlesztés kötött támogatás átadása</t>
  </si>
  <si>
    <t xml:space="preserve">Karcagi „Erőforrás” Kft. részére üzemeltetésre
(Laktanya ingatlan)  39/2015. (II.26.)…) "kt." sz. határozat alapján </t>
  </si>
  <si>
    <t xml:space="preserve">Nagykun Víz- és Csatornamű Kft. </t>
  </si>
  <si>
    <t>Akácliget fürdő üzemeltetési támogatás</t>
  </si>
  <si>
    <t xml:space="preserve">Ifjúságpolitikai feladatok </t>
  </si>
  <si>
    <t>Tehetséges és szociálisan hátrányos helyzetű tanulók ösztöndíja</t>
  </si>
  <si>
    <t>Bursa Hungarica Felsőoktatási Önkormányzati Ösztöndíj pályázat  219/2015. (IX.24.) kt. sz. határozat alapján</t>
  </si>
  <si>
    <t>Önkormányzati reprezentációs és ajándékozási kiadások, kiemelt városi események, nemzeti ünnepek</t>
  </si>
  <si>
    <t>Nemzetközi kapcsolatok</t>
  </si>
  <si>
    <t>Székelykeresztúrért Alapítvány támogatása 149/2005. (IV.26.) kt.sz.határozat alapján</t>
  </si>
  <si>
    <t xml:space="preserve">Tagdíjak, támogatások 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</si>
  <si>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</si>
  <si>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</si>
  <si>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</si>
  <si>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>Továbbszámlázott működési kiadások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</si>
  <si>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</si>
  <si>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</si>
  <si>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</si>
  <si>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</si>
  <si>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</si>
  <si>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</si>
  <si>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</si>
  <si>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Főtéri internet szolgáltatás díja</t>
  </si>
  <si>
    <t>Földgáz energia megtakarítástól függő díjazása</t>
  </si>
  <si>
    <t>Városháza lift karbantartás</t>
  </si>
  <si>
    <t>Orvosi ösztöndíjrendszerre alap képzése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</si>
  <si>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</si>
  <si>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</si>
  <si>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</si>
  <si>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</si>
  <si>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Általános tartalék</t>
  </si>
  <si>
    <t>Céltartalék:</t>
  </si>
  <si>
    <t>Rekultivációs célú elkülönítés hulladéklerakó üzemeltetés miatt</t>
  </si>
  <si>
    <t>Városi Önkormányzat Városgondnokságától átvett, hullakékgazdálkodás bevételéből rekultivációs célra elkülönített összeg és kamatai (céltartalék)</t>
  </si>
  <si>
    <t>Rendszerfüggő elemek bérleti díjának elkülönítése vizkiközmű feljesztés finanszírozására</t>
  </si>
  <si>
    <t>Finanszírozási kiadás</t>
  </si>
  <si>
    <t>M i n d ö s s z e s e n:</t>
  </si>
  <si>
    <t>SZEMÉLYI JUTTATÁSOK</t>
  </si>
  <si>
    <t>SZEMÉLYI JUTTATÁSOK ÖSSZESEN:</t>
  </si>
  <si>
    <t>MUNKAADÓT TERHELŐ JÁRULÉKOK</t>
  </si>
  <si>
    <t>Tüdőszűrés (asszisztens megbízási díj)</t>
  </si>
  <si>
    <t>MUNKAADÓT TERHELŐ JÁRULÉKOK ÖSSZESEN:</t>
  </si>
  <si>
    <t>DOLOGI KIADÁSOK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</si>
  <si>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</si>
  <si>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</si>
  <si>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</si>
  <si>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</si>
  <si>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</si>
  <si>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</si>
  <si>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</si>
  <si>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</si>
  <si>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</si>
  <si>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</si>
  <si>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</si>
  <si>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</si>
  <si>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</si>
  <si>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</si>
  <si>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Intézmény megnevezése</t>
  </si>
  <si>
    <t>Létszám</t>
  </si>
  <si>
    <t>Részmunka-idős napi munkaideje (óra)</t>
  </si>
  <si>
    <t>Álláshely</t>
  </si>
  <si>
    <t>Záró létszám (fő)</t>
  </si>
  <si>
    <t>Zárólétszám közfoglalkoz-tatott és egyéb fogl.(fő)</t>
  </si>
  <si>
    <t>Átlagos
statisztikai állományi létszám (fő)</t>
  </si>
  <si>
    <t>Átlagos statisztikai létszámból közfoglalkoz-tatott (fő)</t>
  </si>
  <si>
    <t>Teljes munkaidős</t>
  </si>
  <si>
    <t>Részmunkaidős teljes munkaidősre átszámítva</t>
  </si>
  <si>
    <t>Részmunkaidős</t>
  </si>
  <si>
    <t>eredeti
előirányzat</t>
  </si>
  <si>
    <t>módosított
előirányzat</t>
  </si>
  <si>
    <t>eredeti 
előirányzat</t>
  </si>
  <si>
    <t>záró létszám
(fő)</t>
  </si>
  <si>
    <t>zárólétszám közfoglalkoz-tatott és egyéb fogl. (fő)</t>
  </si>
  <si>
    <t>átlagos statisztikai
létszám (fő)</t>
  </si>
  <si>
    <t>átlagos statisztikai létszám közfoglalkoz-tatott és egyéb fogl. (fő)</t>
  </si>
  <si>
    <r>
      <t xml:space="preserve">1. </t>
    </r>
    <r>
      <rPr>
        <b/>
        <u/>
        <sz val="8"/>
        <rFont val="Times New Roman"/>
        <family val="1"/>
        <charset val="238"/>
      </rPr>
      <t xml:space="preserve">Városi Önkormányzat Városgondnoksága és a hozzá tartozó intézmények: </t>
    </r>
  </si>
  <si>
    <t>Déryné Kulturális, Turisztikai, Sport Központ és Könyvtár</t>
  </si>
  <si>
    <t>Györffy István Nagykun Múzeum</t>
  </si>
  <si>
    <t>4 és 6</t>
  </si>
  <si>
    <t>Karcag Városi Önkormányzat Városgondnoksága</t>
  </si>
  <si>
    <t xml:space="preserve">1.Városi Önkormányzat Városgondnoksága és a hozzátartozó intézmények összesen: </t>
  </si>
  <si>
    <t xml:space="preserve"> 2. Karcagi Polgármesteri Hivatal </t>
  </si>
  <si>
    <t>3. Karcag Városi Önkormányzat</t>
  </si>
  <si>
    <t xml:space="preserve">Ö S S Z E S E N   (1 + 2 + 3): </t>
  </si>
  <si>
    <t>M e g n e v e z é s</t>
  </si>
  <si>
    <t>Felvétel éve</t>
  </si>
  <si>
    <t>Törlesztő részlet évenként</t>
  </si>
  <si>
    <t>2018.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</si>
  <si>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</si>
  <si>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</si>
  <si>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</si>
  <si>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</si>
  <si>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</si>
  <si>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</si>
  <si>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</si>
  <si>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</si>
  <si>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</si>
  <si>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</si>
  <si>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</si>
  <si>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</si>
  <si>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</si>
  <si>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</si>
  <si>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</si>
  <si>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</si>
  <si>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>Teljesítés összege</t>
  </si>
  <si>
    <t>Teljesítés %</t>
  </si>
  <si>
    <t>2019.</t>
  </si>
  <si>
    <t>A Karcag Városi Önkormányzat és intézményei 2017. évi költségvetés bevételi főösszegének teljesítése
kiemelt előirányzatonkénti bontásban</t>
  </si>
  <si>
    <t>Kiemelt előirányzat megnevezése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</si>
  <si>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</si>
  <si>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</si>
  <si>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</si>
  <si>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</si>
  <si>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</si>
  <si>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</si>
  <si>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</si>
  <si>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</si>
  <si>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</si>
  <si>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</si>
  <si>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1.1.9.    A 2016. évről áthúzódó bérkompenzáció támogatása</t>
  </si>
  <si>
    <t xml:space="preserve">      1.1.  Települési önkormányzatok működésének támogatása beszámítás után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</si>
  <si>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</si>
  <si>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</si>
  <si>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</si>
  <si>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</si>
  <si>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</si>
  <si>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</si>
  <si>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1.2.4.  Óvodapedagógusok munkáját segítők kiegészítő támogatása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</si>
  <si>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</si>
  <si>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</si>
  <si>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</si>
  <si>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</si>
  <si>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</si>
  <si>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</si>
  <si>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</si>
  <si>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</si>
  <si>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</si>
  <si>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</si>
  <si>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</si>
  <si>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</si>
  <si>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</si>
  <si>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   1.3.2.11. Bölcsődei ellátás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</si>
  <si>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</si>
  <si>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</si>
  <si>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</si>
  <si>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</si>
  <si>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</si>
  <si>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</si>
  <si>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</si>
  <si>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</si>
  <si>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Kiegészítő támogatás a bölcsődében foglalkoztatott, felsőfokúvégzettségű  </t>
  </si>
  <si>
    <t xml:space="preserve">              kisgyermeknevelők béréhez</t>
  </si>
  <si>
    <t xml:space="preserve">    1.3.7. Szociális ágazati összevont pótlék</t>
  </si>
  <si>
    <t xml:space="preserve">    1.3.8. Középfokú végzettséggel rendelkező kisgyermeknevelőt megillető</t>
  </si>
  <si>
    <t xml:space="preserve">              bölcsődei pótlék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</si>
  <si>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</si>
  <si>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</si>
  <si>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</si>
  <si>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</si>
  <si>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</si>
  <si>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</si>
  <si>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1.5.1. 2017. évi bérkompenzáció</t>
  </si>
  <si>
    <t xml:space="preserve">    1.5.2. Polgármesteri béremelés különbözetének támogatása</t>
  </si>
  <si>
    <t xml:space="preserve">    1.5.3. Minimálbér és garantált bérminimum emelésének támogatása</t>
  </si>
  <si>
    <t xml:space="preserve">    1.5.4. Települési önkormányzatojk helyi közösségi közlekedésének támogatása</t>
  </si>
  <si>
    <t xml:space="preserve">    1.5.5. Rendkívüli önkormányzati támogatás (szociális támogatás)</t>
  </si>
  <si>
    <t xml:space="preserve">    1.5.6. Rendkívüli önkormányzati támogatás </t>
  </si>
  <si>
    <t xml:space="preserve">    1.5.7. Műszakpótlék bérintézkedés szociális társulás keretében</t>
  </si>
  <si>
    <t xml:space="preserve">    1.5.8. Rendkívüli önkormányzati támogatás II.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</si>
  <si>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</si>
  <si>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</si>
  <si>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3. Elvonások és befizetések</t>
  </si>
  <si>
    <t xml:space="preserve"> 2. Részvény értékesítés</t>
  </si>
  <si>
    <t>TOP-5.1.2-15 Helyi foglalkoztatási együttműködések megvalósítása a Karcagi Járásban pályázat támogatása</t>
  </si>
  <si>
    <t xml:space="preserve">KÖFOP-1.2.1-VEKOP-16 Csatlakozási konstrukció az önkormányzati ASP rendszer országos kiépítéséhez </t>
  </si>
  <si>
    <t>Közművelődési érdekeltésnövelő támogatás</t>
  </si>
  <si>
    <t>Biztosítási kártérítés</t>
  </si>
  <si>
    <t>Bérleti díj (egyéb)</t>
  </si>
  <si>
    <t>Vagyonkezelésbe adás bevétele</t>
  </si>
  <si>
    <t>79/2016. (III.31.) kt. határozat alapán "Európa a polgárokért" című pályázat utófinanszírozása</t>
  </si>
  <si>
    <t>KÖZVIL részvény értékesítés 312/2016. (XII.15.) kt. határozat alapján  11.004 ezer Ft, 2017. évre tervezett további értékesítés 8.996 ezer Ft</t>
  </si>
  <si>
    <t>Eladásra kijelölt ingatlanok értékesítése</t>
  </si>
  <si>
    <t>TOP és VP pályázatok bevétele</t>
  </si>
  <si>
    <t xml:space="preserve">Az első világháborúval kapcsolatos társadalom- és történettudományi munkák megjelentetésének támogatása   
</t>
  </si>
  <si>
    <t>A 2015. évi Milánói Világkiállítás magyar pavilonjának elhelyezésére a 1130/2017. (III.20.) Korm.határozat alapján kapott támogatás</t>
  </si>
  <si>
    <t>TOP-2.1.2-15 Zöld város kialakítása pályázat támogatása</t>
  </si>
  <si>
    <t>TOP-3.1.1-15 Kerékpárút hálózat kiépítése pályázat támogatása</t>
  </si>
  <si>
    <t>TOP-1.4.1-15 Zöldfa úti Óvoda korszerűsítése pályázati támogatás</t>
  </si>
  <si>
    <t>TOP-3.2.1-15 Városháza, Déryné energetikai fejlesztése pályázati támogatás</t>
  </si>
  <si>
    <t>TOP-1.2.1-15 Karcagi Turisztikai attrakciók fejlesztése pályázati támogatás</t>
  </si>
  <si>
    <t>KEHOP 3.2.1-15-2017-00023 Komplex hulladékgazdálkodás pályázat</t>
  </si>
  <si>
    <t>JNSZ Megyei Önkormányzat támogatása (Hortobágyi kirándulás)</t>
  </si>
  <si>
    <t>Karcag-Kenderes(Bánhalma) Víziközmű Beruházási Tárulás megszűnése miatti átvezetés</t>
  </si>
  <si>
    <t>Köztemetés megtérülés</t>
  </si>
  <si>
    <t>Egyéb különféle működési bevételek</t>
  </si>
  <si>
    <t>Értékesített ingatlanok kiszámlázott áfája</t>
  </si>
  <si>
    <t>Karcag Térségi környezetvédelmi Nonprofit Kft. üzletrész értékesítése</t>
  </si>
  <si>
    <t xml:space="preserve">Kötelező feladatok </t>
  </si>
  <si>
    <t>Önkormányzati bérlakások értékesítésénke részletfizetése</t>
  </si>
  <si>
    <t>Szennyvízbefizetés</t>
  </si>
  <si>
    <t>A Karcag Városi Önkormányzat 2017. évi költségvetésén belül az önkormányzat bevételi főösszegének teljesítése
kiemelt előirányzatonkénti bontásban</t>
  </si>
  <si>
    <t>A Karcag Városi Önkormányzat 2017. évi bevételi főösszegén belül az önkormányzat működési és felhalmozási bevételeinek teljesítése</t>
  </si>
  <si>
    <t>AdatokFt-ban</t>
  </si>
  <si>
    <t>A Karcag Városi Önkormányzat 2017. évi költségvetési bevételi főösszegén belül 
a költségvetési szervek bevételeinek teljesítése kiemelt előirányzatonkénti bontásban</t>
  </si>
  <si>
    <t>A Karcag Városi Önkormányzat 2017. évi költségvetési kiadási főösszegén belül 
a költségvetési szervek kiadásainak teljesítése kiemelt előirányzatonkénti bontásban</t>
  </si>
  <si>
    <t>Karcag Városi Önkormányzat irányítása alá tartozó költségvetési szervek 2017. évi létszámkeretének alakulása</t>
  </si>
  <si>
    <r>
      <t xml:space="preserve">Munkáltatói lakáscélú támogatás </t>
    </r>
    <r>
      <rPr>
        <sz val="12"/>
        <rFont val="Times New Roman"/>
        <family val="1"/>
        <charset val="238"/>
      </rPr>
      <t>(2016.12.31. egyenleg, céllal kötött maradvány Önkormányzat és VG)</t>
    </r>
  </si>
  <si>
    <t>2017. évi bérleti díj elkülönítése</t>
  </si>
  <si>
    <t>2013-2016. években befolyt, viziközmű fejlesztés céljára fel nem használt összeg</t>
  </si>
  <si>
    <t>TOP-2.1.2-15 Zöld város kialakítása pályázat megvalósítása</t>
  </si>
  <si>
    <t xml:space="preserve">TOP-5.1.2-15 Helyi foglalkoztatási együttműködések megvalósítása
a Karcagi Járásban pályázat támogatása 
</t>
  </si>
  <si>
    <t>TOP-1.2.1-15 Karcagi Turisztikai attrakciók fejlesztése pályázat támogatása</t>
  </si>
  <si>
    <t>TOP-3.2.1-15 Városháza, Déryné energetikai fejlesztése pályázat támogatása</t>
  </si>
  <si>
    <t>TOP-1.4.1-15 Zöldfa úti Óvoda korszerűsítése pályázat támogatása</t>
  </si>
  <si>
    <t>Ö S S Z E S E N</t>
  </si>
  <si>
    <r>
      <t>A Karcag Városi Önkormányzat 2017.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</si>
  <si>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Adatok Ft-ban </t>
  </si>
  <si>
    <t>Karcag Városi Önkormányzat 2017. évben fennálló kötelezettségei lejárat, hitelezők és eszközök szerinti bontásban 
(járulékok és inflációkövetés nélkül)</t>
  </si>
  <si>
    <t>Felvett, 
hitel és kibocsátott kötvény és egyéb kötelezettség összege e Ft</t>
  </si>
  <si>
    <t>2017.
12.31-én fennálló
állomány</t>
  </si>
  <si>
    <t>2020.</t>
  </si>
  <si>
    <t>2021-2025.</t>
  </si>
  <si>
    <t xml:space="preserve">2026. </t>
  </si>
  <si>
    <t>A Karcag Városi Önkormányzat 2017. évi közvetett támogatásai jogcímenkénti bontásban</t>
  </si>
  <si>
    <t>(Ft)</t>
  </si>
  <si>
    <t xml:space="preserve">A Karcag Városi Önkormányzat 2017. évi működési és felhalmozási bevételeinek és kiadásainak </t>
  </si>
  <si>
    <t>A Karcag Városi Önkormányzat 2017. évi konszolidált mérlege</t>
  </si>
  <si>
    <t>A Karcag Városi Önkormányzat 2017. évi konszolidált eredménykimutatása</t>
  </si>
  <si>
    <t>A Karcag Városi Önkormányzat 2017. évi mérlege</t>
  </si>
  <si>
    <t>2017. év</t>
  </si>
  <si>
    <t>C/III/2</t>
  </si>
  <si>
    <t>Kincstárban vezetett forintszámlák</t>
  </si>
  <si>
    <t xml:space="preserve">   ebből: költségvetési évet követően esedékes követelések tualjdonosi bevételekre</t>
  </si>
  <si>
    <t xml:space="preserve">   ebből: költségvetési évet követően esedékes követelések egyéb működési bevételekre</t>
  </si>
  <si>
    <t xml:space="preserve">D/III/1d </t>
  </si>
  <si>
    <t xml:space="preserve">    ebből: igénybe vett szolgáltatásra adott előlegek</t>
  </si>
  <si>
    <t>D/III/3</t>
  </si>
  <si>
    <t>Más által beszedetett bevételek elszámolása</t>
  </si>
  <si>
    <t>A Karcag Városi Önkormányzat 2017. évi maradványkimutatása</t>
  </si>
  <si>
    <t>Költségvetési bevételek és kiadások egyenlege finanszírozási műveletekkel együtt</t>
  </si>
  <si>
    <t>Finanszírozási műveletek egyenlege</t>
  </si>
  <si>
    <t>A Karcag Városi Önkormányzat 2017. évi költségvetés kiadási főösszegén belül az önkormányzat kiadásai feladatonként, kötelező és önként vállalt feladatonkénti bontásban</t>
  </si>
  <si>
    <t>Közvilágítás karbantartás, javítás, bővítés</t>
  </si>
  <si>
    <t>Közvilágítás karbantartás, javítás</t>
  </si>
  <si>
    <t>Karácsonyi díszkivilágítás</t>
  </si>
  <si>
    <t>Belterületi körforgalmak díszkivilágítása</t>
  </si>
  <si>
    <t>Díszkivilágítás felszerelése és leszerelése</t>
  </si>
  <si>
    <t>TRT módosítás és vázrajz készítés</t>
  </si>
  <si>
    <t>Településkép Arculati Kézikönyv</t>
  </si>
  <si>
    <t xml:space="preserve">Rágcsálóirtás (Északi és Déli külváros, városközpont) </t>
  </si>
  <si>
    <t>Erdővédelmi járulék</t>
  </si>
  <si>
    <t>Goedéziai szolgáltatás</t>
  </si>
  <si>
    <t>Orvosi ügyelet ellátására kiegészítés 287/2015.(XII.17.)"kt"sz. és 290/2017. (XI.29.) kt. sz. határozat alapján</t>
  </si>
  <si>
    <t>Karcag Városi Cigány Nemzetiségi Önkormányzat támogatása
 -1 fő adminisztrátor 4 órás foglalkoztatásához (305/2016. (XII.15.) "kt." sz. határozat alapján 1.200 e Ft keretösszeg)
- Kulturális és és egyéb rendezvényekhez támogatás nyújtása 200 e Ft</t>
  </si>
  <si>
    <t>Karcagi Többcélú Kistérségi Tárulás 2017. évi tagdíja</t>
  </si>
  <si>
    <t>Karcag-Kenderes (Bánhalma) Víziközmű Beruházási Tárulás 2017. évi tagdíja</t>
  </si>
  <si>
    <t>Települési támogatások a 7/2015. (II.27.) önkormányzati rendelet alapján (állami támogatás terhére)</t>
  </si>
  <si>
    <t>rendkívüli települési támogatás (pénzbeni)</t>
  </si>
  <si>
    <t>rendkívüli települési támogatás (természetbeni)</t>
  </si>
  <si>
    <t>Gyermekvédelmi támogatás Erzsébet utalvány formájában</t>
  </si>
  <si>
    <t>2016-2017. évre vonatkozó általános forgalmi adó befizetési kötelezettség</t>
  </si>
  <si>
    <t>2016. decemberi áfa befizetés</t>
  </si>
  <si>
    <t>2017. évi áfa</t>
  </si>
  <si>
    <t>311/2016.  (XII.15&gt;) kt. sz. határozat alapján 2017. évre vállalt kötelezettség</t>
  </si>
  <si>
    <t>2016. évről áthúzódó kötelezettség</t>
  </si>
  <si>
    <t>Helyi közösségi közlekedés támogatásának átadása</t>
  </si>
  <si>
    <t>Kádas György Általános Iskola konyha felújítási munkái</t>
  </si>
  <si>
    <t>Kiskulcsosi Általános Iskola melegvíz kiépítés</t>
  </si>
  <si>
    <t>Karcag-Tilalmasi Mezőgazdasági Korlátolt Felelősségű Társasággal kötendő a Társaság tulajdonában lévő kutak és vízhálózat bérletéről szóló megállapodásról szóló 285/2015. (XII.17.) kt. sz. és 179/2016. (VI.23.) kt. sz. határozat alapján bérleti díj 2017.04.30-ig</t>
  </si>
  <si>
    <t>72/2017. (III.30.) kt. sz. határozat alapján  2017.12.31-ig</t>
  </si>
  <si>
    <t>Tilamasi ivóvíz ellátási rendszer tervezése I. ütem</t>
  </si>
  <si>
    <t>120/2017. (IV.27.) „kt.” sz. határozat alapján a JNSZ Megyei Katasztrófavédelmi  Igazgatóság Karcagi Hivatásos Tűzoltóparancsnokság támogatása</t>
  </si>
  <si>
    <t xml:space="preserve">KÖFOP-1.2.1-VEKOP-16 Csatlakozási konstrukció az önkormányzati ASP rendszer országos kiépítéséhez 
</t>
  </si>
  <si>
    <t>Közműfejlesztési támogatás lakosság részére</t>
  </si>
  <si>
    <t>Rendszerfüggő víziközmű elemek fejlesztése, felújítása elkülönített bérleti díj terhére</t>
  </si>
  <si>
    <t>Egyéb működési kiadások</t>
  </si>
  <si>
    <t>2016. évi állami támogatás visszafizetése beszámolóban történt tényleges elszámolás és felhasználás alapján</t>
  </si>
  <si>
    <t>TOP-3.1.1-15 pályázathoz (Kerékpárút hálózat kiépítése) pályázat összeállítása és hálózati terv elkészítése</t>
  </si>
  <si>
    <t>VP6.7.2.1-7.4.1.2-16 pályázathoz (Zádor hídhoz vezető út fejlesztése) kiviteli tervdokumentáció készítése és pályázat előkészítés költségei</t>
  </si>
  <si>
    <t>TOP-1.4.1-15 pályzathoz (Zöldfa úti óvoda felújítása) pályázati és kivitelezési tervdokumentáció készítése</t>
  </si>
  <si>
    <t>TOP-4.2.1-15 pályzathoz (Idősek Otthona konyha felújítása) megalapozó tanulmány készítése</t>
  </si>
  <si>
    <t>TOP-2.1.2-15 pályázathoz (Zöld város kialakítása) projekt előkészítési feladatok</t>
  </si>
  <si>
    <t>TOP-1.1.3-15 pályázathoz (Helyi gazdaságfejlesztés) projekt előkészítési feladatok</t>
  </si>
  <si>
    <t>TOP-1.2.1-15 pályázathoz (Turizmusfejlesztés) projekt előkészítési feladatok</t>
  </si>
  <si>
    <t>TOP-1.4.1-16 pályázathoz (Varró úti Bölcsőde felújítása) tanulmány készítése</t>
  </si>
  <si>
    <t>TOP-5.3.1-16 pályázathoz (Karcagi kistérség közösségi fejlesztése) tanulmány készítése</t>
  </si>
  <si>
    <t>LIFE Integrált Projekt pályázat előkészítés költsége</t>
  </si>
  <si>
    <t>Karcagi termékek piaca pályázat tanulmány készítés</t>
  </si>
  <si>
    <t>Tisza-menti LEADER Közhasznú Egyesület 2017. évi tagdíja</t>
  </si>
  <si>
    <t xml:space="preserve">149/2016. (V.26.) kt. határozat alapján az „Óvodai kapacitásbővítést célzó beruházások támogatása”pályázat támogatása (SZIM Óvoda) (2016. évről áthozott)
</t>
  </si>
  <si>
    <t xml:space="preserve">148/2016. (V.26.) kt. határozat alapján az „Önkormányzati étkeztetési fejlesztések támogatása”pályázat támogatása (Kinizsi Óvoda) (2016. évről áthozott)
</t>
  </si>
  <si>
    <t xml:space="preserve">73/2016. (III.31.) kt. határozat alapján „Az első világháború történelmi emlékeit őrző emlékművek rendbetételének, helyreállításának pályázati támogatása (2016. évről áthozott) és többletköltségek felmerülése 16/2017. (I.26.) kt. Sz. határozat alapján
</t>
  </si>
  <si>
    <t>Karcag Város feladatainak támogatása (2016. évről áthozott)</t>
  </si>
  <si>
    <t>120/2016. (V.02.) kt. határozat és a Magyar Labdúrúgó Szövetséggel kötött együttműködési megállapodás alapján műfüves labdarúgó pálya építtetéséhez önerő biztosítása</t>
  </si>
  <si>
    <t xml:space="preserve">A 2015. évi Milánói Világkiállítás magyar pavilonjának elhelyezése Karcag Városában, a 1130/2017. (III.20.) Korm.határozat alapján kapott támogatás
</t>
  </si>
  <si>
    <t>TOP-2.1.2-15 pályázathoz (Zöld város kialakítása) projekt  feladatai</t>
  </si>
  <si>
    <t>TOP-3.1.1-15 pályázathoz (Kerékpárút hálózat kiépítése) pályázat feladatai</t>
  </si>
  <si>
    <t xml:space="preserve">TOP-5.1.2-15 Helyi foglalkoztatási együttműködések megvalósítása a Karcagi Járásban pályázat feladatai
</t>
  </si>
  <si>
    <t>TOP-3.2.1-16 Horvát F. úti Idősek Otthona épületenergetikai felújítás pályázat feladatai</t>
  </si>
  <si>
    <t>TOP-1.2.1-15 Karcagi Turisztikai attrakciók fejlesztése pályázat feladatai</t>
  </si>
  <si>
    <t>TOP-3.2.1-15 Városháza, Déryné energetikai fejlesztése pályázat feladatai</t>
  </si>
  <si>
    <t>TOP-1.4.1-15 Zöldfa úti Óvoda korszerűsítése pályázat feladatai</t>
  </si>
  <si>
    <t xml:space="preserve">A 309/2016. (XII.15.) „kt.” sz. határozat alapján az első világháborúval kapcsolatos társadalom- és történettudományi munkák megjelentetésének
</t>
  </si>
  <si>
    <t>148/2017. (V.15.) kt. sz. határozat alapján Varró u. 8. műfüves pálya önerő</t>
  </si>
  <si>
    <t>277/2016. ((XI.24) kt.sz. határozat alapján Városi Sportcsarnok nyílászáró felújítás önerő</t>
  </si>
  <si>
    <t>273/2017. (X.26.) kt. sz. határozat alapján Karcag Kincse Rendezvényszervező Nonprofit Kft. alapítása</t>
  </si>
  <si>
    <t>298/2017. (X.26.) kt. sz. határozat alapján Ohio téri üzlethelyiségek megvásárlása</t>
  </si>
  <si>
    <t xml:space="preserve">Lakossági szennyvíz rákötések és új gerincvezeték (Erdei u., Tisza u., Soós I. u., Kacsóh u.) támogatása  </t>
  </si>
  <si>
    <t>Akácliget fürdő felhalmozási célú támogatás (E-ON lakások, gépjármű)</t>
  </si>
  <si>
    <t>Biztosítási kártérítés átadása</t>
  </si>
  <si>
    <t>Arany János ösztöndíj 291/2012. (XI.29.) kt. sz.  határozat alapján</t>
  </si>
  <si>
    <t>Bursa Hungarica Felsőoktatási Önkormányzati Ösztöndíj pályázat  234/2016. (IX.29.) kt. sz. határozat alapján</t>
  </si>
  <si>
    <t>Kulturális és közművelődési feladatok</t>
  </si>
  <si>
    <t>Muzeális intézmányek szakmai támogatása pályázathoz önerő</t>
  </si>
  <si>
    <t>Könyvtári érdekeltségnövelő pályázathoz önerő</t>
  </si>
  <si>
    <t>Közművelődési érdekeltségnövelő pályázathoz önerő</t>
  </si>
  <si>
    <t xml:space="preserve">Karcagi civil szervezetek támogatása 18/2017. (I.26.) „kt.” sz. határozat alapján
</t>
  </si>
  <si>
    <t xml:space="preserve">Karcag Városi Önkormányzat által adományozható kitüntetésekhez járó pénzdíj </t>
  </si>
  <si>
    <t>Emlékplakettek, díjak, oklevelek</t>
  </si>
  <si>
    <t>Karcagi Sport Egyesület 2017. évi működési támogatása</t>
  </si>
  <si>
    <t>Karcag Városi TV-vel együttműködési szerződés hirdetésre és támogatásra 306/2016. (XII.15.) "kt." sz. határozat alapján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</si>
  <si>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</si>
  <si>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</si>
  <si>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</si>
  <si>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</si>
  <si>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260/2017. (XI.29.) kt. sz. határozat alapján Országos Mentőszolgálat Alapítvány támogatása</t>
  </si>
  <si>
    <t>Temetési költség</t>
  </si>
  <si>
    <t xml:space="preserve">Ingatlanok értékbecslése </t>
  </si>
  <si>
    <t>Választókörzetek településüzemeltetési és telpülésfejlesztési kiadásai</t>
  </si>
  <si>
    <t>Kamerarendszer kialakítása</t>
  </si>
  <si>
    <t>Karcagi lakosok Hortobágyi kirándulása</t>
  </si>
  <si>
    <r>
      <t xml:space="preserve">Munkáltatói lakáscélú támogatás </t>
    </r>
    <r>
      <rPr>
        <sz val="14"/>
        <rFont val="Times New Roman"/>
        <family val="1"/>
        <charset val="238"/>
      </rPr>
      <t>(2016.12.31. egyenleg, céllal kötött maradvány Önkormányzat és VG)</t>
    </r>
  </si>
  <si>
    <t>2013-2016.években befolyt, viziközmű fejlesztés céljára fel nem használt összeg</t>
  </si>
  <si>
    <r>
      <t xml:space="preserve">2017. évi támogatás megelőlegezés </t>
    </r>
    <r>
      <rPr>
        <sz val="14"/>
        <rFont val="Times New Roman"/>
        <family val="1"/>
        <charset val="238"/>
      </rPr>
      <t>(2016. évről áthozott)</t>
    </r>
  </si>
  <si>
    <t>Karcag Városi Önkormányzat által adományozható kitüntetésekhez járó pénzdíj és plakettek</t>
  </si>
  <si>
    <t>TOP-5.1.2-15 Helyi foglalkoztatási együttműködések megvalósítása a Karcagi Járásban pályázat feladatai</t>
  </si>
  <si>
    <t>VP6.7.2.1-7.4.1.2-16 pályázathoz (Zádor hídhoz vezető út fejlesztése) pályázat előkészítés költségei</t>
  </si>
  <si>
    <t>Közbeszerzés költségei önerő</t>
  </si>
  <si>
    <t xml:space="preserve">Karcagi „Erőforrás” Kft. részére üzemeltetésre
(Laktanya ingatlan)  39/2015. (II.26.) "kt." sz. határozat alapján </t>
  </si>
  <si>
    <t>Arany János ösztöndíj 291/2012. (XI.29.) kt. sz. határozat alapján</t>
  </si>
  <si>
    <t>VP6.7.2.1-7.4.1.2-16 pályázathoz (Zádor hídhoz vezető út fejlesztése) kivitelu tervdokumentásció készítése</t>
  </si>
  <si>
    <t>Lakossági szennyvíz rákötések és új gerincvezeték építése</t>
  </si>
  <si>
    <t>Telekcsere Karcagi Ipari Park Kft-vel</t>
  </si>
  <si>
    <t xml:space="preserve">TRT módosítás </t>
  </si>
  <si>
    <t xml:space="preserve">73/2016. (III.31.) kt. határozat alapján „Az első világháború történelmi emlékeit őrző emlékművek rendbetételének, helyreállításának pályázati támogatása (2016. évről áthozott)
</t>
  </si>
  <si>
    <t>Akácliget fürdő felhalmozási célú támogatás =E-ON lakésok, gépjármű)</t>
  </si>
  <si>
    <r>
      <t xml:space="preserve">2017. évi támogatás megelőlegezés </t>
    </r>
    <r>
      <rPr>
        <sz val="12"/>
        <rFont val="Times New Roman"/>
        <family val="1"/>
        <charset val="238"/>
      </rPr>
      <t>(2016. évről áthozott)</t>
    </r>
  </si>
  <si>
    <t>A 2015. évi Milánói Világkiállítás magyar pavilonjának elhelyezése Karcag Városában, a 1130/2017. (III.20.) Korm.határozat alapján kapott támogatás</t>
  </si>
  <si>
    <t>VP6-7.2.1-7.4.1.3-17 pályázathoz (Piac fejlesztés)</t>
  </si>
  <si>
    <t>Választókörzetek településüzemeltetési és településfejlesztési kiadásai</t>
  </si>
  <si>
    <t>Polgátmesteri keret</t>
  </si>
  <si>
    <t xml:space="preserve">KLIK konyhák üzemeltetési költsége </t>
  </si>
  <si>
    <t>KLIK konyház üzemeltetési költsége</t>
  </si>
  <si>
    <t>Szünidei étkezés</t>
  </si>
  <si>
    <t>148/2016. (V.26.) kt. határozat alapján az „Önkormányzati étkeztetési fejlesztések támogatása”pályázat támogatása (Kinizsi Óvoda) (2016. évről áthozott)</t>
  </si>
  <si>
    <t>A Karcag Városi Önkormányzat 2017. évi költségvetési kiadás főösszegének teljesítése kiemelt előirányzatonkénti bontásban</t>
  </si>
  <si>
    <t>A Karcag Városi Önkormányzat 2017. évi költségvetés kiadási főösszegén belül az Önkormányzat kiadásai feladatonként, kiemelt előirányzatonkénti bontásban</t>
  </si>
  <si>
    <t>Államháztartáson belüli megelőlegezések</t>
  </si>
  <si>
    <t>,</t>
  </si>
  <si>
    <t xml:space="preserve">   2. Államháztartáson belüli megelőlegezések</t>
  </si>
  <si>
    <t xml:space="preserve">Közműfejlesztési támogatás </t>
  </si>
  <si>
    <t>Közműfejlesztési támogatás</t>
  </si>
  <si>
    <t>A Karcag Városi Önkormányzat 2017. évi vagyonkimutatása</t>
  </si>
  <si>
    <t>Nettó érték</t>
  </si>
  <si>
    <t>A/II</t>
  </si>
  <si>
    <t>A/I/1</t>
  </si>
  <si>
    <t>Vagyonértékű jogok</t>
  </si>
  <si>
    <t>Törzsvagyon</t>
  </si>
  <si>
    <t>Forgalomképtelen vagyoni értékű jogok</t>
  </si>
  <si>
    <t>Korlátozottan forgalomképes vagyonértékű jogok</t>
  </si>
  <si>
    <t>Korlátozottan forgalomképes</t>
  </si>
  <si>
    <t>Üzemeltetésre átadott korl.forgalomképes vagyoni ért.jogok</t>
  </si>
  <si>
    <t>0-ra leírt korl.forgalomképes vagyoni értékű jogok</t>
  </si>
  <si>
    <t>0-ra leírt üz. átadott korl.forgalomképes vagyoni ért.jogok</t>
  </si>
  <si>
    <t>Üzleti vagyon</t>
  </si>
  <si>
    <t>Forgalomképes vagyonértékű jogok</t>
  </si>
  <si>
    <t>0-ra leírt forgalomképes vagyonértékű jogok</t>
  </si>
  <si>
    <t>0-ra leírt üzemeltetésre átadott vagyoni értékű jogok</t>
  </si>
  <si>
    <t>A/I/2</t>
  </si>
  <si>
    <t>Szellemi termék</t>
  </si>
  <si>
    <t>Forgalomképtelen szellemi termékek</t>
  </si>
  <si>
    <t>Korlátozottan forgalomképes szellemi termékek</t>
  </si>
  <si>
    <t>Üzemeltetésre átadott korl.forgalomképes szellemi termékek</t>
  </si>
  <si>
    <t>0-ra leírt korl.forgalomképes szellemi termékek</t>
  </si>
  <si>
    <t>Forgalomképes szellemi termék</t>
  </si>
  <si>
    <t>0-ra leírt forgalomképes szellemi  termék</t>
  </si>
  <si>
    <t>0-ra leírt üzemeltetésre átadott forgalomképes szellemi termék</t>
  </si>
  <si>
    <t>Tárgyi eszközök</t>
  </si>
  <si>
    <t>A/II/1</t>
  </si>
  <si>
    <t>Ingatlanok és kapcsolódó vagyoni értékű jogok</t>
  </si>
  <si>
    <t>Forgalomképtelen</t>
  </si>
  <si>
    <t>Földterület</t>
  </si>
  <si>
    <t>Üzemeltetésre átadott földterület</t>
  </si>
  <si>
    <t>Telek</t>
  </si>
  <si>
    <t>Üzemeltetésre átadott telek</t>
  </si>
  <si>
    <t>Épület</t>
  </si>
  <si>
    <t>Üzemeltetésre átadott épületek</t>
  </si>
  <si>
    <t>Építmény</t>
  </si>
  <si>
    <t>Üzemeltetésre átadott építmények</t>
  </si>
  <si>
    <t>0-ra leírt épületek</t>
  </si>
  <si>
    <t>0-ra leírt építmények</t>
  </si>
  <si>
    <t>0-ra leírt üzemeltetésre átadott építmények</t>
  </si>
  <si>
    <t>Erdő</t>
  </si>
  <si>
    <t>Halastó</t>
  </si>
  <si>
    <t>0-ra leírt üzemeltetésre adott épületek</t>
  </si>
  <si>
    <t>Üzemeltetésre átadott erdő</t>
  </si>
  <si>
    <t>0-ra leírt üzemeltetésre átadott épületek</t>
  </si>
  <si>
    <t>A/II/2</t>
  </si>
  <si>
    <t>Gépek berendezések,felszerelések</t>
  </si>
  <si>
    <t>Forgalomképtelen gépek,berendezések, járművek</t>
  </si>
  <si>
    <t>Forgalomképtelen számítástechnikai eszközök</t>
  </si>
  <si>
    <t>Üzemeltetésre átadott forgalomképtelen szám.tech.eszközök</t>
  </si>
  <si>
    <t>Forgalomképtelen egyéb gépek,berendezések</t>
  </si>
  <si>
    <t>Üzemeltetésre átadott forg.képtelen egyéb gépek,berend.</t>
  </si>
  <si>
    <t>Forgalomképtelen járművek</t>
  </si>
  <si>
    <t>0-ra leírt üz. átadott egyéb berendezések</t>
  </si>
  <si>
    <t>Korlátozottan forgalomképes gépek,berendezések,járművek</t>
  </si>
  <si>
    <t>Korlátozottan forgalomképes számítástechnikai eszközök</t>
  </si>
  <si>
    <t>Üzemeltetésre átadott korl.forg.képes szám.tech.eszközök</t>
  </si>
  <si>
    <t>Korlátozottan forgalomképes egyéb berendezések</t>
  </si>
  <si>
    <t>Korlátotzottan forg.képs kulturális javak</t>
  </si>
  <si>
    <t>Üzemeltetésre átadott korl. forgalomképes egyéb berendezések</t>
  </si>
  <si>
    <t>Üzemeltetésre átadott kulturális javak</t>
  </si>
  <si>
    <t>Korlátozottan forgalomképes járművek</t>
  </si>
  <si>
    <t>0-ra lert korl.forgalomképes számítástechnikai eszközök</t>
  </si>
  <si>
    <t>0-ra leírt üz. átadott korl. forgalomképes számítástechnikai eszk.</t>
  </si>
  <si>
    <t>0-ra leírt korl. forgalomképes egyéb berendezések</t>
  </si>
  <si>
    <t>0-ra leírt üz. átadott korl.forg.képes egyéb berendezések</t>
  </si>
  <si>
    <t>0-ra leírt korl.forgalomképes járművek</t>
  </si>
  <si>
    <t>0-ra leírt üz.átadott korl.forg.képes járművek</t>
  </si>
  <si>
    <t>Forgalomképes számítástechnikai eszközök</t>
  </si>
  <si>
    <t>Forgalomképes egyéb berendezések</t>
  </si>
  <si>
    <t>Forgalomképes kulturális javak</t>
  </si>
  <si>
    <t>Forgalomképes járművek</t>
  </si>
  <si>
    <t>0-ra leírt forgalomképes számítástechnikai eszközök</t>
  </si>
  <si>
    <t>0-ra leírt forgalomképes egyéb berendezések</t>
  </si>
  <si>
    <t>0-ra leírt üz.átadott forgalomképes egyéb berendezések</t>
  </si>
  <si>
    <t>0-ra leírt üz.átadott forgalomképes járművek</t>
  </si>
  <si>
    <t>A/II/3</t>
  </si>
  <si>
    <t>Korlátotzottan forgalomképes tenyészállatok</t>
  </si>
  <si>
    <t>A/II/4</t>
  </si>
  <si>
    <t>A/III</t>
  </si>
  <si>
    <t>A/III/1</t>
  </si>
  <si>
    <t>A/IV</t>
  </si>
  <si>
    <t>Koncesszióba,vagyonkezelésbe adott eszközök</t>
  </si>
  <si>
    <t>Koncesszióba,vagyonkezelésbe adott tárgyi eszközök</t>
  </si>
  <si>
    <t>Forgalomképtelen vagyonelemek</t>
  </si>
  <si>
    <t>Korlátozottan forgalomképes vagyonelemek</t>
  </si>
  <si>
    <t>Vagyonkezelésbe átadott korl.forg.képes földterület</t>
  </si>
  <si>
    <t>Vagyonkezelésbe adott korl.forgalomképes épületek</t>
  </si>
  <si>
    <t>Vagyonkezelésbe adott korl.forgalomképes építmények</t>
  </si>
  <si>
    <t>Vagyonkezelésbe adott 0-ra leírt  kor.forg.képes gépek</t>
  </si>
  <si>
    <t>Vagyonkezelésbe adott 0-ra leírt  kor.forg.képes járművek</t>
  </si>
  <si>
    <t>Burttó érték</t>
  </si>
  <si>
    <t>A/I</t>
  </si>
  <si>
    <t>11/2018. (05.25.)</t>
  </si>
  <si>
    <t xml:space="preserve">10. sz. melléklet a Karcag Városi Önkormányzat Képviselő-testületének 11/2018.(V.25.) önkormányzati rendeletéhez </t>
  </si>
  <si>
    <t xml:space="preserve">1. sz. melléklet a Karcag Városi Önkormányzat Képviselő-testületének 11/2018.(V.25.)  önkormányzati rendeletéhez </t>
  </si>
  <si>
    <t xml:space="preserve">2. sz. melléklet a Karcag Városi Önkormányzat Képviselő-testületének  11/2018.(V.25.)  önkormányzati rendeletéhez </t>
  </si>
  <si>
    <t xml:space="preserve">3. sz. melléklet a Karcag Városi Önkormányzat Képviselő-testületének  11/2018.(V.25.)  önkormányzati rendeletéhez </t>
  </si>
  <si>
    <t xml:space="preserve">4 sz. melléklet a Karcag Városi Önkormányzat Képviselő-testületének  11/2018.(V.25.)  önkormányzati rendeletéhez </t>
  </si>
  <si>
    <t xml:space="preserve">5. sz. melléklet a Karcag Városi Önkormányzat Képviselő-testületének  11/2018.(V.25.)  önkormányzati rendeletéhez </t>
  </si>
  <si>
    <t xml:space="preserve">6. sz. melléklet a Karcag Városi Önkormányzat Képviselő-testületének  11/2018.(V.25.)  önkormányzati rendeletéhez </t>
  </si>
  <si>
    <t xml:space="preserve">7. sz. melléklet a Karcag Városi Önkormányzat Képviselő-testületének  11/2018.(V.25.)  önkormányzati rendeletéhez </t>
  </si>
  <si>
    <t xml:space="preserve">8. sz. melléklet a Karcag Városi Önkormányzat Képviselő-testületének  11/2018.(V.25.)  önkormányzati rendeletéhez </t>
  </si>
  <si>
    <t xml:space="preserve">9. sz. melléklet a Karcag Városi Önkormányzat Képviselő-testületének 11/2018.(V.25.)  önkormányzati rendeletéhez </t>
  </si>
  <si>
    <t xml:space="preserve">11. sz. melléklet a Karcag Városi Önkormányzat Képviselő-testületének  11/2018.(V.25.)  önkormányzati rendeletéhez </t>
  </si>
  <si>
    <t xml:space="preserve">13. sz. melléklet a Karcag Városi Önkormányzat Képviselő-testületének  11/2018.(V.25.) önkormányzati rendeletéhez </t>
  </si>
  <si>
    <t xml:space="preserve">14. sz. melléklet a Karcag Városi Önkormányzat Képviselő-testületének  11/2018.(V.25.)  önkormányzati rendeletéhez </t>
  </si>
  <si>
    <t xml:space="preserve">15. sz. melléklet a Karcag Városi Önkormányzat Képviselő-testületének 11/2018.(V.25.)  önkormányzati rendeletéhez </t>
  </si>
  <si>
    <t xml:space="preserve">16. sz. melléklet a Karcag Városi Önkormányzat Képviselő-testületének  11/2018.(V.25.) önkormányzati rendeletéhez </t>
  </si>
  <si>
    <t xml:space="preserve">17. sz. melléklet a Karcag Városi Önkormányzat Képviselő-testületének  11/2018.(V.25.)  önkormányzati rendeletéhez </t>
  </si>
  <si>
    <t xml:space="preserve">18. sz. melléklet a Karcag Városi Önkormányzat Képviselő-testületének 11/2018.(V.25.)  önkormányzati rendeletéhez </t>
  </si>
  <si>
    <t xml:space="preserve">8. sz. melléklet a Karcag Városi Önkormányzat Képviselő-testületének  11/2018. (V.25.) önkormányzati rendeletéhez </t>
  </si>
  <si>
    <t xml:space="preserve">10. sz. melléklet a Karcag Városi Önkormányzat Képviselő-testületének 11/2018. (V.25.) önkormányzati rendeletéhez </t>
  </si>
  <si>
    <t>12. sz. melléklet a Karcag Városi Önkormányzat Képviselő-testületének 11/2018.(V.25.)  önkormányzati rendeletéhez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</si>
</sst>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_F_t"/>
  </numFmts>
  <fonts count="5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u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</cellStyleXfs>
  <cellXfs count="975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 indent="1"/>
    </xf>
    <xf numFmtId="10" fontId="3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0" fontId="2" fillId="0" borderId="14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left" vertical="top" wrapText="1" indent="1"/>
    </xf>
    <xf numFmtId="0" fontId="12" fillId="0" borderId="0" xfId="0" applyFont="1"/>
    <xf numFmtId="164" fontId="2" fillId="0" borderId="13" xfId="0" applyNumberFormat="1" applyFont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top" wrapText="1" indent="1"/>
    </xf>
    <xf numFmtId="3" fontId="2" fillId="0" borderId="13" xfId="0" applyNumberFormat="1" applyFont="1" applyBorder="1" applyAlignment="1">
      <alignment horizontal="right" vertical="top" wrapText="1" indent="1"/>
    </xf>
    <xf numFmtId="3" fontId="2" fillId="0" borderId="13" xfId="0" applyNumberFormat="1" applyFont="1" applyFill="1" applyBorder="1" applyAlignment="1">
      <alignment horizontal="right" vertical="top" wrapText="1" indent="1"/>
    </xf>
    <xf numFmtId="3" fontId="2" fillId="0" borderId="14" xfId="0" applyNumberFormat="1" applyFont="1" applyFill="1" applyBorder="1" applyAlignment="1">
      <alignment horizontal="right" vertical="top" wrapText="1" inden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16" xfId="0" applyNumberFormat="1" applyFont="1" applyFill="1" applyBorder="1" applyAlignment="1">
      <alignment horizontal="right" vertical="top" wrapText="1" indent="1"/>
    </xf>
    <xf numFmtId="0" fontId="2" fillId="0" borderId="7" xfId="0" applyFont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center" wrapText="1" indent="1"/>
    </xf>
    <xf numFmtId="10" fontId="2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vertical="top" wrapText="1"/>
    </xf>
    <xf numFmtId="10" fontId="2" fillId="0" borderId="21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top" wrapText="1" indent="1"/>
    </xf>
    <xf numFmtId="164" fontId="2" fillId="0" borderId="8" xfId="0" applyNumberFormat="1" applyFont="1" applyFill="1" applyBorder="1" applyAlignment="1">
      <alignment horizontal="right" vertical="center" wrapText="1" indent="1"/>
    </xf>
    <xf numFmtId="164" fontId="2" fillId="0" borderId="24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Border="1" applyAlignment="1">
      <alignment horizontal="right" vertical="center" wrapText="1" indent="1"/>
    </xf>
    <xf numFmtId="10" fontId="2" fillId="0" borderId="25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10" fillId="0" borderId="0" xfId="0" applyNumberFormat="1" applyFont="1"/>
    <xf numFmtId="164" fontId="2" fillId="0" borderId="16" xfId="0" applyNumberFormat="1" applyFont="1" applyBorder="1" applyAlignment="1">
      <alignment horizontal="right" vertical="center" wrapText="1" indent="1"/>
    </xf>
    <xf numFmtId="0" fontId="15" fillId="0" borderId="0" xfId="0" applyFont="1"/>
    <xf numFmtId="164" fontId="15" fillId="0" borderId="0" xfId="0" applyNumberFormat="1" applyFont="1"/>
    <xf numFmtId="10" fontId="15" fillId="0" borderId="0" xfId="0" applyNumberFormat="1" applyFont="1"/>
    <xf numFmtId="16" fontId="15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9" fillId="3" borderId="5" xfId="0" applyFont="1" applyFill="1" applyBorder="1" applyAlignment="1">
      <alignment horizontal="center"/>
    </xf>
    <xf numFmtId="0" fontId="15" fillId="3" borderId="0" xfId="0" applyFont="1" applyFill="1"/>
    <xf numFmtId="164" fontId="19" fillId="3" borderId="6" xfId="0" applyNumberFormat="1" applyFont="1" applyFill="1" applyBorder="1" applyAlignment="1">
      <alignment horizontal="center" vertical="center" wrapText="1"/>
    </xf>
    <xf numFmtId="10" fontId="19" fillId="3" borderId="6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10" fontId="15" fillId="0" borderId="21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 wrapText="1"/>
    </xf>
    <xf numFmtId="10" fontId="19" fillId="0" borderId="21" xfId="0" applyNumberFormat="1" applyFont="1" applyBorder="1" applyAlignment="1">
      <alignment vertical="center" wrapText="1"/>
    </xf>
    <xf numFmtId="3" fontId="15" fillId="0" borderId="0" xfId="0" applyNumberFormat="1" applyFont="1"/>
    <xf numFmtId="3" fontId="15" fillId="0" borderId="21" xfId="0" applyNumberFormat="1" applyFont="1" applyBorder="1" applyAlignment="1"/>
    <xf numFmtId="0" fontId="15" fillId="0" borderId="18" xfId="0" applyFont="1" applyFill="1" applyBorder="1" applyAlignment="1">
      <alignment horizontal="left"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/>
    <xf numFmtId="3" fontId="15" fillId="0" borderId="0" xfId="0" applyNumberFormat="1" applyFont="1" applyFill="1"/>
    <xf numFmtId="0" fontId="15" fillId="0" borderId="0" xfId="0" applyFont="1" applyFill="1"/>
    <xf numFmtId="3" fontId="19" fillId="3" borderId="6" xfId="0" applyNumberFormat="1" applyFont="1" applyFill="1" applyBorder="1" applyAlignment="1">
      <alignment vertical="center" wrapText="1"/>
    </xf>
    <xf numFmtId="10" fontId="19" fillId="3" borderId="6" xfId="0" applyNumberFormat="1" applyFont="1" applyFill="1" applyBorder="1" applyAlignment="1">
      <alignment vertical="center" wrapText="1"/>
    </xf>
    <xf numFmtId="3" fontId="19" fillId="3" borderId="0" xfId="0" applyNumberFormat="1" applyFont="1" applyFill="1"/>
    <xf numFmtId="0" fontId="19" fillId="3" borderId="0" xfId="0" applyFont="1" applyFill="1"/>
    <xf numFmtId="3" fontId="15" fillId="0" borderId="37" xfId="0" applyNumberFormat="1" applyFont="1" applyBorder="1" applyAlignment="1">
      <alignment vertical="center" wrapText="1"/>
    </xf>
    <xf numFmtId="10" fontId="15" fillId="0" borderId="37" xfId="0" applyNumberFormat="1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3" fontId="15" fillId="0" borderId="38" xfId="0" applyNumberFormat="1" applyFont="1" applyFill="1" applyBorder="1" applyAlignment="1">
      <alignment vertical="center" wrapText="1"/>
    </xf>
    <xf numFmtId="10" fontId="15" fillId="0" borderId="38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 wrapText="1"/>
    </xf>
    <xf numFmtId="10" fontId="19" fillId="0" borderId="38" xfId="0" applyNumberFormat="1" applyFont="1" applyBorder="1" applyAlignment="1">
      <alignment vertical="center" wrapText="1"/>
    </xf>
    <xf numFmtId="0" fontId="2" fillId="0" borderId="0" xfId="0" applyFont="1"/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24" fillId="3" borderId="0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 wrapText="1" indent="1"/>
    </xf>
    <xf numFmtId="3" fontId="2" fillId="0" borderId="37" xfId="0" applyNumberFormat="1" applyFont="1" applyBorder="1" applyAlignment="1">
      <alignment vertical="center" wrapText="1"/>
    </xf>
    <xf numFmtId="10" fontId="2" fillId="0" borderId="3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3" fillId="3" borderId="6" xfId="0" applyNumberFormat="1" applyFont="1" applyFill="1" applyBorder="1" applyAlignment="1">
      <alignment vertical="center" wrapText="1"/>
    </xf>
    <xf numFmtId="10" fontId="3" fillId="3" borderId="6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10" fontId="2" fillId="0" borderId="25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3" fontId="2" fillId="0" borderId="32" xfId="0" applyNumberFormat="1" applyFont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0" fontId="3" fillId="0" borderId="6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1"/>
    </xf>
    <xf numFmtId="3" fontId="2" fillId="0" borderId="33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3" fontId="3" fillId="0" borderId="6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3" fontId="3" fillId="3" borderId="39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24" fillId="0" borderId="0" xfId="0" applyNumberFormat="1" applyFont="1"/>
    <xf numFmtId="0" fontId="13" fillId="0" borderId="25" xfId="0" applyFont="1" applyFill="1" applyBorder="1" applyAlignment="1">
      <alignment horizontal="left" vertical="center" wrapText="1" indent="1"/>
    </xf>
    <xf numFmtId="10" fontId="2" fillId="0" borderId="25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27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0" fillId="3" borderId="7" xfId="0" applyFill="1" applyBorder="1"/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left" vertical="center" wrapText="1" indent="1"/>
    </xf>
    <xf numFmtId="0" fontId="3" fillId="3" borderId="40" xfId="0" applyFont="1" applyFill="1" applyBorder="1" applyAlignment="1">
      <alignment horizontal="left" vertical="center" wrapText="1" indent="1"/>
    </xf>
    <xf numFmtId="3" fontId="3" fillId="3" borderId="40" xfId="0" applyNumberFormat="1" applyFont="1" applyFill="1" applyBorder="1" applyAlignment="1">
      <alignment vertical="center" wrapText="1"/>
    </xf>
    <xf numFmtId="10" fontId="3" fillId="3" borderId="40" xfId="0" applyNumberFormat="1" applyFont="1" applyFill="1" applyBorder="1" applyAlignment="1">
      <alignment vertical="center" wrapText="1"/>
    </xf>
    <xf numFmtId="10" fontId="2" fillId="0" borderId="0" xfId="0" applyNumberFormat="1" applyFont="1"/>
    <xf numFmtId="10" fontId="6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3" fillId="5" borderId="6" xfId="0" applyFont="1" applyFill="1" applyBorder="1" applyAlignment="1">
      <alignment horizontal="left" vertical="center" wrapText="1" indent="1"/>
    </xf>
    <xf numFmtId="3" fontId="3" fillId="5" borderId="6" xfId="0" applyNumberFormat="1" applyFont="1" applyFill="1" applyBorder="1" applyAlignment="1">
      <alignment vertical="center" wrapText="1"/>
    </xf>
    <xf numFmtId="10" fontId="3" fillId="5" borderId="6" xfId="0" applyNumberFormat="1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25" fillId="5" borderId="0" xfId="0" applyNumberFormat="1" applyFont="1" applyFill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10" fontId="3" fillId="0" borderId="32" xfId="0" applyNumberFormat="1" applyFont="1" applyBorder="1" applyAlignment="1">
      <alignment vertical="center" wrapText="1"/>
    </xf>
    <xf numFmtId="3" fontId="0" fillId="5" borderId="0" xfId="0" applyNumberFormat="1" applyFill="1" applyBorder="1"/>
    <xf numFmtId="0" fontId="0" fillId="5" borderId="0" xfId="0" applyFill="1" applyBorder="1"/>
    <xf numFmtId="0" fontId="0" fillId="5" borderId="0" xfId="0" applyFill="1"/>
    <xf numFmtId="0" fontId="29" fillId="0" borderId="0" xfId="0" applyFont="1" applyAlignment="1">
      <alignment vertical="center"/>
    </xf>
    <xf numFmtId="0" fontId="29" fillId="0" borderId="0" xfId="0" applyFont="1"/>
    <xf numFmtId="10" fontId="29" fillId="0" borderId="0" xfId="0" applyNumberFormat="1" applyFont="1"/>
    <xf numFmtId="3" fontId="29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3" fontId="33" fillId="0" borderId="24" xfId="0" applyNumberFormat="1" applyFont="1" applyBorder="1" applyAlignment="1">
      <alignment horizontal="right" vertical="center" wrapText="1" indent="1"/>
    </xf>
    <xf numFmtId="3" fontId="33" fillId="0" borderId="8" xfId="0" applyNumberFormat="1" applyFont="1" applyFill="1" applyBorder="1" applyAlignment="1">
      <alignment horizontal="right" vertical="center" wrapText="1" indent="1"/>
    </xf>
    <xf numFmtId="3" fontId="33" fillId="0" borderId="8" xfId="0" applyNumberFormat="1" applyFont="1" applyBorder="1" applyAlignment="1">
      <alignment horizontal="right" vertical="center" wrapText="1" indent="1"/>
    </xf>
    <xf numFmtId="0" fontId="6" fillId="0" borderId="37" xfId="0" applyFont="1" applyBorder="1"/>
    <xf numFmtId="0" fontId="4" fillId="0" borderId="12" xfId="0" applyFont="1" applyBorder="1"/>
    <xf numFmtId="0" fontId="4" fillId="0" borderId="14" xfId="0" applyFont="1" applyBorder="1"/>
    <xf numFmtId="3" fontId="33" fillId="0" borderId="14" xfId="0" applyNumberFormat="1" applyFont="1" applyBorder="1" applyAlignment="1">
      <alignment horizontal="right" vertical="center" wrapText="1" indent="1"/>
    </xf>
    <xf numFmtId="3" fontId="33" fillId="0" borderId="14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33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6" fillId="0" borderId="21" xfId="0" applyFont="1" applyBorder="1"/>
    <xf numFmtId="0" fontId="33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right" vertical="center" wrapText="1" indent="1"/>
    </xf>
    <xf numFmtId="3" fontId="33" fillId="0" borderId="21" xfId="0" applyNumberFormat="1" applyFont="1" applyFill="1" applyBorder="1" applyAlignment="1">
      <alignment horizontal="right" vertical="center" wrapText="1" indent="1"/>
    </xf>
    <xf numFmtId="0" fontId="33" fillId="0" borderId="16" xfId="0" applyFont="1" applyBorder="1" applyAlignment="1">
      <alignment vertical="top" wrapText="1"/>
    </xf>
    <xf numFmtId="3" fontId="33" fillId="0" borderId="16" xfId="0" applyNumberFormat="1" applyFont="1" applyBorder="1" applyAlignment="1">
      <alignment horizontal="right" vertical="center" wrapText="1" indent="1"/>
    </xf>
    <xf numFmtId="0" fontId="30" fillId="0" borderId="20" xfId="0" applyFont="1" applyBorder="1" applyAlignment="1">
      <alignment vertical="top" wrapText="1"/>
    </xf>
    <xf numFmtId="3" fontId="30" fillId="0" borderId="20" xfId="0" applyNumberFormat="1" applyFont="1" applyBorder="1" applyAlignment="1">
      <alignment horizontal="right" vertical="center" wrapText="1" indent="1"/>
    </xf>
    <xf numFmtId="3" fontId="30" fillId="0" borderId="20" xfId="0" applyNumberFormat="1" applyFont="1" applyFill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/>
    </xf>
    <xf numFmtId="0" fontId="32" fillId="0" borderId="7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3" fontId="2" fillId="0" borderId="0" xfId="0" applyNumberFormat="1" applyFont="1" applyAlignment="1">
      <alignment vertical="center"/>
    </xf>
    <xf numFmtId="3" fontId="15" fillId="0" borderId="18" xfId="0" applyNumberFormat="1" applyFont="1" applyBorder="1" applyAlignment="1"/>
    <xf numFmtId="10" fontId="2" fillId="0" borderId="32" xfId="0" applyNumberFormat="1" applyFont="1" applyBorder="1" applyAlignment="1">
      <alignment vertical="center" wrapText="1"/>
    </xf>
    <xf numFmtId="0" fontId="3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35" fillId="3" borderId="0" xfId="0" applyFont="1" applyFill="1" applyBorder="1"/>
    <xf numFmtId="0" fontId="35" fillId="3" borderId="20" xfId="0" applyFont="1" applyFill="1" applyBorder="1"/>
    <xf numFmtId="0" fontId="35" fillId="3" borderId="6" xfId="0" applyFont="1" applyFill="1" applyBorder="1"/>
    <xf numFmtId="3" fontId="37" fillId="6" borderId="22" xfId="0" applyNumberFormat="1" applyFont="1" applyFill="1" applyBorder="1" applyAlignment="1">
      <alignment horizontal="left" vertical="center" wrapText="1"/>
    </xf>
    <xf numFmtId="3" fontId="37" fillId="6" borderId="23" xfId="0" applyNumberFormat="1" applyFont="1" applyFill="1" applyBorder="1" applyAlignment="1">
      <alignment horizontal="right" vertical="center" wrapText="1" indent="1"/>
    </xf>
    <xf numFmtId="0" fontId="36" fillId="0" borderId="20" xfId="0" applyFont="1" applyFill="1" applyBorder="1"/>
    <xf numFmtId="0" fontId="36" fillId="0" borderId="6" xfId="0" applyFont="1" applyFill="1" applyBorder="1"/>
    <xf numFmtId="3" fontId="2" fillId="0" borderId="0" xfId="0" applyNumberFormat="1" applyFont="1" applyFill="1" applyBorder="1"/>
    <xf numFmtId="0" fontId="36" fillId="3" borderId="0" xfId="0" applyFont="1" applyFill="1" applyBorder="1"/>
    <xf numFmtId="0" fontId="36" fillId="3" borderId="6" xfId="0" applyFont="1" applyFill="1" applyBorder="1"/>
    <xf numFmtId="0" fontId="36" fillId="3" borderId="33" xfId="0" applyFont="1" applyFill="1" applyBorder="1"/>
    <xf numFmtId="3" fontId="3" fillId="0" borderId="0" xfId="0" applyNumberFormat="1" applyFont="1" applyFill="1" applyBorder="1"/>
    <xf numFmtId="0" fontId="38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/>
    <xf numFmtId="0" fontId="0" fillId="0" borderId="20" xfId="0" applyFill="1" applyBorder="1"/>
    <xf numFmtId="0" fontId="0" fillId="0" borderId="6" xfId="0" applyFill="1" applyBorder="1"/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/>
    <xf numFmtId="0" fontId="0" fillId="0" borderId="6" xfId="0" applyFill="1" applyBorder="1" applyAlignment="1">
      <alignment vertical="center"/>
    </xf>
    <xf numFmtId="0" fontId="24" fillId="0" borderId="4" xfId="0" applyFont="1" applyFill="1" applyBorder="1"/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/>
    <xf numFmtId="0" fontId="28" fillId="0" borderId="0" xfId="0" applyFont="1" applyFill="1" applyBorder="1"/>
    <xf numFmtId="0" fontId="42" fillId="0" borderId="0" xfId="0" applyFont="1" applyFill="1" applyBorder="1"/>
    <xf numFmtId="0" fontId="42" fillId="0" borderId="35" xfId="0" applyFont="1" applyFill="1" applyBorder="1"/>
    <xf numFmtId="3" fontId="36" fillId="0" borderId="43" xfId="0" applyNumberFormat="1" applyFont="1" applyFill="1" applyBorder="1" applyAlignment="1">
      <alignment horizontal="left" vertical="center" wrapText="1"/>
    </xf>
    <xf numFmtId="3" fontId="36" fillId="0" borderId="13" xfId="0" applyNumberFormat="1" applyFont="1" applyFill="1" applyBorder="1" applyAlignment="1">
      <alignment horizontal="left" vertical="center" wrapText="1"/>
    </xf>
    <xf numFmtId="3" fontId="36" fillId="0" borderId="13" xfId="0" applyNumberFormat="1" applyFont="1" applyFill="1" applyBorder="1" applyAlignment="1">
      <alignment horizontal="right" vertical="center" indent="1"/>
    </xf>
    <xf numFmtId="3" fontId="36" fillId="0" borderId="45" xfId="0" applyNumberFormat="1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 wrapText="1" indent="1"/>
    </xf>
    <xf numFmtId="0" fontId="42" fillId="0" borderId="4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1" fillId="0" borderId="13" xfId="0" applyFont="1" applyFill="1" applyBorder="1"/>
    <xf numFmtId="0" fontId="41" fillId="0" borderId="45" xfId="0" applyFont="1" applyFill="1" applyBorder="1"/>
    <xf numFmtId="0" fontId="42" fillId="0" borderId="20" xfId="0" applyFont="1" applyFill="1" applyBorder="1"/>
    <xf numFmtId="0" fontId="42" fillId="0" borderId="6" xfId="0" applyFont="1" applyFill="1" applyBorder="1"/>
    <xf numFmtId="0" fontId="42" fillId="0" borderId="0" xfId="0" applyFont="1" applyFill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1" fillId="0" borderId="4" xfId="0" applyFont="1" applyFill="1" applyBorder="1"/>
    <xf numFmtId="10" fontId="36" fillId="0" borderId="21" xfId="0" applyNumberFormat="1" applyFont="1" applyFill="1" applyBorder="1" applyAlignment="1">
      <alignment horizontal="right" vertical="center" indent="1"/>
    </xf>
    <xf numFmtId="10" fontId="3" fillId="0" borderId="1" xfId="0" applyNumberFormat="1" applyFont="1" applyFill="1" applyBorder="1" applyAlignment="1">
      <alignment horizontal="right" vertical="center" indent="1"/>
    </xf>
    <xf numFmtId="10" fontId="3" fillId="0" borderId="45" xfId="0" applyNumberFormat="1" applyFont="1" applyFill="1" applyBorder="1" applyAlignment="1">
      <alignment horizontal="right" vertical="center" indent="1"/>
    </xf>
    <xf numFmtId="10" fontId="2" fillId="0" borderId="1" xfId="0" applyNumberFormat="1" applyFont="1" applyFill="1" applyBorder="1" applyAlignment="1">
      <alignment horizontal="right" vertical="center" indent="1"/>
    </xf>
    <xf numFmtId="10" fontId="2" fillId="0" borderId="45" xfId="0" applyNumberFormat="1" applyFont="1" applyFill="1" applyBorder="1" applyAlignment="1">
      <alignment horizontal="right" vertical="center" indent="1"/>
    </xf>
    <xf numFmtId="10" fontId="41" fillId="0" borderId="45" xfId="0" applyNumberFormat="1" applyFont="1" applyFill="1" applyBorder="1"/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1" xfId="0" applyNumberFormat="1" applyFont="1" applyFill="1" applyBorder="1" applyAlignment="1">
      <alignment horizontal="right" vertical="center" wrapText="1" indent="1"/>
    </xf>
    <xf numFmtId="3" fontId="36" fillId="0" borderId="37" xfId="0" applyNumberFormat="1" applyFont="1" applyFill="1" applyBorder="1" applyAlignment="1">
      <alignment horizontal="right" vertical="center" indent="1"/>
    </xf>
    <xf numFmtId="10" fontId="36" fillId="0" borderId="37" xfId="0" applyNumberFormat="1" applyFont="1" applyFill="1" applyBorder="1" applyAlignment="1">
      <alignment horizontal="right" vertical="center" indent="1"/>
    </xf>
    <xf numFmtId="10" fontId="36" fillId="0" borderId="6" xfId="0" applyNumberFormat="1" applyFont="1" applyFill="1" applyBorder="1" applyAlignment="1">
      <alignment horizontal="right" vertical="center" indent="1"/>
    </xf>
    <xf numFmtId="3" fontId="36" fillId="0" borderId="13" xfId="0" applyNumberFormat="1" applyFont="1" applyFill="1" applyBorder="1" applyAlignment="1">
      <alignment horizontal="right" vertical="center" wrapText="1" indent="1"/>
    </xf>
    <xf numFmtId="10" fontId="35" fillId="0" borderId="2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1" fillId="0" borderId="35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43" fillId="0" borderId="33" xfId="0" applyFont="1" applyFill="1" applyBorder="1" applyAlignment="1">
      <alignment horizontal="left" vertical="center" wrapText="1"/>
    </xf>
    <xf numFmtId="3" fontId="29" fillId="0" borderId="8" xfId="0" applyNumberFormat="1" applyFont="1" applyFill="1" applyBorder="1" applyAlignment="1">
      <alignment horizontal="right" vertical="center" wrapText="1"/>
    </xf>
    <xf numFmtId="3" fontId="29" fillId="0" borderId="33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4" fontId="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horizontal="justify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7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/>
    <xf numFmtId="0" fontId="48" fillId="0" borderId="2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wrapText="1" indent="1"/>
    </xf>
    <xf numFmtId="0" fontId="49" fillId="0" borderId="34" xfId="0" applyFont="1" applyFill="1" applyBorder="1" applyAlignment="1">
      <alignment horizontal="left" vertical="center" wrapText="1" indent="1"/>
    </xf>
    <xf numFmtId="0" fontId="49" fillId="0" borderId="32" xfId="0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0" fontId="6" fillId="0" borderId="0" xfId="2" applyFont="1" applyFill="1"/>
    <xf numFmtId="164" fontId="6" fillId="0" borderId="0" xfId="2" applyNumberFormat="1" applyFont="1" applyFill="1"/>
    <xf numFmtId="0" fontId="20" fillId="0" borderId="0" xfId="2" applyFont="1"/>
    <xf numFmtId="164" fontId="6" fillId="0" borderId="0" xfId="2" applyNumberFormat="1" applyFont="1"/>
    <xf numFmtId="0" fontId="6" fillId="0" borderId="0" xfId="2" applyFo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3" fillId="3" borderId="51" xfId="2" applyNumberFormat="1" applyFont="1" applyFill="1" applyBorder="1" applyAlignment="1">
      <alignment horizontal="center" vertical="top" wrapText="1"/>
    </xf>
    <xf numFmtId="164" fontId="3" fillId="3" borderId="51" xfId="2" applyNumberFormat="1" applyFont="1" applyFill="1" applyBorder="1" applyAlignment="1">
      <alignment horizontal="center" vertical="center" wrapText="1"/>
    </xf>
    <xf numFmtId="0" fontId="2" fillId="3" borderId="0" xfId="2" applyFont="1" applyFill="1"/>
    <xf numFmtId="164" fontId="3" fillId="3" borderId="52" xfId="2" applyNumberFormat="1" applyFont="1" applyFill="1" applyBorder="1" applyAlignment="1">
      <alignment horizontal="center" vertical="top" wrapText="1"/>
    </xf>
    <xf numFmtId="164" fontId="3" fillId="3" borderId="52" xfId="2" applyNumberFormat="1" applyFont="1" applyFill="1" applyBorder="1" applyAlignment="1">
      <alignment horizontal="center" vertical="center" wrapText="1"/>
    </xf>
    <xf numFmtId="164" fontId="3" fillId="3" borderId="53" xfId="2" applyNumberFormat="1" applyFont="1" applyFill="1" applyBorder="1" applyAlignment="1">
      <alignment horizontal="center" vertical="top" wrapText="1"/>
    </xf>
    <xf numFmtId="164" fontId="3" fillId="3" borderId="53" xfId="2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3" fontId="2" fillId="0" borderId="50" xfId="2" quotePrefix="1" applyNumberFormat="1" applyFont="1" applyBorder="1" applyAlignment="1">
      <alignment horizontal="center" vertical="center" wrapText="1"/>
    </xf>
    <xf numFmtId="3" fontId="2" fillId="0" borderId="50" xfId="2" applyNumberFormat="1" applyFont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6" fillId="0" borderId="0" xfId="0" applyFont="1"/>
    <xf numFmtId="0" fontId="0" fillId="0" borderId="0" xfId="0"/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0" borderId="2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2" fillId="0" borderId="20" xfId="0" applyFont="1" applyFill="1" applyBorder="1"/>
    <xf numFmtId="0" fontId="2" fillId="0" borderId="6" xfId="0" applyFont="1" applyFill="1" applyBorder="1"/>
    <xf numFmtId="3" fontId="35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right" vertical="center" wrapText="1" indent="1"/>
    </xf>
    <xf numFmtId="3" fontId="36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0" fontId="3" fillId="0" borderId="20" xfId="0" applyFont="1" applyFill="1" applyBorder="1"/>
    <xf numFmtId="0" fontId="3" fillId="0" borderId="6" xfId="0" applyFont="1" applyFill="1" applyBorder="1"/>
    <xf numFmtId="3" fontId="35" fillId="0" borderId="14" xfId="0" applyNumberFormat="1" applyFont="1" applyFill="1" applyBorder="1" applyAlignment="1">
      <alignment horizontal="right" vertical="center" wrapText="1"/>
    </xf>
    <xf numFmtId="3" fontId="36" fillId="0" borderId="25" xfId="0" applyNumberFormat="1" applyFont="1" applyFill="1" applyBorder="1" applyAlignment="1">
      <alignment horizontal="right" vertical="center" indent="1"/>
    </xf>
    <xf numFmtId="3" fontId="36" fillId="0" borderId="7" xfId="0" applyNumberFormat="1" applyFont="1" applyFill="1" applyBorder="1" applyAlignment="1">
      <alignment horizontal="left" vertical="center" wrapText="1"/>
    </xf>
    <xf numFmtId="3" fontId="36" fillId="0" borderId="4" xfId="0" applyNumberFormat="1" applyFont="1" applyFill="1" applyBorder="1" applyAlignment="1">
      <alignment horizontal="left" vertical="center" wrapText="1"/>
    </xf>
    <xf numFmtId="3" fontId="36" fillId="0" borderId="20" xfId="0" applyNumberFormat="1" applyFont="1" applyFill="1" applyBorder="1" applyAlignment="1">
      <alignment horizontal="left" vertical="center" wrapText="1"/>
    </xf>
    <xf numFmtId="3" fontId="36" fillId="0" borderId="6" xfId="0" applyNumberFormat="1" applyFont="1" applyFill="1" applyBorder="1" applyAlignment="1">
      <alignment horizontal="right" vertical="center" indent="1"/>
    </xf>
    <xf numFmtId="0" fontId="36" fillId="0" borderId="0" xfId="0" applyFont="1" applyFill="1" applyBorder="1"/>
    <xf numFmtId="0" fontId="36" fillId="0" borderId="33" xfId="0" applyFont="1" applyFill="1" applyBorder="1"/>
    <xf numFmtId="3" fontId="36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6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20" xfId="0" applyFont="1" applyFill="1" applyBorder="1"/>
    <xf numFmtId="0" fontId="10" fillId="0" borderId="6" xfId="0" applyFont="1" applyFill="1" applyBorder="1"/>
    <xf numFmtId="0" fontId="3" fillId="0" borderId="24" xfId="0" applyFont="1" applyFill="1" applyBorder="1"/>
    <xf numFmtId="0" fontId="3" fillId="0" borderId="33" xfId="0" applyFont="1" applyFill="1" applyBorder="1"/>
    <xf numFmtId="3" fontId="2" fillId="0" borderId="45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2" fillId="0" borderId="43" xfId="0" applyNumberFormat="1" applyFont="1" applyFill="1" applyBorder="1" applyAlignment="1">
      <alignment horizontal="left" vertical="center" wrapText="1"/>
    </xf>
    <xf numFmtId="3" fontId="3" fillId="0" borderId="45" xfId="0" applyNumberFormat="1" applyFont="1" applyFill="1" applyBorder="1" applyAlignment="1">
      <alignment horizontal="right" vertical="center" wrapText="1" indent="1"/>
    </xf>
    <xf numFmtId="3" fontId="2" fillId="0" borderId="45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 wrapText="1"/>
    </xf>
    <xf numFmtId="0" fontId="46" fillId="0" borderId="0" xfId="0" applyFont="1" applyAlignment="1"/>
    <xf numFmtId="0" fontId="51" fillId="0" borderId="0" xfId="0" applyFont="1" applyAlignment="1"/>
    <xf numFmtId="0" fontId="34" fillId="0" borderId="0" xfId="0" applyFont="1" applyAlignment="1"/>
    <xf numFmtId="0" fontId="50" fillId="0" borderId="0" xfId="0" applyFont="1" applyAlignment="1"/>
    <xf numFmtId="3" fontId="3" fillId="0" borderId="13" xfId="0" applyNumberFormat="1" applyFont="1" applyFill="1" applyBorder="1" applyAlignment="1">
      <alignment horizontal="right" vertical="center" wrapText="1" indent="1"/>
    </xf>
    <xf numFmtId="3" fontId="3" fillId="0" borderId="13" xfId="0" applyNumberFormat="1" applyFont="1" applyFill="1" applyBorder="1" applyAlignment="1">
      <alignment horizontal="right" vertical="center" wrapText="1"/>
    </xf>
    <xf numFmtId="3" fontId="36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 indent="1"/>
    </xf>
    <xf numFmtId="0" fontId="6" fillId="0" borderId="0" xfId="2" applyFont="1" applyFill="1"/>
    <xf numFmtId="0" fontId="3" fillId="4" borderId="50" xfId="0" applyFont="1" applyFill="1" applyBorder="1" applyAlignment="1">
      <alignment horizontal="left" vertical="center" wrapText="1"/>
    </xf>
    <xf numFmtId="3" fontId="3" fillId="4" borderId="50" xfId="2" applyNumberFormat="1" applyFont="1" applyFill="1" applyBorder="1" applyAlignment="1">
      <alignment horizontal="center" vertical="center" wrapText="1"/>
    </xf>
    <xf numFmtId="10" fontId="36" fillId="0" borderId="25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wrapText="1"/>
    </xf>
    <xf numFmtId="3" fontId="36" fillId="0" borderId="17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right" vertical="center" wrapText="1" indent="1"/>
    </xf>
    <xf numFmtId="3" fontId="36" fillId="0" borderId="18" xfId="0" applyNumberFormat="1" applyFont="1" applyFill="1" applyBorder="1" applyAlignment="1">
      <alignment horizontal="right" vertical="center" indent="1"/>
    </xf>
    <xf numFmtId="3" fontId="3" fillId="0" borderId="46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Fill="1" applyBorder="1" applyAlignment="1">
      <alignment horizontal="right" vertical="center" indent="1"/>
    </xf>
    <xf numFmtId="3" fontId="3" fillId="0" borderId="49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right" vertical="center" wrapText="1"/>
    </xf>
    <xf numFmtId="10" fontId="36" fillId="0" borderId="18" xfId="0" applyNumberFormat="1" applyFont="1" applyFill="1" applyBorder="1" applyAlignment="1">
      <alignment horizontal="right" vertical="center" indent="1"/>
    </xf>
    <xf numFmtId="3" fontId="35" fillId="0" borderId="14" xfId="0" applyNumberFormat="1" applyFont="1" applyFill="1" applyBorder="1" applyAlignment="1">
      <alignment horizontal="right" vertical="center" indent="1"/>
    </xf>
    <xf numFmtId="3" fontId="36" fillId="0" borderId="41" xfId="0" applyNumberFormat="1" applyFont="1" applyFill="1" applyBorder="1" applyAlignment="1">
      <alignment horizontal="right" vertical="center" wrapText="1" indent="1"/>
    </xf>
    <xf numFmtId="3" fontId="36" fillId="0" borderId="42" xfId="0" applyNumberFormat="1" applyFont="1" applyFill="1" applyBorder="1" applyAlignment="1">
      <alignment horizontal="right" vertical="center" indent="1"/>
    </xf>
    <xf numFmtId="10" fontId="36" fillId="0" borderId="42" xfId="0" applyNumberFormat="1" applyFont="1" applyFill="1" applyBorder="1" applyAlignment="1">
      <alignment horizontal="right" vertical="center" indent="1"/>
    </xf>
    <xf numFmtId="0" fontId="19" fillId="0" borderId="0" xfId="0" applyFont="1" applyFill="1" applyBorder="1"/>
    <xf numFmtId="0" fontId="19" fillId="0" borderId="6" xfId="0" applyFont="1" applyFill="1" applyBorder="1"/>
    <xf numFmtId="3" fontId="36" fillId="0" borderId="0" xfId="0" applyNumberFormat="1" applyFont="1" applyFill="1" applyBorder="1" applyAlignment="1">
      <alignment horizontal="right" vertical="center" wrapText="1" indent="1"/>
    </xf>
    <xf numFmtId="3" fontId="36" fillId="0" borderId="20" xfId="0" applyNumberFormat="1" applyFont="1" applyFill="1" applyBorder="1" applyAlignment="1">
      <alignment horizontal="right" vertical="center" indent="1"/>
    </xf>
    <xf numFmtId="10" fontId="36" fillId="0" borderId="20" xfId="0" applyNumberFormat="1" applyFont="1" applyFill="1" applyBorder="1" applyAlignment="1">
      <alignment horizontal="right" vertical="center" indent="1"/>
    </xf>
    <xf numFmtId="0" fontId="35" fillId="0" borderId="20" xfId="0" applyFont="1" applyFill="1" applyBorder="1"/>
    <xf numFmtId="0" fontId="35" fillId="0" borderId="6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52" fillId="0" borderId="0" xfId="0" applyFont="1"/>
    <xf numFmtId="164" fontId="3" fillId="0" borderId="11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horizontal="left" vertical="top" wrapText="1" indent="1"/>
    </xf>
    <xf numFmtId="164" fontId="3" fillId="2" borderId="20" xfId="0" applyNumberFormat="1" applyFont="1" applyFill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top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top" wrapText="1" indent="1"/>
    </xf>
    <xf numFmtId="164" fontId="2" fillId="0" borderId="38" xfId="0" applyNumberFormat="1" applyFont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right" vertical="center" wrapText="1" indent="1"/>
    </xf>
    <xf numFmtId="0" fontId="3" fillId="2" borderId="30" xfId="0" applyFont="1" applyFill="1" applyBorder="1" applyAlignment="1">
      <alignment horizontal="left" vertical="top" wrapText="1" indent="1"/>
    </xf>
    <xf numFmtId="3" fontId="2" fillId="2" borderId="31" xfId="0" applyNumberFormat="1" applyFont="1" applyFill="1" applyBorder="1" applyAlignment="1">
      <alignment horizontal="right" vertical="top" wrapText="1" indent="1"/>
    </xf>
    <xf numFmtId="164" fontId="2" fillId="2" borderId="19" xfId="0" applyNumberFormat="1" applyFont="1" applyFill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top" wrapText="1" indent="1"/>
    </xf>
    <xf numFmtId="3" fontId="2" fillId="0" borderId="10" xfId="0" applyNumberFormat="1" applyFont="1" applyBorder="1" applyAlignment="1">
      <alignment horizontal="right" vertical="top" wrapText="1" indent="1"/>
    </xf>
    <xf numFmtId="164" fontId="2" fillId="0" borderId="11" xfId="0" applyNumberFormat="1" applyFont="1" applyBorder="1" applyAlignment="1">
      <alignment horizontal="right" vertical="center" wrapText="1" indent="1"/>
    </xf>
    <xf numFmtId="164" fontId="2" fillId="2" borderId="11" xfId="0" applyNumberFormat="1" applyFont="1" applyFill="1" applyBorder="1" applyAlignment="1">
      <alignment horizontal="right" vertical="center" wrapText="1" indent="1"/>
    </xf>
    <xf numFmtId="164" fontId="3" fillId="2" borderId="11" xfId="0" applyNumberFormat="1" applyFont="1" applyFill="1" applyBorder="1" applyAlignment="1">
      <alignment horizontal="right" vertical="center" wrapText="1" indent="1"/>
    </xf>
    <xf numFmtId="164" fontId="52" fillId="0" borderId="0" xfId="0" applyNumberFormat="1" applyFont="1"/>
    <xf numFmtId="164" fontId="2" fillId="2" borderId="14" xfId="0" applyNumberFormat="1" applyFont="1" applyFill="1" applyBorder="1" applyAlignment="1">
      <alignment horizontal="right" vertical="center" wrapText="1" indent="1"/>
    </xf>
    <xf numFmtId="164" fontId="3" fillId="2" borderId="14" xfId="0" applyNumberFormat="1" applyFont="1" applyFill="1" applyBorder="1" applyAlignment="1">
      <alignment horizontal="right" vertical="center" wrapText="1" indent="1"/>
    </xf>
    <xf numFmtId="164" fontId="2" fillId="2" borderId="8" xfId="0" applyNumberFormat="1" applyFont="1" applyFill="1" applyBorder="1" applyAlignment="1">
      <alignment horizontal="right" vertical="center" wrapText="1" indent="1"/>
    </xf>
    <xf numFmtId="164" fontId="3" fillId="2" borderId="8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5" xfId="0" applyNumberFormat="1" applyFont="1" applyFill="1" applyBorder="1" applyAlignment="1">
      <alignment horizontal="right" vertical="center" wrapText="1" indent="1"/>
    </xf>
    <xf numFmtId="164" fontId="3" fillId="2" borderId="6" xfId="0" applyNumberFormat="1" applyFont="1" applyFill="1" applyBorder="1" applyAlignment="1">
      <alignment horizontal="right" vertical="center" wrapText="1" indent="1"/>
    </xf>
    <xf numFmtId="164" fontId="2" fillId="2" borderId="20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right" vertical="center" wrapText="1" indent="1"/>
    </xf>
    <xf numFmtId="164" fontId="2" fillId="0" borderId="37" xfId="0" applyNumberFormat="1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Fill="1" applyBorder="1" applyAlignment="1">
      <alignment horizontal="right" vertical="center" wrapText="1" indent="1"/>
    </xf>
    <xf numFmtId="164" fontId="3" fillId="2" borderId="5" xfId="0" applyNumberFormat="1" applyFont="1" applyFill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right" vertical="center" wrapText="1" indent="1"/>
    </xf>
    <xf numFmtId="10" fontId="2" fillId="0" borderId="16" xfId="0" applyNumberFormat="1" applyFont="1" applyBorder="1" applyAlignment="1">
      <alignment horizontal="right" vertical="center" wrapText="1" indent="1"/>
    </xf>
    <xf numFmtId="10" fontId="3" fillId="2" borderId="20" xfId="0" applyNumberFormat="1" applyFont="1" applyFill="1" applyBorder="1" applyAlignment="1">
      <alignment horizontal="right" vertical="center" wrapText="1" indent="1"/>
    </xf>
    <xf numFmtId="10" fontId="3" fillId="0" borderId="14" xfId="0" applyNumberFormat="1" applyFont="1" applyBorder="1" applyAlignment="1">
      <alignment horizontal="right" vertical="center" wrapText="1" indent="1"/>
    </xf>
    <xf numFmtId="10" fontId="2" fillId="0" borderId="38" xfId="0" applyNumberFormat="1" applyFont="1" applyBorder="1" applyAlignment="1">
      <alignment horizontal="right" vertical="center" wrapText="1" indent="1"/>
    </xf>
    <xf numFmtId="10" fontId="2" fillId="2" borderId="19" xfId="0" applyNumberFormat="1" applyFont="1" applyFill="1" applyBorder="1" applyAlignment="1">
      <alignment horizontal="right" vertical="center" wrapText="1" indent="1"/>
    </xf>
    <xf numFmtId="10" fontId="3" fillId="2" borderId="14" xfId="0" applyNumberFormat="1" applyFont="1" applyFill="1" applyBorder="1" applyAlignment="1">
      <alignment horizontal="right" vertical="center" wrapText="1"/>
    </xf>
    <xf numFmtId="10" fontId="3" fillId="2" borderId="6" xfId="0" applyNumberFormat="1" applyFont="1" applyFill="1" applyBorder="1" applyAlignment="1">
      <alignment horizontal="right" vertical="center" wrapText="1"/>
    </xf>
    <xf numFmtId="10" fontId="2" fillId="0" borderId="37" xfId="0" applyNumberFormat="1" applyFont="1" applyBorder="1" applyAlignment="1">
      <alignment horizontal="right" vertical="center" wrapText="1" indent="1"/>
    </xf>
    <xf numFmtId="164" fontId="3" fillId="2" borderId="29" xfId="0" applyNumberFormat="1" applyFont="1" applyFill="1" applyBorder="1" applyAlignment="1">
      <alignment horizontal="right" vertical="center" wrapText="1" indent="1"/>
    </xf>
    <xf numFmtId="164" fontId="3" fillId="2" borderId="25" xfId="0" applyNumberFormat="1" applyFont="1" applyFill="1" applyBorder="1" applyAlignment="1">
      <alignment horizontal="right" vertical="center" wrapText="1" indent="1"/>
    </xf>
    <xf numFmtId="0" fontId="19" fillId="0" borderId="33" xfId="0" applyFont="1" applyFill="1" applyBorder="1" applyAlignment="1">
      <alignment horizontal="left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15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/>
    <xf numFmtId="0" fontId="19" fillId="2" borderId="33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3" fontId="19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/>
    <xf numFmtId="3" fontId="15" fillId="0" borderId="25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/>
    <xf numFmtId="10" fontId="19" fillId="0" borderId="33" xfId="0" applyNumberFormat="1" applyFont="1" applyFill="1" applyBorder="1" applyAlignment="1">
      <alignment horizontal="center" vertical="center" wrapText="1"/>
    </xf>
    <xf numFmtId="10" fontId="15" fillId="0" borderId="21" xfId="0" applyNumberFormat="1" applyFont="1" applyFill="1" applyBorder="1" applyAlignment="1">
      <alignment vertical="center" wrapText="1"/>
    </xf>
    <xf numFmtId="10" fontId="15" fillId="0" borderId="21" xfId="0" applyNumberFormat="1" applyFont="1" applyFill="1" applyBorder="1" applyAlignment="1"/>
    <xf numFmtId="10" fontId="15" fillId="0" borderId="18" xfId="0" applyNumberFormat="1" applyFont="1" applyFill="1" applyBorder="1" applyAlignment="1"/>
    <xf numFmtId="10" fontId="15" fillId="0" borderId="18" xfId="0" applyNumberFormat="1" applyFont="1" applyFill="1" applyBorder="1" applyAlignment="1">
      <alignment vertical="center" wrapText="1"/>
    </xf>
    <xf numFmtId="10" fontId="19" fillId="2" borderId="6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>
      <alignment vertical="center" wrapText="1"/>
    </xf>
    <xf numFmtId="10" fontId="15" fillId="0" borderId="25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19" fillId="0" borderId="21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/>
    <xf numFmtId="10" fontId="15" fillId="0" borderId="25" xfId="0" applyNumberFormat="1" applyFont="1" applyFill="1" applyBorder="1" applyAlignment="1"/>
    <xf numFmtId="0" fontId="15" fillId="0" borderId="25" xfId="0" applyFont="1" applyFill="1" applyBorder="1" applyAlignment="1">
      <alignment vertical="center" wrapText="1"/>
    </xf>
    <xf numFmtId="10" fontId="2" fillId="0" borderId="38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53" fillId="0" borderId="1" xfId="0" applyFont="1" applyBorder="1" applyAlignment="1">
      <alignment vertical="center"/>
    </xf>
    <xf numFmtId="3" fontId="36" fillId="4" borderId="1" xfId="0" applyNumberFormat="1" applyFont="1" applyFill="1" applyBorder="1" applyAlignment="1">
      <alignment horizontal="left" vertical="center" wrapText="1"/>
    </xf>
    <xf numFmtId="0" fontId="54" fillId="4" borderId="1" xfId="0" applyFont="1" applyFill="1" applyBorder="1"/>
    <xf numFmtId="3" fontId="55" fillId="4" borderId="1" xfId="0" applyNumberFormat="1" applyFont="1" applyFill="1" applyBorder="1"/>
    <xf numFmtId="9" fontId="34" fillId="0" borderId="0" xfId="0" applyNumberFormat="1" applyFont="1"/>
    <xf numFmtId="9" fontId="51" fillId="0" borderId="0" xfId="0" applyNumberFormat="1" applyFont="1"/>
    <xf numFmtId="9" fontId="3" fillId="0" borderId="1" xfId="0" applyNumberFormat="1" applyFont="1" applyFill="1" applyBorder="1" applyAlignment="1">
      <alignment horizontal="right" vertical="center" indent="1"/>
    </xf>
    <xf numFmtId="9" fontId="55" fillId="4" borderId="1" xfId="0" applyNumberFormat="1" applyFont="1" applyFill="1" applyBorder="1"/>
    <xf numFmtId="9" fontId="6" fillId="0" borderId="0" xfId="0" applyNumberFormat="1" applyFont="1"/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/>
    <xf numFmtId="0" fontId="33" fillId="0" borderId="9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3" fontId="33" fillId="0" borderId="11" xfId="0" applyNumberFormat="1" applyFont="1" applyBorder="1" applyAlignment="1">
      <alignment horizontal="right" vertical="center" wrapText="1" indent="1"/>
    </xf>
    <xf numFmtId="3" fontId="33" fillId="0" borderId="11" xfId="0" applyNumberFormat="1" applyFont="1" applyFill="1" applyBorder="1" applyAlignment="1">
      <alignment horizontal="right" vertical="center" wrapText="1" indent="1"/>
    </xf>
    <xf numFmtId="0" fontId="33" fillId="0" borderId="17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3" fontId="33" fillId="0" borderId="16" xfId="0" applyNumberFormat="1" applyFont="1" applyFill="1" applyBorder="1" applyAlignment="1">
      <alignment horizontal="right" vertical="center" wrapText="1" indent="1"/>
    </xf>
    <xf numFmtId="0" fontId="30" fillId="0" borderId="2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3" fontId="3" fillId="0" borderId="43" xfId="0" applyNumberFormat="1" applyFont="1" applyFill="1" applyBorder="1" applyAlignment="1">
      <alignment horizontal="left" vertical="center" wrapText="1"/>
    </xf>
    <xf numFmtId="0" fontId="0" fillId="0" borderId="35" xfId="0" applyBorder="1"/>
    <xf numFmtId="0" fontId="24" fillId="0" borderId="35" xfId="0" applyFont="1" applyBorder="1"/>
    <xf numFmtId="0" fontId="0" fillId="0" borderId="35" xfId="0" applyBorder="1" applyAlignment="1">
      <alignment horizontal="right"/>
    </xf>
    <xf numFmtId="0" fontId="36" fillId="2" borderId="4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164" fontId="36" fillId="2" borderId="6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/>
    <xf numFmtId="0" fontId="35" fillId="2" borderId="6" xfId="0" applyFont="1" applyFill="1" applyBorder="1"/>
    <xf numFmtId="3" fontId="36" fillId="6" borderId="23" xfId="0" applyNumberFormat="1" applyFont="1" applyFill="1" applyBorder="1" applyAlignment="1">
      <alignment vertical="center"/>
    </xf>
    <xf numFmtId="3" fontId="35" fillId="0" borderId="13" xfId="0" applyNumberFormat="1" applyFont="1" applyFill="1" applyBorder="1" applyAlignment="1">
      <alignment horizontal="right" vertical="center" indent="1"/>
    </xf>
    <xf numFmtId="3" fontId="36" fillId="0" borderId="14" xfId="0" applyNumberFormat="1" applyFont="1" applyFill="1" applyBorder="1" applyAlignment="1">
      <alignment horizontal="right" vertical="center" indent="1"/>
    </xf>
    <xf numFmtId="0" fontId="35" fillId="0" borderId="4" xfId="0" applyFont="1" applyFill="1" applyBorder="1"/>
    <xf numFmtId="3" fontId="35" fillId="0" borderId="17" xfId="0" applyNumberFormat="1" applyFont="1" applyFill="1" applyBorder="1" applyAlignment="1">
      <alignment horizontal="left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right" vertical="center" indent="1"/>
    </xf>
    <xf numFmtId="3" fontId="36" fillId="0" borderId="0" xfId="0" applyNumberFormat="1" applyFont="1" applyFill="1" applyBorder="1"/>
    <xf numFmtId="3" fontId="37" fillId="6" borderId="4" xfId="0" applyNumberFormat="1" applyFont="1" applyFill="1" applyBorder="1" applyAlignment="1">
      <alignment horizontal="left" vertical="center" wrapText="1"/>
    </xf>
    <xf numFmtId="3" fontId="37" fillId="6" borderId="5" xfId="0" applyNumberFormat="1" applyFont="1" applyFill="1" applyBorder="1" applyAlignment="1">
      <alignment horizontal="right" vertical="center" wrapText="1" indent="1"/>
    </xf>
    <xf numFmtId="3" fontId="36" fillId="6" borderId="20" xfId="0" applyNumberFormat="1" applyFont="1" applyFill="1" applyBorder="1" applyAlignment="1">
      <alignment horizontal="right" vertical="center" indent="1"/>
    </xf>
    <xf numFmtId="3" fontId="37" fillId="0" borderId="14" xfId="0" applyNumberFormat="1" applyFont="1" applyFill="1" applyBorder="1" applyAlignment="1">
      <alignment horizontal="right" vertical="center" wrapText="1" indent="1"/>
    </xf>
    <xf numFmtId="0" fontId="35" fillId="0" borderId="13" xfId="0" applyFont="1" applyFill="1" applyBorder="1"/>
    <xf numFmtId="0" fontId="35" fillId="0" borderId="21" xfId="0" applyFont="1" applyFill="1" applyBorder="1"/>
    <xf numFmtId="0" fontId="3" fillId="0" borderId="32" xfId="0" applyFont="1" applyFill="1" applyBorder="1"/>
    <xf numFmtId="0" fontId="36" fillId="2" borderId="20" xfId="0" applyFon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 horizontal="right" vertical="center" wrapText="1"/>
    </xf>
    <xf numFmtId="3" fontId="36" fillId="0" borderId="11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2" borderId="4" xfId="0" applyNumberFormat="1" applyFont="1" applyFill="1" applyBorder="1" applyAlignment="1">
      <alignment horizontal="left" vertical="center" wrapText="1"/>
    </xf>
    <xf numFmtId="3" fontId="36" fillId="2" borderId="20" xfId="0" applyNumberFormat="1" applyFont="1" applyFill="1" applyBorder="1" applyAlignment="1">
      <alignment horizontal="left" vertical="center" wrapText="1"/>
    </xf>
    <xf numFmtId="3" fontId="36" fillId="2" borderId="6" xfId="0" applyNumberFormat="1" applyFont="1" applyFill="1" applyBorder="1" applyAlignment="1">
      <alignment horizontal="right" vertical="center" indent="1"/>
    </xf>
    <xf numFmtId="3" fontId="35" fillId="0" borderId="11" xfId="0" applyNumberFormat="1" applyFont="1" applyFill="1" applyBorder="1" applyAlignment="1">
      <alignment horizontal="right" vertical="center" wrapText="1"/>
    </xf>
    <xf numFmtId="0" fontId="55" fillId="0" borderId="30" xfId="0" applyFont="1" applyBorder="1" applyAlignment="1">
      <alignment vertical="center"/>
    </xf>
    <xf numFmtId="3" fontId="35" fillId="0" borderId="19" xfId="0" applyNumberFormat="1" applyFont="1" applyFill="1" applyBorder="1" applyAlignment="1">
      <alignment horizontal="right" vertical="center" wrapText="1"/>
    </xf>
    <xf numFmtId="3" fontId="36" fillId="2" borderId="4" xfId="0" applyNumberFormat="1" applyFont="1" applyFill="1" applyBorder="1" applyAlignment="1">
      <alignment horizontal="left" vertical="center"/>
    </xf>
    <xf numFmtId="3" fontId="36" fillId="2" borderId="2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Border="1"/>
    <xf numFmtId="0" fontId="0" fillId="0" borderId="6" xfId="0" applyBorder="1"/>
    <xf numFmtId="0" fontId="36" fillId="2" borderId="43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3" fontId="37" fillId="2" borderId="43" xfId="0" applyNumberFormat="1" applyFont="1" applyFill="1" applyBorder="1" applyAlignment="1">
      <alignment horizontal="left" vertical="center" wrapText="1"/>
    </xf>
    <xf numFmtId="3" fontId="37" fillId="2" borderId="13" xfId="0" applyNumberFormat="1" applyFont="1" applyFill="1" applyBorder="1" applyAlignment="1">
      <alignment horizontal="right" vertical="center" wrapText="1" indent="1"/>
    </xf>
    <xf numFmtId="3" fontId="36" fillId="2" borderId="13" xfId="0" applyNumberFormat="1" applyFont="1" applyFill="1" applyBorder="1" applyAlignment="1">
      <alignment horizontal="right" vertical="center" indent="1"/>
    </xf>
    <xf numFmtId="3" fontId="36" fillId="2" borderId="45" xfId="0" applyNumberFormat="1" applyFont="1" applyFill="1" applyBorder="1" applyAlignment="1">
      <alignment horizontal="right" vertical="center" indent="1"/>
    </xf>
    <xf numFmtId="0" fontId="3" fillId="0" borderId="4" xfId="0" applyFont="1" applyFill="1" applyBorder="1"/>
    <xf numFmtId="3" fontId="36" fillId="2" borderId="43" xfId="0" applyNumberFormat="1" applyFont="1" applyFill="1" applyBorder="1" applyAlignment="1">
      <alignment horizontal="left" vertical="center" wrapText="1"/>
    </xf>
    <xf numFmtId="3" fontId="36" fillId="2" borderId="45" xfId="0" applyNumberFormat="1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right" vertical="center" indent="1"/>
    </xf>
    <xf numFmtId="3" fontId="2" fillId="0" borderId="47" xfId="0" applyNumberFormat="1" applyFont="1" applyFill="1" applyBorder="1"/>
    <xf numFmtId="0" fontId="2" fillId="0" borderId="4" xfId="0" applyFont="1" applyFill="1" applyBorder="1"/>
    <xf numFmtId="3" fontId="2" fillId="0" borderId="13" xfId="0" applyNumberFormat="1" applyFont="1" applyFill="1" applyBorder="1" applyAlignment="1">
      <alignment horizontal="right" vertical="center" indent="1"/>
    </xf>
    <xf numFmtId="0" fontId="36" fillId="2" borderId="44" xfId="0" applyFont="1" applyFill="1" applyBorder="1" applyAlignment="1">
      <alignment horizontal="center" vertical="center" wrapText="1"/>
    </xf>
    <xf numFmtId="164" fontId="36" fillId="2" borderId="4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indent="1"/>
    </xf>
    <xf numFmtId="3" fontId="3" fillId="0" borderId="61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right" vertical="center" wrapText="1" indent="1"/>
    </xf>
    <xf numFmtId="0" fontId="2" fillId="0" borderId="24" xfId="0" applyFont="1" applyFill="1" applyBorder="1"/>
    <xf numFmtId="0" fontId="2" fillId="0" borderId="33" xfId="0" applyFont="1" applyFill="1" applyBorder="1"/>
    <xf numFmtId="0" fontId="2" fillId="0" borderId="22" xfId="0" applyFont="1" applyFill="1" applyBorder="1"/>
    <xf numFmtId="3" fontId="13" fillId="0" borderId="13" xfId="0" applyNumberFormat="1" applyFont="1" applyFill="1" applyBorder="1" applyAlignment="1">
      <alignment horizontal="right" vertical="center" wrapText="1" indent="1"/>
    </xf>
    <xf numFmtId="0" fontId="2" fillId="0" borderId="8" xfId="0" applyFont="1" applyFill="1" applyBorder="1"/>
    <xf numFmtId="0" fontId="2" fillId="0" borderId="25" xfId="0" applyFont="1" applyFill="1" applyBorder="1"/>
    <xf numFmtId="0" fontId="2" fillId="0" borderId="7" xfId="0" applyFont="1" applyFill="1" applyBorder="1"/>
    <xf numFmtId="0" fontId="2" fillId="0" borderId="13" xfId="0" applyFont="1" applyFill="1" applyBorder="1"/>
    <xf numFmtId="0" fontId="2" fillId="0" borderId="21" xfId="0" applyFont="1" applyFill="1" applyBorder="1"/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25" xfId="0" applyFont="1" applyFill="1" applyBorder="1"/>
    <xf numFmtId="0" fontId="3" fillId="0" borderId="7" xfId="0" applyFont="1" applyFill="1" applyBorder="1"/>
    <xf numFmtId="0" fontId="3" fillId="0" borderId="36" xfId="0" applyFont="1" applyFill="1" applyBorder="1"/>
    <xf numFmtId="0" fontId="3" fillId="0" borderId="34" xfId="0" applyFont="1" applyFill="1" applyBorder="1"/>
    <xf numFmtId="3" fontId="3" fillId="0" borderId="10" xfId="0" applyNumberFormat="1" applyFont="1" applyFill="1" applyBorder="1" applyAlignment="1">
      <alignment horizontal="right" vertical="center" wrapText="1" indent="1"/>
    </xf>
    <xf numFmtId="3" fontId="36" fillId="2" borderId="13" xfId="0" applyNumberFormat="1" applyFont="1" applyFill="1" applyBorder="1" applyAlignment="1">
      <alignment horizontal="left" vertical="center" wrapText="1"/>
    </xf>
    <xf numFmtId="3" fontId="2" fillId="0" borderId="61" xfId="0" applyNumberFormat="1" applyFont="1" applyFill="1" applyBorder="1" applyAlignment="1">
      <alignment horizontal="left" vertical="center" wrapText="1"/>
    </xf>
    <xf numFmtId="3" fontId="3" fillId="0" borderId="59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4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wrapText="1"/>
    </xf>
    <xf numFmtId="0" fontId="53" fillId="0" borderId="43" xfId="0" applyFont="1" applyBorder="1" applyAlignment="1">
      <alignment vertical="center"/>
    </xf>
    <xf numFmtId="3" fontId="37" fillId="2" borderId="45" xfId="0" applyNumberFormat="1" applyFont="1" applyFill="1" applyBorder="1" applyAlignment="1">
      <alignment horizontal="right" vertical="center" wrapText="1" indent="1"/>
    </xf>
    <xf numFmtId="0" fontId="3" fillId="0" borderId="22" xfId="0" applyFont="1" applyFill="1" applyBorder="1"/>
    <xf numFmtId="3" fontId="3" fillId="0" borderId="48" xfId="0" applyNumberFormat="1" applyFont="1" applyFill="1" applyBorder="1"/>
    <xf numFmtId="3" fontId="2" fillId="0" borderId="1" xfId="0" applyNumberFormat="1" applyFont="1" applyFill="1" applyBorder="1"/>
    <xf numFmtId="0" fontId="3" fillId="0" borderId="4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left" vertical="center" wrapText="1"/>
    </xf>
    <xf numFmtId="10" fontId="41" fillId="0" borderId="0" xfId="0" applyNumberFormat="1" applyFont="1" applyFill="1" applyBorder="1"/>
    <xf numFmtId="10" fontId="4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0" fontId="36" fillId="2" borderId="1" xfId="0" applyNumberFormat="1" applyFont="1" applyFill="1" applyBorder="1" applyAlignment="1">
      <alignment horizontal="center" vertical="center" wrapText="1"/>
    </xf>
    <xf numFmtId="10" fontId="36" fillId="2" borderId="45" xfId="0" applyNumberFormat="1" applyFont="1" applyFill="1" applyBorder="1" applyAlignment="1">
      <alignment horizontal="right" vertical="center" indent="1"/>
    </xf>
    <xf numFmtId="10" fontId="36" fillId="2" borderId="1" xfId="0" applyNumberFormat="1" applyFont="1" applyFill="1" applyBorder="1" applyAlignment="1">
      <alignment horizontal="right" vertical="center" indent="1"/>
    </xf>
    <xf numFmtId="10" fontId="2" fillId="0" borderId="47" xfId="0" applyNumberFormat="1" applyFont="1" applyFill="1" applyBorder="1"/>
    <xf numFmtId="10" fontId="3" fillId="0" borderId="3" xfId="0" applyNumberFormat="1" applyFont="1" applyFill="1" applyBorder="1" applyAlignment="1">
      <alignment horizontal="right" vertical="center" indent="1"/>
    </xf>
    <xf numFmtId="10" fontId="3" fillId="0" borderId="1" xfId="0" applyNumberFormat="1" applyFont="1" applyFill="1" applyBorder="1" applyAlignment="1">
      <alignment horizontal="right" vertical="center"/>
    </xf>
    <xf numFmtId="10" fontId="3" fillId="0" borderId="48" xfId="0" applyNumberFormat="1" applyFont="1" applyFill="1" applyBorder="1" applyAlignment="1">
      <alignment horizontal="right" vertical="center" indent="1"/>
    </xf>
    <xf numFmtId="10" fontId="2" fillId="0" borderId="1" xfId="0" applyNumberFormat="1" applyFont="1" applyFill="1" applyBorder="1"/>
    <xf numFmtId="10" fontId="3" fillId="0" borderId="2" xfId="0" applyNumberFormat="1" applyFont="1" applyFill="1" applyBorder="1" applyAlignment="1">
      <alignment horizontal="right" vertical="center" indent="1"/>
    </xf>
    <xf numFmtId="10" fontId="2" fillId="0" borderId="0" xfId="0" applyNumberFormat="1" applyFont="1" applyFill="1" applyBorder="1"/>
    <xf numFmtId="10" fontId="41" fillId="0" borderId="4" xfId="0" applyNumberFormat="1" applyFont="1" applyFill="1" applyBorder="1"/>
    <xf numFmtId="10" fontId="14" fillId="0" borderId="0" xfId="0" applyNumberFormat="1" applyFont="1" applyFill="1" applyBorder="1"/>
    <xf numFmtId="10" fontId="24" fillId="0" borderId="0" xfId="0" applyNumberFormat="1" applyFont="1" applyFill="1" applyBorder="1"/>
    <xf numFmtId="10" fontId="0" fillId="0" borderId="35" xfId="0" applyNumberFormat="1" applyBorder="1" applyAlignment="1">
      <alignment horizontal="right"/>
    </xf>
    <xf numFmtId="10" fontId="36" fillId="2" borderId="6" xfId="0" applyNumberFormat="1" applyFont="1" applyFill="1" applyBorder="1" applyAlignment="1">
      <alignment horizontal="center" vertical="center" wrapText="1"/>
    </xf>
    <xf numFmtId="10" fontId="36" fillId="6" borderId="23" xfId="0" applyNumberFormat="1" applyFont="1" applyFill="1" applyBorder="1" applyAlignment="1">
      <alignment vertical="center"/>
    </xf>
    <xf numFmtId="10" fontId="36" fillId="0" borderId="14" xfId="0" applyNumberFormat="1" applyFont="1" applyFill="1" applyBorder="1" applyAlignment="1">
      <alignment horizontal="right" vertical="center" indent="1"/>
    </xf>
    <xf numFmtId="10" fontId="36" fillId="6" borderId="20" xfId="0" applyNumberFormat="1" applyFont="1" applyFill="1" applyBorder="1" applyAlignment="1">
      <alignment horizontal="right" vertical="center" indent="1"/>
    </xf>
    <xf numFmtId="10" fontId="36" fillId="0" borderId="21" xfId="0" applyNumberFormat="1" applyFont="1" applyFill="1" applyBorder="1" applyAlignment="1">
      <alignment horizontal="right" vertical="center"/>
    </xf>
    <xf numFmtId="10" fontId="36" fillId="2" borderId="6" xfId="0" applyNumberFormat="1" applyFont="1" applyFill="1" applyBorder="1" applyAlignment="1">
      <alignment horizontal="right" vertical="center" indent="1"/>
    </xf>
    <xf numFmtId="10" fontId="34" fillId="0" borderId="0" xfId="0" applyNumberFormat="1" applyFont="1" applyFill="1" applyBorder="1"/>
    <xf numFmtId="10" fontId="24" fillId="0" borderId="0" xfId="0" applyNumberFormat="1" applyFont="1" applyBorder="1"/>
    <xf numFmtId="10" fontId="24" fillId="0" borderId="4" xfId="0" applyNumberFormat="1" applyFont="1" applyFill="1" applyBorder="1"/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0" fontId="6" fillId="0" borderId="21" xfId="0" applyFont="1" applyFill="1" applyBorder="1"/>
    <xf numFmtId="3" fontId="5" fillId="0" borderId="6" xfId="0" applyNumberFormat="1" applyFont="1" applyFill="1" applyBorder="1"/>
    <xf numFmtId="0" fontId="6" fillId="0" borderId="37" xfId="0" applyFont="1" applyFill="1" applyBorder="1"/>
    <xf numFmtId="0" fontId="6" fillId="0" borderId="18" xfId="0" applyFont="1" applyFill="1" applyBorder="1"/>
    <xf numFmtId="3" fontId="30" fillId="0" borderId="6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/>
    <xf numFmtId="10" fontId="19" fillId="3" borderId="5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right" vertical="center" wrapText="1" inden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64" fontId="2" fillId="0" borderId="31" xfId="0" applyNumberFormat="1" applyFont="1" applyBorder="1" applyAlignment="1">
      <alignment horizontal="right" vertical="center" wrapText="1" indent="1"/>
    </xf>
    <xf numFmtId="164" fontId="2" fillId="0" borderId="19" xfId="0" applyNumberFormat="1" applyFont="1" applyFill="1" applyBorder="1" applyAlignment="1">
      <alignment horizontal="right" vertical="center" wrapText="1" indent="1"/>
    </xf>
    <xf numFmtId="164" fontId="2" fillId="0" borderId="38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3" fillId="0" borderId="1" xfId="0" applyFont="1" applyFill="1" applyBorder="1" applyAlignment="1">
      <alignment horizontal="center"/>
    </xf>
    <xf numFmtId="0" fontId="53" fillId="0" borderId="1" xfId="0" applyFont="1" applyFill="1" applyBorder="1"/>
    <xf numFmtId="3" fontId="53" fillId="0" borderId="1" xfId="0" applyNumberFormat="1" applyFont="1" applyFill="1" applyBorder="1"/>
    <xf numFmtId="0" fontId="56" fillId="0" borderId="1" xfId="0" applyFont="1" applyFill="1" applyBorder="1" applyAlignment="1">
      <alignment horizontal="center"/>
    </xf>
    <xf numFmtId="0" fontId="56" fillId="0" borderId="1" xfId="0" applyFont="1" applyFill="1" applyBorder="1"/>
    <xf numFmtId="3" fontId="56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8" fillId="0" borderId="0" xfId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3" fillId="0" borderId="0" xfId="1" applyFont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164" fontId="19" fillId="3" borderId="6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164" fontId="19" fillId="3" borderId="20" xfId="0" applyNumberFormat="1" applyFont="1" applyFill="1" applyBorder="1" applyAlignment="1">
      <alignment horizontal="center" vertical="center" wrapText="1"/>
    </xf>
    <xf numFmtId="164" fontId="19" fillId="3" borderId="22" xfId="0" applyNumberFormat="1" applyFont="1" applyFill="1" applyBorder="1" applyAlignment="1">
      <alignment horizontal="center" vertical="center" wrapText="1"/>
    </xf>
    <xf numFmtId="164" fontId="19" fillId="3" borderId="23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3" borderId="34" xfId="0" applyNumberFormat="1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 wrapText="1"/>
    </xf>
    <xf numFmtId="164" fontId="19" fillId="3" borderId="3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9" fillId="3" borderId="20" xfId="0" applyNumberFormat="1" applyFont="1" applyFill="1" applyBorder="1" applyAlignment="1">
      <alignment horizontal="center"/>
    </xf>
    <xf numFmtId="164" fontId="19" fillId="3" borderId="22" xfId="0" applyNumberFormat="1" applyFont="1" applyFill="1" applyBorder="1" applyAlignment="1">
      <alignment horizontal="center"/>
    </xf>
    <xf numFmtId="164" fontId="19" fillId="3" borderId="23" xfId="0" applyNumberFormat="1" applyFont="1" applyFill="1" applyBorder="1" applyAlignment="1">
      <alignment horizontal="center"/>
    </xf>
    <xf numFmtId="164" fontId="19" fillId="3" borderId="2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45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3" fillId="2" borderId="33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0" fontId="3" fillId="4" borderId="2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9" fontId="5" fillId="4" borderId="55" xfId="0" applyNumberFormat="1" applyFont="1" applyFill="1" applyBorder="1" applyAlignment="1">
      <alignment horizontal="center" vertical="center" wrapText="1"/>
    </xf>
    <xf numFmtId="9" fontId="5" fillId="4" borderId="48" xfId="0" applyNumberFormat="1" applyFont="1" applyFill="1" applyBorder="1" applyAlignment="1">
      <alignment horizontal="center" vertical="center" wrapText="1"/>
    </xf>
    <xf numFmtId="9" fontId="5" fillId="4" borderId="57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3" borderId="50" xfId="2" applyFont="1" applyFill="1" applyBorder="1" applyAlignment="1">
      <alignment horizontal="center" vertical="center" wrapText="1"/>
    </xf>
    <xf numFmtId="0" fontId="2" fillId="0" borderId="53" xfId="2" applyFont="1" applyBorder="1" applyAlignment="1">
      <alignment horizontal="left" vertical="center" wrapText="1"/>
    </xf>
    <xf numFmtId="0" fontId="6" fillId="0" borderId="50" xfId="2" applyFont="1" applyBorder="1" applyAlignment="1">
      <alignment horizontal="left" vertical="center" wrapText="1"/>
    </xf>
    <xf numFmtId="3" fontId="2" fillId="0" borderId="53" xfId="2" applyNumberFormat="1" applyFont="1" applyBorder="1" applyAlignment="1">
      <alignment horizontal="center" vertical="center" wrapText="1"/>
    </xf>
    <xf numFmtId="3" fontId="2" fillId="0" borderId="50" xfId="2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30" fillId="2" borderId="3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5">
    <cellStyle name="Ezres" xfId="1" builtinId="3"/>
    <cellStyle name="Ezres 2" xfId="4"/>
    <cellStyle name="Normál" xfId="0" builtinId="0"/>
    <cellStyle name="Normál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96" zoomScaleSheetLayoutView="96" workbookViewId="0"/>
  </sheetViews>
  <sheetFormatPr defaultRowHeight="15.75"/>
  <cols>
    <col min="1" max="1" width="9.28515625" style="1" customWidth="1"/>
    <col min="2" max="2" width="74.28515625" style="1" customWidth="1"/>
    <col min="3" max="3" width="18" style="1" customWidth="1"/>
    <col min="4" max="4" width="14.28515625" style="1" customWidth="1"/>
    <col min="5" max="5" width="18.140625" style="1" customWidth="1"/>
    <col min="6" max="257" width="9.140625" style="1"/>
    <col min="258" max="258" width="74.28515625" style="1" customWidth="1"/>
    <col min="259" max="261" width="15.5703125" style="1" customWidth="1"/>
    <col min="262" max="513" width="9.140625" style="1"/>
    <col min="514" max="514" width="74.28515625" style="1" customWidth="1"/>
    <col min="515" max="517" width="15.5703125" style="1" customWidth="1"/>
    <col min="518" max="769" width="9.140625" style="1"/>
    <col min="770" max="770" width="74.28515625" style="1" customWidth="1"/>
    <col min="771" max="773" width="15.5703125" style="1" customWidth="1"/>
    <col min="774" max="1025" width="9.140625" style="1"/>
    <col min="1026" max="1026" width="74.28515625" style="1" customWidth="1"/>
    <col min="1027" max="1029" width="15.5703125" style="1" customWidth="1"/>
    <col min="1030" max="1281" width="9.140625" style="1"/>
    <col min="1282" max="1282" width="74.28515625" style="1" customWidth="1"/>
    <col min="1283" max="1285" width="15.5703125" style="1" customWidth="1"/>
    <col min="1286" max="1537" width="9.140625" style="1"/>
    <col min="1538" max="1538" width="74.28515625" style="1" customWidth="1"/>
    <col min="1539" max="1541" width="15.5703125" style="1" customWidth="1"/>
    <col min="1542" max="1793" width="9.140625" style="1"/>
    <col min="1794" max="1794" width="74.28515625" style="1" customWidth="1"/>
    <col min="1795" max="1797" width="15.5703125" style="1" customWidth="1"/>
    <col min="1798" max="2049" width="9.140625" style="1"/>
    <col min="2050" max="2050" width="74.28515625" style="1" customWidth="1"/>
    <col min="2051" max="2053" width="15.5703125" style="1" customWidth="1"/>
    <col min="2054" max="2305" width="9.140625" style="1"/>
    <col min="2306" max="2306" width="74.28515625" style="1" customWidth="1"/>
    <col min="2307" max="2309" width="15.5703125" style="1" customWidth="1"/>
    <col min="2310" max="2561" width="9.140625" style="1"/>
    <col min="2562" max="2562" width="74.28515625" style="1" customWidth="1"/>
    <col min="2563" max="2565" width="15.5703125" style="1" customWidth="1"/>
    <col min="2566" max="2817" width="9.140625" style="1"/>
    <col min="2818" max="2818" width="74.28515625" style="1" customWidth="1"/>
    <col min="2819" max="2821" width="15.5703125" style="1" customWidth="1"/>
    <col min="2822" max="3073" width="9.140625" style="1"/>
    <col min="3074" max="3074" width="74.28515625" style="1" customWidth="1"/>
    <col min="3075" max="3077" width="15.5703125" style="1" customWidth="1"/>
    <col min="3078" max="3329" width="9.140625" style="1"/>
    <col min="3330" max="3330" width="74.28515625" style="1" customWidth="1"/>
    <col min="3331" max="3333" width="15.5703125" style="1" customWidth="1"/>
    <col min="3334" max="3585" width="9.140625" style="1"/>
    <col min="3586" max="3586" width="74.28515625" style="1" customWidth="1"/>
    <col min="3587" max="3589" width="15.5703125" style="1" customWidth="1"/>
    <col min="3590" max="3841" width="9.140625" style="1"/>
    <col min="3842" max="3842" width="74.28515625" style="1" customWidth="1"/>
    <col min="3843" max="3845" width="15.5703125" style="1" customWidth="1"/>
    <col min="3846" max="4097" width="9.140625" style="1"/>
    <col min="4098" max="4098" width="74.28515625" style="1" customWidth="1"/>
    <col min="4099" max="4101" width="15.5703125" style="1" customWidth="1"/>
    <col min="4102" max="4353" width="9.140625" style="1"/>
    <col min="4354" max="4354" width="74.28515625" style="1" customWidth="1"/>
    <col min="4355" max="4357" width="15.5703125" style="1" customWidth="1"/>
    <col min="4358" max="4609" width="9.140625" style="1"/>
    <col min="4610" max="4610" width="74.28515625" style="1" customWidth="1"/>
    <col min="4611" max="4613" width="15.5703125" style="1" customWidth="1"/>
    <col min="4614" max="4865" width="9.140625" style="1"/>
    <col min="4866" max="4866" width="74.28515625" style="1" customWidth="1"/>
    <col min="4867" max="4869" width="15.5703125" style="1" customWidth="1"/>
    <col min="4870" max="5121" width="9.140625" style="1"/>
    <col min="5122" max="5122" width="74.28515625" style="1" customWidth="1"/>
    <col min="5123" max="5125" width="15.5703125" style="1" customWidth="1"/>
    <col min="5126" max="5377" width="9.140625" style="1"/>
    <col min="5378" max="5378" width="74.28515625" style="1" customWidth="1"/>
    <col min="5379" max="5381" width="15.5703125" style="1" customWidth="1"/>
    <col min="5382" max="5633" width="9.140625" style="1"/>
    <col min="5634" max="5634" width="74.28515625" style="1" customWidth="1"/>
    <col min="5635" max="5637" width="15.5703125" style="1" customWidth="1"/>
    <col min="5638" max="5889" width="9.140625" style="1"/>
    <col min="5890" max="5890" width="74.28515625" style="1" customWidth="1"/>
    <col min="5891" max="5893" width="15.5703125" style="1" customWidth="1"/>
    <col min="5894" max="6145" width="9.140625" style="1"/>
    <col min="6146" max="6146" width="74.28515625" style="1" customWidth="1"/>
    <col min="6147" max="6149" width="15.5703125" style="1" customWidth="1"/>
    <col min="6150" max="6401" width="9.140625" style="1"/>
    <col min="6402" max="6402" width="74.28515625" style="1" customWidth="1"/>
    <col min="6403" max="6405" width="15.5703125" style="1" customWidth="1"/>
    <col min="6406" max="6657" width="9.140625" style="1"/>
    <col min="6658" max="6658" width="74.28515625" style="1" customWidth="1"/>
    <col min="6659" max="6661" width="15.5703125" style="1" customWidth="1"/>
    <col min="6662" max="6913" width="9.140625" style="1"/>
    <col min="6914" max="6914" width="74.28515625" style="1" customWidth="1"/>
    <col min="6915" max="6917" width="15.5703125" style="1" customWidth="1"/>
    <col min="6918" max="7169" width="9.140625" style="1"/>
    <col min="7170" max="7170" width="74.28515625" style="1" customWidth="1"/>
    <col min="7171" max="7173" width="15.5703125" style="1" customWidth="1"/>
    <col min="7174" max="7425" width="9.140625" style="1"/>
    <col min="7426" max="7426" width="74.28515625" style="1" customWidth="1"/>
    <col min="7427" max="7429" width="15.5703125" style="1" customWidth="1"/>
    <col min="7430" max="7681" width="9.140625" style="1"/>
    <col min="7682" max="7682" width="74.28515625" style="1" customWidth="1"/>
    <col min="7683" max="7685" width="15.5703125" style="1" customWidth="1"/>
    <col min="7686" max="7937" width="9.140625" style="1"/>
    <col min="7938" max="7938" width="74.28515625" style="1" customWidth="1"/>
    <col min="7939" max="7941" width="15.5703125" style="1" customWidth="1"/>
    <col min="7942" max="8193" width="9.140625" style="1"/>
    <col min="8194" max="8194" width="74.28515625" style="1" customWidth="1"/>
    <col min="8195" max="8197" width="15.5703125" style="1" customWidth="1"/>
    <col min="8198" max="8449" width="9.140625" style="1"/>
    <col min="8450" max="8450" width="74.28515625" style="1" customWidth="1"/>
    <col min="8451" max="8453" width="15.5703125" style="1" customWidth="1"/>
    <col min="8454" max="8705" width="9.140625" style="1"/>
    <col min="8706" max="8706" width="74.28515625" style="1" customWidth="1"/>
    <col min="8707" max="8709" width="15.5703125" style="1" customWidth="1"/>
    <col min="8710" max="8961" width="9.140625" style="1"/>
    <col min="8962" max="8962" width="74.28515625" style="1" customWidth="1"/>
    <col min="8963" max="8965" width="15.5703125" style="1" customWidth="1"/>
    <col min="8966" max="9217" width="9.140625" style="1"/>
    <col min="9218" max="9218" width="74.28515625" style="1" customWidth="1"/>
    <col min="9219" max="9221" width="15.5703125" style="1" customWidth="1"/>
    <col min="9222" max="9473" width="9.140625" style="1"/>
    <col min="9474" max="9474" width="74.28515625" style="1" customWidth="1"/>
    <col min="9475" max="9477" width="15.5703125" style="1" customWidth="1"/>
    <col min="9478" max="9729" width="9.140625" style="1"/>
    <col min="9730" max="9730" width="74.28515625" style="1" customWidth="1"/>
    <col min="9731" max="9733" width="15.5703125" style="1" customWidth="1"/>
    <col min="9734" max="9985" width="9.140625" style="1"/>
    <col min="9986" max="9986" width="74.28515625" style="1" customWidth="1"/>
    <col min="9987" max="9989" width="15.5703125" style="1" customWidth="1"/>
    <col min="9990" max="10241" width="9.140625" style="1"/>
    <col min="10242" max="10242" width="74.28515625" style="1" customWidth="1"/>
    <col min="10243" max="10245" width="15.5703125" style="1" customWidth="1"/>
    <col min="10246" max="10497" width="9.140625" style="1"/>
    <col min="10498" max="10498" width="74.28515625" style="1" customWidth="1"/>
    <col min="10499" max="10501" width="15.5703125" style="1" customWidth="1"/>
    <col min="10502" max="10753" width="9.140625" style="1"/>
    <col min="10754" max="10754" width="74.28515625" style="1" customWidth="1"/>
    <col min="10755" max="10757" width="15.5703125" style="1" customWidth="1"/>
    <col min="10758" max="11009" width="9.140625" style="1"/>
    <col min="11010" max="11010" width="74.28515625" style="1" customWidth="1"/>
    <col min="11011" max="11013" width="15.5703125" style="1" customWidth="1"/>
    <col min="11014" max="11265" width="9.140625" style="1"/>
    <col min="11266" max="11266" width="74.28515625" style="1" customWidth="1"/>
    <col min="11267" max="11269" width="15.5703125" style="1" customWidth="1"/>
    <col min="11270" max="11521" width="9.140625" style="1"/>
    <col min="11522" max="11522" width="74.28515625" style="1" customWidth="1"/>
    <col min="11523" max="11525" width="15.5703125" style="1" customWidth="1"/>
    <col min="11526" max="11777" width="9.140625" style="1"/>
    <col min="11778" max="11778" width="74.28515625" style="1" customWidth="1"/>
    <col min="11779" max="11781" width="15.5703125" style="1" customWidth="1"/>
    <col min="11782" max="12033" width="9.140625" style="1"/>
    <col min="12034" max="12034" width="74.28515625" style="1" customWidth="1"/>
    <col min="12035" max="12037" width="15.5703125" style="1" customWidth="1"/>
    <col min="12038" max="12289" width="9.140625" style="1"/>
    <col min="12290" max="12290" width="74.28515625" style="1" customWidth="1"/>
    <col min="12291" max="12293" width="15.5703125" style="1" customWidth="1"/>
    <col min="12294" max="12545" width="9.140625" style="1"/>
    <col min="12546" max="12546" width="74.28515625" style="1" customWidth="1"/>
    <col min="12547" max="12549" width="15.5703125" style="1" customWidth="1"/>
    <col min="12550" max="12801" width="9.140625" style="1"/>
    <col min="12802" max="12802" width="74.28515625" style="1" customWidth="1"/>
    <col min="12803" max="12805" width="15.5703125" style="1" customWidth="1"/>
    <col min="12806" max="13057" width="9.140625" style="1"/>
    <col min="13058" max="13058" width="74.28515625" style="1" customWidth="1"/>
    <col min="13059" max="13061" width="15.5703125" style="1" customWidth="1"/>
    <col min="13062" max="13313" width="9.140625" style="1"/>
    <col min="13314" max="13314" width="74.28515625" style="1" customWidth="1"/>
    <col min="13315" max="13317" width="15.5703125" style="1" customWidth="1"/>
    <col min="13318" max="13569" width="9.140625" style="1"/>
    <col min="13570" max="13570" width="74.28515625" style="1" customWidth="1"/>
    <col min="13571" max="13573" width="15.5703125" style="1" customWidth="1"/>
    <col min="13574" max="13825" width="9.140625" style="1"/>
    <col min="13826" max="13826" width="74.28515625" style="1" customWidth="1"/>
    <col min="13827" max="13829" width="15.5703125" style="1" customWidth="1"/>
    <col min="13830" max="14081" width="9.140625" style="1"/>
    <col min="14082" max="14082" width="74.28515625" style="1" customWidth="1"/>
    <col min="14083" max="14085" width="15.5703125" style="1" customWidth="1"/>
    <col min="14086" max="14337" width="9.140625" style="1"/>
    <col min="14338" max="14338" width="74.28515625" style="1" customWidth="1"/>
    <col min="14339" max="14341" width="15.5703125" style="1" customWidth="1"/>
    <col min="14342" max="14593" width="9.140625" style="1"/>
    <col min="14594" max="14594" width="74.28515625" style="1" customWidth="1"/>
    <col min="14595" max="14597" width="15.5703125" style="1" customWidth="1"/>
    <col min="14598" max="14849" width="9.140625" style="1"/>
    <col min="14850" max="14850" width="74.28515625" style="1" customWidth="1"/>
    <col min="14851" max="14853" width="15.5703125" style="1" customWidth="1"/>
    <col min="14854" max="15105" width="9.140625" style="1"/>
    <col min="15106" max="15106" width="74.28515625" style="1" customWidth="1"/>
    <col min="15107" max="15109" width="15.5703125" style="1" customWidth="1"/>
    <col min="15110" max="15361" width="9.140625" style="1"/>
    <col min="15362" max="15362" width="74.28515625" style="1" customWidth="1"/>
    <col min="15363" max="15365" width="15.5703125" style="1" customWidth="1"/>
    <col min="15366" max="15617" width="9.140625" style="1"/>
    <col min="15618" max="15618" width="74.28515625" style="1" customWidth="1"/>
    <col min="15619" max="15621" width="15.5703125" style="1" customWidth="1"/>
    <col min="15622" max="15873" width="9.140625" style="1"/>
    <col min="15874" max="15874" width="74.28515625" style="1" customWidth="1"/>
    <col min="15875" max="15877" width="15.5703125" style="1" customWidth="1"/>
    <col min="15878" max="16129" width="9.140625" style="1"/>
    <col min="16130" max="16130" width="74.28515625" style="1" customWidth="1"/>
    <col min="16131" max="16133" width="15.5703125" style="1" customWidth="1"/>
    <col min="16134" max="16384" width="9.140625" style="1"/>
  </cols>
  <sheetData>
    <row r="1" spans="1:5">
      <c r="A1" s="1" t="s">
        <v>957</v>
      </c>
    </row>
    <row r="4" spans="1:5" s="2" customFormat="1" ht="16.5">
      <c r="A4" s="786" t="s">
        <v>726</v>
      </c>
      <c r="B4" s="786"/>
      <c r="C4" s="786"/>
      <c r="D4" s="786"/>
      <c r="E4" s="786"/>
    </row>
    <row r="5" spans="1:5" s="2" customFormat="1">
      <c r="B5" s="3"/>
      <c r="C5" s="3"/>
      <c r="D5" s="3"/>
      <c r="E5" s="3"/>
    </row>
    <row r="6" spans="1:5">
      <c r="E6" s="4" t="s">
        <v>7</v>
      </c>
    </row>
    <row r="7" spans="1:5" s="6" customFormat="1" ht="31.5">
      <c r="A7" s="5" t="s">
        <v>8</v>
      </c>
      <c r="B7" s="5" t="s">
        <v>0</v>
      </c>
      <c r="C7" s="5" t="s">
        <v>1</v>
      </c>
      <c r="D7" s="5" t="s">
        <v>2</v>
      </c>
      <c r="E7" s="5" t="s">
        <v>3</v>
      </c>
    </row>
    <row r="8" spans="1:5" s="7" customFormat="1" ht="22.5" customHeight="1">
      <c r="A8" s="9" t="s">
        <v>18</v>
      </c>
      <c r="B8" s="10" t="s">
        <v>43</v>
      </c>
      <c r="C8" s="11">
        <v>29685887</v>
      </c>
      <c r="D8" s="11">
        <v>0</v>
      </c>
      <c r="E8" s="495">
        <v>29685887</v>
      </c>
    </row>
    <row r="9" spans="1:5" s="7" customFormat="1" ht="22.5" customHeight="1">
      <c r="A9" s="9" t="s">
        <v>19</v>
      </c>
      <c r="B9" s="10" t="s">
        <v>44</v>
      </c>
      <c r="C9" s="11">
        <v>15321536446</v>
      </c>
      <c r="D9" s="11">
        <v>0</v>
      </c>
      <c r="E9" s="495">
        <v>15321536446</v>
      </c>
    </row>
    <row r="10" spans="1:5" s="7" customFormat="1" ht="22.5" customHeight="1">
      <c r="A10" s="9" t="s">
        <v>20</v>
      </c>
      <c r="B10" s="10" t="s">
        <v>45</v>
      </c>
      <c r="C10" s="11">
        <v>131926200</v>
      </c>
      <c r="D10" s="11">
        <v>0</v>
      </c>
      <c r="E10" s="495">
        <v>131926200</v>
      </c>
    </row>
    <row r="11" spans="1:5" s="7" customFormat="1" ht="22.5" customHeight="1">
      <c r="A11" s="9" t="s">
        <v>21</v>
      </c>
      <c r="B11" s="10" t="s">
        <v>46</v>
      </c>
      <c r="C11" s="11">
        <v>87367159</v>
      </c>
      <c r="D11" s="11">
        <v>0</v>
      </c>
      <c r="E11" s="495">
        <v>87367159</v>
      </c>
    </row>
    <row r="12" spans="1:5" s="7" customFormat="1" ht="22.5" customHeight="1">
      <c r="A12" s="12" t="s">
        <v>22</v>
      </c>
      <c r="B12" s="13" t="s">
        <v>47</v>
      </c>
      <c r="C12" s="14">
        <f>SUM(C8:C11)</f>
        <v>15570515692</v>
      </c>
      <c r="D12" s="14">
        <v>0</v>
      </c>
      <c r="E12" s="496">
        <f>SUM(E8:E11)</f>
        <v>15570515692</v>
      </c>
    </row>
    <row r="13" spans="1:5" s="7" customFormat="1" ht="22.5" customHeight="1">
      <c r="A13" s="9" t="s">
        <v>23</v>
      </c>
      <c r="B13" s="10" t="s">
        <v>48</v>
      </c>
      <c r="C13" s="11">
        <v>14650488</v>
      </c>
      <c r="D13" s="11">
        <v>0</v>
      </c>
      <c r="E13" s="495">
        <v>14650488</v>
      </c>
    </row>
    <row r="14" spans="1:5" s="7" customFormat="1" ht="22.5" customHeight="1">
      <c r="A14" s="12" t="s">
        <v>24</v>
      </c>
      <c r="B14" s="13" t="s">
        <v>49</v>
      </c>
      <c r="C14" s="14">
        <f>SUM(C13)</f>
        <v>14650488</v>
      </c>
      <c r="D14" s="14">
        <v>0</v>
      </c>
      <c r="E14" s="496">
        <f>SUM(E13)</f>
        <v>14650488</v>
      </c>
    </row>
    <row r="15" spans="1:5" s="7" customFormat="1" ht="22.5" customHeight="1">
      <c r="A15" s="9" t="s">
        <v>25</v>
      </c>
      <c r="B15" s="10" t="s">
        <v>50</v>
      </c>
      <c r="C15" s="11">
        <v>1493541</v>
      </c>
      <c r="D15" s="11">
        <v>0</v>
      </c>
      <c r="E15" s="495">
        <v>1493541</v>
      </c>
    </row>
    <row r="16" spans="1:5" s="7" customFormat="1" ht="22.5" customHeight="1">
      <c r="A16" s="9" t="s">
        <v>13</v>
      </c>
      <c r="B16" s="10" t="s">
        <v>51</v>
      </c>
      <c r="C16" s="11">
        <v>2797030477</v>
      </c>
      <c r="D16" s="11">
        <v>0</v>
      </c>
      <c r="E16" s="495">
        <v>2797030477</v>
      </c>
    </row>
    <row r="17" spans="1:5" s="7" customFormat="1" ht="22.5" customHeight="1">
      <c r="A17" s="12" t="s">
        <v>26</v>
      </c>
      <c r="B17" s="13" t="s">
        <v>52</v>
      </c>
      <c r="C17" s="14">
        <f>SUM(C15:C16)</f>
        <v>2798524018</v>
      </c>
      <c r="D17" s="14">
        <v>0</v>
      </c>
      <c r="E17" s="496">
        <f>SUM(E15:E16)</f>
        <v>2798524018</v>
      </c>
    </row>
    <row r="18" spans="1:5" s="7" customFormat="1" ht="22.5" customHeight="1">
      <c r="A18" s="9" t="s">
        <v>27</v>
      </c>
      <c r="B18" s="10" t="s">
        <v>53</v>
      </c>
      <c r="C18" s="11">
        <v>213521431</v>
      </c>
      <c r="D18" s="11">
        <v>0</v>
      </c>
      <c r="E18" s="495">
        <v>213521431</v>
      </c>
    </row>
    <row r="19" spans="1:5" s="7" customFormat="1" ht="22.5" customHeight="1">
      <c r="A19" s="9" t="s">
        <v>28</v>
      </c>
      <c r="B19" s="10" t="s">
        <v>54</v>
      </c>
      <c r="C19" s="11">
        <v>198278662</v>
      </c>
      <c r="D19" s="11">
        <v>0</v>
      </c>
      <c r="E19" s="495">
        <v>198278662</v>
      </c>
    </row>
    <row r="20" spans="1:5" s="7" customFormat="1" ht="22.5" customHeight="1">
      <c r="A20" s="9" t="s">
        <v>29</v>
      </c>
      <c r="B20" s="10" t="s">
        <v>55</v>
      </c>
      <c r="C20" s="11">
        <v>58598062</v>
      </c>
      <c r="D20" s="11">
        <v>0</v>
      </c>
      <c r="E20" s="495">
        <v>58598062</v>
      </c>
    </row>
    <row r="21" spans="1:5" s="7" customFormat="1" ht="22.5" customHeight="1">
      <c r="A21" s="12" t="s">
        <v>30</v>
      </c>
      <c r="B21" s="13" t="s">
        <v>56</v>
      </c>
      <c r="C21" s="14">
        <f>SUM(C18:C20)</f>
        <v>470398155</v>
      </c>
      <c r="D21" s="14">
        <v>0</v>
      </c>
      <c r="E21" s="496">
        <f>SUM(E18:E20)</f>
        <v>470398155</v>
      </c>
    </row>
    <row r="22" spans="1:5" s="7" customFormat="1" ht="22.5" customHeight="1">
      <c r="A22" s="12" t="s">
        <v>31</v>
      </c>
      <c r="B22" s="13" t="s">
        <v>57</v>
      </c>
      <c r="C22" s="14">
        <v>-5395106</v>
      </c>
      <c r="D22" s="14">
        <v>0</v>
      </c>
      <c r="E22" s="496">
        <v>-5395106</v>
      </c>
    </row>
    <row r="23" spans="1:5" s="7" customFormat="1" ht="22.5" customHeight="1">
      <c r="A23" s="12" t="s">
        <v>32</v>
      </c>
      <c r="B23" s="13" t="s">
        <v>58</v>
      </c>
      <c r="C23" s="14">
        <v>14180303</v>
      </c>
      <c r="D23" s="14">
        <v>0</v>
      </c>
      <c r="E23" s="496">
        <v>14180303</v>
      </c>
    </row>
    <row r="24" spans="1:5" s="7" customFormat="1" ht="22.5" customHeight="1">
      <c r="A24" s="15" t="s">
        <v>33</v>
      </c>
      <c r="B24" s="16" t="s">
        <v>4</v>
      </c>
      <c r="C24" s="17">
        <f>SUM(C12+C14+C17+C21+C22+C23)</f>
        <v>18862873550</v>
      </c>
      <c r="D24" s="17">
        <v>0</v>
      </c>
      <c r="E24" s="17">
        <f>SUM(E12+E14+E17+E21+E22+E23)</f>
        <v>18862873550</v>
      </c>
    </row>
    <row r="25" spans="1:5" s="7" customFormat="1" ht="22.5" customHeight="1">
      <c r="A25" s="9" t="s">
        <v>34</v>
      </c>
      <c r="B25" s="10" t="s">
        <v>59</v>
      </c>
      <c r="C25" s="11">
        <v>19988516434</v>
      </c>
      <c r="D25" s="11">
        <v>0</v>
      </c>
      <c r="E25" s="495">
        <v>19988516434</v>
      </c>
    </row>
    <row r="26" spans="1:5" s="7" customFormat="1" ht="22.5" customHeight="1">
      <c r="A26" s="9" t="s">
        <v>35</v>
      </c>
      <c r="B26" s="10" t="s">
        <v>60</v>
      </c>
      <c r="C26" s="11">
        <v>-4390459590</v>
      </c>
      <c r="D26" s="11">
        <v>0</v>
      </c>
      <c r="E26" s="495">
        <v>-4390459590</v>
      </c>
    </row>
    <row r="27" spans="1:5" s="7" customFormat="1" ht="22.5" customHeight="1">
      <c r="A27" s="9" t="s">
        <v>36</v>
      </c>
      <c r="B27" s="10" t="s">
        <v>61</v>
      </c>
      <c r="C27" s="11">
        <v>-444878181</v>
      </c>
      <c r="D27" s="11">
        <v>0</v>
      </c>
      <c r="E27" s="495">
        <v>-444878181</v>
      </c>
    </row>
    <row r="28" spans="1:5" s="7" customFormat="1" ht="22.5" customHeight="1">
      <c r="A28" s="12" t="s">
        <v>37</v>
      </c>
      <c r="B28" s="13" t="s">
        <v>62</v>
      </c>
      <c r="C28" s="14">
        <f>SUM(C25:C27)</f>
        <v>15153178663</v>
      </c>
      <c r="D28" s="14">
        <v>0</v>
      </c>
      <c r="E28" s="496">
        <f>SUM(E25:E27)</f>
        <v>15153178663</v>
      </c>
    </row>
    <row r="29" spans="1:5" s="7" customFormat="1" ht="22.5" customHeight="1">
      <c r="A29" s="9" t="s">
        <v>38</v>
      </c>
      <c r="B29" s="10" t="s">
        <v>63</v>
      </c>
      <c r="C29" s="11">
        <v>27506645</v>
      </c>
      <c r="D29" s="11">
        <v>0</v>
      </c>
      <c r="E29" s="495">
        <v>27506645</v>
      </c>
    </row>
    <row r="30" spans="1:5" s="7" customFormat="1" ht="22.5" customHeight="1">
      <c r="A30" s="9" t="s">
        <v>39</v>
      </c>
      <c r="B30" s="10" t="s">
        <v>64</v>
      </c>
      <c r="C30" s="11">
        <v>59423800</v>
      </c>
      <c r="D30" s="11">
        <v>0</v>
      </c>
      <c r="E30" s="495">
        <v>59423800</v>
      </c>
    </row>
    <row r="31" spans="1:5" s="7" customFormat="1" ht="22.5" customHeight="1">
      <c r="A31" s="9" t="s">
        <v>40</v>
      </c>
      <c r="B31" s="10" t="s">
        <v>65</v>
      </c>
      <c r="C31" s="11">
        <v>43774722</v>
      </c>
      <c r="D31" s="11">
        <v>0</v>
      </c>
      <c r="E31" s="495">
        <v>43774722</v>
      </c>
    </row>
    <row r="32" spans="1:5" s="7" customFormat="1" ht="22.5" customHeight="1">
      <c r="A32" s="12" t="s">
        <v>38</v>
      </c>
      <c r="B32" s="13" t="s">
        <v>66</v>
      </c>
      <c r="C32" s="14">
        <f>SUM(C29:C31)</f>
        <v>130705167</v>
      </c>
      <c r="D32" s="14">
        <v>0</v>
      </c>
      <c r="E32" s="496">
        <f>SUM(E29:E31)</f>
        <v>130705167</v>
      </c>
    </row>
    <row r="33" spans="1:5" s="7" customFormat="1" ht="22.5" customHeight="1">
      <c r="A33" s="12" t="s">
        <v>41</v>
      </c>
      <c r="B33" s="13" t="s">
        <v>67</v>
      </c>
      <c r="C33" s="14">
        <v>3578989720</v>
      </c>
      <c r="D33" s="14">
        <v>0</v>
      </c>
      <c r="E33" s="496">
        <v>3578989720</v>
      </c>
    </row>
    <row r="34" spans="1:5" ht="22.5" customHeight="1">
      <c r="A34" s="15" t="s">
        <v>42</v>
      </c>
      <c r="B34" s="16" t="s">
        <v>5</v>
      </c>
      <c r="C34" s="17">
        <f>SUM(C28+C32+C33)</f>
        <v>18862873550</v>
      </c>
      <c r="D34" s="17">
        <v>0</v>
      </c>
      <c r="E34" s="17">
        <f>SUM(E28+E32+E33)</f>
        <v>18862873550</v>
      </c>
    </row>
    <row r="35" spans="1:5">
      <c r="C35" s="284">
        <f>SUM(C24-C34)</f>
        <v>0</v>
      </c>
      <c r="E35" s="284">
        <f>SUM(E24-E34)</f>
        <v>0</v>
      </c>
    </row>
  </sheetData>
  <mergeCells count="1">
    <mergeCell ref="A4:E4"/>
  </mergeCell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21"/>
  <sheetViews>
    <sheetView view="pageBreakPreview" zoomScale="98" zoomScaleSheetLayoutView="98" workbookViewId="0">
      <selection activeCell="AD1" sqref="AD1"/>
    </sheetView>
  </sheetViews>
  <sheetFormatPr defaultRowHeight="15"/>
  <cols>
    <col min="1" max="1" width="26.140625" style="213" customWidth="1"/>
    <col min="2" max="4" width="15.7109375" style="211" customWidth="1"/>
    <col min="5" max="5" width="12" style="212" customWidth="1"/>
    <col min="6" max="7" width="15.42578125" style="213" customWidth="1"/>
    <col min="8" max="8" width="15.42578125" style="211" customWidth="1"/>
    <col min="9" max="9" width="12" style="212" customWidth="1"/>
    <col min="10" max="11" width="14.7109375" style="213" customWidth="1"/>
    <col min="12" max="12" width="14.7109375" style="211" customWidth="1"/>
    <col min="13" max="13" width="12" style="212" customWidth="1"/>
    <col min="14" max="15" width="13.28515625" style="213" customWidth="1"/>
    <col min="16" max="16" width="13.28515625" style="211" customWidth="1"/>
    <col min="17" max="17" width="12" style="212" customWidth="1"/>
    <col min="18" max="19" width="15.42578125" style="213" customWidth="1"/>
    <col min="20" max="20" width="15.42578125" style="211" customWidth="1"/>
    <col min="21" max="21" width="12" style="212" customWidth="1"/>
    <col min="22" max="23" width="14.140625" style="213" customWidth="1"/>
    <col min="24" max="24" width="14.140625" style="211" customWidth="1"/>
    <col min="25" max="25" width="12" style="212" customWidth="1"/>
    <col min="26" max="26" width="26.140625" style="213" customWidth="1"/>
    <col min="27" max="28" width="14.28515625" style="213" customWidth="1"/>
    <col min="29" max="29" width="14.28515625" style="211" customWidth="1"/>
    <col min="30" max="30" width="12" style="212" customWidth="1"/>
    <col min="31" max="32" width="14.85546875" style="213" customWidth="1"/>
    <col min="33" max="33" width="14.85546875" style="211" customWidth="1"/>
    <col min="34" max="34" width="12" style="212" customWidth="1"/>
    <col min="35" max="36" width="15.28515625" style="213" customWidth="1"/>
    <col min="37" max="37" width="15.28515625" style="211" customWidth="1"/>
    <col min="38" max="38" width="12" style="212" customWidth="1"/>
    <col min="39" max="40" width="16" style="213" customWidth="1"/>
    <col min="41" max="41" width="16" style="211" customWidth="1"/>
    <col min="42" max="42" width="16" style="212" customWidth="1"/>
    <col min="43" max="44" width="16" style="213" customWidth="1"/>
    <col min="45" max="45" width="16" style="211" customWidth="1"/>
    <col min="46" max="46" width="16" style="212" customWidth="1"/>
    <col min="47" max="48" width="16" style="213" customWidth="1"/>
    <col min="49" max="49" width="16" style="211" customWidth="1"/>
    <col min="50" max="50" width="16" style="212" customWidth="1"/>
    <col min="51" max="51" width="13.5703125" style="213" customWidth="1"/>
    <col min="52" max="52" width="13.28515625" style="213" bestFit="1" customWidth="1"/>
    <col min="53" max="55" width="13.5703125" style="213" customWidth="1"/>
    <col min="56" max="56" width="14.28515625" style="213" customWidth="1"/>
    <col min="57" max="59" width="13.5703125" style="213" customWidth="1"/>
    <col min="60" max="16384" width="9.140625" style="213"/>
  </cols>
  <sheetData>
    <row r="1" spans="1:91" s="208" customFormat="1" ht="15.75">
      <c r="A1" s="785" t="s">
        <v>974</v>
      </c>
      <c r="B1" s="206"/>
      <c r="C1" s="206"/>
      <c r="D1" s="206"/>
      <c r="E1" s="207"/>
      <c r="H1" s="206"/>
      <c r="I1" s="207"/>
      <c r="L1" s="206"/>
      <c r="M1" s="207"/>
      <c r="P1" s="206"/>
      <c r="Q1" s="207"/>
      <c r="T1" s="206"/>
      <c r="U1" s="207"/>
      <c r="X1" s="206"/>
      <c r="Y1" s="209" t="s">
        <v>397</v>
      </c>
      <c r="Z1" s="785" t="s">
        <v>956</v>
      </c>
      <c r="AC1" s="206"/>
      <c r="AD1" s="207"/>
      <c r="AG1" s="206"/>
      <c r="AH1" s="207"/>
      <c r="AK1" s="206"/>
      <c r="AL1" s="207"/>
      <c r="AO1" s="206"/>
      <c r="AP1" s="207"/>
      <c r="AS1" s="206"/>
      <c r="AT1" s="207"/>
      <c r="AW1" s="206"/>
      <c r="AX1" s="209" t="s">
        <v>398</v>
      </c>
    </row>
    <row r="2" spans="1:91" ht="15.75">
      <c r="A2" s="210"/>
      <c r="Z2" s="210"/>
    </row>
    <row r="3" spans="1:91" ht="15.75">
      <c r="A3" s="210"/>
      <c r="Z3" s="210"/>
    </row>
    <row r="4" spans="1:91" ht="15.75">
      <c r="A4" s="210"/>
      <c r="Z4" s="210"/>
    </row>
    <row r="5" spans="1:91" ht="19.5">
      <c r="A5" s="879" t="s">
        <v>855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214"/>
      <c r="AA5" s="879" t="s">
        <v>855</v>
      </c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879"/>
      <c r="AV5" s="879"/>
      <c r="AW5" s="879"/>
      <c r="AX5" s="879"/>
      <c r="AY5" s="215"/>
      <c r="AZ5" s="215"/>
      <c r="BA5" s="215"/>
      <c r="BB5" s="215"/>
      <c r="BC5" s="215"/>
      <c r="BD5" s="215"/>
      <c r="BE5" s="215"/>
      <c r="BF5" s="215"/>
      <c r="BG5" s="215"/>
      <c r="BH5" s="215"/>
    </row>
    <row r="6" spans="1:91">
      <c r="A6" s="25"/>
      <c r="Z6" s="25"/>
    </row>
    <row r="7" spans="1:91">
      <c r="A7" s="25"/>
      <c r="Z7" s="25"/>
    </row>
    <row r="8" spans="1:91" ht="15.75">
      <c r="A8" s="216" t="s">
        <v>399</v>
      </c>
      <c r="Z8" s="216" t="s">
        <v>399</v>
      </c>
      <c r="AZ8" s="880"/>
      <c r="BA8" s="880"/>
      <c r="BB8" s="880"/>
      <c r="BC8" s="880"/>
      <c r="BD8" s="880"/>
      <c r="BE8" s="880"/>
      <c r="BF8" s="880"/>
      <c r="BG8" s="880"/>
    </row>
    <row r="9" spans="1:91" customFormat="1" ht="15.75">
      <c r="A9" s="143"/>
      <c r="B9" s="143"/>
      <c r="C9" s="143"/>
      <c r="D9" s="143"/>
      <c r="E9" s="217"/>
      <c r="F9" s="143"/>
      <c r="G9" s="143"/>
      <c r="H9" s="143"/>
      <c r="I9" s="217"/>
      <c r="J9" s="143"/>
      <c r="K9" s="143"/>
      <c r="L9" s="143"/>
      <c r="M9" s="217"/>
      <c r="N9" s="143"/>
      <c r="O9" s="143"/>
      <c r="P9" s="143"/>
      <c r="Q9" s="217"/>
      <c r="R9" s="143"/>
      <c r="S9" s="143"/>
      <c r="T9" s="143"/>
      <c r="U9" s="217"/>
      <c r="V9" s="143"/>
      <c r="W9" s="143"/>
      <c r="X9" s="143"/>
      <c r="Y9" s="217"/>
      <c r="Z9" s="143"/>
      <c r="AA9" s="143"/>
      <c r="AB9" s="143"/>
      <c r="AC9" s="143"/>
      <c r="AD9" s="217"/>
      <c r="AE9" s="143"/>
      <c r="AF9" s="143"/>
      <c r="AG9" s="143"/>
      <c r="AH9" s="217"/>
      <c r="AI9" s="143"/>
      <c r="AJ9" s="143"/>
      <c r="AK9" s="143"/>
      <c r="AL9" s="217"/>
      <c r="AM9" s="143"/>
      <c r="AN9" s="143"/>
      <c r="AO9" s="143"/>
      <c r="AP9" s="217"/>
      <c r="AQ9" s="143"/>
      <c r="AR9" s="143"/>
      <c r="AS9" s="143"/>
      <c r="AT9" s="217"/>
      <c r="AU9" s="143"/>
      <c r="AV9" s="143"/>
      <c r="AW9" s="143"/>
      <c r="AX9" s="217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</row>
    <row r="10" spans="1:91" customFormat="1" ht="16.5" thickBot="1">
      <c r="A10" s="143"/>
      <c r="B10" s="143"/>
      <c r="C10" s="143"/>
      <c r="D10" s="143"/>
      <c r="E10" s="217"/>
      <c r="F10" s="143"/>
      <c r="G10" s="143"/>
      <c r="H10" s="143"/>
      <c r="I10" s="217"/>
      <c r="J10" s="143"/>
      <c r="K10" s="143"/>
      <c r="L10" s="143"/>
      <c r="M10" s="217"/>
      <c r="N10" s="143"/>
      <c r="O10" s="143"/>
      <c r="P10" s="143"/>
      <c r="Q10" s="217"/>
      <c r="R10" s="143"/>
      <c r="S10" s="143"/>
      <c r="T10" s="143"/>
      <c r="U10" s="217"/>
      <c r="V10" s="143"/>
      <c r="W10" s="143"/>
      <c r="X10" s="143"/>
      <c r="Y10" s="217"/>
      <c r="Z10" s="143"/>
      <c r="AA10" s="143"/>
      <c r="AB10" s="143"/>
      <c r="AC10" s="143"/>
      <c r="AD10" s="217"/>
      <c r="AE10" s="143"/>
      <c r="AF10" s="143"/>
      <c r="AG10" s="143"/>
      <c r="AH10" s="217"/>
      <c r="AI10" s="143"/>
      <c r="AJ10" s="143"/>
      <c r="AK10" s="143"/>
      <c r="AL10" s="217"/>
      <c r="AM10" s="143"/>
      <c r="AN10" s="143"/>
      <c r="AO10" s="143"/>
      <c r="AP10" s="217"/>
      <c r="AQ10" s="881"/>
      <c r="AR10" s="881"/>
      <c r="AS10" s="881"/>
      <c r="AT10" s="881"/>
      <c r="AU10" s="881"/>
      <c r="AV10" s="50"/>
      <c r="AW10" s="50"/>
      <c r="AX10" s="50" t="s">
        <v>285</v>
      </c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</row>
    <row r="11" spans="1:91" s="147" customFormat="1" ht="13.5" thickBot="1">
      <c r="A11" s="878" t="s">
        <v>372</v>
      </c>
      <c r="B11" s="870" t="s">
        <v>400</v>
      </c>
      <c r="C11" s="871"/>
      <c r="D11" s="871"/>
      <c r="E11" s="872"/>
      <c r="F11" s="870" t="s">
        <v>401</v>
      </c>
      <c r="G11" s="871"/>
      <c r="H11" s="871"/>
      <c r="I11" s="872"/>
      <c r="J11" s="870" t="s">
        <v>402</v>
      </c>
      <c r="K11" s="871"/>
      <c r="L11" s="871"/>
      <c r="M11" s="872"/>
      <c r="N11" s="870" t="s">
        <v>403</v>
      </c>
      <c r="O11" s="871"/>
      <c r="P11" s="871"/>
      <c r="Q11" s="872"/>
      <c r="R11" s="870" t="s">
        <v>404</v>
      </c>
      <c r="S11" s="871"/>
      <c r="T11" s="871"/>
      <c r="U11" s="872"/>
      <c r="V11" s="870" t="s">
        <v>405</v>
      </c>
      <c r="W11" s="871"/>
      <c r="X11" s="871"/>
      <c r="Y11" s="872"/>
      <c r="Z11" s="878" t="s">
        <v>372</v>
      </c>
      <c r="AA11" s="870" t="s">
        <v>406</v>
      </c>
      <c r="AB11" s="871"/>
      <c r="AC11" s="871"/>
      <c r="AD11" s="872"/>
      <c r="AE11" s="870" t="s">
        <v>407</v>
      </c>
      <c r="AF11" s="871"/>
      <c r="AG11" s="871"/>
      <c r="AH11" s="872"/>
      <c r="AI11" s="870" t="s">
        <v>408</v>
      </c>
      <c r="AJ11" s="871"/>
      <c r="AK11" s="871"/>
      <c r="AL11" s="872"/>
      <c r="AM11" s="870" t="s">
        <v>409</v>
      </c>
      <c r="AN11" s="871"/>
      <c r="AO11" s="871"/>
      <c r="AP11" s="871"/>
      <c r="AQ11" s="871"/>
      <c r="AR11" s="871"/>
      <c r="AS11" s="871"/>
      <c r="AT11" s="871"/>
      <c r="AU11" s="871"/>
      <c r="AV11" s="871"/>
      <c r="AW11" s="871"/>
      <c r="AX11" s="872"/>
      <c r="AY11" s="218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</row>
    <row r="12" spans="1:91" s="149" customFormat="1" ht="15.75" thickBot="1">
      <c r="A12" s="878"/>
      <c r="B12" s="861" t="s">
        <v>410</v>
      </c>
      <c r="C12" s="862"/>
      <c r="D12" s="862"/>
      <c r="E12" s="863"/>
      <c r="F12" s="861" t="s">
        <v>411</v>
      </c>
      <c r="G12" s="862"/>
      <c r="H12" s="862"/>
      <c r="I12" s="863"/>
      <c r="J12" s="861" t="s">
        <v>412</v>
      </c>
      <c r="K12" s="862"/>
      <c r="L12" s="862"/>
      <c r="M12" s="863"/>
      <c r="N12" s="861" t="s">
        <v>413</v>
      </c>
      <c r="O12" s="862"/>
      <c r="P12" s="862"/>
      <c r="Q12" s="863"/>
      <c r="R12" s="861" t="s">
        <v>414</v>
      </c>
      <c r="S12" s="862"/>
      <c r="T12" s="862"/>
      <c r="U12" s="863"/>
      <c r="V12" s="861" t="s">
        <v>415</v>
      </c>
      <c r="W12" s="862"/>
      <c r="X12" s="862"/>
      <c r="Y12" s="863"/>
      <c r="Z12" s="878"/>
      <c r="AA12" s="861" t="s">
        <v>416</v>
      </c>
      <c r="AB12" s="862"/>
      <c r="AC12" s="862"/>
      <c r="AD12" s="863"/>
      <c r="AE12" s="861" t="s">
        <v>417</v>
      </c>
      <c r="AF12" s="862"/>
      <c r="AG12" s="862"/>
      <c r="AH12" s="863"/>
      <c r="AI12" s="861" t="s">
        <v>418</v>
      </c>
      <c r="AJ12" s="862"/>
      <c r="AK12" s="862"/>
      <c r="AL12" s="863"/>
      <c r="AM12" s="864" t="s">
        <v>419</v>
      </c>
      <c r="AN12" s="865"/>
      <c r="AO12" s="865"/>
      <c r="AP12" s="865"/>
      <c r="AQ12" s="865"/>
      <c r="AR12" s="865"/>
      <c r="AS12" s="865"/>
      <c r="AT12" s="865"/>
      <c r="AU12" s="865"/>
      <c r="AV12" s="865"/>
      <c r="AW12" s="865"/>
      <c r="AX12" s="866"/>
      <c r="AY12" s="219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</row>
    <row r="13" spans="1:91" s="149" customFormat="1" ht="15.75" thickBot="1">
      <c r="A13" s="878"/>
      <c r="B13" s="864"/>
      <c r="C13" s="865"/>
      <c r="D13" s="865"/>
      <c r="E13" s="866"/>
      <c r="F13" s="864"/>
      <c r="G13" s="865"/>
      <c r="H13" s="865"/>
      <c r="I13" s="866"/>
      <c r="J13" s="864"/>
      <c r="K13" s="865"/>
      <c r="L13" s="865"/>
      <c r="M13" s="866"/>
      <c r="N13" s="864"/>
      <c r="O13" s="865"/>
      <c r="P13" s="865"/>
      <c r="Q13" s="866"/>
      <c r="R13" s="864"/>
      <c r="S13" s="865"/>
      <c r="T13" s="865"/>
      <c r="U13" s="866"/>
      <c r="V13" s="864"/>
      <c r="W13" s="865"/>
      <c r="X13" s="865"/>
      <c r="Y13" s="866"/>
      <c r="Z13" s="878"/>
      <c r="AA13" s="864"/>
      <c r="AB13" s="865"/>
      <c r="AC13" s="865"/>
      <c r="AD13" s="866"/>
      <c r="AE13" s="864"/>
      <c r="AF13" s="865"/>
      <c r="AG13" s="865"/>
      <c r="AH13" s="866"/>
      <c r="AI13" s="864"/>
      <c r="AJ13" s="865"/>
      <c r="AK13" s="865"/>
      <c r="AL13" s="866"/>
      <c r="AM13" s="867" t="s">
        <v>348</v>
      </c>
      <c r="AN13" s="868"/>
      <c r="AO13" s="868"/>
      <c r="AP13" s="869"/>
      <c r="AQ13" s="867" t="s">
        <v>349</v>
      </c>
      <c r="AR13" s="868"/>
      <c r="AS13" s="868"/>
      <c r="AT13" s="869"/>
      <c r="AU13" s="867" t="s">
        <v>419</v>
      </c>
      <c r="AV13" s="868"/>
      <c r="AW13" s="868"/>
      <c r="AX13" s="869"/>
      <c r="AY13" s="219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</row>
    <row r="14" spans="1:91" s="149" customFormat="1" ht="26.25" thickBot="1">
      <c r="A14" s="878"/>
      <c r="B14" s="220" t="s">
        <v>350</v>
      </c>
      <c r="C14" s="220" t="s">
        <v>351</v>
      </c>
      <c r="D14" s="220" t="s">
        <v>288</v>
      </c>
      <c r="E14" s="221" t="s">
        <v>289</v>
      </c>
      <c r="F14" s="220" t="s">
        <v>350</v>
      </c>
      <c r="G14" s="220" t="s">
        <v>351</v>
      </c>
      <c r="H14" s="220" t="s">
        <v>288</v>
      </c>
      <c r="I14" s="221" t="s">
        <v>289</v>
      </c>
      <c r="J14" s="220" t="s">
        <v>350</v>
      </c>
      <c r="K14" s="220" t="s">
        <v>351</v>
      </c>
      <c r="L14" s="220" t="s">
        <v>288</v>
      </c>
      <c r="M14" s="221" t="s">
        <v>289</v>
      </c>
      <c r="N14" s="220" t="s">
        <v>350</v>
      </c>
      <c r="O14" s="220" t="s">
        <v>351</v>
      </c>
      <c r="P14" s="220" t="s">
        <v>288</v>
      </c>
      <c r="Q14" s="221" t="s">
        <v>289</v>
      </c>
      <c r="R14" s="220" t="s">
        <v>350</v>
      </c>
      <c r="S14" s="220" t="s">
        <v>351</v>
      </c>
      <c r="T14" s="220" t="s">
        <v>288</v>
      </c>
      <c r="U14" s="221" t="s">
        <v>289</v>
      </c>
      <c r="V14" s="220" t="s">
        <v>350</v>
      </c>
      <c r="W14" s="220" t="s">
        <v>351</v>
      </c>
      <c r="X14" s="220" t="s">
        <v>288</v>
      </c>
      <c r="Y14" s="221" t="s">
        <v>289</v>
      </c>
      <c r="Z14" s="878"/>
      <c r="AA14" s="220" t="s">
        <v>350</v>
      </c>
      <c r="AB14" s="220" t="s">
        <v>351</v>
      </c>
      <c r="AC14" s="220" t="s">
        <v>288</v>
      </c>
      <c r="AD14" s="221" t="s">
        <v>289</v>
      </c>
      <c r="AE14" s="220" t="s">
        <v>350</v>
      </c>
      <c r="AF14" s="220" t="s">
        <v>351</v>
      </c>
      <c r="AG14" s="220" t="s">
        <v>288</v>
      </c>
      <c r="AH14" s="221" t="s">
        <v>289</v>
      </c>
      <c r="AI14" s="220" t="s">
        <v>350</v>
      </c>
      <c r="AJ14" s="220" t="s">
        <v>351</v>
      </c>
      <c r="AK14" s="220" t="s">
        <v>288</v>
      </c>
      <c r="AL14" s="221" t="s">
        <v>289</v>
      </c>
      <c r="AM14" s="220" t="s">
        <v>350</v>
      </c>
      <c r="AN14" s="220" t="s">
        <v>351</v>
      </c>
      <c r="AO14" s="220" t="s">
        <v>288</v>
      </c>
      <c r="AP14" s="221" t="s">
        <v>289</v>
      </c>
      <c r="AQ14" s="220" t="s">
        <v>350</v>
      </c>
      <c r="AR14" s="220" t="s">
        <v>351</v>
      </c>
      <c r="AS14" s="220" t="s">
        <v>288</v>
      </c>
      <c r="AT14" s="221" t="s">
        <v>289</v>
      </c>
      <c r="AU14" s="220" t="s">
        <v>350</v>
      </c>
      <c r="AV14" s="220" t="s">
        <v>351</v>
      </c>
      <c r="AW14" s="220" t="s">
        <v>288</v>
      </c>
      <c r="AX14" s="221" t="s">
        <v>289</v>
      </c>
      <c r="AY14" s="219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</row>
    <row r="15" spans="1:91" s="155" customFormat="1" ht="31.5">
      <c r="A15" s="151" t="s">
        <v>420</v>
      </c>
      <c r="B15" s="152"/>
      <c r="C15" s="152"/>
      <c r="D15" s="152"/>
      <c r="E15" s="222"/>
      <c r="F15" s="152"/>
      <c r="G15" s="152"/>
      <c r="H15" s="152"/>
      <c r="I15" s="222"/>
      <c r="J15" s="152"/>
      <c r="K15" s="152"/>
      <c r="L15" s="152"/>
      <c r="M15" s="222"/>
      <c r="N15" s="152"/>
      <c r="O15" s="152"/>
      <c r="P15" s="152"/>
      <c r="Q15" s="222"/>
      <c r="R15" s="152"/>
      <c r="S15" s="152"/>
      <c r="T15" s="152"/>
      <c r="U15" s="222"/>
      <c r="V15" s="152"/>
      <c r="W15" s="152"/>
      <c r="X15" s="152"/>
      <c r="Y15" s="222"/>
      <c r="Z15" s="151" t="s">
        <v>420</v>
      </c>
      <c r="AA15" s="152"/>
      <c r="AB15" s="152"/>
      <c r="AC15" s="152"/>
      <c r="AD15" s="222"/>
      <c r="AE15" s="152"/>
      <c r="AF15" s="152"/>
      <c r="AG15" s="152"/>
      <c r="AH15" s="222"/>
      <c r="AI15" s="152"/>
      <c r="AJ15" s="152"/>
      <c r="AK15" s="152"/>
      <c r="AL15" s="222"/>
      <c r="AM15" s="152"/>
      <c r="AN15" s="152"/>
      <c r="AO15" s="152"/>
      <c r="AP15" s="222"/>
      <c r="AQ15" s="152"/>
      <c r="AR15" s="152"/>
      <c r="AS15" s="152"/>
      <c r="AT15" s="222"/>
      <c r="AU15" s="152"/>
      <c r="AV15" s="152"/>
      <c r="AW15" s="152"/>
      <c r="AX15" s="222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</row>
    <row r="16" spans="1:91" s="155" customFormat="1" ht="47.25">
      <c r="A16" s="156" t="s">
        <v>421</v>
      </c>
      <c r="B16" s="157">
        <f>SUM('13. sz. melléklet'!B39)</f>
        <v>769357000</v>
      </c>
      <c r="C16" s="157">
        <f>SUM('13. sz. melléklet'!C39)</f>
        <v>1200411945</v>
      </c>
      <c r="D16" s="157">
        <f>SUM('13. sz. melléklet'!D39)</f>
        <v>1169733352</v>
      </c>
      <c r="E16" s="158">
        <f>SUM(D16/C16)</f>
        <v>0.97444327913614692</v>
      </c>
      <c r="F16" s="157">
        <f>SUM('13. sz. melléklet'!F39)</f>
        <v>174665000</v>
      </c>
      <c r="G16" s="157">
        <f>SUM('13. sz. melléklet'!G39)</f>
        <v>234729508</v>
      </c>
      <c r="H16" s="157">
        <f>SUM('13. sz. melléklet'!H39)</f>
        <v>229753899</v>
      </c>
      <c r="I16" s="158">
        <f>SUM(H16/G16)</f>
        <v>0.97880279713277463</v>
      </c>
      <c r="J16" s="157">
        <f>SUM('13. sz. melléklet'!J39)</f>
        <v>486942000</v>
      </c>
      <c r="K16" s="157">
        <f>SUM('13. sz. melléklet'!K39)</f>
        <v>738408987</v>
      </c>
      <c r="L16" s="157">
        <f>SUM('13. sz. melléklet'!L39)</f>
        <v>514657851</v>
      </c>
      <c r="M16" s="158">
        <f>SUM(L16/K16)</f>
        <v>0.69698210620505352</v>
      </c>
      <c r="N16" s="157">
        <f>SUM('13. sz. melléklet'!N39)</f>
        <v>0</v>
      </c>
      <c r="O16" s="157">
        <f>SUM('13. sz. melléklet'!O39)</f>
        <v>0</v>
      </c>
      <c r="P16" s="157">
        <f>SUM('13. sz. melléklet'!P39)</f>
        <v>0</v>
      </c>
      <c r="Q16" s="158">
        <v>0</v>
      </c>
      <c r="R16" s="157">
        <f>SUM('13. sz. melléklet'!R39)</f>
        <v>0</v>
      </c>
      <c r="S16" s="157">
        <f>SUM('13. sz. melléklet'!S39)</f>
        <v>14643721</v>
      </c>
      <c r="T16" s="157">
        <f>SUM('13. sz. melléklet'!T39)</f>
        <v>13691635</v>
      </c>
      <c r="U16" s="158">
        <f>SUM(T16/S16)</f>
        <v>0.93498332834939968</v>
      </c>
      <c r="V16" s="157">
        <f>SUM('13. sz. melléklet'!V39)</f>
        <v>8593000</v>
      </c>
      <c r="W16" s="157">
        <f>SUM('13. sz. melléklet'!W39)</f>
        <v>35964945</v>
      </c>
      <c r="X16" s="157">
        <f>SUM('13. sz. melléklet'!X39)</f>
        <v>35869040</v>
      </c>
      <c r="Y16" s="158">
        <f>SUM(X16/W16)</f>
        <v>0.99733337559670954</v>
      </c>
      <c r="Z16" s="156" t="s">
        <v>421</v>
      </c>
      <c r="AA16" s="157">
        <f>SUM('13. sz. melléklet'!Z39)</f>
        <v>7920000</v>
      </c>
      <c r="AB16" s="157">
        <f>SUM('13. sz. melléklet'!AA39)</f>
        <v>152051400</v>
      </c>
      <c r="AC16" s="157">
        <f>SUM('13. sz. melléklet'!AB39)</f>
        <v>42848570</v>
      </c>
      <c r="AD16" s="158">
        <f>SUM(AC16/AB16)</f>
        <v>0.28180319286767502</v>
      </c>
      <c r="AE16" s="157">
        <f>SUM('13. sz. melléklet'!AD39)</f>
        <v>8000000</v>
      </c>
      <c r="AF16" s="157">
        <f>SUM('13. sz. melléklet'!AE39)</f>
        <v>0</v>
      </c>
      <c r="AG16" s="157">
        <f>SUM('13. sz. melléklet'!AF39)</f>
        <v>0</v>
      </c>
      <c r="AH16" s="158">
        <v>0</v>
      </c>
      <c r="AI16" s="157"/>
      <c r="AJ16" s="157"/>
      <c r="AK16" s="157"/>
      <c r="AL16" s="158"/>
      <c r="AM16" s="157">
        <f>SUM(B16+F16+J16+N16+R16)</f>
        <v>1430964000</v>
      </c>
      <c r="AN16" s="157">
        <f t="shared" ref="AN16:AO16" si="0">SUM(C16+G16+K16+O16+S16)</f>
        <v>2188194161</v>
      </c>
      <c r="AO16" s="157">
        <f t="shared" si="0"/>
        <v>1927836737</v>
      </c>
      <c r="AP16" s="158">
        <f>SUM(AO16/AN16)</f>
        <v>0.88101722020818429</v>
      </c>
      <c r="AQ16" s="157">
        <f>SUM(V16+AA16+AE16+AI16)</f>
        <v>24513000</v>
      </c>
      <c r="AR16" s="157">
        <f t="shared" ref="AR16:AS16" si="1">SUM(W16+AB16+AF16+AJ16)</f>
        <v>188016345</v>
      </c>
      <c r="AS16" s="157">
        <f t="shared" si="1"/>
        <v>78717610</v>
      </c>
      <c r="AT16" s="158">
        <f>SUM(AS16/AR16)</f>
        <v>0.41867429132291661</v>
      </c>
      <c r="AU16" s="157">
        <f>SUM(AM16+AQ16)</f>
        <v>1455477000</v>
      </c>
      <c r="AV16" s="157">
        <f t="shared" ref="AV16:AW16" si="2">SUM(AN16+AR16)</f>
        <v>2376210506</v>
      </c>
      <c r="AW16" s="157">
        <f t="shared" si="2"/>
        <v>2006554347</v>
      </c>
      <c r="AX16" s="158">
        <f>SUM(AW16/AV16)</f>
        <v>0.84443459109931229</v>
      </c>
      <c r="AY16" s="223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</row>
    <row r="17" spans="1:91" s="155" customFormat="1" ht="47.25">
      <c r="A17" s="151" t="s">
        <v>422</v>
      </c>
      <c r="B17" s="175"/>
      <c r="C17" s="175"/>
      <c r="D17" s="175"/>
      <c r="E17" s="204"/>
      <c r="F17" s="175"/>
      <c r="G17" s="175"/>
      <c r="H17" s="175"/>
      <c r="I17" s="204"/>
      <c r="J17" s="175"/>
      <c r="K17" s="175"/>
      <c r="L17" s="175"/>
      <c r="M17" s="204"/>
      <c r="N17" s="175"/>
      <c r="O17" s="175"/>
      <c r="P17" s="175"/>
      <c r="Q17" s="204"/>
      <c r="R17" s="175"/>
      <c r="S17" s="175"/>
      <c r="T17" s="175"/>
      <c r="U17" s="204"/>
      <c r="V17" s="175"/>
      <c r="W17" s="175"/>
      <c r="X17" s="175"/>
      <c r="Y17" s="204"/>
      <c r="Z17" s="151" t="s">
        <v>422</v>
      </c>
      <c r="AA17" s="175"/>
      <c r="AB17" s="175"/>
      <c r="AC17" s="175"/>
      <c r="AD17" s="204"/>
      <c r="AE17" s="175"/>
      <c r="AF17" s="175"/>
      <c r="AG17" s="175"/>
      <c r="AH17" s="204"/>
      <c r="AI17" s="175"/>
      <c r="AJ17" s="175"/>
      <c r="AK17" s="175"/>
      <c r="AL17" s="204"/>
      <c r="AM17" s="175"/>
      <c r="AN17" s="175"/>
      <c r="AO17" s="175"/>
      <c r="AP17" s="204"/>
      <c r="AQ17" s="175"/>
      <c r="AR17" s="175"/>
      <c r="AS17" s="175"/>
      <c r="AT17" s="204"/>
      <c r="AU17" s="163"/>
      <c r="AV17" s="163"/>
      <c r="AW17" s="175"/>
      <c r="AX17" s="20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</row>
    <row r="18" spans="1:91" s="181" customFormat="1" ht="32.25" thickBot="1">
      <c r="A18" s="224" t="s">
        <v>423</v>
      </c>
      <c r="B18" s="176">
        <f>SUM('12. sz. melléklet'!C23)</f>
        <v>46459000</v>
      </c>
      <c r="C18" s="176">
        <f>SUM('12. sz. melléklet'!D23)</f>
        <v>57553708</v>
      </c>
      <c r="D18" s="176">
        <f>SUM('12. sz. melléklet'!E23)</f>
        <v>56455112</v>
      </c>
      <c r="E18" s="177">
        <f>SUM(D18/C18)</f>
        <v>0.98091181197221911</v>
      </c>
      <c r="F18" s="176">
        <f>SUM('12. sz. melléklet'!C41)</f>
        <v>11655000</v>
      </c>
      <c r="G18" s="176">
        <f>SUM('12. sz. melléklet'!D41)</f>
        <v>14789875</v>
      </c>
      <c r="H18" s="176">
        <f>SUM('12. sz. melléklet'!E41)</f>
        <v>14176111</v>
      </c>
      <c r="I18" s="177">
        <f>SUM(H18/G18)</f>
        <v>0.95850106914358646</v>
      </c>
      <c r="J18" s="176">
        <f>SUM('12. sz. melléklet'!C136)</f>
        <v>275769000</v>
      </c>
      <c r="K18" s="176">
        <f>SUM('12. sz. melléklet'!D136)</f>
        <v>345198730</v>
      </c>
      <c r="L18" s="176">
        <f>SUM('12. sz. melléklet'!E136)</f>
        <v>257596670</v>
      </c>
      <c r="M18" s="177">
        <f>SUM(L18/K18)</f>
        <v>0.74622716601535588</v>
      </c>
      <c r="N18" s="176">
        <f>SUM('12. sz. melléklet'!C150)</f>
        <v>62595000</v>
      </c>
      <c r="O18" s="176">
        <f>SUM('12. sz. melléklet'!D150)</f>
        <v>75512000</v>
      </c>
      <c r="P18" s="176">
        <f>SUM('12. sz. melléklet'!E150)</f>
        <v>70673615</v>
      </c>
      <c r="Q18" s="177">
        <f>SUM(P18/O18)</f>
        <v>0.93592561447187206</v>
      </c>
      <c r="R18" s="176">
        <f>SUM('12. sz. melléklet'!C201)</f>
        <v>998451000</v>
      </c>
      <c r="S18" s="176">
        <f>SUM('12. sz. melléklet'!D201)</f>
        <v>3267051849</v>
      </c>
      <c r="T18" s="176">
        <f>SUM('12. sz. melléklet'!E201)</f>
        <v>976741367</v>
      </c>
      <c r="U18" s="177">
        <f>SUM(T18/S18)</f>
        <v>0.2989672071776171</v>
      </c>
      <c r="V18" s="176">
        <f>SUM('12. sz. melléklet'!C238)</f>
        <v>89207000</v>
      </c>
      <c r="W18" s="176">
        <f>SUM('12. sz. melléklet'!D238)</f>
        <v>505535768</v>
      </c>
      <c r="X18" s="176">
        <f>SUM('12. sz. melléklet'!E238)</f>
        <v>151567308</v>
      </c>
      <c r="Y18" s="177">
        <f>SUM(X18/W18)</f>
        <v>0.29981520120649502</v>
      </c>
      <c r="Z18" s="224" t="s">
        <v>423</v>
      </c>
      <c r="AA18" s="176">
        <f>SUM('12. sz. melléklet'!C256)</f>
        <v>36706000</v>
      </c>
      <c r="AB18" s="176">
        <f>SUM('12. sz. melléklet'!D256)</f>
        <v>110018660</v>
      </c>
      <c r="AC18" s="176">
        <f>SUM('12. sz. melléklet'!E256)</f>
        <v>78735286</v>
      </c>
      <c r="AD18" s="177">
        <f>SUM(AC18/AB18)</f>
        <v>0.71565392634304037</v>
      </c>
      <c r="AE18" s="176">
        <f>SUM('12. sz. melléklet'!C265)</f>
        <v>27400000</v>
      </c>
      <c r="AF18" s="176">
        <f>SUM('12. sz. melléklet'!D265)</f>
        <v>36437500</v>
      </c>
      <c r="AG18" s="176">
        <f>SUM('12. sz. melléklet'!E265)</f>
        <v>31037500</v>
      </c>
      <c r="AH18" s="177">
        <f>SUM(AG18/AF18)</f>
        <v>0.85180102915951972</v>
      </c>
      <c r="AI18" s="176">
        <f>SUM('12. sz. melléklet'!C268)</f>
        <v>52044000</v>
      </c>
      <c r="AJ18" s="176">
        <f>SUM('12. sz. melléklet'!D268)</f>
        <v>52044365</v>
      </c>
      <c r="AK18" s="176">
        <f>SUM('12. sz. melléklet'!E268)</f>
        <v>52044365</v>
      </c>
      <c r="AL18" s="177">
        <f>SUM(AK18/AJ18)</f>
        <v>1</v>
      </c>
      <c r="AM18" s="176">
        <f>SUM(B18+F18+J18+N18+R18)</f>
        <v>1394929000</v>
      </c>
      <c r="AN18" s="176">
        <f>SUM(C18+G18+K18+O18+S18)</f>
        <v>3760106162</v>
      </c>
      <c r="AO18" s="176">
        <f>SUM(D18+H18+L18+P18+T18+AK18)</f>
        <v>1427687240</v>
      </c>
      <c r="AP18" s="177">
        <f>SUM(AO18/AN18)</f>
        <v>0.37969333271181188</v>
      </c>
      <c r="AQ18" s="176">
        <f>SUM(V18+AA18+AE18+AI18)</f>
        <v>205357000</v>
      </c>
      <c r="AR18" s="176">
        <f>SUM(W18+AB18+AF18+AJ18)</f>
        <v>704036293</v>
      </c>
      <c r="AS18" s="176">
        <f>SUM(X18+AC18+AG18)</f>
        <v>261340094</v>
      </c>
      <c r="AT18" s="177">
        <f>SUM(AS18/AR18)</f>
        <v>0.37120258798930983</v>
      </c>
      <c r="AU18" s="176">
        <f>SUM(AM18+AQ18)</f>
        <v>1600286000</v>
      </c>
      <c r="AV18" s="176">
        <f>SUM(AN18+AR18)</f>
        <v>4464142455</v>
      </c>
      <c r="AW18" s="176">
        <f>SUM(AO18+AS18)</f>
        <v>1689027334</v>
      </c>
      <c r="AX18" s="177">
        <f>SUM(AW18/AV18)</f>
        <v>0.37835426423460761</v>
      </c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</row>
    <row r="19" spans="1:91" s="200" customFormat="1" ht="17.25" thickTop="1" thickBot="1">
      <c r="A19" s="225" t="s">
        <v>424</v>
      </c>
      <c r="B19" s="226">
        <f>SUM(B16+B18)</f>
        <v>815816000</v>
      </c>
      <c r="C19" s="226">
        <f>SUM(C16+C18)</f>
        <v>1257965653</v>
      </c>
      <c r="D19" s="226">
        <f>SUM(D16+D18)</f>
        <v>1226188464</v>
      </c>
      <c r="E19" s="227">
        <f>D19/C19</f>
        <v>0.97473922366304866</v>
      </c>
      <c r="F19" s="226">
        <f>SUM(F16+F18)</f>
        <v>186320000</v>
      </c>
      <c r="G19" s="226">
        <f t="shared" ref="G19" si="3">SUM(G16+G18)</f>
        <v>249519383</v>
      </c>
      <c r="H19" s="226">
        <f>SUM(H16+H18)</f>
        <v>243930010</v>
      </c>
      <c r="I19" s="227">
        <f>H19/G19</f>
        <v>0.97759944364722962</v>
      </c>
      <c r="J19" s="226">
        <f t="shared" ref="J19:AW19" si="4">SUM(J16+J18)</f>
        <v>762711000</v>
      </c>
      <c r="K19" s="226">
        <f t="shared" si="4"/>
        <v>1083607717</v>
      </c>
      <c r="L19" s="226">
        <f t="shared" si="4"/>
        <v>772254521</v>
      </c>
      <c r="M19" s="227">
        <f>L19/K19</f>
        <v>0.71266982403743806</v>
      </c>
      <c r="N19" s="226">
        <f t="shared" si="4"/>
        <v>62595000</v>
      </c>
      <c r="O19" s="226">
        <f t="shared" si="4"/>
        <v>75512000</v>
      </c>
      <c r="P19" s="226">
        <f t="shared" si="4"/>
        <v>70673615</v>
      </c>
      <c r="Q19" s="227">
        <f>P19/O19</f>
        <v>0.93592561447187206</v>
      </c>
      <c r="R19" s="226">
        <f t="shared" si="4"/>
        <v>998451000</v>
      </c>
      <c r="S19" s="226">
        <f t="shared" si="4"/>
        <v>3281695570</v>
      </c>
      <c r="T19" s="226">
        <f t="shared" si="4"/>
        <v>990433002</v>
      </c>
      <c r="U19" s="227">
        <f>T19/S19</f>
        <v>0.30180526525804463</v>
      </c>
      <c r="V19" s="226">
        <f t="shared" si="4"/>
        <v>97800000</v>
      </c>
      <c r="W19" s="226">
        <f>SUM(W16+W18)</f>
        <v>541500713</v>
      </c>
      <c r="X19" s="226">
        <f t="shared" ref="X19" si="5">SUM(X16+X18)</f>
        <v>187436348</v>
      </c>
      <c r="Y19" s="227">
        <f>X19/W19</f>
        <v>0.34614238448842077</v>
      </c>
      <c r="Z19" s="225" t="s">
        <v>424</v>
      </c>
      <c r="AA19" s="226">
        <f t="shared" si="4"/>
        <v>44626000</v>
      </c>
      <c r="AB19" s="226">
        <f t="shared" si="4"/>
        <v>262070060</v>
      </c>
      <c r="AC19" s="226">
        <f t="shared" si="4"/>
        <v>121583856</v>
      </c>
      <c r="AD19" s="227">
        <f>AC19/AB19</f>
        <v>0.46393646034957214</v>
      </c>
      <c r="AE19" s="226">
        <f t="shared" si="4"/>
        <v>35400000</v>
      </c>
      <c r="AF19" s="226">
        <f t="shared" si="4"/>
        <v>36437500</v>
      </c>
      <c r="AG19" s="226">
        <f t="shared" si="4"/>
        <v>31037500</v>
      </c>
      <c r="AH19" s="227">
        <f>AG19/AF19</f>
        <v>0.85180102915951972</v>
      </c>
      <c r="AI19" s="226">
        <f t="shared" si="4"/>
        <v>52044000</v>
      </c>
      <c r="AJ19" s="226">
        <f t="shared" si="4"/>
        <v>52044365</v>
      </c>
      <c r="AK19" s="226">
        <f t="shared" si="4"/>
        <v>52044365</v>
      </c>
      <c r="AL19" s="227">
        <f>AK19/AJ19</f>
        <v>1</v>
      </c>
      <c r="AM19" s="226">
        <f t="shared" si="4"/>
        <v>2825893000</v>
      </c>
      <c r="AN19" s="226">
        <f t="shared" si="4"/>
        <v>5948300323</v>
      </c>
      <c r="AO19" s="226">
        <f t="shared" si="4"/>
        <v>3355523977</v>
      </c>
      <c r="AP19" s="227">
        <f>AO19/AN19</f>
        <v>0.5641147546006311</v>
      </c>
      <c r="AQ19" s="226">
        <f t="shared" si="4"/>
        <v>229870000</v>
      </c>
      <c r="AR19" s="226">
        <f t="shared" si="4"/>
        <v>892052638</v>
      </c>
      <c r="AS19" s="226">
        <f t="shared" si="4"/>
        <v>340057704</v>
      </c>
      <c r="AT19" s="227">
        <f>AS19/AR19</f>
        <v>0.38120811431309282</v>
      </c>
      <c r="AU19" s="226">
        <f t="shared" si="4"/>
        <v>3055763000</v>
      </c>
      <c r="AV19" s="226">
        <f>SUM(AV16+AV18)</f>
        <v>6840352961</v>
      </c>
      <c r="AW19" s="226">
        <f t="shared" si="4"/>
        <v>3695581681</v>
      </c>
      <c r="AX19" s="227">
        <f>AW19/AV19</f>
        <v>0.54026184059071392</v>
      </c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</row>
    <row r="20" spans="1:91" ht="15.75" thickTop="1">
      <c r="AU20" s="211"/>
      <c r="AV20" s="211"/>
    </row>
    <row r="21" spans="1:91">
      <c r="AU21" s="211"/>
      <c r="AV21" s="211"/>
    </row>
  </sheetData>
  <mergeCells count="29">
    <mergeCell ref="A5:Y5"/>
    <mergeCell ref="AA5:AX5"/>
    <mergeCell ref="AZ8:BG8"/>
    <mergeCell ref="AQ10:AU10"/>
    <mergeCell ref="A11:A14"/>
    <mergeCell ref="B11:E11"/>
    <mergeCell ref="F11:I11"/>
    <mergeCell ref="J11:M11"/>
    <mergeCell ref="N11:Q11"/>
    <mergeCell ref="R11:U11"/>
    <mergeCell ref="AM11:AX11"/>
    <mergeCell ref="AA12:AD13"/>
    <mergeCell ref="AE12:AH13"/>
    <mergeCell ref="AI12:AL13"/>
    <mergeCell ref="AM12:AX12"/>
    <mergeCell ref="V11:Y11"/>
    <mergeCell ref="AQ13:AT13"/>
    <mergeCell ref="AU13:AX13"/>
    <mergeCell ref="B12:E13"/>
    <mergeCell ref="F12:I13"/>
    <mergeCell ref="J12:M13"/>
    <mergeCell ref="N12:Q13"/>
    <mergeCell ref="R12:U13"/>
    <mergeCell ref="V12:Y13"/>
    <mergeCell ref="Z11:Z14"/>
    <mergeCell ref="AA11:AD11"/>
    <mergeCell ref="AE11:AH11"/>
    <mergeCell ref="AI11:AL11"/>
    <mergeCell ref="AM13:AP13"/>
  </mergeCells>
  <pageMargins left="0.7" right="0.7" top="0.75" bottom="0.75" header="0.3" footer="0.3"/>
  <pageSetup paperSize="9" scale="33" orientation="portrait" r:id="rId1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U970"/>
  <sheetViews>
    <sheetView view="pageBreakPreview" zoomScale="95" zoomScaleSheetLayoutView="95" workbookViewId="0"/>
  </sheetViews>
  <sheetFormatPr defaultRowHeight="15.75" thickBottom="1"/>
  <cols>
    <col min="1" max="1" width="80" style="314" customWidth="1"/>
    <col min="2" max="2" width="18.28515625" style="314" customWidth="1"/>
    <col min="3" max="5" width="21.42578125" style="315" customWidth="1"/>
    <col min="6" max="6" width="21.42578125" style="749" customWidth="1"/>
    <col min="7" max="8" width="9.140625" style="292"/>
    <col min="9" max="9" width="11.5703125" style="292" bestFit="1" customWidth="1"/>
    <col min="10" max="40" width="9.140625" style="292"/>
    <col min="41" max="41" width="9.140625" style="308"/>
    <col min="42" max="16384" width="9.140625" style="309"/>
  </cols>
  <sheetData>
    <row r="1" spans="1:73" s="290" customFormat="1" ht="18.75">
      <c r="A1" s="287" t="s">
        <v>966</v>
      </c>
      <c r="B1" s="288"/>
      <c r="C1" s="289"/>
      <c r="D1" s="289"/>
      <c r="E1" s="289"/>
      <c r="F1" s="738"/>
    </row>
    <row r="2" spans="1:73" s="292" customFormat="1">
      <c r="A2" s="288"/>
      <c r="B2" s="288"/>
      <c r="C2" s="291"/>
      <c r="D2" s="291"/>
      <c r="E2" s="291"/>
      <c r="F2" s="739"/>
    </row>
    <row r="3" spans="1:73" s="292" customFormat="1" ht="30.75" customHeight="1">
      <c r="A3" s="884" t="s">
        <v>741</v>
      </c>
      <c r="B3" s="884"/>
      <c r="C3" s="884"/>
      <c r="D3" s="884"/>
      <c r="E3" s="884"/>
      <c r="F3" s="884"/>
    </row>
    <row r="4" spans="1:73" s="292" customFormat="1" ht="15">
      <c r="C4" s="291"/>
      <c r="D4" s="291"/>
      <c r="E4" s="291"/>
      <c r="F4" s="739"/>
    </row>
    <row r="5" spans="1:73" s="633" customFormat="1" ht="15.75" customHeight="1" thickBot="1">
      <c r="C5" s="634"/>
      <c r="D5" s="635"/>
      <c r="E5" s="635"/>
      <c r="F5" s="740" t="s">
        <v>7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</row>
    <row r="6" spans="1:73" s="640" customFormat="1" ht="66.75" customHeight="1" thickBot="1">
      <c r="A6" s="636" t="s">
        <v>463</v>
      </c>
      <c r="B6" s="637"/>
      <c r="C6" s="638" t="s">
        <v>350</v>
      </c>
      <c r="D6" s="638" t="s">
        <v>351</v>
      </c>
      <c r="E6" s="638" t="s">
        <v>288</v>
      </c>
      <c r="F6" s="741" t="s">
        <v>289</v>
      </c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  <c r="BB6" s="639"/>
      <c r="BC6" s="639"/>
      <c r="BD6" s="639"/>
      <c r="BE6" s="639"/>
      <c r="BF6" s="639"/>
      <c r="BG6" s="639"/>
      <c r="BH6" s="639"/>
      <c r="BI6" s="639"/>
      <c r="BJ6" s="639"/>
      <c r="BK6" s="639"/>
      <c r="BL6" s="639"/>
      <c r="BM6" s="639"/>
      <c r="BN6" s="639"/>
      <c r="BO6" s="639"/>
      <c r="BP6" s="639"/>
      <c r="BQ6" s="639"/>
      <c r="BR6" s="639"/>
      <c r="BS6" s="639"/>
      <c r="BT6" s="639"/>
      <c r="BU6" s="639"/>
    </row>
    <row r="7" spans="1:73" s="428" customFormat="1" ht="33" customHeight="1" thickBot="1">
      <c r="A7" s="296" t="s">
        <v>352</v>
      </c>
      <c r="B7" s="297"/>
      <c r="C7" s="641"/>
      <c r="D7" s="641"/>
      <c r="E7" s="641"/>
      <c r="F7" s="742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</row>
    <row r="8" spans="1:73" s="428" customFormat="1" ht="21" customHeight="1" thickBot="1">
      <c r="A8" s="624" t="s">
        <v>464</v>
      </c>
      <c r="B8" s="424"/>
      <c r="C8" s="431">
        <v>57800000</v>
      </c>
      <c r="D8" s="431">
        <v>57800000</v>
      </c>
      <c r="E8" s="431">
        <v>51441200</v>
      </c>
      <c r="F8" s="335">
        <f>SUM(E8/D8)</f>
        <v>0.88998615916955015</v>
      </c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</row>
    <row r="9" spans="1:73" s="434" customFormat="1" ht="28.5" customHeight="1" thickBot="1">
      <c r="A9" s="624" t="s">
        <v>742</v>
      </c>
      <c r="B9" s="430"/>
      <c r="C9" s="431">
        <f>SUM(B10:B10)</f>
        <v>2000000</v>
      </c>
      <c r="D9" s="431">
        <v>2000000</v>
      </c>
      <c r="E9" s="431">
        <v>1657350</v>
      </c>
      <c r="F9" s="335">
        <f>SUM(E9/D9)</f>
        <v>0.82867500000000005</v>
      </c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</row>
    <row r="10" spans="1:73" s="428" customFormat="1" ht="19.5" customHeight="1" thickBot="1">
      <c r="A10" s="429" t="s">
        <v>743</v>
      </c>
      <c r="B10" s="424">
        <v>2000000</v>
      </c>
      <c r="C10" s="425"/>
      <c r="D10" s="425"/>
      <c r="E10" s="425"/>
      <c r="F10" s="347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</row>
    <row r="11" spans="1:73" s="434" customFormat="1" ht="23.25" customHeight="1" thickBot="1">
      <c r="A11" s="624" t="s">
        <v>744</v>
      </c>
      <c r="B11" s="430"/>
      <c r="C11" s="431">
        <v>2300000</v>
      </c>
      <c r="D11" s="431">
        <f>SUM(B12:B13)</f>
        <v>2522250</v>
      </c>
      <c r="E11" s="431">
        <f>222250+692785</f>
        <v>915035</v>
      </c>
      <c r="F11" s="335">
        <f>SUM(E11/D11)</f>
        <v>0.36278521161661215</v>
      </c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</row>
    <row r="12" spans="1:73" s="434" customFormat="1" ht="19.5" customHeight="1" thickBot="1">
      <c r="A12" s="429" t="s">
        <v>745</v>
      </c>
      <c r="B12" s="424">
        <v>1000000</v>
      </c>
      <c r="C12" s="431"/>
      <c r="D12" s="431"/>
      <c r="E12" s="431"/>
      <c r="F12" s="335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</row>
    <row r="13" spans="1:73" s="434" customFormat="1" ht="19.5" customHeight="1" thickBot="1">
      <c r="A13" s="429" t="s">
        <v>746</v>
      </c>
      <c r="B13" s="424">
        <f>1300000+222250</f>
        <v>1522250</v>
      </c>
      <c r="C13" s="431"/>
      <c r="D13" s="431"/>
      <c r="E13" s="431"/>
      <c r="F13" s="335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</row>
    <row r="14" spans="1:73" s="428" customFormat="1" ht="29.25" customHeight="1" thickBot="1">
      <c r="A14" s="624" t="s">
        <v>465</v>
      </c>
      <c r="B14" s="424"/>
      <c r="C14" s="431">
        <v>5283000</v>
      </c>
      <c r="D14" s="431">
        <f>SUM(B15:B18)</f>
        <v>25697196</v>
      </c>
      <c r="E14" s="431">
        <f>11874170+8444435</f>
        <v>20318605</v>
      </c>
      <c r="F14" s="335">
        <f>SUM(E14/D14)</f>
        <v>0.79069346710045718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</row>
    <row r="15" spans="1:73" s="428" customFormat="1" ht="39.75" customHeight="1" thickBot="1">
      <c r="A15" s="429" t="s">
        <v>466</v>
      </c>
      <c r="B15" s="482">
        <v>4000000</v>
      </c>
      <c r="C15" s="431"/>
      <c r="D15" s="431"/>
      <c r="E15" s="431"/>
      <c r="F15" s="33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</row>
    <row r="16" spans="1:73" s="428" customFormat="1" ht="27.75" customHeight="1" thickBot="1">
      <c r="A16" s="429" t="s">
        <v>747</v>
      </c>
      <c r="B16" s="642">
        <f>1283000+2794000</f>
        <v>4077000</v>
      </c>
      <c r="C16" s="431"/>
      <c r="D16" s="643"/>
      <c r="E16" s="643"/>
      <c r="F16" s="743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</row>
    <row r="17" spans="1:125" s="428" customFormat="1" ht="27.75" customHeight="1" thickBot="1">
      <c r="A17" s="429" t="s">
        <v>842</v>
      </c>
      <c r="B17" s="642">
        <v>15080196</v>
      </c>
      <c r="C17" s="431"/>
      <c r="D17" s="643"/>
      <c r="E17" s="643"/>
      <c r="F17" s="743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</row>
    <row r="18" spans="1:125" s="492" customFormat="1" ht="21" customHeight="1" thickBot="1">
      <c r="A18" s="429" t="s">
        <v>748</v>
      </c>
      <c r="B18" s="642">
        <v>2540000</v>
      </c>
      <c r="C18" s="431"/>
      <c r="D18" s="643"/>
      <c r="E18" s="643"/>
      <c r="F18" s="743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491"/>
      <c r="AP18" s="644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</row>
    <row r="19" spans="1:125" s="428" customFormat="1" ht="22.5" customHeight="1" thickBot="1">
      <c r="A19" s="624" t="s">
        <v>467</v>
      </c>
      <c r="B19" s="424"/>
      <c r="C19" s="431">
        <v>150000</v>
      </c>
      <c r="D19" s="431">
        <v>150000</v>
      </c>
      <c r="E19" s="431">
        <v>0</v>
      </c>
      <c r="F19" s="335">
        <v>0</v>
      </c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</row>
    <row r="20" spans="1:125" s="428" customFormat="1" ht="22.5" customHeight="1" thickBot="1">
      <c r="A20" s="624" t="s">
        <v>468</v>
      </c>
      <c r="B20" s="424"/>
      <c r="C20" s="431">
        <f>SUM(B22:B23)</f>
        <v>340000</v>
      </c>
      <c r="D20" s="431">
        <v>340000</v>
      </c>
      <c r="E20" s="431"/>
      <c r="F20" s="335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</row>
    <row r="21" spans="1:125" s="428" customFormat="1" ht="22.5" customHeight="1" thickBot="1">
      <c r="A21" s="429" t="s">
        <v>433</v>
      </c>
      <c r="B21" s="424"/>
      <c r="C21" s="431"/>
      <c r="D21" s="431"/>
      <c r="E21" s="431"/>
      <c r="F21" s="335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</row>
    <row r="22" spans="1:125" s="428" customFormat="1" ht="38.25" thickBot="1">
      <c r="A22" s="429" t="s">
        <v>469</v>
      </c>
      <c r="B22" s="424">
        <v>300000</v>
      </c>
      <c r="C22" s="431"/>
      <c r="D22" s="431"/>
      <c r="E22" s="431"/>
      <c r="F22" s="335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</row>
    <row r="23" spans="1:125" s="428" customFormat="1" ht="22.5" customHeight="1" thickBot="1">
      <c r="A23" s="429" t="s">
        <v>470</v>
      </c>
      <c r="B23" s="424">
        <v>40000</v>
      </c>
      <c r="C23" s="431"/>
      <c r="D23" s="431"/>
      <c r="E23" s="431"/>
      <c r="F23" s="335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</row>
    <row r="24" spans="1:125" s="428" customFormat="1" ht="22.5" customHeight="1" thickBot="1">
      <c r="A24" s="624" t="s">
        <v>471</v>
      </c>
      <c r="B24" s="424"/>
      <c r="C24" s="431">
        <f>SUM(B26:B27)</f>
        <v>1050000</v>
      </c>
      <c r="D24" s="431">
        <f>SUM(B26:B29)</f>
        <v>2511770</v>
      </c>
      <c r="E24" s="431">
        <v>912618</v>
      </c>
      <c r="F24" s="335">
        <f>E24/D24</f>
        <v>0.36333661123430888</v>
      </c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</row>
    <row r="25" spans="1:125" s="428" customFormat="1" ht="22.5" customHeight="1" thickBot="1">
      <c r="A25" s="429" t="s">
        <v>433</v>
      </c>
      <c r="B25" s="424"/>
      <c r="C25" s="431"/>
      <c r="D25" s="431"/>
      <c r="E25" s="431"/>
      <c r="F25" s="335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</row>
    <row r="26" spans="1:125" s="428" customFormat="1" ht="22.5" customHeight="1" thickBot="1">
      <c r="A26" s="429" t="s">
        <v>472</v>
      </c>
      <c r="B26" s="424">
        <v>50000</v>
      </c>
      <c r="C26" s="431"/>
      <c r="D26" s="431"/>
      <c r="E26" s="431"/>
      <c r="F26" s="335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</row>
    <row r="27" spans="1:125" s="428" customFormat="1" ht="22.5" customHeight="1" thickBot="1">
      <c r="A27" s="429" t="s">
        <v>749</v>
      </c>
      <c r="B27" s="424">
        <v>1000000</v>
      </c>
      <c r="C27" s="431"/>
      <c r="D27" s="431"/>
      <c r="E27" s="431"/>
      <c r="F27" s="335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</row>
    <row r="28" spans="1:125" s="428" customFormat="1" ht="22.5" customHeight="1" thickBot="1">
      <c r="A28" s="429" t="s">
        <v>750</v>
      </c>
      <c r="B28" s="424">
        <v>730250</v>
      </c>
      <c r="C28" s="431"/>
      <c r="D28" s="431"/>
      <c r="E28" s="431"/>
      <c r="F28" s="335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</row>
    <row r="29" spans="1:125" s="428" customFormat="1" ht="22.5" customHeight="1" thickBot="1">
      <c r="A29" s="429" t="s">
        <v>751</v>
      </c>
      <c r="B29" s="424">
        <v>731520</v>
      </c>
      <c r="C29" s="431"/>
      <c r="D29" s="431"/>
      <c r="E29" s="431"/>
      <c r="F29" s="335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</row>
    <row r="30" spans="1:125" s="428" customFormat="1" ht="22.5" customHeight="1" thickBot="1">
      <c r="A30" s="624" t="s">
        <v>473</v>
      </c>
      <c r="B30" s="424"/>
      <c r="C30" s="431">
        <v>1209000</v>
      </c>
      <c r="D30" s="431">
        <f>SUM(B32:B33)</f>
        <v>2083476</v>
      </c>
      <c r="E30" s="431">
        <f>1458137+283894</f>
        <v>1742031</v>
      </c>
      <c r="F30" s="335">
        <f>E30/D30</f>
        <v>0.83611762266519984</v>
      </c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</row>
    <row r="31" spans="1:125" s="428" customFormat="1" ht="22.5" customHeight="1" thickBot="1">
      <c r="A31" s="429" t="s">
        <v>433</v>
      </c>
      <c r="B31" s="424"/>
      <c r="C31" s="431"/>
      <c r="D31" s="431"/>
      <c r="E31" s="431"/>
      <c r="F31" s="335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</row>
    <row r="32" spans="1:125" s="428" customFormat="1" ht="43.5" customHeight="1" thickBot="1">
      <c r="A32" s="429" t="s">
        <v>752</v>
      </c>
      <c r="B32" s="424">
        <f>909000+833476</f>
        <v>1742476</v>
      </c>
      <c r="C32" s="431"/>
      <c r="D32" s="431"/>
      <c r="E32" s="431"/>
      <c r="F32" s="335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</row>
    <row r="33" spans="1:73" s="428" customFormat="1" ht="30.75" customHeight="1" thickBot="1">
      <c r="A33" s="429" t="s">
        <v>474</v>
      </c>
      <c r="B33" s="424">
        <f>300000+41000</f>
        <v>341000</v>
      </c>
      <c r="C33" s="431"/>
      <c r="D33" s="431"/>
      <c r="E33" s="431"/>
      <c r="F33" s="335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</row>
    <row r="34" spans="1:73" s="428" customFormat="1" ht="110.25" customHeight="1" thickBot="1">
      <c r="A34" s="882" t="s">
        <v>753</v>
      </c>
      <c r="B34" s="883"/>
      <c r="C34" s="431">
        <v>1400000</v>
      </c>
      <c r="D34" s="431">
        <v>1400000</v>
      </c>
      <c r="E34" s="431">
        <v>1402405</v>
      </c>
      <c r="F34" s="335">
        <f>E34/D34</f>
        <v>1.0017178571428571</v>
      </c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</row>
    <row r="35" spans="1:73" s="428" customFormat="1" ht="38.25" thickBot="1">
      <c r="A35" s="624" t="s">
        <v>475</v>
      </c>
      <c r="B35" s="424"/>
      <c r="C35" s="431">
        <v>475340000</v>
      </c>
      <c r="D35" s="431">
        <f>475340000+42911662+100583430+48938447+8268928</f>
        <v>676042467</v>
      </c>
      <c r="E35" s="431">
        <v>676042467</v>
      </c>
      <c r="F35" s="335">
        <f t="shared" ref="F35:F38" si="0">E35/D35</f>
        <v>1</v>
      </c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</row>
    <row r="36" spans="1:73" s="428" customFormat="1" ht="57" thickBot="1">
      <c r="A36" s="624" t="s">
        <v>476</v>
      </c>
      <c r="B36" s="424"/>
      <c r="C36" s="431">
        <v>97000000</v>
      </c>
      <c r="D36" s="431">
        <f>97000000+425073-8280000+61560</f>
        <v>89206633</v>
      </c>
      <c r="E36" s="431">
        <v>89206633</v>
      </c>
      <c r="F36" s="335">
        <f t="shared" si="0"/>
        <v>1</v>
      </c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</row>
    <row r="37" spans="1:73" s="428" customFormat="1" ht="27.75" customHeight="1" thickBot="1">
      <c r="A37" s="624" t="s">
        <v>754</v>
      </c>
      <c r="B37" s="424"/>
      <c r="C37" s="431">
        <v>1027000</v>
      </c>
      <c r="D37" s="431">
        <v>1027000</v>
      </c>
      <c r="E37" s="431">
        <v>1027000</v>
      </c>
      <c r="F37" s="335">
        <f t="shared" si="0"/>
        <v>1</v>
      </c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</row>
    <row r="38" spans="1:73" s="428" customFormat="1" ht="27.75" customHeight="1" thickBot="1">
      <c r="A38" s="882" t="s">
        <v>755</v>
      </c>
      <c r="B38" s="883"/>
      <c r="C38" s="431"/>
      <c r="D38" s="431">
        <v>593000</v>
      </c>
      <c r="E38" s="431">
        <v>593000</v>
      </c>
      <c r="F38" s="335">
        <f t="shared" si="0"/>
        <v>1</v>
      </c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</row>
    <row r="39" spans="1:73" s="428" customFormat="1" ht="42" customHeight="1" thickBot="1">
      <c r="A39" s="882" t="s">
        <v>756</v>
      </c>
      <c r="B39" s="883"/>
      <c r="C39" s="431">
        <f>SUM(B40:B44)</f>
        <v>56545000</v>
      </c>
      <c r="D39" s="431">
        <v>56545000</v>
      </c>
      <c r="E39" s="431">
        <f>24093900+4562000+40404112+598000</f>
        <v>69658012</v>
      </c>
      <c r="F39" s="335">
        <f>E39/D39</f>
        <v>1.2319040056592094</v>
      </c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</row>
    <row r="40" spans="1:73" s="428" customFormat="1" ht="21" customHeight="1" thickBot="1">
      <c r="A40" s="429" t="s">
        <v>477</v>
      </c>
      <c r="B40" s="424">
        <v>29090000</v>
      </c>
      <c r="C40" s="431"/>
      <c r="D40" s="431"/>
      <c r="E40" s="431"/>
      <c r="F40" s="335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</row>
    <row r="41" spans="1:73" s="428" customFormat="1" ht="21" customHeight="1" thickBot="1">
      <c r="A41" s="429" t="s">
        <v>478</v>
      </c>
      <c r="B41" s="424">
        <v>5455000</v>
      </c>
      <c r="C41" s="431"/>
      <c r="D41" s="431"/>
      <c r="E41" s="431"/>
      <c r="F41" s="335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</row>
    <row r="42" spans="1:73" s="428" customFormat="1" ht="21" customHeight="1" thickBot="1">
      <c r="A42" s="429" t="s">
        <v>757</v>
      </c>
      <c r="B42" s="424">
        <v>7455000</v>
      </c>
      <c r="C42" s="431"/>
      <c r="D42" s="431"/>
      <c r="E42" s="431"/>
      <c r="F42" s="33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</row>
    <row r="43" spans="1:73" s="428" customFormat="1" ht="21" customHeight="1" thickBot="1">
      <c r="A43" s="429" t="s">
        <v>758</v>
      </c>
      <c r="B43" s="424">
        <v>11364000</v>
      </c>
      <c r="C43" s="431"/>
      <c r="D43" s="431"/>
      <c r="E43" s="431"/>
      <c r="F43" s="33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</row>
    <row r="44" spans="1:73" s="428" customFormat="1" ht="21" customHeight="1" thickBot="1">
      <c r="A44" s="429" t="s">
        <v>479</v>
      </c>
      <c r="B44" s="424">
        <v>3181000</v>
      </c>
      <c r="C44" s="431"/>
      <c r="D44" s="431"/>
      <c r="E44" s="431"/>
      <c r="F44" s="335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</row>
    <row r="45" spans="1:73" s="434" customFormat="1" ht="21" customHeight="1" thickBot="1">
      <c r="A45" s="624" t="s">
        <v>759</v>
      </c>
      <c r="B45" s="430"/>
      <c r="C45" s="431"/>
      <c r="D45" s="431">
        <v>16917000</v>
      </c>
      <c r="E45" s="431"/>
      <c r="F45" s="335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432"/>
      <c r="BU45" s="432"/>
    </row>
    <row r="46" spans="1:73" s="428" customFormat="1" ht="39" customHeight="1" thickBot="1">
      <c r="A46" s="624" t="s">
        <v>760</v>
      </c>
      <c r="B46" s="424"/>
      <c r="C46" s="431">
        <f>SUM(B48:B49)</f>
        <v>33998000</v>
      </c>
      <c r="D46" s="431">
        <v>33998000</v>
      </c>
      <c r="E46" s="431">
        <f>28875000+755000</f>
        <v>29630000</v>
      </c>
      <c r="F46" s="335">
        <f>E46/D46</f>
        <v>0.87152185422671924</v>
      </c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</row>
    <row r="47" spans="1:73" s="428" customFormat="1" ht="27.75" customHeight="1" thickBot="1">
      <c r="A47" s="429" t="s">
        <v>481</v>
      </c>
      <c r="B47" s="424"/>
      <c r="C47" s="431"/>
      <c r="D47" s="431"/>
      <c r="E47" s="431"/>
      <c r="F47" s="335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</row>
    <row r="48" spans="1:73" s="428" customFormat="1" ht="37.5" customHeight="1" thickBot="1">
      <c r="A48" s="429" t="s">
        <v>761</v>
      </c>
      <c r="B48" s="424">
        <v>3263000</v>
      </c>
      <c r="C48" s="431"/>
      <c r="D48" s="431"/>
      <c r="E48" s="431"/>
      <c r="F48" s="335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</row>
    <row r="49" spans="1:125" s="428" customFormat="1" ht="24.75" customHeight="1" thickBot="1">
      <c r="A49" s="429" t="s">
        <v>762</v>
      </c>
      <c r="B49" s="424">
        <f>29970000+765000</f>
        <v>30735000</v>
      </c>
      <c r="C49" s="431"/>
      <c r="D49" s="431"/>
      <c r="E49" s="431"/>
      <c r="F49" s="335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</row>
    <row r="50" spans="1:125" s="428" customFormat="1" ht="37.5" customHeight="1" thickBot="1">
      <c r="A50" s="624" t="s">
        <v>482</v>
      </c>
      <c r="B50" s="424"/>
      <c r="C50" s="431">
        <v>14981000</v>
      </c>
      <c r="D50" s="431">
        <f>SUM(B51:B53)</f>
        <v>14636000</v>
      </c>
      <c r="E50" s="431">
        <v>9233000</v>
      </c>
      <c r="F50" s="335">
        <f>E50/D50</f>
        <v>0.63084176004372783</v>
      </c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</row>
    <row r="51" spans="1:125" s="428" customFormat="1" ht="37.5" customHeight="1" thickBot="1">
      <c r="A51" s="429" t="s">
        <v>763</v>
      </c>
      <c r="B51" s="424">
        <v>13000000</v>
      </c>
      <c r="C51" s="431"/>
      <c r="D51" s="431"/>
      <c r="E51" s="431"/>
      <c r="F51" s="335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</row>
    <row r="52" spans="1:125" s="428" customFormat="1" ht="24.75" customHeight="1" thickBot="1">
      <c r="A52" s="645" t="s">
        <v>764</v>
      </c>
      <c r="B52" s="475">
        <f>1981000-1981000+1196000</f>
        <v>1196000</v>
      </c>
      <c r="C52" s="431"/>
      <c r="D52" s="431"/>
      <c r="E52" s="431"/>
      <c r="F52" s="335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</row>
    <row r="53" spans="1:125" s="428" customFormat="1" ht="24.75" customHeight="1" thickBot="1">
      <c r="A53" s="429" t="s">
        <v>765</v>
      </c>
      <c r="B53" s="424">
        <v>440000</v>
      </c>
      <c r="C53" s="431"/>
      <c r="D53" s="431"/>
      <c r="E53" s="431"/>
      <c r="F53" s="335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</row>
    <row r="54" spans="1:125" s="299" customFormat="1" ht="29.25" customHeight="1" thickBot="1">
      <c r="A54" s="321" t="s">
        <v>766</v>
      </c>
      <c r="B54" s="346"/>
      <c r="C54" s="431"/>
      <c r="D54" s="648">
        <f>2445858+96520</f>
        <v>2542378</v>
      </c>
      <c r="E54" s="648">
        <v>2542375</v>
      </c>
      <c r="F54" s="335">
        <f t="shared" ref="F54:F55" si="1">E54/D54</f>
        <v>0.99999882000237572</v>
      </c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441"/>
      <c r="BB54" s="441"/>
      <c r="BC54" s="441"/>
      <c r="BD54" s="441"/>
      <c r="BE54" s="441"/>
      <c r="BF54" s="441"/>
      <c r="BG54" s="441"/>
      <c r="BH54" s="441"/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V54" s="441"/>
      <c r="BW54" s="441"/>
      <c r="BX54" s="441"/>
      <c r="BY54" s="441"/>
      <c r="BZ54" s="441"/>
      <c r="CA54" s="441"/>
      <c r="CB54" s="441"/>
      <c r="CC54" s="441"/>
      <c r="CD54" s="441"/>
      <c r="CE54" s="441"/>
      <c r="CF54" s="441"/>
      <c r="CG54" s="441"/>
      <c r="CH54" s="441"/>
      <c r="CI54" s="441"/>
      <c r="CJ54" s="441"/>
      <c r="CK54" s="441"/>
      <c r="CL54" s="441"/>
      <c r="CM54" s="441"/>
      <c r="CN54" s="441"/>
      <c r="CO54" s="441"/>
      <c r="CP54" s="441"/>
      <c r="CQ54" s="441"/>
      <c r="CR54" s="441"/>
      <c r="CS54" s="441"/>
      <c r="CT54" s="441"/>
      <c r="CU54" s="441"/>
      <c r="CV54" s="441"/>
      <c r="CW54" s="441"/>
      <c r="CX54" s="441"/>
      <c r="CY54" s="441"/>
      <c r="CZ54" s="441"/>
      <c r="DA54" s="441"/>
      <c r="DB54" s="441"/>
      <c r="DC54" s="441"/>
      <c r="DD54" s="441"/>
      <c r="DE54" s="441"/>
      <c r="DF54" s="441"/>
      <c r="DG54" s="441"/>
      <c r="DH54" s="441"/>
      <c r="DI54" s="441"/>
      <c r="DJ54" s="441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441"/>
    </row>
    <row r="55" spans="1:125" s="299" customFormat="1" ht="29.25" customHeight="1" thickBot="1">
      <c r="A55" s="624" t="s">
        <v>767</v>
      </c>
      <c r="B55" s="346"/>
      <c r="C55" s="431"/>
      <c r="D55" s="431">
        <v>620991</v>
      </c>
      <c r="E55" s="431">
        <v>616400</v>
      </c>
      <c r="F55" s="335">
        <f t="shared" si="1"/>
        <v>0.99260697820097232</v>
      </c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41"/>
      <c r="CG55" s="441"/>
      <c r="CH55" s="441"/>
      <c r="CI55" s="441"/>
      <c r="CJ55" s="441"/>
      <c r="CK55" s="441"/>
      <c r="CL55" s="441"/>
      <c r="CM55" s="441"/>
      <c r="CN55" s="441"/>
      <c r="CO55" s="441"/>
      <c r="CP55" s="441"/>
      <c r="CQ55" s="441"/>
      <c r="CR55" s="441"/>
      <c r="CS55" s="441"/>
      <c r="CT55" s="441"/>
      <c r="CU55" s="441"/>
      <c r="CV55" s="441"/>
      <c r="CW55" s="441"/>
      <c r="CX55" s="441"/>
      <c r="CY55" s="441"/>
      <c r="CZ55" s="441"/>
      <c r="DA55" s="441"/>
      <c r="DB55" s="441"/>
      <c r="DC55" s="441"/>
      <c r="DD55" s="441"/>
      <c r="DE55" s="441"/>
      <c r="DF55" s="441"/>
      <c r="DG55" s="441"/>
      <c r="DH55" s="441"/>
      <c r="DI55" s="441"/>
      <c r="DJ55" s="441"/>
      <c r="DK55" s="441"/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</row>
    <row r="56" spans="1:125" s="299" customFormat="1" ht="29.25" customHeight="1" thickBot="1">
      <c r="A56" s="752" t="s">
        <v>851</v>
      </c>
      <c r="B56" s="346"/>
      <c r="C56" s="431"/>
      <c r="D56" s="431"/>
      <c r="E56" s="431">
        <v>795187</v>
      </c>
      <c r="F56" s="335">
        <v>0</v>
      </c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1"/>
      <c r="CF56" s="441"/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/>
      <c r="CU56" s="441"/>
      <c r="CV56" s="441"/>
      <c r="CW56" s="441"/>
      <c r="CX56" s="441"/>
      <c r="CY56" s="441"/>
      <c r="CZ56" s="441"/>
      <c r="DA56" s="441"/>
      <c r="DB56" s="441"/>
      <c r="DC56" s="441"/>
      <c r="DD56" s="441"/>
      <c r="DE56" s="441"/>
      <c r="DF56" s="441"/>
      <c r="DG56" s="441"/>
      <c r="DH56" s="441"/>
      <c r="DI56" s="441"/>
      <c r="DJ56" s="441"/>
      <c r="DK56" s="441"/>
      <c r="DL56" s="441"/>
      <c r="DM56" s="441"/>
      <c r="DN56" s="441"/>
      <c r="DO56" s="441"/>
      <c r="DP56" s="441"/>
      <c r="DQ56" s="441"/>
      <c r="DR56" s="441"/>
      <c r="DS56" s="441"/>
      <c r="DT56" s="441"/>
      <c r="DU56" s="441"/>
    </row>
    <row r="57" spans="1:125" s="299" customFormat="1" ht="29.25" customHeight="1" thickBot="1">
      <c r="A57" s="752" t="s">
        <v>853</v>
      </c>
      <c r="B57" s="346"/>
      <c r="C57" s="431"/>
      <c r="D57" s="431"/>
      <c r="E57" s="431">
        <v>427500</v>
      </c>
      <c r="F57" s="335">
        <v>0</v>
      </c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  <c r="BQ57" s="441"/>
      <c r="BR57" s="441"/>
      <c r="BS57" s="441"/>
      <c r="BT57" s="441"/>
      <c r="BU57" s="441"/>
      <c r="BV57" s="441"/>
      <c r="BW57" s="441"/>
      <c r="BX57" s="441"/>
      <c r="BY57" s="441"/>
      <c r="BZ57" s="441"/>
      <c r="CA57" s="441"/>
      <c r="CB57" s="441"/>
      <c r="CC57" s="441"/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/>
      <c r="CX57" s="441"/>
      <c r="CY57" s="441"/>
      <c r="CZ57" s="441"/>
      <c r="DA57" s="441"/>
      <c r="DB57" s="441"/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</row>
    <row r="58" spans="1:125" s="295" customFormat="1" ht="66.75" customHeight="1" thickBot="1">
      <c r="A58" s="646" t="s">
        <v>463</v>
      </c>
      <c r="B58" s="647"/>
      <c r="C58" s="638" t="s">
        <v>350</v>
      </c>
      <c r="D58" s="638" t="s">
        <v>351</v>
      </c>
      <c r="E58" s="638" t="s">
        <v>288</v>
      </c>
      <c r="F58" s="741" t="s">
        <v>289</v>
      </c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</row>
    <row r="59" spans="1:125" s="434" customFormat="1" ht="32.25" customHeight="1" thickBot="1">
      <c r="A59" s="624" t="s">
        <v>483</v>
      </c>
      <c r="B59" s="430"/>
      <c r="C59" s="431">
        <f>SUM(B60)</f>
        <v>1600000</v>
      </c>
      <c r="D59" s="431">
        <f>SUM(B60:B61)</f>
        <v>4800000</v>
      </c>
      <c r="E59" s="431">
        <v>3962235</v>
      </c>
      <c r="F59" s="335">
        <f>E59/D59</f>
        <v>0.82546562499999998</v>
      </c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  <c r="BM59" s="432"/>
      <c r="BN59" s="432"/>
      <c r="BO59" s="432"/>
      <c r="BP59" s="432"/>
      <c r="BQ59" s="432"/>
      <c r="BR59" s="432"/>
      <c r="BS59" s="432"/>
      <c r="BT59" s="432"/>
      <c r="BU59" s="432"/>
    </row>
    <row r="60" spans="1:125" s="428" customFormat="1" ht="87.75" customHeight="1" thickBot="1">
      <c r="A60" s="429" t="s">
        <v>768</v>
      </c>
      <c r="B60" s="424">
        <v>1600000</v>
      </c>
      <c r="C60" s="425"/>
      <c r="D60" s="425"/>
      <c r="E60" s="425"/>
      <c r="F60" s="347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</row>
    <row r="61" spans="1:125" s="428" customFormat="1" ht="29.25" customHeight="1" thickBot="1">
      <c r="A61" s="429" t="s">
        <v>769</v>
      </c>
      <c r="B61" s="424">
        <v>3200000</v>
      </c>
      <c r="C61" s="425"/>
      <c r="D61" s="425"/>
      <c r="E61" s="425"/>
      <c r="F61" s="347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</row>
    <row r="62" spans="1:125" s="434" customFormat="1" ht="30" customHeight="1" thickBot="1">
      <c r="A62" s="624" t="s">
        <v>770</v>
      </c>
      <c r="B62" s="430"/>
      <c r="C62" s="431">
        <v>3000000</v>
      </c>
      <c r="D62" s="431">
        <v>3000000</v>
      </c>
      <c r="E62" s="431"/>
      <c r="F62" s="335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  <c r="BM62" s="432"/>
      <c r="BN62" s="432"/>
      <c r="BO62" s="432"/>
      <c r="BP62" s="432"/>
      <c r="BQ62" s="432"/>
      <c r="BR62" s="432"/>
      <c r="BS62" s="432"/>
      <c r="BT62" s="432"/>
      <c r="BU62" s="432"/>
    </row>
    <row r="63" spans="1:125" s="434" customFormat="1" ht="63.75" customHeight="1" thickBot="1">
      <c r="A63" s="624" t="s">
        <v>771</v>
      </c>
      <c r="B63" s="430"/>
      <c r="C63" s="431"/>
      <c r="D63" s="431">
        <v>3000000</v>
      </c>
      <c r="E63" s="431">
        <v>3000000</v>
      </c>
      <c r="F63" s="335">
        <f>E63/D63</f>
        <v>1</v>
      </c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</row>
    <row r="64" spans="1:125" s="434" customFormat="1" ht="56.25" customHeight="1" thickBot="1">
      <c r="A64" s="624" t="s">
        <v>772</v>
      </c>
      <c r="B64" s="430"/>
      <c r="C64" s="431"/>
      <c r="D64" s="431">
        <v>9000000</v>
      </c>
      <c r="E64" s="431">
        <v>2159999</v>
      </c>
      <c r="F64" s="335">
        <f>E64/D64</f>
        <v>0.2399998888888889</v>
      </c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  <c r="BM64" s="432"/>
      <c r="BN64" s="432"/>
      <c r="BO64" s="432"/>
      <c r="BP64" s="432"/>
      <c r="BQ64" s="432"/>
      <c r="BR64" s="432"/>
      <c r="BS64" s="432"/>
      <c r="BT64" s="432"/>
      <c r="BU64" s="432"/>
    </row>
    <row r="65" spans="1:73" s="434" customFormat="1" ht="28.5" customHeight="1" thickBot="1">
      <c r="A65" s="624" t="s">
        <v>773</v>
      </c>
      <c r="B65" s="430"/>
      <c r="C65" s="431"/>
      <c r="D65" s="431">
        <v>37500</v>
      </c>
      <c r="E65" s="431">
        <v>37500</v>
      </c>
      <c r="F65" s="335">
        <f>E65/D65</f>
        <v>1</v>
      </c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  <c r="BM65" s="432"/>
      <c r="BN65" s="432"/>
      <c r="BO65" s="432"/>
      <c r="BP65" s="432"/>
      <c r="BQ65" s="432"/>
      <c r="BR65" s="432"/>
      <c r="BS65" s="432"/>
      <c r="BT65" s="432"/>
      <c r="BU65" s="432"/>
    </row>
    <row r="66" spans="1:73" s="434" customFormat="1" ht="42" customHeight="1" thickBot="1">
      <c r="A66" s="624" t="s">
        <v>774</v>
      </c>
      <c r="B66" s="430"/>
      <c r="C66" s="431"/>
      <c r="D66" s="431">
        <f>460419+2103086+25757662-2583543+5164861</f>
        <v>30902485</v>
      </c>
      <c r="E66" s="431">
        <v>30902485</v>
      </c>
      <c r="F66" s="335">
        <f>SUM(D66/E66)</f>
        <v>1</v>
      </c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  <c r="BM66" s="432"/>
      <c r="BN66" s="432"/>
      <c r="BO66" s="432"/>
      <c r="BP66" s="432"/>
      <c r="BQ66" s="432"/>
      <c r="BR66" s="432"/>
      <c r="BS66" s="432"/>
      <c r="BT66" s="432"/>
      <c r="BU66" s="432"/>
    </row>
    <row r="67" spans="1:73" s="428" customFormat="1" ht="25.5" customHeight="1" thickBot="1">
      <c r="A67" s="624" t="s">
        <v>484</v>
      </c>
      <c r="B67" s="424"/>
      <c r="C67" s="431">
        <f>SUM(B68)</f>
        <v>21764000</v>
      </c>
      <c r="D67" s="431">
        <v>21764000</v>
      </c>
      <c r="E67" s="431">
        <v>22348743</v>
      </c>
      <c r="F67" s="335">
        <f>SUM(D67/E67)</f>
        <v>0.97383553070523921</v>
      </c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</row>
    <row r="68" spans="1:73" s="428" customFormat="1" ht="25.5" customHeight="1" thickBot="1">
      <c r="A68" s="429" t="s">
        <v>485</v>
      </c>
      <c r="B68" s="424">
        <v>21764000</v>
      </c>
      <c r="C68" s="431"/>
      <c r="D68" s="431"/>
      <c r="E68" s="431"/>
      <c r="F68" s="335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</row>
    <row r="69" spans="1:73" s="428" customFormat="1" ht="39.75" customHeight="1" thickBot="1">
      <c r="A69" s="624" t="s">
        <v>486</v>
      </c>
      <c r="B69" s="424"/>
      <c r="C69" s="431">
        <v>24147000</v>
      </c>
      <c r="D69" s="431">
        <v>25668134</v>
      </c>
      <c r="E69" s="431">
        <f>1756378+41005+50384+11799+7766430+3111355+3472118+3288372</f>
        <v>19497841</v>
      </c>
      <c r="F69" s="335">
        <f>E69/D69</f>
        <v>0.75961271668598895</v>
      </c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/>
      <c r="BN69" s="426"/>
      <c r="BO69" s="426"/>
      <c r="BP69" s="426"/>
      <c r="BQ69" s="426"/>
      <c r="BR69" s="426"/>
      <c r="BS69" s="426"/>
      <c r="BT69" s="426"/>
      <c r="BU69" s="426"/>
    </row>
    <row r="70" spans="1:73" s="428" customFormat="1" ht="21.75" customHeight="1" thickBot="1">
      <c r="A70" s="429" t="s">
        <v>433</v>
      </c>
      <c r="B70" s="424"/>
      <c r="C70" s="431"/>
      <c r="D70" s="431"/>
      <c r="E70" s="431"/>
      <c r="F70" s="335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</row>
    <row r="71" spans="1:73" s="428" customFormat="1" ht="21.75" customHeight="1" thickBot="1">
      <c r="A71" s="429" t="s">
        <v>487</v>
      </c>
      <c r="B71" s="424">
        <v>14000000</v>
      </c>
      <c r="C71" s="431"/>
      <c r="D71" s="431"/>
      <c r="E71" s="431"/>
      <c r="F71" s="335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</row>
    <row r="72" spans="1:73" s="428" customFormat="1" ht="21.75" customHeight="1" thickBot="1">
      <c r="A72" s="429" t="s">
        <v>488</v>
      </c>
      <c r="B72" s="424">
        <f>3147000+326000</f>
        <v>3473000</v>
      </c>
      <c r="C72" s="431"/>
      <c r="D72" s="431"/>
      <c r="E72" s="431"/>
      <c r="F72" s="335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6"/>
      <c r="AW72" s="426"/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</row>
    <row r="73" spans="1:73" s="428" customFormat="1" ht="21.75" customHeight="1" thickBot="1">
      <c r="A73" s="429" t="s">
        <v>489</v>
      </c>
      <c r="B73" s="424">
        <v>2000000</v>
      </c>
      <c r="C73" s="431"/>
      <c r="D73" s="431"/>
      <c r="E73" s="431"/>
      <c r="F73" s="335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</row>
    <row r="74" spans="1:73" s="428" customFormat="1" ht="21.75" customHeight="1" thickBot="1">
      <c r="A74" s="429" t="s">
        <v>490</v>
      </c>
      <c r="B74" s="424">
        <v>1000000</v>
      </c>
      <c r="C74" s="431"/>
      <c r="D74" s="431"/>
      <c r="E74" s="431"/>
      <c r="F74" s="335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</row>
    <row r="75" spans="1:73" s="428" customFormat="1" ht="21.75" customHeight="1" thickBot="1">
      <c r="A75" s="429" t="s">
        <v>775</v>
      </c>
      <c r="B75" s="424">
        <f>4000000+642734+552400</f>
        <v>5195134</v>
      </c>
      <c r="C75" s="476"/>
      <c r="D75" s="476"/>
      <c r="E75" s="476"/>
      <c r="F75" s="481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</row>
    <row r="76" spans="1:73" s="428" customFormat="1" ht="21.75" customHeight="1" thickBot="1">
      <c r="A76" s="474" t="s">
        <v>492</v>
      </c>
      <c r="B76" s="475"/>
      <c r="C76" s="476">
        <v>67450000</v>
      </c>
      <c r="D76" s="476">
        <v>67450000</v>
      </c>
      <c r="E76" s="476">
        <v>67468670</v>
      </c>
      <c r="F76" s="335">
        <f t="shared" ref="F76:F77" si="2">E76/D76</f>
        <v>1.0002767976278726</v>
      </c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</row>
    <row r="77" spans="1:73" s="428" customFormat="1" ht="40.5" customHeight="1" thickBot="1">
      <c r="A77" s="474" t="s">
        <v>776</v>
      </c>
      <c r="B77" s="475"/>
      <c r="C77" s="476"/>
      <c r="D77" s="476">
        <v>2126894</v>
      </c>
      <c r="E77" s="476">
        <v>2126894</v>
      </c>
      <c r="F77" s="335">
        <f t="shared" si="2"/>
        <v>1</v>
      </c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</row>
    <row r="78" spans="1:73" s="487" customFormat="1" ht="41.25" customHeight="1" thickBot="1">
      <c r="A78" s="438" t="s">
        <v>493</v>
      </c>
      <c r="B78" s="483"/>
      <c r="C78" s="484">
        <f>SUM(C8:C77)</f>
        <v>868384000</v>
      </c>
      <c r="D78" s="484">
        <f>SUM(D8:D77)</f>
        <v>1154382174</v>
      </c>
      <c r="E78" s="484">
        <f>SUM(E8:E77)</f>
        <v>1109665185</v>
      </c>
      <c r="F78" s="485">
        <f>SUM(F8:F77)</f>
        <v>21.599375905969982</v>
      </c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  <c r="AK78" s="486"/>
      <c r="AL78" s="486"/>
      <c r="AM78" s="486"/>
      <c r="AN78" s="486"/>
      <c r="AO78" s="486"/>
      <c r="AP78" s="486"/>
      <c r="AQ78" s="486"/>
      <c r="AR78" s="486"/>
      <c r="AS78" s="486"/>
      <c r="AT78" s="486"/>
      <c r="AU78" s="486"/>
      <c r="AV78" s="486"/>
      <c r="AW78" s="486"/>
      <c r="AX78" s="486"/>
      <c r="AY78" s="486"/>
      <c r="AZ78" s="486"/>
      <c r="BA78" s="486"/>
      <c r="BB78" s="486"/>
      <c r="BC78" s="486"/>
      <c r="BD78" s="486"/>
      <c r="BE78" s="486"/>
      <c r="BF78" s="486"/>
      <c r="BG78" s="486"/>
      <c r="BH78" s="486"/>
      <c r="BI78" s="486"/>
      <c r="BJ78" s="486"/>
      <c r="BK78" s="486"/>
      <c r="BL78" s="486"/>
      <c r="BM78" s="486"/>
      <c r="BN78" s="486"/>
      <c r="BO78" s="486"/>
      <c r="BP78" s="486"/>
      <c r="BQ78" s="486"/>
      <c r="BR78" s="486"/>
      <c r="BS78" s="486"/>
      <c r="BT78" s="486"/>
      <c r="BU78" s="486"/>
    </row>
    <row r="79" spans="1:73" s="487" customFormat="1" ht="26.25" customHeight="1" thickBot="1">
      <c r="A79" s="437"/>
      <c r="B79" s="488"/>
      <c r="C79" s="489"/>
      <c r="D79" s="489"/>
      <c r="E79" s="489"/>
      <c r="F79" s="490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  <c r="AK79" s="486"/>
      <c r="AL79" s="486"/>
      <c r="AM79" s="486"/>
      <c r="AN79" s="486"/>
      <c r="AO79" s="486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6"/>
      <c r="BC79" s="486"/>
      <c r="BD79" s="486"/>
      <c r="BE79" s="486"/>
      <c r="BF79" s="486"/>
      <c r="BG79" s="486"/>
      <c r="BH79" s="486"/>
      <c r="BI79" s="486"/>
      <c r="BJ79" s="486"/>
      <c r="BK79" s="486"/>
      <c r="BL79" s="486"/>
      <c r="BM79" s="486"/>
      <c r="BN79" s="486"/>
      <c r="BO79" s="486"/>
      <c r="BP79" s="486"/>
      <c r="BQ79" s="486"/>
      <c r="BR79" s="486"/>
      <c r="BS79" s="486"/>
      <c r="BT79" s="486"/>
      <c r="BU79" s="486"/>
    </row>
    <row r="80" spans="1:73" s="492" customFormat="1" ht="28.5" customHeight="1" thickBot="1">
      <c r="A80" s="650" t="s">
        <v>494</v>
      </c>
      <c r="B80" s="651"/>
      <c r="C80" s="652"/>
      <c r="D80" s="652"/>
      <c r="E80" s="652"/>
      <c r="F80" s="744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</row>
    <row r="81" spans="1:73" s="655" customFormat="1" ht="28.5" customHeight="1">
      <c r="A81" s="624" t="s">
        <v>495</v>
      </c>
      <c r="B81" s="653"/>
      <c r="C81" s="431">
        <v>39924000</v>
      </c>
      <c r="D81" s="431">
        <v>23733375</v>
      </c>
      <c r="E81" s="431">
        <f>3793771+957975+698500+75060+556000</f>
        <v>6081306</v>
      </c>
      <c r="F81" s="335">
        <f>E81/D81</f>
        <v>0.25623435352114904</v>
      </c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654"/>
      <c r="BN81" s="654"/>
      <c r="BO81" s="654"/>
      <c r="BP81" s="654"/>
      <c r="BQ81" s="654"/>
      <c r="BR81" s="654"/>
      <c r="BS81" s="654"/>
      <c r="BT81" s="654"/>
      <c r="BU81" s="654"/>
    </row>
    <row r="82" spans="1:73" s="655" customFormat="1" ht="42" customHeight="1">
      <c r="A82" s="429" t="s">
        <v>777</v>
      </c>
      <c r="B82" s="424"/>
      <c r="C82" s="425"/>
      <c r="D82" s="425"/>
      <c r="E82" s="425"/>
      <c r="F82" s="34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654"/>
      <c r="BN82" s="654"/>
      <c r="BO82" s="654"/>
      <c r="BP82" s="654"/>
      <c r="BQ82" s="654"/>
      <c r="BR82" s="654"/>
      <c r="BS82" s="654"/>
      <c r="BT82" s="654"/>
      <c r="BU82" s="654"/>
    </row>
    <row r="83" spans="1:73" s="655" customFormat="1" ht="47.25" customHeight="1">
      <c r="A83" s="429" t="s">
        <v>778</v>
      </c>
      <c r="B83" s="424">
        <v>3793771</v>
      </c>
      <c r="C83" s="425"/>
      <c r="D83" s="425"/>
      <c r="E83" s="425"/>
      <c r="F83" s="34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654"/>
      <c r="BN83" s="654"/>
      <c r="BO83" s="654"/>
      <c r="BP83" s="654"/>
      <c r="BQ83" s="654"/>
      <c r="BR83" s="654"/>
      <c r="BS83" s="654"/>
      <c r="BT83" s="654"/>
      <c r="BU83" s="654"/>
    </row>
    <row r="84" spans="1:73" s="655" customFormat="1" ht="48.75" customHeight="1">
      <c r="A84" s="429" t="s">
        <v>779</v>
      </c>
      <c r="B84" s="424"/>
      <c r="C84" s="425"/>
      <c r="D84" s="425"/>
      <c r="E84" s="425"/>
      <c r="F84" s="34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654"/>
      <c r="BN84" s="654"/>
      <c r="BO84" s="654"/>
      <c r="BP84" s="654"/>
      <c r="BQ84" s="654"/>
      <c r="BR84" s="654"/>
      <c r="BS84" s="654"/>
      <c r="BT84" s="654"/>
      <c r="BU84" s="654"/>
    </row>
    <row r="85" spans="1:73" s="655" customFormat="1" ht="45.75" customHeight="1">
      <c r="A85" s="429" t="s">
        <v>780</v>
      </c>
      <c r="B85" s="424"/>
      <c r="C85" s="425"/>
      <c r="D85" s="425"/>
      <c r="E85" s="425"/>
      <c r="F85" s="34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654"/>
      <c r="BN85" s="654"/>
      <c r="BO85" s="654"/>
      <c r="BP85" s="654"/>
      <c r="BQ85" s="654"/>
      <c r="BR85" s="654"/>
      <c r="BS85" s="654"/>
      <c r="BT85" s="654"/>
      <c r="BU85" s="654"/>
    </row>
    <row r="86" spans="1:73" s="655" customFormat="1" ht="42" customHeight="1">
      <c r="A86" s="429" t="s">
        <v>781</v>
      </c>
      <c r="B86" s="424"/>
      <c r="C86" s="425"/>
      <c r="D86" s="425"/>
      <c r="E86" s="425"/>
      <c r="F86" s="34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654"/>
      <c r="BN86" s="654"/>
      <c r="BO86" s="654"/>
      <c r="BP86" s="654"/>
      <c r="BQ86" s="654"/>
      <c r="BR86" s="654"/>
      <c r="BS86" s="654"/>
      <c r="BT86" s="654"/>
      <c r="BU86" s="654"/>
    </row>
    <row r="87" spans="1:73" s="655" customFormat="1" ht="42" customHeight="1">
      <c r="A87" s="429" t="s">
        <v>782</v>
      </c>
      <c r="B87" s="424"/>
      <c r="C87" s="425"/>
      <c r="D87" s="425"/>
      <c r="E87" s="425"/>
      <c r="F87" s="34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654"/>
      <c r="BN87" s="654"/>
      <c r="BO87" s="654"/>
      <c r="BP87" s="654"/>
      <c r="BQ87" s="654"/>
      <c r="BR87" s="654"/>
      <c r="BS87" s="654"/>
      <c r="BT87" s="654"/>
      <c r="BU87" s="654"/>
    </row>
    <row r="88" spans="1:73" s="655" customFormat="1" ht="47.25" customHeight="1">
      <c r="A88" s="429" t="s">
        <v>783</v>
      </c>
      <c r="B88" s="424">
        <v>698500</v>
      </c>
      <c r="C88" s="425"/>
      <c r="D88" s="425"/>
      <c r="E88" s="425"/>
      <c r="F88" s="34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/>
      <c r="BM88" s="654"/>
      <c r="BN88" s="654"/>
      <c r="BO88" s="654"/>
      <c r="BP88" s="654"/>
      <c r="BQ88" s="654"/>
      <c r="BR88" s="654"/>
      <c r="BS88" s="654"/>
      <c r="BT88" s="654"/>
      <c r="BU88" s="654"/>
    </row>
    <row r="89" spans="1:73" s="655" customFormat="1" ht="45.75" customHeight="1">
      <c r="A89" s="429" t="s">
        <v>784</v>
      </c>
      <c r="B89" s="424"/>
      <c r="C89" s="425"/>
      <c r="D89" s="425"/>
      <c r="E89" s="425"/>
      <c r="F89" s="34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/>
      <c r="BM89" s="654"/>
      <c r="BN89" s="654"/>
      <c r="BO89" s="654"/>
      <c r="BP89" s="654"/>
      <c r="BQ89" s="654"/>
      <c r="BR89" s="654"/>
      <c r="BS89" s="654"/>
      <c r="BT89" s="654"/>
      <c r="BU89" s="654"/>
    </row>
    <row r="90" spans="1:73" s="655" customFormat="1" ht="42" customHeight="1">
      <c r="A90" s="429" t="s">
        <v>785</v>
      </c>
      <c r="B90" s="424"/>
      <c r="C90" s="425"/>
      <c r="D90" s="425"/>
      <c r="E90" s="425"/>
      <c r="F90" s="34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87"/>
      <c r="AX90" s="287"/>
      <c r="AY90" s="287"/>
      <c r="AZ90" s="287"/>
      <c r="BA90" s="287"/>
      <c r="BB90" s="287"/>
      <c r="BC90" s="287"/>
      <c r="BD90" s="287"/>
      <c r="BE90" s="287"/>
      <c r="BF90" s="287"/>
      <c r="BG90" s="287"/>
      <c r="BH90" s="287"/>
      <c r="BI90" s="287"/>
      <c r="BJ90" s="287"/>
      <c r="BK90" s="287"/>
      <c r="BL90" s="287"/>
      <c r="BM90" s="654"/>
      <c r="BN90" s="654"/>
      <c r="BO90" s="654"/>
      <c r="BP90" s="654"/>
      <c r="BQ90" s="654"/>
      <c r="BR90" s="654"/>
      <c r="BS90" s="654"/>
      <c r="BT90" s="654"/>
      <c r="BU90" s="654"/>
    </row>
    <row r="91" spans="1:73" s="655" customFormat="1" ht="42" customHeight="1">
      <c r="A91" s="429" t="s">
        <v>786</v>
      </c>
      <c r="B91" s="424">
        <v>957975</v>
      </c>
      <c r="C91" s="425"/>
      <c r="D91" s="425"/>
      <c r="E91" s="425"/>
      <c r="F91" s="34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/>
      <c r="BI91" s="287"/>
      <c r="BJ91" s="287"/>
      <c r="BK91" s="287"/>
      <c r="BL91" s="287"/>
      <c r="BM91" s="654"/>
      <c r="BN91" s="654"/>
      <c r="BO91" s="654"/>
      <c r="BP91" s="654"/>
      <c r="BQ91" s="654"/>
      <c r="BR91" s="654"/>
      <c r="BS91" s="654"/>
      <c r="BT91" s="654"/>
      <c r="BU91" s="654"/>
    </row>
    <row r="92" spans="1:73" s="655" customFormat="1" ht="42" customHeight="1">
      <c r="A92" s="429" t="s">
        <v>787</v>
      </c>
      <c r="B92" s="424">
        <v>556000</v>
      </c>
      <c r="C92" s="425"/>
      <c r="D92" s="425"/>
      <c r="E92" s="425"/>
      <c r="F92" s="34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/>
      <c r="BM92" s="654"/>
      <c r="BN92" s="654"/>
      <c r="BO92" s="654"/>
      <c r="BP92" s="654"/>
      <c r="BQ92" s="654"/>
      <c r="BR92" s="654"/>
      <c r="BS92" s="654"/>
      <c r="BT92" s="654"/>
      <c r="BU92" s="654"/>
    </row>
    <row r="93" spans="1:73" s="655" customFormat="1" ht="47.25" customHeight="1">
      <c r="A93" s="429" t="s">
        <v>848</v>
      </c>
      <c r="B93" s="424">
        <v>75060</v>
      </c>
      <c r="C93" s="425"/>
      <c r="D93" s="425"/>
      <c r="E93" s="425"/>
      <c r="F93" s="34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287"/>
      <c r="BL93" s="287"/>
      <c r="BM93" s="654"/>
      <c r="BN93" s="654"/>
      <c r="BO93" s="654"/>
      <c r="BP93" s="654"/>
      <c r="BQ93" s="654"/>
      <c r="BR93" s="654"/>
      <c r="BS93" s="654"/>
      <c r="BT93" s="654"/>
      <c r="BU93" s="654"/>
    </row>
    <row r="94" spans="1:73" s="656" customFormat="1" ht="52.5" customHeight="1" thickBot="1">
      <c r="A94" s="341" t="s">
        <v>788</v>
      </c>
      <c r="B94" s="342"/>
      <c r="C94" s="343">
        <v>100000</v>
      </c>
      <c r="D94" s="343">
        <v>100000</v>
      </c>
      <c r="E94" s="343">
        <v>100000</v>
      </c>
      <c r="F94" s="745">
        <f>E94/D94</f>
        <v>1</v>
      </c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432"/>
      <c r="AL94" s="432"/>
      <c r="AM94" s="432"/>
      <c r="AN94" s="432"/>
      <c r="AO94" s="432"/>
      <c r="AP94" s="432"/>
      <c r="AQ94" s="432"/>
      <c r="AR94" s="432"/>
      <c r="AS94" s="432"/>
      <c r="AT94" s="432"/>
      <c r="AU94" s="432"/>
      <c r="AV94" s="432"/>
      <c r="AW94" s="432"/>
      <c r="AX94" s="432"/>
      <c r="AY94" s="432"/>
      <c r="AZ94" s="432"/>
      <c r="BA94" s="432"/>
      <c r="BB94" s="432"/>
      <c r="BC94" s="432"/>
      <c r="BD94" s="432"/>
      <c r="BE94" s="432"/>
      <c r="BF94" s="432"/>
      <c r="BG94" s="432"/>
      <c r="BH94" s="432"/>
      <c r="BI94" s="432"/>
      <c r="BJ94" s="432"/>
      <c r="BK94" s="432"/>
      <c r="BL94" s="432"/>
      <c r="BM94" s="432"/>
      <c r="BN94" s="432"/>
      <c r="BO94" s="432"/>
      <c r="BP94" s="432"/>
      <c r="BQ94" s="432"/>
      <c r="BR94" s="432"/>
      <c r="BS94" s="432"/>
      <c r="BT94" s="432"/>
      <c r="BU94" s="432"/>
    </row>
    <row r="95" spans="1:73" s="466" customFormat="1" ht="79.5" customHeight="1" thickBot="1">
      <c r="A95" s="882" t="s">
        <v>789</v>
      </c>
      <c r="B95" s="883"/>
      <c r="C95" s="464">
        <v>32942000</v>
      </c>
      <c r="D95" s="464">
        <f>SUM(B96:B97)</f>
        <v>33132499</v>
      </c>
      <c r="E95" s="464">
        <v>32588962</v>
      </c>
      <c r="F95" s="745">
        <f>E95/D95</f>
        <v>0.9835950496821867</v>
      </c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C95" s="444"/>
      <c r="BD95" s="444"/>
      <c r="BE95" s="444"/>
      <c r="BF95" s="444"/>
      <c r="BG95" s="444"/>
      <c r="BH95" s="444"/>
      <c r="BI95" s="444"/>
      <c r="BJ95" s="444"/>
      <c r="BK95" s="444"/>
      <c r="BL95" s="444"/>
      <c r="BM95" s="444"/>
      <c r="BN95" s="444"/>
      <c r="BO95" s="444"/>
      <c r="BP95" s="444"/>
      <c r="BQ95" s="444"/>
      <c r="BR95" s="444"/>
      <c r="BS95" s="444"/>
      <c r="BT95" s="444"/>
      <c r="BU95" s="444"/>
    </row>
    <row r="96" spans="1:73" s="434" customFormat="1" ht="33.75" customHeight="1" thickBot="1">
      <c r="A96" s="429" t="s">
        <v>496</v>
      </c>
      <c r="B96" s="435">
        <f>28000000-1</f>
        <v>27999999</v>
      </c>
      <c r="C96" s="431"/>
      <c r="D96" s="431"/>
      <c r="E96" s="431"/>
      <c r="F96" s="335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2"/>
      <c r="AC96" s="432"/>
      <c r="AD96" s="432"/>
      <c r="AE96" s="432"/>
      <c r="AF96" s="432"/>
      <c r="AG96" s="432"/>
      <c r="AH96" s="432"/>
      <c r="AI96" s="432"/>
      <c r="AJ96" s="432"/>
      <c r="AK96" s="432"/>
      <c r="AL96" s="432"/>
      <c r="AM96" s="432"/>
      <c r="AN96" s="432"/>
      <c r="AO96" s="432"/>
      <c r="AP96" s="432"/>
      <c r="AQ96" s="432"/>
      <c r="AR96" s="432"/>
      <c r="AS96" s="432"/>
      <c r="AT96" s="432"/>
      <c r="AU96" s="432"/>
      <c r="AV96" s="432"/>
      <c r="AW96" s="432"/>
      <c r="AX96" s="432"/>
      <c r="AY96" s="432"/>
      <c r="AZ96" s="432"/>
      <c r="BA96" s="432"/>
      <c r="BB96" s="432"/>
      <c r="BC96" s="432"/>
      <c r="BD96" s="432"/>
      <c r="BE96" s="432"/>
      <c r="BF96" s="432"/>
      <c r="BG96" s="432"/>
      <c r="BH96" s="432"/>
      <c r="BI96" s="432"/>
      <c r="BJ96" s="432"/>
      <c r="BK96" s="432"/>
      <c r="BL96" s="432"/>
      <c r="BM96" s="432"/>
      <c r="BN96" s="432"/>
      <c r="BO96" s="432"/>
      <c r="BP96" s="432"/>
      <c r="BQ96" s="432"/>
      <c r="BR96" s="432"/>
      <c r="BS96" s="432"/>
      <c r="BT96" s="432"/>
      <c r="BU96" s="432"/>
    </row>
    <row r="97" spans="1:73" s="434" customFormat="1" ht="33.75" customHeight="1" thickBot="1">
      <c r="A97" s="429" t="s">
        <v>497</v>
      </c>
      <c r="B97" s="435">
        <f>4942000-4942000+4942000+190500</f>
        <v>5132500</v>
      </c>
      <c r="C97" s="431"/>
      <c r="D97" s="431"/>
      <c r="E97" s="431"/>
      <c r="F97" s="335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432"/>
      <c r="BH97" s="432"/>
      <c r="BI97" s="432"/>
      <c r="BJ97" s="432"/>
      <c r="BK97" s="432"/>
      <c r="BL97" s="432"/>
      <c r="BM97" s="432"/>
      <c r="BN97" s="432"/>
      <c r="BO97" s="432"/>
      <c r="BP97" s="432"/>
      <c r="BQ97" s="432"/>
      <c r="BR97" s="432"/>
      <c r="BS97" s="432"/>
      <c r="BT97" s="432"/>
      <c r="BU97" s="432"/>
    </row>
    <row r="98" spans="1:73" s="295" customFormat="1" ht="66.75" customHeight="1" thickBot="1">
      <c r="A98" s="636" t="s">
        <v>463</v>
      </c>
      <c r="B98" s="657"/>
      <c r="C98" s="638" t="s">
        <v>350</v>
      </c>
      <c r="D98" s="638" t="s">
        <v>351</v>
      </c>
      <c r="E98" s="638" t="s">
        <v>288</v>
      </c>
      <c r="F98" s="741" t="s">
        <v>289</v>
      </c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  <c r="BH98" s="293"/>
      <c r="BI98" s="293"/>
      <c r="BJ98" s="293"/>
      <c r="BK98" s="293"/>
      <c r="BL98" s="293"/>
      <c r="BM98" s="293"/>
      <c r="BN98" s="293"/>
      <c r="BO98" s="293"/>
      <c r="BP98" s="293"/>
      <c r="BQ98" s="293"/>
      <c r="BR98" s="293"/>
      <c r="BS98" s="293"/>
      <c r="BT98" s="293"/>
      <c r="BU98" s="293"/>
    </row>
    <row r="99" spans="1:73" s="466" customFormat="1" ht="81.75" customHeight="1" thickBot="1">
      <c r="A99" s="882" t="s">
        <v>790</v>
      </c>
      <c r="B99" s="883"/>
      <c r="C99" s="464">
        <v>24406000</v>
      </c>
      <c r="D99" s="464">
        <f>SUM(B100:B101)</f>
        <v>24405663</v>
      </c>
      <c r="E99" s="464">
        <v>23611106</v>
      </c>
      <c r="F99" s="745">
        <f>E99/D99</f>
        <v>0.96744374451126358</v>
      </c>
      <c r="G99" s="444"/>
      <c r="H99" s="444"/>
      <c r="I99" s="444"/>
      <c r="J99" s="444"/>
      <c r="K99" s="444"/>
      <c r="L99" s="444"/>
      <c r="M99" s="444"/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  <c r="AB99" s="444"/>
      <c r="AC99" s="444"/>
      <c r="AD99" s="444"/>
      <c r="AE99" s="444"/>
      <c r="AF99" s="444"/>
      <c r="AG99" s="444"/>
      <c r="AH99" s="444"/>
      <c r="AI99" s="444"/>
      <c r="AJ99" s="444"/>
      <c r="AK99" s="444"/>
      <c r="AL99" s="444"/>
      <c r="AM99" s="444"/>
      <c r="AN99" s="444"/>
      <c r="AO99" s="444"/>
      <c r="AP99" s="444"/>
      <c r="AQ99" s="444"/>
      <c r="AR99" s="444"/>
      <c r="AS99" s="444"/>
      <c r="AT99" s="444"/>
      <c r="AU99" s="444"/>
      <c r="AV99" s="444"/>
      <c r="AW99" s="444"/>
      <c r="AX99" s="444"/>
      <c r="AY99" s="444"/>
      <c r="AZ99" s="444"/>
      <c r="BA99" s="444"/>
      <c r="BB99" s="444"/>
      <c r="BC99" s="444"/>
      <c r="BD99" s="444"/>
      <c r="BE99" s="444"/>
      <c r="BF99" s="444"/>
      <c r="BG99" s="444"/>
      <c r="BH99" s="444"/>
      <c r="BI99" s="444"/>
      <c r="BJ99" s="444"/>
      <c r="BK99" s="444"/>
      <c r="BL99" s="444"/>
      <c r="BM99" s="444"/>
      <c r="BN99" s="444"/>
      <c r="BO99" s="444"/>
      <c r="BP99" s="444"/>
      <c r="BQ99" s="444"/>
      <c r="BR99" s="444"/>
      <c r="BS99" s="444"/>
      <c r="BT99" s="444"/>
      <c r="BU99" s="444"/>
    </row>
    <row r="100" spans="1:73" s="434" customFormat="1" ht="33.75" customHeight="1" thickBot="1">
      <c r="A100" s="429" t="s">
        <v>496</v>
      </c>
      <c r="B100" s="435">
        <f>20606000-337</f>
        <v>20605663</v>
      </c>
      <c r="C100" s="431"/>
      <c r="D100" s="431"/>
      <c r="E100" s="431"/>
      <c r="F100" s="335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</row>
    <row r="101" spans="1:73" s="434" customFormat="1" ht="33.75" customHeight="1" thickBot="1">
      <c r="A101" s="429" t="s">
        <v>497</v>
      </c>
      <c r="B101" s="435">
        <f>3800000-3800000+3800000</f>
        <v>3800000</v>
      </c>
      <c r="C101" s="431"/>
      <c r="D101" s="431"/>
      <c r="E101" s="431"/>
      <c r="F101" s="335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  <c r="AG101" s="432"/>
      <c r="AH101" s="432"/>
      <c r="AI101" s="432"/>
      <c r="AJ101" s="432"/>
      <c r="AK101" s="432"/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W101" s="432"/>
      <c r="AX101" s="432"/>
      <c r="AY101" s="432"/>
      <c r="AZ101" s="432"/>
      <c r="BA101" s="432"/>
      <c r="BB101" s="432"/>
      <c r="BC101" s="432"/>
      <c r="BD101" s="432"/>
      <c r="BE101" s="432"/>
      <c r="BF101" s="432"/>
      <c r="BG101" s="432"/>
      <c r="BH101" s="432"/>
      <c r="BI101" s="432"/>
      <c r="BJ101" s="432"/>
      <c r="BK101" s="432"/>
      <c r="BL101" s="432"/>
      <c r="BM101" s="432"/>
      <c r="BN101" s="432"/>
      <c r="BO101" s="432"/>
      <c r="BP101" s="432"/>
      <c r="BQ101" s="432"/>
      <c r="BR101" s="432"/>
      <c r="BS101" s="432"/>
      <c r="BT101" s="432"/>
      <c r="BU101" s="432"/>
    </row>
    <row r="102" spans="1:73" s="434" customFormat="1" ht="87" customHeight="1" thickBot="1">
      <c r="A102" s="882" t="s">
        <v>791</v>
      </c>
      <c r="B102" s="883"/>
      <c r="C102" s="431">
        <v>2000000</v>
      </c>
      <c r="D102" s="431">
        <f>2000000+6096000</f>
        <v>8096000</v>
      </c>
      <c r="E102" s="431">
        <v>8096000</v>
      </c>
      <c r="F102" s="745">
        <f>E102/D102</f>
        <v>1</v>
      </c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32"/>
      <c r="AW102" s="432"/>
      <c r="AX102" s="432"/>
      <c r="AY102" s="432"/>
      <c r="AZ102" s="432"/>
      <c r="BA102" s="432"/>
      <c r="BB102" s="432"/>
      <c r="BC102" s="432"/>
      <c r="BD102" s="432"/>
      <c r="BE102" s="432"/>
      <c r="BF102" s="432"/>
      <c r="BG102" s="432"/>
      <c r="BH102" s="432"/>
      <c r="BI102" s="432"/>
      <c r="BJ102" s="432"/>
      <c r="BK102" s="432"/>
      <c r="BL102" s="432"/>
      <c r="BM102" s="432"/>
      <c r="BN102" s="432"/>
      <c r="BO102" s="432"/>
      <c r="BP102" s="432"/>
      <c r="BQ102" s="432"/>
      <c r="BR102" s="432"/>
      <c r="BS102" s="432"/>
      <c r="BT102" s="432"/>
      <c r="BU102" s="432"/>
    </row>
    <row r="103" spans="1:73" s="434" customFormat="1" ht="33.75" customHeight="1" thickBot="1">
      <c r="A103" s="624" t="s">
        <v>792</v>
      </c>
      <c r="B103" s="480"/>
      <c r="C103" s="431">
        <v>37700000</v>
      </c>
      <c r="D103" s="431">
        <f>SUM(B104:B105)</f>
        <v>45810236</v>
      </c>
      <c r="E103" s="431">
        <f>18410235+27400000</f>
        <v>45810235</v>
      </c>
      <c r="F103" s="745">
        <f>E103/D103</f>
        <v>0.99999997817081754</v>
      </c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432"/>
      <c r="AH103" s="432"/>
      <c r="AI103" s="432"/>
      <c r="AJ103" s="432"/>
      <c r="AK103" s="432"/>
      <c r="AL103" s="432"/>
      <c r="AM103" s="432"/>
      <c r="AN103" s="432"/>
      <c r="AO103" s="432"/>
      <c r="AP103" s="432"/>
      <c r="AQ103" s="432"/>
      <c r="AR103" s="432"/>
      <c r="AS103" s="432"/>
      <c r="AT103" s="432"/>
      <c r="AU103" s="432"/>
      <c r="AV103" s="432"/>
      <c r="AW103" s="432"/>
      <c r="AX103" s="432"/>
      <c r="AY103" s="432"/>
      <c r="AZ103" s="432"/>
      <c r="BA103" s="432"/>
      <c r="BB103" s="432"/>
      <c r="BC103" s="432"/>
      <c r="BD103" s="432"/>
      <c r="BE103" s="432"/>
      <c r="BF103" s="432"/>
      <c r="BG103" s="432"/>
      <c r="BH103" s="432"/>
      <c r="BI103" s="432"/>
      <c r="BJ103" s="432"/>
      <c r="BK103" s="432"/>
      <c r="BL103" s="432"/>
      <c r="BM103" s="432"/>
      <c r="BN103" s="432"/>
      <c r="BO103" s="432"/>
      <c r="BP103" s="432"/>
      <c r="BQ103" s="432"/>
      <c r="BR103" s="432"/>
      <c r="BS103" s="432"/>
      <c r="BT103" s="432"/>
      <c r="BU103" s="432"/>
    </row>
    <row r="104" spans="1:73" s="434" customFormat="1" ht="33.75" customHeight="1" thickBot="1">
      <c r="A104" s="429" t="s">
        <v>499</v>
      </c>
      <c r="B104" s="435">
        <f>10300000+8110236</f>
        <v>18410236</v>
      </c>
      <c r="C104" s="431"/>
      <c r="D104" s="431"/>
      <c r="E104" s="431"/>
      <c r="F104" s="335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32"/>
      <c r="AE104" s="432"/>
      <c r="AF104" s="432"/>
      <c r="AG104" s="432"/>
      <c r="AH104" s="432"/>
      <c r="AI104" s="432"/>
      <c r="AJ104" s="432"/>
      <c r="AK104" s="432"/>
      <c r="AL104" s="432"/>
      <c r="AM104" s="432"/>
      <c r="AN104" s="432"/>
      <c r="AO104" s="432"/>
      <c r="AP104" s="432"/>
      <c r="AQ104" s="432"/>
      <c r="AR104" s="432"/>
      <c r="AS104" s="432"/>
      <c r="AT104" s="432"/>
      <c r="AU104" s="432"/>
      <c r="AV104" s="432"/>
      <c r="AW104" s="432"/>
      <c r="AX104" s="432"/>
      <c r="AY104" s="432"/>
      <c r="AZ104" s="432"/>
      <c r="BA104" s="432"/>
      <c r="BB104" s="432"/>
      <c r="BC104" s="432"/>
      <c r="BD104" s="432"/>
      <c r="BE104" s="432"/>
      <c r="BF104" s="432"/>
      <c r="BG104" s="432"/>
      <c r="BH104" s="432"/>
      <c r="BI104" s="432"/>
      <c r="BJ104" s="432"/>
      <c r="BK104" s="432"/>
      <c r="BL104" s="432"/>
      <c r="BM104" s="432"/>
      <c r="BN104" s="432"/>
      <c r="BO104" s="432"/>
      <c r="BP104" s="432"/>
      <c r="BQ104" s="432"/>
      <c r="BR104" s="432"/>
      <c r="BS104" s="432"/>
      <c r="BT104" s="432"/>
      <c r="BU104" s="432"/>
    </row>
    <row r="105" spans="1:73" s="434" customFormat="1" ht="33.75" customHeight="1" thickBot="1">
      <c r="A105" s="645" t="s">
        <v>500</v>
      </c>
      <c r="B105" s="658">
        <v>27400000</v>
      </c>
      <c r="C105" s="431"/>
      <c r="D105" s="431"/>
      <c r="E105" s="431"/>
      <c r="F105" s="335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2"/>
      <c r="AB105" s="432"/>
      <c r="AC105" s="432"/>
      <c r="AD105" s="432"/>
      <c r="AE105" s="432"/>
      <c r="AF105" s="432"/>
      <c r="AG105" s="432"/>
      <c r="AH105" s="432"/>
      <c r="AI105" s="432"/>
      <c r="AJ105" s="432"/>
      <c r="AK105" s="432"/>
      <c r="AL105" s="432"/>
      <c r="AM105" s="432"/>
      <c r="AN105" s="432"/>
      <c r="AO105" s="432"/>
      <c r="AP105" s="432"/>
      <c r="AQ105" s="432"/>
      <c r="AR105" s="432"/>
      <c r="AS105" s="432"/>
      <c r="AT105" s="432"/>
      <c r="AU105" s="432"/>
      <c r="AV105" s="432"/>
      <c r="AW105" s="432"/>
      <c r="AX105" s="432"/>
      <c r="AY105" s="432"/>
      <c r="AZ105" s="432"/>
      <c r="BA105" s="432"/>
      <c r="BB105" s="432"/>
      <c r="BC105" s="432"/>
      <c r="BD105" s="432"/>
      <c r="BE105" s="432"/>
      <c r="BF105" s="432"/>
      <c r="BG105" s="432"/>
      <c r="BH105" s="432"/>
      <c r="BI105" s="432"/>
      <c r="BJ105" s="432"/>
      <c r="BK105" s="432"/>
      <c r="BL105" s="432"/>
      <c r="BM105" s="432"/>
      <c r="BN105" s="432"/>
      <c r="BO105" s="432"/>
      <c r="BP105" s="432"/>
      <c r="BQ105" s="432"/>
      <c r="BR105" s="432"/>
      <c r="BS105" s="432"/>
      <c r="BT105" s="432"/>
      <c r="BU105" s="432"/>
    </row>
    <row r="106" spans="1:73" s="434" customFormat="1" ht="63.75" customHeight="1" thickBot="1">
      <c r="A106" s="754" t="s">
        <v>793</v>
      </c>
      <c r="B106" s="480"/>
      <c r="C106" s="431">
        <v>27169000</v>
      </c>
      <c r="D106" s="431">
        <f>27169000+4064110-1562500+3098827</f>
        <v>32769437</v>
      </c>
      <c r="E106" s="431">
        <v>33060700</v>
      </c>
      <c r="F106" s="335">
        <f>E106/D106</f>
        <v>1.0088882515741726</v>
      </c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2"/>
      <c r="AC106" s="432"/>
      <c r="AD106" s="432"/>
      <c r="AE106" s="432"/>
      <c r="AF106" s="432"/>
      <c r="AG106" s="432"/>
      <c r="AH106" s="432"/>
      <c r="AI106" s="432"/>
      <c r="AJ106" s="432"/>
      <c r="AK106" s="432"/>
      <c r="AL106" s="432"/>
      <c r="AM106" s="432"/>
      <c r="AN106" s="432"/>
      <c r="AO106" s="432"/>
      <c r="AP106" s="432"/>
      <c r="AQ106" s="432"/>
      <c r="AR106" s="432"/>
      <c r="AS106" s="432"/>
      <c r="AT106" s="432"/>
      <c r="AU106" s="432"/>
      <c r="AV106" s="432"/>
      <c r="AW106" s="432"/>
      <c r="AX106" s="432"/>
      <c r="AY106" s="432"/>
      <c r="AZ106" s="432"/>
      <c r="BA106" s="432"/>
      <c r="BB106" s="432"/>
      <c r="BC106" s="432"/>
      <c r="BD106" s="432"/>
      <c r="BE106" s="432"/>
      <c r="BF106" s="432"/>
      <c r="BG106" s="432"/>
      <c r="BH106" s="432"/>
      <c r="BI106" s="432"/>
      <c r="BJ106" s="432"/>
      <c r="BK106" s="432"/>
      <c r="BL106" s="432"/>
      <c r="BM106" s="432"/>
      <c r="BN106" s="432"/>
      <c r="BO106" s="432"/>
      <c r="BP106" s="432"/>
      <c r="BQ106" s="432"/>
      <c r="BR106" s="432"/>
      <c r="BS106" s="432"/>
      <c r="BT106" s="432"/>
      <c r="BU106" s="432"/>
    </row>
    <row r="107" spans="1:73" s="434" customFormat="1" ht="69.75" customHeight="1" thickBot="1">
      <c r="A107" s="341" t="s">
        <v>794</v>
      </c>
      <c r="B107" s="659"/>
      <c r="C107" s="431"/>
      <c r="D107" s="431">
        <v>328900000</v>
      </c>
      <c r="E107" s="431">
        <v>46653089</v>
      </c>
      <c r="F107" s="335">
        <f>E107/D107</f>
        <v>0.1418458163575555</v>
      </c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  <c r="AC107" s="432"/>
      <c r="AD107" s="432"/>
      <c r="AE107" s="432"/>
      <c r="AF107" s="432"/>
      <c r="AG107" s="432"/>
      <c r="AH107" s="432"/>
      <c r="AI107" s="432"/>
      <c r="AJ107" s="432"/>
      <c r="AK107" s="432"/>
      <c r="AL107" s="432"/>
      <c r="AM107" s="432"/>
      <c r="AN107" s="432"/>
      <c r="AO107" s="432"/>
      <c r="AP107" s="432"/>
      <c r="AQ107" s="432"/>
      <c r="AR107" s="432"/>
      <c r="AS107" s="432"/>
      <c r="AT107" s="432"/>
      <c r="AU107" s="432"/>
      <c r="AV107" s="432"/>
      <c r="AW107" s="432"/>
      <c r="AX107" s="432"/>
      <c r="AY107" s="432"/>
      <c r="AZ107" s="432"/>
      <c r="BA107" s="432"/>
      <c r="BB107" s="432"/>
      <c r="BC107" s="432"/>
      <c r="BD107" s="432"/>
      <c r="BE107" s="432"/>
      <c r="BF107" s="432"/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</row>
    <row r="108" spans="1:73" s="434" customFormat="1" ht="38.25" customHeight="1" thickBot="1">
      <c r="A108" s="341" t="s">
        <v>795</v>
      </c>
      <c r="B108" s="659"/>
      <c r="C108" s="431"/>
      <c r="D108" s="431">
        <v>8460000</v>
      </c>
      <c r="E108" s="431">
        <v>7219731</v>
      </c>
      <c r="F108" s="335">
        <f t="shared" ref="F108:F109" si="3">E108/D108</f>
        <v>0.8533960992907802</v>
      </c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2"/>
      <c r="AC108" s="432"/>
      <c r="AD108" s="432"/>
      <c r="AE108" s="432"/>
      <c r="AF108" s="432"/>
      <c r="AG108" s="432"/>
      <c r="AH108" s="432"/>
      <c r="AI108" s="432"/>
      <c r="AJ108" s="432"/>
      <c r="AK108" s="432"/>
      <c r="AL108" s="432"/>
      <c r="AM108" s="432"/>
      <c r="AN108" s="432"/>
      <c r="AO108" s="432"/>
      <c r="AP108" s="432"/>
      <c r="AQ108" s="432"/>
      <c r="AR108" s="432"/>
      <c r="AS108" s="432"/>
      <c r="AT108" s="432"/>
      <c r="AU108" s="432"/>
      <c r="AV108" s="432"/>
      <c r="AW108" s="432"/>
      <c r="AX108" s="432"/>
      <c r="AY108" s="432"/>
      <c r="AZ108" s="432"/>
      <c r="BA108" s="432"/>
      <c r="BB108" s="432"/>
      <c r="BC108" s="432"/>
      <c r="BD108" s="432"/>
      <c r="BE108" s="432"/>
      <c r="BF108" s="432"/>
      <c r="BG108" s="432"/>
      <c r="BH108" s="432"/>
      <c r="BI108" s="432"/>
      <c r="BJ108" s="432"/>
      <c r="BK108" s="432"/>
      <c r="BL108" s="432"/>
      <c r="BM108" s="432"/>
      <c r="BN108" s="432"/>
      <c r="BO108" s="432"/>
      <c r="BP108" s="432"/>
      <c r="BQ108" s="432"/>
      <c r="BR108" s="432"/>
      <c r="BS108" s="432"/>
      <c r="BT108" s="432"/>
      <c r="BU108" s="432"/>
    </row>
    <row r="109" spans="1:73" s="434" customFormat="1" ht="38.25" customHeight="1" thickBot="1">
      <c r="A109" s="341" t="s">
        <v>796</v>
      </c>
      <c r="B109" s="659"/>
      <c r="C109" s="431"/>
      <c r="D109" s="431">
        <f>29468180+2476500</f>
        <v>31944680</v>
      </c>
      <c r="E109" s="431">
        <v>3951735</v>
      </c>
      <c r="F109" s="335">
        <f t="shared" si="3"/>
        <v>0.12370557476237044</v>
      </c>
      <c r="G109" s="432"/>
      <c r="H109" s="432"/>
      <c r="I109" s="432"/>
      <c r="J109" s="432"/>
      <c r="K109" s="432"/>
      <c r="L109" s="432"/>
      <c r="M109" s="432"/>
      <c r="N109" s="432"/>
      <c r="O109" s="432"/>
      <c r="P109" s="432"/>
      <c r="Q109" s="432"/>
      <c r="R109" s="432"/>
      <c r="S109" s="432"/>
      <c r="T109" s="432"/>
      <c r="U109" s="432"/>
      <c r="V109" s="432"/>
      <c r="W109" s="432"/>
      <c r="X109" s="432"/>
      <c r="Y109" s="432"/>
      <c r="Z109" s="432"/>
      <c r="AA109" s="432"/>
      <c r="AB109" s="432"/>
      <c r="AC109" s="432"/>
      <c r="AD109" s="432"/>
      <c r="AE109" s="432"/>
      <c r="AF109" s="432"/>
      <c r="AG109" s="432"/>
      <c r="AH109" s="432"/>
      <c r="AI109" s="432"/>
      <c r="AJ109" s="432"/>
      <c r="AK109" s="432"/>
      <c r="AL109" s="432"/>
      <c r="AM109" s="432"/>
      <c r="AN109" s="432"/>
      <c r="AO109" s="432"/>
      <c r="AP109" s="432"/>
      <c r="AQ109" s="432"/>
      <c r="AR109" s="432"/>
      <c r="AS109" s="432"/>
      <c r="AT109" s="432"/>
      <c r="AU109" s="432"/>
      <c r="AV109" s="432"/>
      <c r="AW109" s="432"/>
      <c r="AX109" s="432"/>
      <c r="AY109" s="432"/>
      <c r="AZ109" s="432"/>
      <c r="BA109" s="432"/>
      <c r="BB109" s="432"/>
      <c r="BC109" s="432"/>
      <c r="BD109" s="432"/>
      <c r="BE109" s="432"/>
      <c r="BF109" s="432"/>
      <c r="BG109" s="432"/>
      <c r="BH109" s="432"/>
      <c r="BI109" s="432"/>
      <c r="BJ109" s="432"/>
      <c r="BK109" s="432"/>
      <c r="BL109" s="432"/>
      <c r="BM109" s="432"/>
      <c r="BN109" s="432"/>
      <c r="BO109" s="432"/>
      <c r="BP109" s="432"/>
      <c r="BQ109" s="432"/>
      <c r="BR109" s="432"/>
      <c r="BS109" s="432"/>
      <c r="BT109" s="432"/>
      <c r="BU109" s="432"/>
    </row>
    <row r="110" spans="1:73" s="434" customFormat="1" ht="52.5" customHeight="1" thickBot="1">
      <c r="A110" s="341" t="s">
        <v>797</v>
      </c>
      <c r="B110" s="659"/>
      <c r="C110" s="431"/>
      <c r="D110" s="431">
        <v>56677069</v>
      </c>
      <c r="E110" s="431">
        <v>35331271</v>
      </c>
      <c r="F110" s="335">
        <f>E110/D110</f>
        <v>0.62337858367376053</v>
      </c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2"/>
      <c r="AC110" s="432"/>
      <c r="AD110" s="432"/>
      <c r="AE110" s="432"/>
      <c r="AF110" s="432"/>
      <c r="AG110" s="432"/>
      <c r="AH110" s="432"/>
      <c r="AI110" s="432"/>
      <c r="AJ110" s="432"/>
      <c r="AK110" s="432"/>
      <c r="AL110" s="432"/>
      <c r="AM110" s="432"/>
      <c r="AN110" s="432"/>
      <c r="AO110" s="432"/>
      <c r="AP110" s="432"/>
      <c r="AQ110" s="432"/>
      <c r="AR110" s="432"/>
      <c r="AS110" s="432"/>
      <c r="AT110" s="432"/>
      <c r="AU110" s="432"/>
      <c r="AV110" s="432"/>
      <c r="AW110" s="432"/>
      <c r="AX110" s="432"/>
      <c r="AY110" s="432"/>
      <c r="AZ110" s="432"/>
      <c r="BA110" s="432"/>
      <c r="BB110" s="432"/>
      <c r="BC110" s="432"/>
      <c r="BD110" s="432"/>
      <c r="BE110" s="432"/>
      <c r="BF110" s="432"/>
      <c r="BG110" s="432"/>
      <c r="BH110" s="432"/>
      <c r="BI110" s="432"/>
      <c r="BJ110" s="432"/>
      <c r="BK110" s="432"/>
      <c r="BL110" s="432"/>
      <c r="BM110" s="432"/>
      <c r="BN110" s="432"/>
      <c r="BO110" s="432"/>
      <c r="BP110" s="432"/>
      <c r="BQ110" s="432"/>
      <c r="BR110" s="432"/>
      <c r="BS110" s="432"/>
      <c r="BT110" s="432"/>
      <c r="BU110" s="432"/>
    </row>
    <row r="111" spans="1:73" s="434" customFormat="1" ht="52.5" customHeight="1" thickBot="1">
      <c r="A111" s="341" t="s">
        <v>798</v>
      </c>
      <c r="B111" s="659"/>
      <c r="C111" s="431"/>
      <c r="D111" s="431">
        <f>6890880+3850000</f>
        <v>10740880</v>
      </c>
      <c r="E111" s="431">
        <v>3505200</v>
      </c>
      <c r="F111" s="335">
        <f>E111/D111</f>
        <v>0.32634197570403917</v>
      </c>
      <c r="G111" s="432"/>
      <c r="H111" s="432"/>
      <c r="I111" s="432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432"/>
      <c r="U111" s="432"/>
      <c r="V111" s="432"/>
      <c r="W111" s="432"/>
      <c r="X111" s="432"/>
      <c r="Y111" s="432"/>
      <c r="Z111" s="432"/>
      <c r="AA111" s="432"/>
      <c r="AB111" s="432"/>
      <c r="AC111" s="432"/>
      <c r="AD111" s="432"/>
      <c r="AE111" s="432"/>
      <c r="AF111" s="432"/>
      <c r="AG111" s="432"/>
      <c r="AH111" s="432"/>
      <c r="AI111" s="432"/>
      <c r="AJ111" s="432"/>
      <c r="AK111" s="432"/>
      <c r="AL111" s="432"/>
      <c r="AM111" s="432"/>
      <c r="AN111" s="432"/>
      <c r="AO111" s="432"/>
      <c r="AP111" s="432"/>
      <c r="AQ111" s="432"/>
      <c r="AR111" s="432"/>
      <c r="AS111" s="432"/>
      <c r="AT111" s="432"/>
      <c r="AU111" s="432"/>
      <c r="AV111" s="432"/>
      <c r="AW111" s="432"/>
      <c r="AX111" s="432"/>
      <c r="AY111" s="432"/>
      <c r="AZ111" s="432"/>
      <c r="BA111" s="432"/>
      <c r="BB111" s="432"/>
      <c r="BC111" s="432"/>
      <c r="BD111" s="432"/>
      <c r="BE111" s="432"/>
      <c r="BF111" s="432"/>
      <c r="BG111" s="432"/>
      <c r="BH111" s="432"/>
      <c r="BI111" s="432"/>
      <c r="BJ111" s="432"/>
      <c r="BK111" s="432"/>
      <c r="BL111" s="432"/>
      <c r="BM111" s="432"/>
      <c r="BN111" s="432"/>
      <c r="BO111" s="432"/>
      <c r="BP111" s="432"/>
      <c r="BQ111" s="432"/>
      <c r="BR111" s="432"/>
      <c r="BS111" s="432"/>
      <c r="BT111" s="432"/>
      <c r="BU111" s="432"/>
    </row>
    <row r="112" spans="1:73" s="434" customFormat="1" ht="52.5" customHeight="1" thickBot="1">
      <c r="A112" s="341" t="s">
        <v>799</v>
      </c>
      <c r="B112" s="659"/>
      <c r="C112" s="431"/>
      <c r="D112" s="431">
        <f>4910800+6000000+1821600</f>
        <v>12732400</v>
      </c>
      <c r="E112" s="431">
        <v>4196635</v>
      </c>
      <c r="F112" s="335">
        <f t="shared" ref="F112:F114" si="4">E112/D112</f>
        <v>0.32960282429078569</v>
      </c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2"/>
      <c r="AC112" s="432"/>
      <c r="AD112" s="432"/>
      <c r="AE112" s="432"/>
      <c r="AF112" s="432"/>
      <c r="AG112" s="432"/>
      <c r="AH112" s="432"/>
      <c r="AI112" s="432"/>
      <c r="AJ112" s="432"/>
      <c r="AK112" s="432"/>
      <c r="AL112" s="432"/>
      <c r="AM112" s="432"/>
      <c r="AN112" s="432"/>
      <c r="AO112" s="432"/>
      <c r="AP112" s="432"/>
      <c r="AQ112" s="432"/>
      <c r="AR112" s="432"/>
      <c r="AS112" s="432"/>
      <c r="AT112" s="432"/>
      <c r="AU112" s="432"/>
      <c r="AV112" s="432"/>
      <c r="AW112" s="432"/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</row>
    <row r="113" spans="1:73" s="434" customFormat="1" ht="52.5" customHeight="1" thickBot="1">
      <c r="A113" s="341" t="s">
        <v>800</v>
      </c>
      <c r="B113" s="659"/>
      <c r="C113" s="431"/>
      <c r="D113" s="431">
        <f>4530697+3302000+2457393</f>
        <v>10290090</v>
      </c>
      <c r="E113" s="431">
        <v>3566219</v>
      </c>
      <c r="F113" s="335">
        <f t="shared" si="4"/>
        <v>0.34656830018007617</v>
      </c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2"/>
      <c r="AC113" s="432"/>
      <c r="AD113" s="432"/>
      <c r="AE113" s="432"/>
      <c r="AF113" s="432"/>
      <c r="AG113" s="432"/>
      <c r="AH113" s="432"/>
      <c r="AI113" s="432"/>
      <c r="AJ113" s="432"/>
      <c r="AK113" s="432"/>
      <c r="AL113" s="432"/>
      <c r="AM113" s="432"/>
      <c r="AN113" s="432"/>
      <c r="AO113" s="432"/>
      <c r="AP113" s="432"/>
      <c r="AQ113" s="432"/>
      <c r="AR113" s="432"/>
      <c r="AS113" s="432"/>
      <c r="AT113" s="432"/>
      <c r="AU113" s="432"/>
      <c r="AV113" s="432"/>
      <c r="AW113" s="432"/>
      <c r="AX113" s="432"/>
      <c r="AY113" s="432"/>
      <c r="AZ113" s="432"/>
      <c r="BA113" s="432"/>
      <c r="BB113" s="432"/>
      <c r="BC113" s="432"/>
      <c r="BD113" s="432"/>
      <c r="BE113" s="432"/>
      <c r="BF113" s="432"/>
      <c r="BG113" s="432"/>
      <c r="BH113" s="432"/>
      <c r="BI113" s="432"/>
      <c r="BJ113" s="432"/>
      <c r="BK113" s="432"/>
      <c r="BL113" s="432"/>
      <c r="BM113" s="432"/>
      <c r="BN113" s="432"/>
      <c r="BO113" s="432"/>
      <c r="BP113" s="432"/>
      <c r="BQ113" s="432"/>
      <c r="BR113" s="432"/>
      <c r="BS113" s="432"/>
      <c r="BT113" s="432"/>
      <c r="BU113" s="432"/>
    </row>
    <row r="114" spans="1:73" s="434" customFormat="1" ht="52.5" customHeight="1" thickBot="1">
      <c r="A114" s="341" t="s">
        <v>801</v>
      </c>
      <c r="B114" s="659"/>
      <c r="C114" s="431"/>
      <c r="D114" s="431">
        <f>990000+6190000+6933000</f>
        <v>14113000</v>
      </c>
      <c r="E114" s="431">
        <v>213472</v>
      </c>
      <c r="F114" s="335">
        <f t="shared" si="4"/>
        <v>1.5125912279458656E-2</v>
      </c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2"/>
      <c r="AB114" s="432"/>
      <c r="AC114" s="432"/>
      <c r="AD114" s="432"/>
      <c r="AE114" s="432"/>
      <c r="AF114" s="432"/>
      <c r="AG114" s="432"/>
      <c r="AH114" s="432"/>
      <c r="AI114" s="432"/>
      <c r="AJ114" s="432"/>
      <c r="AK114" s="432"/>
      <c r="AL114" s="432"/>
      <c r="AM114" s="432"/>
      <c r="AN114" s="432"/>
      <c r="AO114" s="432"/>
      <c r="AP114" s="432"/>
      <c r="AQ114" s="432"/>
      <c r="AR114" s="432"/>
      <c r="AS114" s="432"/>
      <c r="AT114" s="432"/>
      <c r="AU114" s="432"/>
      <c r="AV114" s="432"/>
      <c r="AW114" s="432"/>
      <c r="AX114" s="432"/>
      <c r="AY114" s="432"/>
      <c r="AZ114" s="432"/>
      <c r="BA114" s="432"/>
      <c r="BB114" s="432"/>
      <c r="BC114" s="432"/>
      <c r="BD114" s="432"/>
      <c r="BE114" s="432"/>
      <c r="BF114" s="432"/>
      <c r="BG114" s="432"/>
      <c r="BH114" s="432"/>
      <c r="BI114" s="432"/>
      <c r="BJ114" s="432"/>
      <c r="BK114" s="432"/>
      <c r="BL114" s="432"/>
      <c r="BM114" s="432"/>
      <c r="BN114" s="432"/>
      <c r="BO114" s="432"/>
      <c r="BP114" s="432"/>
      <c r="BQ114" s="432"/>
      <c r="BR114" s="432"/>
      <c r="BS114" s="432"/>
      <c r="BT114" s="432"/>
      <c r="BU114" s="432"/>
    </row>
    <row r="115" spans="1:73" s="434" customFormat="1" ht="78.75" customHeight="1" thickBot="1">
      <c r="A115" s="341" t="s">
        <v>802</v>
      </c>
      <c r="B115" s="659"/>
      <c r="C115" s="431"/>
      <c r="D115" s="431">
        <v>1000000</v>
      </c>
      <c r="E115" s="431">
        <v>999522</v>
      </c>
      <c r="F115" s="335">
        <f>E115/D115</f>
        <v>0.99952200000000002</v>
      </c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432"/>
      <c r="U115" s="432"/>
      <c r="V115" s="432"/>
      <c r="W115" s="432"/>
      <c r="X115" s="432"/>
      <c r="Y115" s="432"/>
      <c r="Z115" s="432"/>
      <c r="AA115" s="432"/>
      <c r="AB115" s="432"/>
      <c r="AC115" s="432"/>
      <c r="AD115" s="432"/>
      <c r="AE115" s="432"/>
      <c r="AF115" s="432"/>
      <c r="AG115" s="432"/>
      <c r="AH115" s="432"/>
      <c r="AI115" s="432"/>
      <c r="AJ115" s="432"/>
      <c r="AK115" s="432"/>
      <c r="AL115" s="432"/>
      <c r="AM115" s="432"/>
      <c r="AN115" s="432"/>
      <c r="AO115" s="432"/>
      <c r="AP115" s="432"/>
      <c r="AQ115" s="432"/>
      <c r="AR115" s="432"/>
      <c r="AS115" s="432"/>
      <c r="AT115" s="432"/>
      <c r="AU115" s="432"/>
      <c r="AV115" s="432"/>
      <c r="AW115" s="432"/>
      <c r="AX115" s="432"/>
      <c r="AY115" s="432"/>
      <c r="AZ115" s="432"/>
      <c r="BA115" s="432"/>
      <c r="BB115" s="432"/>
      <c r="BC115" s="432"/>
      <c r="BD115" s="432"/>
      <c r="BE115" s="432"/>
      <c r="BF115" s="432"/>
      <c r="BG115" s="432"/>
      <c r="BH115" s="432"/>
      <c r="BI115" s="432"/>
      <c r="BJ115" s="432"/>
      <c r="BK115" s="432"/>
      <c r="BL115" s="432"/>
      <c r="BM115" s="432"/>
      <c r="BN115" s="432"/>
      <c r="BO115" s="432"/>
      <c r="BP115" s="432"/>
      <c r="BQ115" s="432"/>
      <c r="BR115" s="432"/>
      <c r="BS115" s="432"/>
      <c r="BT115" s="432"/>
      <c r="BU115" s="432"/>
    </row>
    <row r="116" spans="1:73" s="434" customFormat="1" ht="78.75" customHeight="1" thickBot="1">
      <c r="A116" s="341" t="s">
        <v>803</v>
      </c>
      <c r="B116" s="659"/>
      <c r="C116" s="431"/>
      <c r="D116" s="431">
        <v>2897368</v>
      </c>
      <c r="E116" s="431">
        <v>2897368</v>
      </c>
      <c r="F116" s="335">
        <f t="shared" ref="F116:F120" si="5">E116/D116</f>
        <v>1</v>
      </c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  <c r="Q116" s="432"/>
      <c r="R116" s="432"/>
      <c r="S116" s="432"/>
      <c r="T116" s="432"/>
      <c r="U116" s="432"/>
      <c r="V116" s="432"/>
      <c r="W116" s="432"/>
      <c r="X116" s="432"/>
      <c r="Y116" s="432"/>
      <c r="Z116" s="432"/>
      <c r="AA116" s="432"/>
      <c r="AB116" s="432"/>
      <c r="AC116" s="432"/>
      <c r="AD116" s="432"/>
      <c r="AE116" s="432"/>
      <c r="AF116" s="432"/>
      <c r="AG116" s="432"/>
      <c r="AH116" s="432"/>
      <c r="AI116" s="432"/>
      <c r="AJ116" s="432"/>
      <c r="AK116" s="432"/>
      <c r="AL116" s="432"/>
      <c r="AM116" s="432"/>
      <c r="AN116" s="432"/>
      <c r="AO116" s="432"/>
      <c r="AP116" s="432"/>
      <c r="AQ116" s="432"/>
      <c r="AR116" s="432"/>
      <c r="AS116" s="432"/>
      <c r="AT116" s="432"/>
      <c r="AU116" s="432"/>
      <c r="AV116" s="432"/>
      <c r="AW116" s="432"/>
      <c r="AX116" s="432"/>
      <c r="AY116" s="432"/>
      <c r="AZ116" s="432"/>
      <c r="BA116" s="432"/>
      <c r="BB116" s="432"/>
      <c r="BC116" s="432"/>
      <c r="BD116" s="432"/>
      <c r="BE116" s="432"/>
      <c r="BF116" s="432"/>
      <c r="BG116" s="432"/>
      <c r="BH116" s="432"/>
      <c r="BI116" s="432"/>
      <c r="BJ116" s="432"/>
      <c r="BK116" s="432"/>
      <c r="BL116" s="432"/>
      <c r="BM116" s="432"/>
      <c r="BN116" s="432"/>
      <c r="BO116" s="432"/>
      <c r="BP116" s="432"/>
      <c r="BQ116" s="432"/>
      <c r="BR116" s="432"/>
      <c r="BS116" s="432"/>
      <c r="BT116" s="432"/>
      <c r="BU116" s="432"/>
    </row>
    <row r="117" spans="1:73" s="299" customFormat="1" ht="42.75" customHeight="1" thickBot="1">
      <c r="A117" s="624" t="s">
        <v>804</v>
      </c>
      <c r="B117" s="660"/>
      <c r="C117" s="431"/>
      <c r="D117" s="431">
        <v>18534579</v>
      </c>
      <c r="E117" s="431"/>
      <c r="F117" s="335">
        <f t="shared" si="5"/>
        <v>0</v>
      </c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</row>
    <row r="118" spans="1:73" s="434" customFormat="1" ht="78.75" customHeight="1" thickBot="1">
      <c r="A118" s="341" t="s">
        <v>805</v>
      </c>
      <c r="B118" s="659"/>
      <c r="C118" s="431"/>
      <c r="D118" s="431">
        <v>3000000</v>
      </c>
      <c r="E118" s="431">
        <v>3000000</v>
      </c>
      <c r="F118" s="335">
        <f t="shared" si="5"/>
        <v>1</v>
      </c>
      <c r="G118" s="432"/>
      <c r="H118" s="432"/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  <c r="AE118" s="432"/>
      <c r="AF118" s="432"/>
      <c r="AG118" s="432"/>
      <c r="AH118" s="432"/>
      <c r="AI118" s="432"/>
      <c r="AJ118" s="432"/>
      <c r="AK118" s="432"/>
      <c r="AL118" s="432"/>
      <c r="AM118" s="432"/>
      <c r="AN118" s="432"/>
      <c r="AO118" s="432"/>
      <c r="AP118" s="432"/>
      <c r="AQ118" s="432"/>
      <c r="AR118" s="432"/>
      <c r="AS118" s="432"/>
      <c r="AT118" s="432"/>
      <c r="AU118" s="432"/>
      <c r="AV118" s="432"/>
      <c r="AW118" s="432"/>
      <c r="AX118" s="432"/>
      <c r="AY118" s="432"/>
      <c r="AZ118" s="432"/>
      <c r="BA118" s="432"/>
      <c r="BB118" s="432"/>
      <c r="BC118" s="432"/>
      <c r="BD118" s="432"/>
      <c r="BE118" s="432"/>
      <c r="BF118" s="432"/>
      <c r="BG118" s="432"/>
      <c r="BH118" s="432"/>
      <c r="BI118" s="432"/>
      <c r="BJ118" s="432"/>
      <c r="BK118" s="432"/>
      <c r="BL118" s="432"/>
      <c r="BM118" s="432"/>
      <c r="BN118" s="432"/>
      <c r="BO118" s="432"/>
      <c r="BP118" s="432"/>
      <c r="BQ118" s="432"/>
      <c r="BR118" s="432"/>
      <c r="BS118" s="432"/>
      <c r="BT118" s="432"/>
      <c r="BU118" s="432"/>
    </row>
    <row r="119" spans="1:73" s="434" customFormat="1" ht="78.75" customHeight="1" thickBot="1">
      <c r="A119" s="341" t="s">
        <v>806</v>
      </c>
      <c r="B119" s="659"/>
      <c r="C119" s="431"/>
      <c r="D119" s="431">
        <v>3000000</v>
      </c>
      <c r="E119" s="431">
        <v>3000000</v>
      </c>
      <c r="F119" s="335">
        <f t="shared" si="5"/>
        <v>1</v>
      </c>
      <c r="G119" s="432"/>
      <c r="H119" s="432"/>
      <c r="I119" s="432"/>
      <c r="J119" s="432"/>
      <c r="K119" s="432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  <c r="AE119" s="432"/>
      <c r="AF119" s="432"/>
      <c r="AG119" s="432"/>
      <c r="AH119" s="432"/>
      <c r="AI119" s="432"/>
      <c r="AJ119" s="432"/>
      <c r="AK119" s="432"/>
      <c r="AL119" s="432"/>
      <c r="AM119" s="432"/>
      <c r="AN119" s="432"/>
      <c r="AO119" s="432"/>
      <c r="AP119" s="432"/>
      <c r="AQ119" s="432"/>
      <c r="AR119" s="432"/>
      <c r="AS119" s="432"/>
      <c r="AT119" s="432"/>
      <c r="AU119" s="432"/>
      <c r="AV119" s="432"/>
      <c r="AW119" s="432"/>
      <c r="AX119" s="432"/>
      <c r="AY119" s="432"/>
      <c r="AZ119" s="432"/>
      <c r="BA119" s="432"/>
      <c r="BB119" s="432"/>
      <c r="BC119" s="432"/>
      <c r="BD119" s="432"/>
      <c r="BE119" s="432"/>
      <c r="BF119" s="432"/>
      <c r="BG119" s="432"/>
      <c r="BH119" s="432"/>
      <c r="BI119" s="432"/>
      <c r="BJ119" s="432"/>
      <c r="BK119" s="432"/>
      <c r="BL119" s="432"/>
      <c r="BM119" s="432"/>
      <c r="BN119" s="432"/>
      <c r="BO119" s="432"/>
      <c r="BP119" s="432"/>
      <c r="BQ119" s="432"/>
      <c r="BR119" s="432"/>
      <c r="BS119" s="432"/>
      <c r="BT119" s="432"/>
      <c r="BU119" s="432"/>
    </row>
    <row r="120" spans="1:73" s="428" customFormat="1" ht="56.25" customHeight="1" thickBot="1">
      <c r="A120" s="624" t="s">
        <v>501</v>
      </c>
      <c r="B120" s="430"/>
      <c r="C120" s="431">
        <v>19050000</v>
      </c>
      <c r="D120" s="431">
        <v>19050000</v>
      </c>
      <c r="E120" s="431">
        <v>4762500</v>
      </c>
      <c r="F120" s="335">
        <f t="shared" si="5"/>
        <v>0.25</v>
      </c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</row>
    <row r="121" spans="1:73" s="428" customFormat="1" ht="39.75" customHeight="1" thickBot="1">
      <c r="A121" s="624" t="s">
        <v>502</v>
      </c>
      <c r="B121" s="430"/>
      <c r="C121" s="431">
        <v>125000000</v>
      </c>
      <c r="D121" s="431">
        <f>SUM(B122:B125)</f>
        <v>166107200</v>
      </c>
      <c r="E121" s="431">
        <v>160670268</v>
      </c>
      <c r="F121" s="335">
        <f>E121/D121</f>
        <v>0.96726853501834964</v>
      </c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</row>
    <row r="122" spans="1:73" s="428" customFormat="1" ht="39.75" customHeight="1" thickBot="1">
      <c r="A122" s="429" t="s">
        <v>503</v>
      </c>
      <c r="B122" s="424">
        <f>115000000+17684000</f>
        <v>132684000</v>
      </c>
      <c r="C122" s="425"/>
      <c r="D122" s="425"/>
      <c r="E122" s="425"/>
      <c r="F122" s="347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</row>
    <row r="123" spans="1:73" s="428" customFormat="1" ht="39.75" customHeight="1" thickBot="1">
      <c r="A123" s="429" t="s">
        <v>807</v>
      </c>
      <c r="B123" s="424">
        <f>10000000+10000000-17684000-2316000</f>
        <v>0</v>
      </c>
      <c r="C123" s="425"/>
      <c r="D123" s="425"/>
      <c r="E123" s="425"/>
      <c r="F123" s="347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</row>
    <row r="124" spans="1:73" s="428" customFormat="1" ht="39.75" customHeight="1" thickBot="1">
      <c r="A124" s="429" t="s">
        <v>808</v>
      </c>
      <c r="B124" s="424">
        <v>33400000</v>
      </c>
      <c r="C124" s="425"/>
      <c r="D124" s="425"/>
      <c r="E124" s="425"/>
      <c r="F124" s="347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</row>
    <row r="125" spans="1:73" s="428" customFormat="1" ht="39.75" customHeight="1" thickBot="1">
      <c r="A125" s="429" t="s">
        <v>809</v>
      </c>
      <c r="B125" s="424">
        <v>23200</v>
      </c>
      <c r="C125" s="425"/>
      <c r="D125" s="425"/>
      <c r="E125" s="425"/>
      <c r="F125" s="347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26"/>
      <c r="AT125" s="426"/>
      <c r="AU125" s="426"/>
      <c r="AV125" s="426"/>
      <c r="AW125" s="426"/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</row>
    <row r="126" spans="1:73" s="428" customFormat="1" ht="27" customHeight="1" thickBot="1">
      <c r="A126" s="624" t="s">
        <v>480</v>
      </c>
      <c r="B126" s="424"/>
      <c r="C126" s="431">
        <v>2000000</v>
      </c>
      <c r="D126" s="431">
        <v>2000000</v>
      </c>
      <c r="E126" s="431">
        <v>2132023</v>
      </c>
      <c r="F126" s="335">
        <f>E126/D126</f>
        <v>1.0660114999999999</v>
      </c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</row>
    <row r="127" spans="1:73" s="428" customFormat="1" ht="27.75" customHeight="1" thickBot="1">
      <c r="A127" s="624" t="s">
        <v>504</v>
      </c>
      <c r="B127" s="430"/>
      <c r="C127" s="431">
        <v>6050000</v>
      </c>
      <c r="D127" s="431">
        <f>SUM(B128:B130)</f>
        <v>6050000</v>
      </c>
      <c r="E127" s="431">
        <v>3044000</v>
      </c>
      <c r="F127" s="335">
        <f>E127/D127</f>
        <v>0.50314049586776854</v>
      </c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</row>
    <row r="128" spans="1:73" s="428" customFormat="1" ht="30" customHeight="1" thickBot="1">
      <c r="A128" s="429" t="s">
        <v>505</v>
      </c>
      <c r="B128" s="424">
        <v>2000000</v>
      </c>
      <c r="C128" s="431"/>
      <c r="D128" s="431"/>
      <c r="E128" s="431"/>
      <c r="F128" s="335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/>
      <c r="AP128" s="426"/>
      <c r="AQ128" s="426"/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</row>
    <row r="129" spans="1:73" s="428" customFormat="1" ht="19.5" thickBot="1">
      <c r="A129" s="429" t="s">
        <v>810</v>
      </c>
      <c r="B129" s="424">
        <v>50000</v>
      </c>
      <c r="C129" s="431"/>
      <c r="D129" s="431"/>
      <c r="E129" s="431"/>
      <c r="F129" s="335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</row>
    <row r="130" spans="1:73" s="428" customFormat="1" ht="39.75" customHeight="1" thickBot="1">
      <c r="A130" s="429" t="s">
        <v>811</v>
      </c>
      <c r="B130" s="424">
        <v>4000000</v>
      </c>
      <c r="C130" s="431"/>
      <c r="D130" s="431"/>
      <c r="E130" s="431"/>
      <c r="F130" s="335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</row>
    <row r="131" spans="1:73" s="295" customFormat="1" ht="66.75" customHeight="1" thickBot="1">
      <c r="A131" s="636" t="s">
        <v>463</v>
      </c>
      <c r="B131" s="657"/>
      <c r="C131" s="638" t="s">
        <v>350</v>
      </c>
      <c r="D131" s="638" t="s">
        <v>351</v>
      </c>
      <c r="E131" s="638" t="s">
        <v>288</v>
      </c>
      <c r="F131" s="741" t="s">
        <v>289</v>
      </c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3"/>
      <c r="BP131" s="293"/>
      <c r="BQ131" s="293"/>
      <c r="BR131" s="293"/>
      <c r="BS131" s="293"/>
      <c r="BT131" s="293"/>
      <c r="BU131" s="293"/>
    </row>
    <row r="132" spans="1:73" s="434" customFormat="1" ht="29.25" customHeight="1" thickBot="1">
      <c r="A132" s="624" t="s">
        <v>812</v>
      </c>
      <c r="B132" s="430"/>
      <c r="C132" s="431">
        <v>1000000</v>
      </c>
      <c r="D132" s="431">
        <f>1000000+77000-1000000+100000</f>
        <v>177000</v>
      </c>
      <c r="E132" s="431">
        <v>0</v>
      </c>
      <c r="F132" s="335">
        <v>0</v>
      </c>
      <c r="G132" s="432"/>
      <c r="H132" s="432"/>
      <c r="I132" s="432"/>
      <c r="J132" s="432"/>
      <c r="K132" s="432"/>
      <c r="L132" s="432"/>
      <c r="M132" s="432"/>
      <c r="N132" s="432"/>
      <c r="O132" s="432"/>
      <c r="P132" s="432"/>
      <c r="Q132" s="432"/>
      <c r="R132" s="432"/>
      <c r="S132" s="432"/>
      <c r="T132" s="432"/>
      <c r="U132" s="432"/>
      <c r="V132" s="432"/>
      <c r="W132" s="432"/>
      <c r="X132" s="432"/>
      <c r="Y132" s="432"/>
      <c r="Z132" s="432"/>
      <c r="AA132" s="432"/>
      <c r="AB132" s="432"/>
      <c r="AC132" s="432"/>
      <c r="AD132" s="432"/>
      <c r="AE132" s="432"/>
      <c r="AF132" s="432"/>
      <c r="AG132" s="432"/>
      <c r="AH132" s="432"/>
      <c r="AI132" s="432"/>
      <c r="AJ132" s="432"/>
      <c r="AK132" s="432"/>
      <c r="AL132" s="432"/>
      <c r="AM132" s="432"/>
      <c r="AN132" s="432"/>
      <c r="AO132" s="432"/>
      <c r="AP132" s="432"/>
      <c r="AQ132" s="432"/>
      <c r="AR132" s="432"/>
      <c r="AS132" s="432"/>
      <c r="AT132" s="432"/>
      <c r="AU132" s="432"/>
      <c r="AV132" s="432"/>
      <c r="AW132" s="432"/>
      <c r="AX132" s="432"/>
      <c r="AY132" s="432"/>
      <c r="AZ132" s="432"/>
      <c r="BA132" s="432"/>
      <c r="BB132" s="432"/>
      <c r="BC132" s="432"/>
      <c r="BD132" s="432"/>
      <c r="BE132" s="432"/>
      <c r="BF132" s="432"/>
      <c r="BG132" s="432"/>
      <c r="BH132" s="432"/>
      <c r="BI132" s="432"/>
      <c r="BJ132" s="432"/>
      <c r="BK132" s="432"/>
      <c r="BL132" s="432"/>
      <c r="BM132" s="432"/>
      <c r="BN132" s="432"/>
      <c r="BO132" s="432"/>
      <c r="BP132" s="432"/>
      <c r="BQ132" s="432"/>
      <c r="BR132" s="432"/>
      <c r="BS132" s="432"/>
      <c r="BT132" s="432"/>
      <c r="BU132" s="432"/>
    </row>
    <row r="133" spans="1:73" s="428" customFormat="1" ht="24.75" customHeight="1" thickBot="1">
      <c r="A133" s="429" t="s">
        <v>813</v>
      </c>
      <c r="B133" s="424"/>
      <c r="C133" s="431"/>
      <c r="D133" s="431"/>
      <c r="E133" s="431"/>
      <c r="F133" s="335"/>
      <c r="G133" s="426"/>
      <c r="H133" s="426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26"/>
      <c r="AC133" s="426"/>
      <c r="AD133" s="426"/>
      <c r="AE133" s="426"/>
      <c r="AF133" s="426"/>
      <c r="AG133" s="426"/>
      <c r="AH133" s="426"/>
      <c r="AI133" s="426"/>
      <c r="AJ133" s="426"/>
      <c r="AK133" s="426"/>
      <c r="AL133" s="426"/>
      <c r="AM133" s="426"/>
      <c r="AN133" s="426"/>
      <c r="AO133" s="426"/>
      <c r="AP133" s="426"/>
      <c r="AQ133" s="426"/>
      <c r="AR133" s="426"/>
      <c r="AS133" s="426"/>
      <c r="AT133" s="426"/>
      <c r="AU133" s="426"/>
      <c r="AV133" s="426"/>
      <c r="AW133" s="426"/>
      <c r="AX133" s="426"/>
      <c r="AY133" s="426"/>
      <c r="AZ133" s="426"/>
      <c r="BA133" s="426"/>
      <c r="BB133" s="426"/>
      <c r="BC133" s="426"/>
      <c r="BD133" s="426"/>
      <c r="BE133" s="426"/>
      <c r="BF133" s="426"/>
      <c r="BG133" s="426"/>
      <c r="BH133" s="426"/>
      <c r="BI133" s="426"/>
      <c r="BJ133" s="426"/>
      <c r="BK133" s="426"/>
      <c r="BL133" s="426"/>
      <c r="BM133" s="426"/>
      <c r="BN133" s="426"/>
      <c r="BO133" s="426"/>
      <c r="BP133" s="426"/>
      <c r="BQ133" s="426"/>
      <c r="BR133" s="426"/>
      <c r="BS133" s="426"/>
      <c r="BT133" s="426"/>
      <c r="BU133" s="426"/>
    </row>
    <row r="134" spans="1:73" s="428" customFormat="1" ht="24.75" customHeight="1" thickBot="1">
      <c r="A134" s="429" t="s">
        <v>814</v>
      </c>
      <c r="B134" s="424"/>
      <c r="C134" s="431"/>
      <c r="D134" s="431"/>
      <c r="E134" s="431"/>
      <c r="F134" s="335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26"/>
      <c r="AT134" s="426"/>
      <c r="AU134" s="426"/>
      <c r="AV134" s="426"/>
      <c r="AW134" s="426"/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</row>
    <row r="135" spans="1:73" s="428" customFormat="1" ht="24.75" customHeight="1" thickBot="1">
      <c r="A135" s="429" t="s">
        <v>815</v>
      </c>
      <c r="B135" s="424"/>
      <c r="C135" s="431"/>
      <c r="D135" s="431"/>
      <c r="E135" s="431"/>
      <c r="F135" s="335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</row>
    <row r="136" spans="1:73" s="428" customFormat="1" ht="57.75" customHeight="1" thickBot="1">
      <c r="A136" s="624" t="s">
        <v>816</v>
      </c>
      <c r="B136" s="424"/>
      <c r="C136" s="431"/>
      <c r="D136" s="431">
        <v>1999700</v>
      </c>
      <c r="E136" s="431">
        <v>1999700</v>
      </c>
      <c r="F136" s="335">
        <f>E136/D136</f>
        <v>1</v>
      </c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26"/>
      <c r="AC136" s="426"/>
      <c r="AD136" s="426"/>
      <c r="AE136" s="426"/>
      <c r="AF136" s="426"/>
      <c r="AG136" s="426"/>
      <c r="AH136" s="426"/>
      <c r="AI136" s="426"/>
      <c r="AJ136" s="426"/>
      <c r="AK136" s="426"/>
      <c r="AL136" s="426"/>
      <c r="AM136" s="426"/>
      <c r="AN136" s="426"/>
      <c r="AO136" s="426"/>
      <c r="AP136" s="426"/>
      <c r="AQ136" s="426"/>
      <c r="AR136" s="426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6"/>
      <c r="BD136" s="426"/>
      <c r="BE136" s="426"/>
      <c r="BF136" s="426"/>
      <c r="BG136" s="426"/>
      <c r="BH136" s="426"/>
      <c r="BI136" s="426"/>
      <c r="BJ136" s="426"/>
      <c r="BK136" s="426"/>
      <c r="BL136" s="426"/>
      <c r="BM136" s="426"/>
      <c r="BN136" s="426"/>
      <c r="BO136" s="426"/>
      <c r="BP136" s="426"/>
      <c r="BQ136" s="426"/>
      <c r="BR136" s="426"/>
      <c r="BS136" s="426"/>
      <c r="BT136" s="426"/>
      <c r="BU136" s="426"/>
    </row>
    <row r="137" spans="1:73" s="428" customFormat="1" ht="51" customHeight="1" thickBot="1">
      <c r="A137" s="624" t="s">
        <v>507</v>
      </c>
      <c r="B137" s="430"/>
      <c r="C137" s="431">
        <v>3000000</v>
      </c>
      <c r="D137" s="431">
        <v>3000000</v>
      </c>
      <c r="E137" s="431">
        <f>2694768+270241+11396</f>
        <v>2976405</v>
      </c>
      <c r="F137" s="335">
        <f t="shared" ref="F137:F139" si="6">E137/D137</f>
        <v>0.99213499999999999</v>
      </c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6"/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/>
      <c r="AV137" s="426"/>
      <c r="AW137" s="426"/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/>
      <c r="BN137" s="426"/>
      <c r="BO137" s="426"/>
      <c r="BP137" s="426"/>
      <c r="BQ137" s="426"/>
      <c r="BR137" s="426"/>
      <c r="BS137" s="426"/>
      <c r="BT137" s="426"/>
      <c r="BU137" s="426"/>
    </row>
    <row r="138" spans="1:73" s="428" customFormat="1" ht="34.5" customHeight="1" thickBot="1">
      <c r="A138" s="624" t="s">
        <v>508</v>
      </c>
      <c r="B138" s="430"/>
      <c r="C138" s="431">
        <v>5000000</v>
      </c>
      <c r="D138" s="431">
        <f>5000000+63000+300000+2123000</f>
        <v>7486000</v>
      </c>
      <c r="E138" s="431">
        <v>8011053</v>
      </c>
      <c r="F138" s="335">
        <f t="shared" si="6"/>
        <v>1.0701379909163773</v>
      </c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426"/>
      <c r="BS138" s="426"/>
      <c r="BT138" s="426"/>
      <c r="BU138" s="426"/>
    </row>
    <row r="139" spans="1:73" s="428" customFormat="1" ht="38.25" thickBot="1">
      <c r="A139" s="624" t="s">
        <v>509</v>
      </c>
      <c r="B139" s="430"/>
      <c r="C139" s="431">
        <v>300000</v>
      </c>
      <c r="D139" s="431">
        <v>300000</v>
      </c>
      <c r="E139" s="431"/>
      <c r="F139" s="335">
        <f t="shared" si="6"/>
        <v>0</v>
      </c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</row>
    <row r="140" spans="1:73" s="434" customFormat="1" ht="38.25" thickBot="1">
      <c r="A140" s="341" t="s">
        <v>817</v>
      </c>
      <c r="B140" s="342"/>
      <c r="C140" s="343">
        <v>1047000</v>
      </c>
      <c r="D140" s="343">
        <v>1047000</v>
      </c>
      <c r="E140" s="343">
        <f>1389492+374066</f>
        <v>1763558</v>
      </c>
      <c r="F140" s="344">
        <f>SUM(E140/D140)</f>
        <v>1.6843915950334289</v>
      </c>
      <c r="G140" s="432"/>
      <c r="H140" s="432"/>
      <c r="I140" s="432"/>
      <c r="J140" s="432"/>
      <c r="K140" s="432"/>
      <c r="L140" s="432"/>
      <c r="M140" s="432"/>
      <c r="N140" s="432"/>
      <c r="O140" s="432"/>
      <c r="P140" s="432"/>
      <c r="Q140" s="432"/>
      <c r="R140" s="432"/>
      <c r="S140" s="432"/>
      <c r="T140" s="432"/>
      <c r="U140" s="432"/>
      <c r="V140" s="432"/>
      <c r="W140" s="432"/>
      <c r="X140" s="432"/>
      <c r="Y140" s="432"/>
      <c r="Z140" s="432"/>
      <c r="AA140" s="432"/>
      <c r="AB140" s="432"/>
      <c r="AC140" s="432"/>
      <c r="AD140" s="432"/>
      <c r="AE140" s="432"/>
      <c r="AF140" s="432"/>
      <c r="AG140" s="432"/>
      <c r="AH140" s="432"/>
      <c r="AI140" s="432"/>
      <c r="AJ140" s="432"/>
      <c r="AK140" s="432"/>
      <c r="AL140" s="432"/>
      <c r="AM140" s="432"/>
      <c r="AN140" s="432"/>
      <c r="AO140" s="432"/>
      <c r="AP140" s="432"/>
      <c r="AQ140" s="432"/>
      <c r="AR140" s="432"/>
      <c r="AS140" s="432"/>
      <c r="AT140" s="432"/>
      <c r="AU140" s="432"/>
      <c r="AV140" s="432"/>
      <c r="AW140" s="432"/>
      <c r="AX140" s="432"/>
      <c r="AY140" s="432"/>
      <c r="AZ140" s="432"/>
      <c r="BA140" s="432"/>
      <c r="BB140" s="432"/>
      <c r="BC140" s="432"/>
      <c r="BD140" s="432"/>
      <c r="BE140" s="432"/>
      <c r="BF140" s="432"/>
      <c r="BG140" s="432"/>
      <c r="BH140" s="432"/>
      <c r="BI140" s="432"/>
      <c r="BJ140" s="432"/>
      <c r="BK140" s="432"/>
      <c r="BL140" s="432"/>
      <c r="BM140" s="432"/>
      <c r="BN140" s="432"/>
      <c r="BO140" s="432"/>
      <c r="BP140" s="432"/>
      <c r="BQ140" s="432"/>
      <c r="BR140" s="432"/>
      <c r="BS140" s="432"/>
      <c r="BT140" s="432"/>
      <c r="BU140" s="432"/>
    </row>
    <row r="141" spans="1:73" s="434" customFormat="1" ht="30.75" customHeight="1" thickBot="1">
      <c r="A141" s="341" t="s">
        <v>818</v>
      </c>
      <c r="B141" s="342"/>
      <c r="C141" s="343">
        <v>500000</v>
      </c>
      <c r="D141" s="343">
        <f>500000+906165</f>
        <v>1406165</v>
      </c>
      <c r="E141" s="343">
        <v>689278</v>
      </c>
      <c r="F141" s="344">
        <f>SUM(E141/D141)</f>
        <v>0.49018287327589577</v>
      </c>
      <c r="G141" s="432"/>
      <c r="H141" s="432"/>
      <c r="I141" s="432"/>
      <c r="J141" s="432"/>
      <c r="K141" s="432"/>
      <c r="L141" s="432"/>
      <c r="M141" s="432"/>
      <c r="N141" s="432"/>
      <c r="O141" s="432"/>
      <c r="P141" s="432"/>
      <c r="Q141" s="432"/>
      <c r="R141" s="432"/>
      <c r="S141" s="432"/>
      <c r="T141" s="432"/>
      <c r="U141" s="432"/>
      <c r="V141" s="432"/>
      <c r="W141" s="432"/>
      <c r="X141" s="432"/>
      <c r="Y141" s="432"/>
      <c r="Z141" s="432"/>
      <c r="AA141" s="432"/>
      <c r="AB141" s="432"/>
      <c r="AC141" s="432"/>
      <c r="AD141" s="432"/>
      <c r="AE141" s="432"/>
      <c r="AF141" s="432"/>
      <c r="AG141" s="432"/>
      <c r="AH141" s="432"/>
      <c r="AI141" s="432"/>
      <c r="AJ141" s="432"/>
      <c r="AK141" s="432"/>
      <c r="AL141" s="432"/>
      <c r="AM141" s="432"/>
      <c r="AN141" s="432"/>
      <c r="AO141" s="432"/>
      <c r="AP141" s="432"/>
      <c r="AQ141" s="432"/>
      <c r="AR141" s="432"/>
      <c r="AS141" s="432"/>
      <c r="AT141" s="432"/>
      <c r="AU141" s="432"/>
      <c r="AV141" s="432"/>
      <c r="AW141" s="432"/>
      <c r="AX141" s="432"/>
      <c r="AY141" s="432"/>
      <c r="AZ141" s="432"/>
      <c r="BA141" s="432"/>
      <c r="BB141" s="432"/>
      <c r="BC141" s="432"/>
      <c r="BD141" s="432"/>
      <c r="BE141" s="432"/>
      <c r="BF141" s="432"/>
      <c r="BG141" s="432"/>
      <c r="BH141" s="432"/>
      <c r="BI141" s="432"/>
      <c r="BJ141" s="432"/>
      <c r="BK141" s="432"/>
      <c r="BL141" s="432"/>
      <c r="BM141" s="432"/>
      <c r="BN141" s="432"/>
      <c r="BO141" s="432"/>
      <c r="BP141" s="432"/>
      <c r="BQ141" s="432"/>
      <c r="BR141" s="432"/>
      <c r="BS141" s="432"/>
      <c r="BT141" s="432"/>
      <c r="BU141" s="432"/>
    </row>
    <row r="142" spans="1:73" s="428" customFormat="1" ht="32.25" customHeight="1" thickBot="1">
      <c r="A142" s="624" t="s">
        <v>819</v>
      </c>
      <c r="B142" s="430"/>
      <c r="C142" s="431">
        <v>5000000</v>
      </c>
      <c r="D142" s="431">
        <f>5000000+12655000+80000</f>
        <v>17735000</v>
      </c>
      <c r="E142" s="431">
        <v>17735000</v>
      </c>
      <c r="F142" s="344">
        <f t="shared" ref="F142:F144" si="7">SUM(E142/D142)</f>
        <v>1</v>
      </c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</row>
    <row r="143" spans="1:73" s="428" customFormat="1" ht="38.25" thickBot="1">
      <c r="A143" s="624" t="s">
        <v>820</v>
      </c>
      <c r="B143" s="430"/>
      <c r="C143" s="431">
        <v>3750000</v>
      </c>
      <c r="D143" s="431">
        <v>3750000</v>
      </c>
      <c r="E143" s="431">
        <v>3750000</v>
      </c>
      <c r="F143" s="344">
        <f t="shared" si="7"/>
        <v>1</v>
      </c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</row>
    <row r="144" spans="1:73" s="428" customFormat="1" ht="26.25" customHeight="1" thickBot="1">
      <c r="A144" s="624" t="s">
        <v>510</v>
      </c>
      <c r="B144" s="430"/>
      <c r="C144" s="431">
        <v>1369000</v>
      </c>
      <c r="D144" s="431">
        <f>SUM(B145:B151)</f>
        <v>1369000</v>
      </c>
      <c r="E144" s="431">
        <v>806260</v>
      </c>
      <c r="F144" s="344">
        <f t="shared" si="7"/>
        <v>0.5889408327246165</v>
      </c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</row>
    <row r="145" spans="1:73" s="428" customFormat="1" ht="38.25" thickBot="1">
      <c r="A145" s="429" t="s">
        <v>821</v>
      </c>
      <c r="B145" s="424">
        <v>723000</v>
      </c>
      <c r="C145" s="431"/>
      <c r="D145" s="431"/>
      <c r="E145" s="431"/>
      <c r="F145" s="335"/>
      <c r="G145" s="426"/>
      <c r="H145" s="426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26"/>
      <c r="AC145" s="426"/>
      <c r="AD145" s="426"/>
      <c r="AE145" s="426"/>
      <c r="AF145" s="426"/>
      <c r="AG145" s="426"/>
      <c r="AH145" s="426"/>
      <c r="AI145" s="426"/>
      <c r="AJ145" s="426"/>
      <c r="AK145" s="426"/>
      <c r="AL145" s="426"/>
      <c r="AM145" s="426"/>
      <c r="AN145" s="426"/>
      <c r="AO145" s="426"/>
      <c r="AP145" s="426"/>
      <c r="AQ145" s="426"/>
      <c r="AR145" s="426"/>
      <c r="AS145" s="426"/>
      <c r="AT145" s="426"/>
      <c r="AU145" s="426"/>
      <c r="AV145" s="426"/>
      <c r="AW145" s="426"/>
      <c r="AX145" s="426"/>
      <c r="AY145" s="426"/>
      <c r="AZ145" s="426"/>
      <c r="BA145" s="426"/>
      <c r="BB145" s="426"/>
      <c r="BC145" s="426"/>
      <c r="BD145" s="426"/>
      <c r="BE145" s="426"/>
      <c r="BF145" s="426"/>
      <c r="BG145" s="426"/>
      <c r="BH145" s="426"/>
      <c r="BI145" s="426"/>
      <c r="BJ145" s="426"/>
      <c r="BK145" s="426"/>
      <c r="BL145" s="426"/>
      <c r="BM145" s="426"/>
      <c r="BN145" s="426"/>
      <c r="BO145" s="426"/>
      <c r="BP145" s="426"/>
      <c r="BQ145" s="426"/>
      <c r="BR145" s="426"/>
      <c r="BS145" s="426"/>
      <c r="BT145" s="426"/>
      <c r="BU145" s="426"/>
    </row>
    <row r="146" spans="1:73" s="428" customFormat="1" ht="24" customHeight="1" thickBot="1">
      <c r="A146" s="429" t="s">
        <v>511</v>
      </c>
      <c r="B146" s="424">
        <v>25000</v>
      </c>
      <c r="C146" s="431"/>
      <c r="D146" s="431"/>
      <c r="E146" s="431"/>
      <c r="F146" s="335"/>
      <c r="G146" s="426"/>
      <c r="H146" s="426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  <c r="U146" s="426"/>
      <c r="V146" s="426"/>
      <c r="W146" s="426"/>
      <c r="X146" s="426"/>
      <c r="Y146" s="426"/>
      <c r="Z146" s="426"/>
      <c r="AA146" s="426"/>
      <c r="AB146" s="426"/>
      <c r="AC146" s="426"/>
      <c r="AD146" s="426"/>
      <c r="AE146" s="426"/>
      <c r="AF146" s="426"/>
      <c r="AG146" s="426"/>
      <c r="AH146" s="426"/>
      <c r="AI146" s="426"/>
      <c r="AJ146" s="426"/>
      <c r="AK146" s="426"/>
      <c r="AL146" s="426"/>
      <c r="AM146" s="426"/>
      <c r="AN146" s="426"/>
      <c r="AO146" s="426"/>
      <c r="AP146" s="426"/>
      <c r="AQ146" s="426"/>
      <c r="AR146" s="426"/>
      <c r="AS146" s="426"/>
      <c r="AT146" s="426"/>
      <c r="AU146" s="426"/>
      <c r="AV146" s="426"/>
      <c r="AW146" s="426"/>
      <c r="AX146" s="426"/>
      <c r="AY146" s="426"/>
      <c r="AZ146" s="426"/>
      <c r="BA146" s="426"/>
      <c r="BB146" s="426"/>
      <c r="BC146" s="426"/>
      <c r="BD146" s="426"/>
      <c r="BE146" s="426"/>
      <c r="BF146" s="426"/>
      <c r="BG146" s="426"/>
      <c r="BH146" s="426"/>
      <c r="BI146" s="426"/>
      <c r="BJ146" s="426"/>
      <c r="BK146" s="426"/>
      <c r="BL146" s="426"/>
      <c r="BM146" s="426"/>
      <c r="BN146" s="426"/>
      <c r="BO146" s="426"/>
      <c r="BP146" s="426"/>
      <c r="BQ146" s="426"/>
      <c r="BR146" s="426"/>
      <c r="BS146" s="426"/>
      <c r="BT146" s="426"/>
      <c r="BU146" s="426"/>
    </row>
    <row r="147" spans="1:73" s="428" customFormat="1" ht="24" customHeight="1" thickBot="1">
      <c r="A147" s="429" t="s">
        <v>822</v>
      </c>
      <c r="B147" s="424">
        <v>50000</v>
      </c>
      <c r="C147" s="431"/>
      <c r="D147" s="431"/>
      <c r="E147" s="431"/>
      <c r="F147" s="335"/>
      <c r="G147" s="426"/>
      <c r="H147" s="426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  <c r="U147" s="426"/>
      <c r="V147" s="426"/>
      <c r="W147" s="426"/>
      <c r="X147" s="426"/>
      <c r="Y147" s="426"/>
      <c r="Z147" s="426"/>
      <c r="AA147" s="426"/>
      <c r="AB147" s="426"/>
      <c r="AC147" s="426"/>
      <c r="AD147" s="426"/>
      <c r="AE147" s="426"/>
      <c r="AF147" s="426"/>
      <c r="AG147" s="426"/>
      <c r="AH147" s="426"/>
      <c r="AI147" s="426"/>
      <c r="AJ147" s="426"/>
      <c r="AK147" s="426"/>
      <c r="AL147" s="426"/>
      <c r="AM147" s="426"/>
      <c r="AN147" s="426"/>
      <c r="AO147" s="426"/>
      <c r="AP147" s="426"/>
      <c r="AQ147" s="426"/>
      <c r="AR147" s="426"/>
      <c r="AS147" s="426"/>
      <c r="AT147" s="426"/>
      <c r="AU147" s="426"/>
      <c r="AV147" s="426"/>
      <c r="AW147" s="426"/>
      <c r="AX147" s="426"/>
      <c r="AY147" s="426"/>
      <c r="AZ147" s="426"/>
      <c r="BA147" s="426"/>
      <c r="BB147" s="426"/>
      <c r="BC147" s="426"/>
      <c r="BD147" s="426"/>
      <c r="BE147" s="426"/>
      <c r="BF147" s="426"/>
      <c r="BG147" s="426"/>
      <c r="BH147" s="426"/>
      <c r="BI147" s="426"/>
      <c r="BJ147" s="426"/>
      <c r="BK147" s="426"/>
      <c r="BL147" s="426"/>
      <c r="BM147" s="426"/>
      <c r="BN147" s="426"/>
      <c r="BO147" s="426"/>
      <c r="BP147" s="426"/>
      <c r="BQ147" s="426"/>
      <c r="BR147" s="426"/>
      <c r="BS147" s="426"/>
      <c r="BT147" s="426"/>
      <c r="BU147" s="426"/>
    </row>
    <row r="148" spans="1:73" s="428" customFormat="1" ht="62.25" customHeight="1" thickBot="1">
      <c r="A148" s="429" t="s">
        <v>823</v>
      </c>
      <c r="B148" s="424">
        <v>543000</v>
      </c>
      <c r="C148" s="431"/>
      <c r="D148" s="431"/>
      <c r="E148" s="431"/>
      <c r="F148" s="335"/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26"/>
      <c r="AC148" s="426"/>
      <c r="AD148" s="426"/>
      <c r="AE148" s="426"/>
      <c r="AF148" s="426"/>
      <c r="AG148" s="426"/>
      <c r="AH148" s="426"/>
      <c r="AI148" s="426"/>
      <c r="AJ148" s="426"/>
      <c r="AK148" s="426"/>
      <c r="AL148" s="426"/>
      <c r="AM148" s="426"/>
      <c r="AN148" s="426"/>
      <c r="AO148" s="426"/>
      <c r="AP148" s="426"/>
      <c r="AQ148" s="426"/>
      <c r="AR148" s="426"/>
      <c r="AS148" s="426"/>
      <c r="AT148" s="426"/>
      <c r="AU148" s="426"/>
      <c r="AV148" s="426"/>
      <c r="AW148" s="426"/>
      <c r="AX148" s="426"/>
      <c r="AY148" s="426"/>
      <c r="AZ148" s="426"/>
      <c r="BA148" s="426"/>
      <c r="BB148" s="426"/>
      <c r="BC148" s="426"/>
      <c r="BD148" s="426"/>
      <c r="BE148" s="426"/>
      <c r="BF148" s="426"/>
      <c r="BG148" s="426"/>
      <c r="BH148" s="426"/>
      <c r="BI148" s="426"/>
      <c r="BJ148" s="426"/>
      <c r="BK148" s="426"/>
      <c r="BL148" s="426"/>
      <c r="BM148" s="426"/>
      <c r="BN148" s="426"/>
      <c r="BO148" s="426"/>
      <c r="BP148" s="426"/>
      <c r="BQ148" s="426"/>
      <c r="BR148" s="426"/>
      <c r="BS148" s="426"/>
      <c r="BT148" s="426"/>
      <c r="BU148" s="426"/>
    </row>
    <row r="149" spans="1:73" s="428" customFormat="1" ht="30.75" customHeight="1" thickBot="1">
      <c r="A149" s="429" t="s">
        <v>824</v>
      </c>
      <c r="B149" s="424">
        <v>22000</v>
      </c>
      <c r="C149" s="431"/>
      <c r="D149" s="431"/>
      <c r="E149" s="431"/>
      <c r="F149" s="335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26"/>
      <c r="V149" s="426"/>
      <c r="W149" s="426"/>
      <c r="X149" s="426"/>
      <c r="Y149" s="426"/>
      <c r="Z149" s="426"/>
      <c r="AA149" s="426"/>
      <c r="AB149" s="426"/>
      <c r="AC149" s="426"/>
      <c r="AD149" s="426"/>
      <c r="AE149" s="426"/>
      <c r="AF149" s="426"/>
      <c r="AG149" s="426"/>
      <c r="AH149" s="426"/>
      <c r="AI149" s="426"/>
      <c r="AJ149" s="426"/>
      <c r="AK149" s="426"/>
      <c r="AL149" s="426"/>
      <c r="AM149" s="426"/>
      <c r="AN149" s="426"/>
      <c r="AO149" s="426"/>
      <c r="AP149" s="426"/>
      <c r="AQ149" s="426"/>
      <c r="AR149" s="426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426"/>
      <c r="BG149" s="426"/>
      <c r="BH149" s="426"/>
      <c r="BI149" s="426"/>
      <c r="BJ149" s="426"/>
      <c r="BK149" s="426"/>
      <c r="BL149" s="426"/>
      <c r="BM149" s="426"/>
      <c r="BN149" s="426"/>
      <c r="BO149" s="426"/>
      <c r="BP149" s="426"/>
      <c r="BQ149" s="426"/>
      <c r="BR149" s="426"/>
      <c r="BS149" s="426"/>
      <c r="BT149" s="426"/>
      <c r="BU149" s="426"/>
    </row>
    <row r="150" spans="1:73" s="428" customFormat="1" ht="37.5" customHeight="1" thickBot="1">
      <c r="A150" s="429" t="s">
        <v>512</v>
      </c>
      <c r="B150" s="424">
        <v>1000</v>
      </c>
      <c r="C150" s="431"/>
      <c r="D150" s="431"/>
      <c r="E150" s="431"/>
      <c r="F150" s="335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  <c r="U150" s="426"/>
      <c r="V150" s="426"/>
      <c r="W150" s="426"/>
      <c r="X150" s="426"/>
      <c r="Y150" s="426"/>
      <c r="Z150" s="426"/>
      <c r="AA150" s="426"/>
      <c r="AB150" s="426"/>
      <c r="AC150" s="426"/>
      <c r="AD150" s="426"/>
      <c r="AE150" s="426"/>
      <c r="AF150" s="426"/>
      <c r="AG150" s="426"/>
      <c r="AH150" s="426"/>
      <c r="AI150" s="426"/>
      <c r="AJ150" s="426"/>
      <c r="AK150" s="426"/>
      <c r="AL150" s="426"/>
      <c r="AM150" s="426"/>
      <c r="AN150" s="426"/>
      <c r="AO150" s="426"/>
      <c r="AP150" s="426"/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6"/>
      <c r="BG150" s="426"/>
      <c r="BH150" s="426"/>
      <c r="BI150" s="426"/>
      <c r="BJ150" s="426"/>
      <c r="BK150" s="426"/>
      <c r="BL150" s="426"/>
      <c r="BM150" s="426"/>
      <c r="BN150" s="426"/>
      <c r="BO150" s="426"/>
      <c r="BP150" s="426"/>
      <c r="BQ150" s="426"/>
      <c r="BR150" s="426"/>
      <c r="BS150" s="426"/>
      <c r="BT150" s="426"/>
      <c r="BU150" s="426"/>
    </row>
    <row r="151" spans="1:73" s="428" customFormat="1" ht="24" customHeight="1" thickBot="1">
      <c r="A151" s="429" t="s">
        <v>513</v>
      </c>
      <c r="B151" s="424">
        <v>5000</v>
      </c>
      <c r="C151" s="431"/>
      <c r="D151" s="431"/>
      <c r="E151" s="431"/>
      <c r="F151" s="335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6"/>
      <c r="V151" s="426"/>
      <c r="W151" s="426"/>
      <c r="X151" s="426"/>
      <c r="Y151" s="426"/>
      <c r="Z151" s="426"/>
      <c r="AA151" s="426"/>
      <c r="AB151" s="426"/>
      <c r="AC151" s="426"/>
      <c r="AD151" s="426"/>
      <c r="AE151" s="426"/>
      <c r="AF151" s="426"/>
      <c r="AG151" s="426"/>
      <c r="AH151" s="426"/>
      <c r="AI151" s="426"/>
      <c r="AJ151" s="426"/>
      <c r="AK151" s="426"/>
      <c r="AL151" s="426"/>
      <c r="AM151" s="426"/>
      <c r="AN151" s="426"/>
      <c r="AO151" s="426"/>
      <c r="AP151" s="426"/>
      <c r="AQ151" s="426"/>
      <c r="AR151" s="426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  <c r="BJ151" s="426"/>
      <c r="BK151" s="426"/>
      <c r="BL151" s="426"/>
      <c r="BM151" s="426"/>
      <c r="BN151" s="426"/>
      <c r="BO151" s="426"/>
      <c r="BP151" s="426"/>
      <c r="BQ151" s="426"/>
      <c r="BR151" s="426"/>
      <c r="BS151" s="426"/>
      <c r="BT151" s="426"/>
      <c r="BU151" s="426"/>
    </row>
    <row r="152" spans="1:73" s="434" customFormat="1" ht="44.25" customHeight="1" thickBot="1">
      <c r="A152" s="624" t="s">
        <v>825</v>
      </c>
      <c r="B152" s="430"/>
      <c r="C152" s="431"/>
      <c r="D152" s="431">
        <v>50000</v>
      </c>
      <c r="E152" s="431">
        <v>50000</v>
      </c>
      <c r="F152" s="335">
        <f>SUM(E152/D152)</f>
        <v>1</v>
      </c>
      <c r="G152" s="432"/>
      <c r="H152" s="432"/>
      <c r="I152" s="432"/>
      <c r="J152" s="432"/>
      <c r="K152" s="432"/>
      <c r="L152" s="432"/>
      <c r="M152" s="432"/>
      <c r="N152" s="432"/>
      <c r="O152" s="432"/>
      <c r="P152" s="432"/>
      <c r="Q152" s="432"/>
      <c r="R152" s="432"/>
      <c r="S152" s="432"/>
      <c r="T152" s="432"/>
      <c r="U152" s="432"/>
      <c r="V152" s="432"/>
      <c r="W152" s="432"/>
      <c r="X152" s="432"/>
      <c r="Y152" s="432"/>
      <c r="Z152" s="432"/>
      <c r="AA152" s="432"/>
      <c r="AB152" s="432"/>
      <c r="AC152" s="432"/>
      <c r="AD152" s="432"/>
      <c r="AE152" s="432"/>
      <c r="AF152" s="432"/>
      <c r="AG152" s="432"/>
      <c r="AH152" s="432"/>
      <c r="AI152" s="432"/>
      <c r="AJ152" s="432"/>
      <c r="AK152" s="432"/>
      <c r="AL152" s="432"/>
      <c r="AM152" s="432"/>
      <c r="AN152" s="432"/>
      <c r="AO152" s="432"/>
      <c r="AP152" s="432"/>
      <c r="AQ152" s="432"/>
      <c r="AR152" s="432"/>
      <c r="AS152" s="432"/>
      <c r="AT152" s="432"/>
      <c r="AU152" s="432"/>
      <c r="AV152" s="432"/>
      <c r="AW152" s="432"/>
      <c r="AX152" s="432"/>
      <c r="AY152" s="432"/>
      <c r="AZ152" s="432"/>
      <c r="BA152" s="432"/>
      <c r="BB152" s="432"/>
      <c r="BC152" s="432"/>
      <c r="BD152" s="432"/>
      <c r="BE152" s="432"/>
      <c r="BF152" s="432"/>
      <c r="BG152" s="432"/>
      <c r="BH152" s="432"/>
      <c r="BI152" s="432"/>
      <c r="BJ152" s="432"/>
      <c r="BK152" s="432"/>
      <c r="BL152" s="432"/>
      <c r="BM152" s="432"/>
      <c r="BN152" s="432"/>
      <c r="BO152" s="432"/>
      <c r="BP152" s="432"/>
      <c r="BQ152" s="432"/>
      <c r="BR152" s="432"/>
      <c r="BS152" s="432"/>
      <c r="BT152" s="432"/>
      <c r="BU152" s="432"/>
    </row>
    <row r="153" spans="1:73" s="428" customFormat="1" ht="27.75" customHeight="1" thickBot="1">
      <c r="A153" s="624" t="s">
        <v>514</v>
      </c>
      <c r="B153" s="430"/>
      <c r="C153" s="431">
        <v>7505000</v>
      </c>
      <c r="D153" s="431">
        <f>SUM(B154)</f>
        <v>9316100</v>
      </c>
      <c r="E153" s="431">
        <v>7762922</v>
      </c>
      <c r="F153" s="335">
        <f>SUM(E153/D153)</f>
        <v>0.83328023529159201</v>
      </c>
      <c r="G153" s="426"/>
      <c r="H153" s="426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  <c r="U153" s="426"/>
      <c r="V153" s="426"/>
      <c r="W153" s="426"/>
      <c r="X153" s="426"/>
      <c r="Y153" s="426"/>
      <c r="Z153" s="426"/>
      <c r="AA153" s="426"/>
      <c r="AB153" s="426"/>
      <c r="AC153" s="426"/>
      <c r="AD153" s="426"/>
      <c r="AE153" s="426"/>
      <c r="AF153" s="426"/>
      <c r="AG153" s="426"/>
      <c r="AH153" s="426"/>
      <c r="AI153" s="426"/>
      <c r="AJ153" s="426"/>
      <c r="AK153" s="426"/>
      <c r="AL153" s="426"/>
      <c r="AM153" s="426"/>
      <c r="AN153" s="426"/>
      <c r="AO153" s="426"/>
      <c r="AP153" s="426"/>
      <c r="AQ153" s="426"/>
      <c r="AR153" s="426"/>
      <c r="AS153" s="426"/>
      <c r="AT153" s="426"/>
      <c r="AU153" s="426"/>
      <c r="AV153" s="426"/>
      <c r="AW153" s="426"/>
      <c r="AX153" s="426"/>
      <c r="AY153" s="426"/>
      <c r="AZ153" s="426"/>
      <c r="BA153" s="426"/>
      <c r="BB153" s="426"/>
      <c r="BC153" s="426"/>
      <c r="BD153" s="426"/>
      <c r="BE153" s="426"/>
      <c r="BF153" s="426"/>
      <c r="BG153" s="426"/>
      <c r="BH153" s="426"/>
      <c r="BI153" s="426"/>
      <c r="BJ153" s="426"/>
      <c r="BK153" s="426"/>
      <c r="BL153" s="426"/>
      <c r="BM153" s="426"/>
      <c r="BN153" s="426"/>
      <c r="BO153" s="426"/>
      <c r="BP153" s="426"/>
      <c r="BQ153" s="426"/>
      <c r="BR153" s="426"/>
      <c r="BS153" s="426"/>
      <c r="BT153" s="426"/>
      <c r="BU153" s="426"/>
    </row>
    <row r="154" spans="1:73" s="428" customFormat="1" ht="24" customHeight="1" thickBot="1">
      <c r="A154" s="429" t="s">
        <v>515</v>
      </c>
      <c r="B154" s="424">
        <f>7505000+1811100</f>
        <v>9316100</v>
      </c>
      <c r="C154" s="431"/>
      <c r="D154" s="431"/>
      <c r="E154" s="431"/>
      <c r="F154" s="335"/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  <c r="U154" s="426"/>
      <c r="V154" s="426"/>
      <c r="W154" s="426"/>
      <c r="X154" s="426"/>
      <c r="Y154" s="426"/>
      <c r="Z154" s="426"/>
      <c r="AA154" s="426"/>
      <c r="AB154" s="426"/>
      <c r="AC154" s="426"/>
      <c r="AD154" s="426"/>
      <c r="AE154" s="426"/>
      <c r="AF154" s="426"/>
      <c r="AG154" s="426"/>
      <c r="AH154" s="426"/>
      <c r="AI154" s="426"/>
      <c r="AJ154" s="426"/>
      <c r="AK154" s="426"/>
      <c r="AL154" s="426"/>
      <c r="AM154" s="426"/>
      <c r="AN154" s="426"/>
      <c r="AO154" s="426"/>
      <c r="AP154" s="426"/>
      <c r="AQ154" s="426"/>
      <c r="AR154" s="426"/>
      <c r="AS154" s="426"/>
      <c r="AT154" s="426"/>
      <c r="AU154" s="426"/>
      <c r="AV154" s="426"/>
      <c r="AW154" s="426"/>
      <c r="AX154" s="426"/>
      <c r="AY154" s="426"/>
      <c r="AZ154" s="426"/>
      <c r="BA154" s="426"/>
      <c r="BB154" s="426"/>
      <c r="BC154" s="426"/>
      <c r="BD154" s="426"/>
      <c r="BE154" s="426"/>
      <c r="BF154" s="426"/>
      <c r="BG154" s="426"/>
      <c r="BH154" s="426"/>
      <c r="BI154" s="426"/>
      <c r="BJ154" s="426"/>
      <c r="BK154" s="426"/>
      <c r="BL154" s="426"/>
      <c r="BM154" s="426"/>
      <c r="BN154" s="426"/>
      <c r="BO154" s="426"/>
      <c r="BP154" s="426"/>
      <c r="BQ154" s="426"/>
      <c r="BR154" s="426"/>
      <c r="BS154" s="426"/>
      <c r="BT154" s="426"/>
      <c r="BU154" s="426"/>
    </row>
    <row r="155" spans="1:73" s="434" customFormat="1" ht="44.25" customHeight="1" thickBot="1">
      <c r="A155" s="624" t="s">
        <v>516</v>
      </c>
      <c r="B155" s="430"/>
      <c r="C155" s="431">
        <v>27151000</v>
      </c>
      <c r="D155" s="431">
        <v>27151000</v>
      </c>
      <c r="E155" s="431">
        <f>SUM(B156:B157)</f>
        <v>26230328</v>
      </c>
      <c r="F155" s="335">
        <f>SUM(E155/D155)</f>
        <v>0.96609067805974003</v>
      </c>
      <c r="G155" s="432"/>
      <c r="H155" s="432"/>
      <c r="I155" s="432"/>
      <c r="J155" s="432"/>
      <c r="K155" s="432"/>
      <c r="L155" s="432"/>
      <c r="M155" s="432"/>
      <c r="N155" s="432"/>
      <c r="O155" s="432"/>
      <c r="P155" s="432"/>
      <c r="Q155" s="432"/>
      <c r="R155" s="432"/>
      <c r="S155" s="432"/>
      <c r="T155" s="432"/>
      <c r="U155" s="432"/>
      <c r="V155" s="432"/>
      <c r="W155" s="432"/>
      <c r="X155" s="432"/>
      <c r="Y155" s="432"/>
      <c r="Z155" s="432"/>
      <c r="AA155" s="432"/>
      <c r="AB155" s="432"/>
      <c r="AC155" s="432"/>
      <c r="AD155" s="432"/>
      <c r="AE155" s="432"/>
      <c r="AF155" s="432"/>
      <c r="AG155" s="432"/>
      <c r="AH155" s="432"/>
      <c r="AI155" s="432"/>
      <c r="AJ155" s="432"/>
      <c r="AK155" s="432"/>
      <c r="AL155" s="432"/>
      <c r="AM155" s="432"/>
      <c r="AN155" s="432"/>
      <c r="AO155" s="432"/>
      <c r="AP155" s="432"/>
      <c r="AQ155" s="432"/>
      <c r="AR155" s="432"/>
      <c r="AS155" s="432"/>
      <c r="AT155" s="432"/>
      <c r="AU155" s="432"/>
      <c r="AV155" s="432"/>
      <c r="AW155" s="432"/>
      <c r="AX155" s="432"/>
      <c r="AY155" s="432"/>
      <c r="AZ155" s="432"/>
      <c r="BA155" s="432"/>
      <c r="BB155" s="432"/>
      <c r="BC155" s="432"/>
      <c r="BD155" s="432"/>
      <c r="BE155" s="432"/>
      <c r="BF155" s="432"/>
      <c r="BG155" s="432"/>
      <c r="BH155" s="432"/>
      <c r="BI155" s="432"/>
      <c r="BJ155" s="432"/>
      <c r="BK155" s="432"/>
      <c r="BL155" s="432"/>
      <c r="BM155" s="432"/>
      <c r="BN155" s="432"/>
      <c r="BO155" s="432"/>
      <c r="BP155" s="432"/>
      <c r="BQ155" s="432"/>
      <c r="BR155" s="432"/>
      <c r="BS155" s="432"/>
      <c r="BT155" s="432"/>
      <c r="BU155" s="432"/>
    </row>
    <row r="156" spans="1:73" s="428" customFormat="1" ht="24" customHeight="1" thickBot="1">
      <c r="A156" s="429" t="s">
        <v>517</v>
      </c>
      <c r="B156" s="424">
        <v>5578861</v>
      </c>
      <c r="C156" s="431"/>
      <c r="D156" s="431"/>
      <c r="E156" s="431"/>
      <c r="F156" s="335"/>
      <c r="G156" s="426"/>
      <c r="H156" s="426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  <c r="U156" s="426"/>
      <c r="V156" s="426"/>
      <c r="W156" s="426"/>
      <c r="X156" s="426"/>
      <c r="Y156" s="426"/>
      <c r="Z156" s="426"/>
      <c r="AA156" s="426"/>
      <c r="AB156" s="426"/>
      <c r="AC156" s="426"/>
      <c r="AD156" s="426"/>
      <c r="AE156" s="426"/>
      <c r="AF156" s="426"/>
      <c r="AG156" s="426"/>
      <c r="AH156" s="426"/>
      <c r="AI156" s="426"/>
      <c r="AJ156" s="426"/>
      <c r="AK156" s="426"/>
      <c r="AL156" s="426"/>
      <c r="AM156" s="426"/>
      <c r="AN156" s="426"/>
      <c r="AO156" s="426"/>
      <c r="AP156" s="426"/>
      <c r="AQ156" s="426"/>
      <c r="AR156" s="426"/>
      <c r="AS156" s="426"/>
      <c r="AT156" s="426"/>
      <c r="AU156" s="426"/>
      <c r="AV156" s="426"/>
      <c r="AW156" s="426"/>
      <c r="AX156" s="426"/>
      <c r="AY156" s="426"/>
      <c r="AZ156" s="426"/>
      <c r="BA156" s="426"/>
      <c r="BB156" s="426"/>
      <c r="BC156" s="426"/>
      <c r="BD156" s="426"/>
      <c r="BE156" s="426"/>
      <c r="BF156" s="426"/>
      <c r="BG156" s="426"/>
      <c r="BH156" s="426"/>
      <c r="BI156" s="426"/>
      <c r="BJ156" s="426"/>
      <c r="BK156" s="426"/>
      <c r="BL156" s="426"/>
      <c r="BM156" s="426"/>
      <c r="BN156" s="426"/>
      <c r="BO156" s="426"/>
      <c r="BP156" s="426"/>
      <c r="BQ156" s="426"/>
      <c r="BR156" s="426"/>
      <c r="BS156" s="426"/>
      <c r="BT156" s="426"/>
      <c r="BU156" s="426"/>
    </row>
    <row r="157" spans="1:73" s="428" customFormat="1" ht="24" customHeight="1" thickBot="1">
      <c r="A157" s="429" t="s">
        <v>518</v>
      </c>
      <c r="B157" s="424">
        <v>20651467</v>
      </c>
      <c r="C157" s="431"/>
      <c r="D157" s="431"/>
      <c r="E157" s="431"/>
      <c r="F157" s="335"/>
      <c r="G157" s="426"/>
      <c r="H157" s="426"/>
      <c r="I157" s="426"/>
      <c r="J157" s="426"/>
      <c r="K157" s="426"/>
      <c r="L157" s="426"/>
      <c r="M157" s="426"/>
      <c r="N157" s="426"/>
      <c r="O157" s="426"/>
      <c r="P157" s="426"/>
      <c r="Q157" s="426"/>
      <c r="R157" s="426"/>
      <c r="S157" s="426"/>
      <c r="T157" s="426"/>
      <c r="U157" s="426"/>
      <c r="V157" s="426"/>
      <c r="W157" s="426"/>
      <c r="X157" s="426"/>
      <c r="Y157" s="426"/>
      <c r="Z157" s="426"/>
      <c r="AA157" s="426"/>
      <c r="AB157" s="426"/>
      <c r="AC157" s="426"/>
      <c r="AD157" s="426"/>
      <c r="AE157" s="426"/>
      <c r="AF157" s="426"/>
      <c r="AG157" s="426"/>
      <c r="AH157" s="426"/>
      <c r="AI157" s="426"/>
      <c r="AJ157" s="426"/>
      <c r="AK157" s="426"/>
      <c r="AL157" s="426"/>
      <c r="AM157" s="426"/>
      <c r="AN157" s="426"/>
      <c r="AO157" s="426"/>
      <c r="AP157" s="426"/>
      <c r="AQ157" s="426"/>
      <c r="AR157" s="426"/>
      <c r="AS157" s="426"/>
      <c r="AT157" s="426"/>
      <c r="AU157" s="426"/>
      <c r="AV157" s="426"/>
      <c r="AW157" s="426"/>
      <c r="AX157" s="426"/>
      <c r="AY157" s="426"/>
      <c r="AZ157" s="426"/>
      <c r="BA157" s="426"/>
      <c r="BB157" s="426"/>
      <c r="BC157" s="426"/>
      <c r="BD157" s="426"/>
      <c r="BE157" s="426"/>
      <c r="BF157" s="426"/>
      <c r="BG157" s="426"/>
      <c r="BH157" s="426"/>
      <c r="BI157" s="426"/>
      <c r="BJ157" s="426"/>
      <c r="BK157" s="426"/>
      <c r="BL157" s="426"/>
      <c r="BM157" s="426"/>
      <c r="BN157" s="426"/>
      <c r="BO157" s="426"/>
      <c r="BP157" s="426"/>
      <c r="BQ157" s="426"/>
      <c r="BR157" s="426"/>
      <c r="BS157" s="426"/>
      <c r="BT157" s="426"/>
      <c r="BU157" s="426"/>
    </row>
    <row r="158" spans="1:73" s="428" customFormat="1" ht="42.75" customHeight="1" thickBot="1">
      <c r="A158" s="882" t="s">
        <v>486</v>
      </c>
      <c r="B158" s="883"/>
      <c r="C158" s="431">
        <v>1961000</v>
      </c>
      <c r="D158" s="431">
        <f>SUM(B159:B167)-350000</f>
        <v>7225520</v>
      </c>
      <c r="E158" s="431">
        <v>5647722</v>
      </c>
      <c r="F158" s="335">
        <f>E158/D158</f>
        <v>0.78163537018788964</v>
      </c>
      <c r="G158" s="426"/>
      <c r="H158" s="426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  <c r="U158" s="426"/>
      <c r="V158" s="426"/>
      <c r="W158" s="426"/>
      <c r="X158" s="426"/>
      <c r="Y158" s="426"/>
      <c r="Z158" s="426"/>
      <c r="AA158" s="426"/>
      <c r="AB158" s="426"/>
      <c r="AC158" s="426"/>
      <c r="AD158" s="426"/>
      <c r="AE158" s="426"/>
      <c r="AF158" s="426"/>
      <c r="AG158" s="426"/>
      <c r="AH158" s="426"/>
      <c r="AI158" s="426"/>
      <c r="AJ158" s="426"/>
      <c r="AK158" s="426"/>
      <c r="AL158" s="426"/>
      <c r="AM158" s="426"/>
      <c r="AN158" s="426"/>
      <c r="AO158" s="426"/>
      <c r="AP158" s="426"/>
      <c r="AQ158" s="426"/>
      <c r="AR158" s="426"/>
      <c r="AS158" s="426"/>
      <c r="AT158" s="426"/>
      <c r="AU158" s="426"/>
      <c r="AV158" s="426"/>
      <c r="AW158" s="426"/>
      <c r="AX158" s="426"/>
      <c r="AY158" s="426"/>
      <c r="AZ158" s="426"/>
      <c r="BA158" s="426"/>
      <c r="BB158" s="426"/>
      <c r="BC158" s="426"/>
      <c r="BD158" s="426"/>
      <c r="BE158" s="426"/>
      <c r="BF158" s="426"/>
      <c r="BG158" s="426"/>
      <c r="BH158" s="426"/>
      <c r="BI158" s="426"/>
      <c r="BJ158" s="426"/>
      <c r="BK158" s="426"/>
      <c r="BL158" s="426"/>
      <c r="BM158" s="426"/>
      <c r="BN158" s="426"/>
      <c r="BO158" s="426"/>
      <c r="BP158" s="426"/>
      <c r="BQ158" s="426"/>
      <c r="BR158" s="426"/>
      <c r="BS158" s="426"/>
      <c r="BT158" s="426"/>
      <c r="BU158" s="426"/>
    </row>
    <row r="159" spans="1:73" s="428" customFormat="1" ht="22.5" customHeight="1" thickBot="1">
      <c r="A159" s="429" t="s">
        <v>519</v>
      </c>
      <c r="B159" s="424">
        <v>138000</v>
      </c>
      <c r="C159" s="431"/>
      <c r="D159" s="431"/>
      <c r="E159" s="431"/>
      <c r="F159" s="335"/>
      <c r="G159" s="426"/>
      <c r="H159" s="426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  <c r="U159" s="426"/>
      <c r="V159" s="426"/>
      <c r="W159" s="426"/>
      <c r="X159" s="426"/>
      <c r="Y159" s="426"/>
      <c r="Z159" s="426"/>
      <c r="AA159" s="426"/>
      <c r="AB159" s="426"/>
      <c r="AC159" s="426"/>
      <c r="AD159" s="426"/>
      <c r="AE159" s="426"/>
      <c r="AF159" s="426"/>
      <c r="AG159" s="426"/>
      <c r="AH159" s="426"/>
      <c r="AI159" s="426"/>
      <c r="AJ159" s="426"/>
      <c r="AK159" s="426"/>
      <c r="AL159" s="426"/>
      <c r="AM159" s="426"/>
      <c r="AN159" s="426"/>
      <c r="AO159" s="426"/>
      <c r="AP159" s="426"/>
      <c r="AQ159" s="426"/>
      <c r="AR159" s="426"/>
      <c r="AS159" s="426"/>
      <c r="AT159" s="426"/>
      <c r="AU159" s="426"/>
      <c r="AV159" s="426"/>
      <c r="AW159" s="426"/>
      <c r="AX159" s="426"/>
      <c r="AY159" s="426"/>
      <c r="AZ159" s="426"/>
      <c r="BA159" s="426"/>
      <c r="BB159" s="426"/>
      <c r="BC159" s="426"/>
      <c r="BD159" s="426"/>
      <c r="BE159" s="426"/>
      <c r="BF159" s="426"/>
      <c r="BG159" s="426"/>
      <c r="BH159" s="426"/>
      <c r="BI159" s="426"/>
      <c r="BJ159" s="426"/>
      <c r="BK159" s="426"/>
      <c r="BL159" s="426"/>
      <c r="BM159" s="426"/>
      <c r="BN159" s="426"/>
      <c r="BO159" s="426"/>
      <c r="BP159" s="426"/>
      <c r="BQ159" s="426"/>
      <c r="BR159" s="426"/>
      <c r="BS159" s="426"/>
      <c r="BT159" s="426"/>
      <c r="BU159" s="426"/>
    </row>
    <row r="160" spans="1:73" s="428" customFormat="1" ht="22.5" customHeight="1" thickBot="1">
      <c r="A160" s="429" t="s">
        <v>520</v>
      </c>
      <c r="B160" s="424">
        <f>132000+33000</f>
        <v>165000</v>
      </c>
      <c r="C160" s="431"/>
      <c r="D160" s="431"/>
      <c r="E160" s="431"/>
      <c r="F160" s="335"/>
      <c r="G160" s="426"/>
      <c r="H160" s="426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  <c r="U160" s="426"/>
      <c r="V160" s="426"/>
      <c r="W160" s="426"/>
      <c r="X160" s="426"/>
      <c r="Y160" s="426"/>
      <c r="Z160" s="426"/>
      <c r="AA160" s="426"/>
      <c r="AB160" s="426"/>
      <c r="AC160" s="426"/>
      <c r="AD160" s="426"/>
      <c r="AE160" s="426"/>
      <c r="AF160" s="426"/>
      <c r="AG160" s="426"/>
      <c r="AH160" s="426"/>
      <c r="AI160" s="426"/>
      <c r="AJ160" s="426"/>
      <c r="AK160" s="426"/>
      <c r="AL160" s="426"/>
      <c r="AM160" s="426"/>
      <c r="AN160" s="426"/>
      <c r="AO160" s="426"/>
      <c r="AP160" s="426"/>
      <c r="AQ160" s="426"/>
      <c r="AR160" s="426"/>
      <c r="AS160" s="426"/>
      <c r="AT160" s="426"/>
      <c r="AU160" s="426"/>
      <c r="AV160" s="426"/>
      <c r="AW160" s="426"/>
      <c r="AX160" s="426"/>
      <c r="AY160" s="426"/>
      <c r="AZ160" s="426"/>
      <c r="BA160" s="426"/>
      <c r="BB160" s="426"/>
      <c r="BC160" s="426"/>
      <c r="BD160" s="426"/>
      <c r="BE160" s="426"/>
      <c r="BF160" s="426"/>
      <c r="BG160" s="426"/>
      <c r="BH160" s="426"/>
      <c r="BI160" s="426"/>
      <c r="BJ160" s="426"/>
      <c r="BK160" s="426"/>
      <c r="BL160" s="426"/>
      <c r="BM160" s="426"/>
      <c r="BN160" s="426"/>
      <c r="BO160" s="426"/>
      <c r="BP160" s="426"/>
      <c r="BQ160" s="426"/>
      <c r="BR160" s="426"/>
      <c r="BS160" s="426"/>
      <c r="BT160" s="426"/>
      <c r="BU160" s="426"/>
    </row>
    <row r="161" spans="1:73" s="428" customFormat="1" ht="22.5" customHeight="1" thickBot="1">
      <c r="A161" s="429" t="s">
        <v>521</v>
      </c>
      <c r="B161" s="424">
        <f>445000+419100</f>
        <v>864100</v>
      </c>
      <c r="C161" s="431"/>
      <c r="D161" s="431"/>
      <c r="E161" s="431"/>
      <c r="F161" s="335"/>
      <c r="G161" s="426"/>
      <c r="H161" s="426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/>
      <c r="U161" s="426"/>
      <c r="V161" s="426"/>
      <c r="W161" s="426"/>
      <c r="X161" s="426"/>
      <c r="Y161" s="426"/>
      <c r="Z161" s="426"/>
      <c r="AA161" s="426"/>
      <c r="AB161" s="426"/>
      <c r="AC161" s="426"/>
      <c r="AD161" s="426"/>
      <c r="AE161" s="426"/>
      <c r="AF161" s="426"/>
      <c r="AG161" s="426"/>
      <c r="AH161" s="426"/>
      <c r="AI161" s="426"/>
      <c r="AJ161" s="426"/>
      <c r="AK161" s="426"/>
      <c r="AL161" s="426"/>
      <c r="AM161" s="426"/>
      <c r="AN161" s="426"/>
      <c r="AO161" s="426"/>
      <c r="AP161" s="426"/>
      <c r="AQ161" s="426"/>
      <c r="AR161" s="426"/>
      <c r="AS161" s="426"/>
      <c r="AT161" s="426"/>
      <c r="AU161" s="426"/>
      <c r="AV161" s="426"/>
      <c r="AW161" s="426"/>
      <c r="AX161" s="426"/>
      <c r="AY161" s="426"/>
      <c r="AZ161" s="426"/>
      <c r="BA161" s="426"/>
      <c r="BB161" s="426"/>
      <c r="BC161" s="426"/>
      <c r="BD161" s="426"/>
      <c r="BE161" s="426"/>
      <c r="BF161" s="426"/>
      <c r="BG161" s="426"/>
      <c r="BH161" s="426"/>
      <c r="BI161" s="426"/>
      <c r="BJ161" s="426"/>
      <c r="BK161" s="426"/>
      <c r="BL161" s="426"/>
      <c r="BM161" s="426"/>
      <c r="BN161" s="426"/>
      <c r="BO161" s="426"/>
      <c r="BP161" s="426"/>
      <c r="BQ161" s="426"/>
      <c r="BR161" s="426"/>
      <c r="BS161" s="426"/>
      <c r="BT161" s="426"/>
      <c r="BU161" s="426"/>
    </row>
    <row r="162" spans="1:73" s="428" customFormat="1" ht="22.5" customHeight="1" thickBot="1">
      <c r="A162" s="429" t="s">
        <v>522</v>
      </c>
      <c r="B162" s="424">
        <v>51000</v>
      </c>
      <c r="C162" s="431"/>
      <c r="D162" s="431"/>
      <c r="E162" s="431"/>
      <c r="F162" s="335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26"/>
      <c r="AC162" s="426"/>
      <c r="AD162" s="426"/>
      <c r="AE162" s="426"/>
      <c r="AF162" s="426"/>
      <c r="AG162" s="426"/>
      <c r="AH162" s="426"/>
      <c r="AI162" s="426"/>
      <c r="AJ162" s="426"/>
      <c r="AK162" s="426"/>
      <c r="AL162" s="426"/>
      <c r="AM162" s="426"/>
      <c r="AN162" s="426"/>
      <c r="AO162" s="426"/>
      <c r="AP162" s="426"/>
      <c r="AQ162" s="426"/>
      <c r="AR162" s="426"/>
      <c r="AS162" s="426"/>
      <c r="AT162" s="426"/>
      <c r="AU162" s="426"/>
      <c r="AV162" s="426"/>
      <c r="AW162" s="426"/>
      <c r="AX162" s="426"/>
      <c r="AY162" s="426"/>
      <c r="AZ162" s="426"/>
      <c r="BA162" s="426"/>
      <c r="BB162" s="426"/>
      <c r="BC162" s="426"/>
      <c r="BD162" s="426"/>
      <c r="BE162" s="426"/>
      <c r="BF162" s="426"/>
      <c r="BG162" s="426"/>
      <c r="BH162" s="426"/>
      <c r="BI162" s="426"/>
      <c r="BJ162" s="426"/>
      <c r="BK162" s="426"/>
      <c r="BL162" s="426"/>
      <c r="BM162" s="426"/>
      <c r="BN162" s="426"/>
      <c r="BO162" s="426"/>
      <c r="BP162" s="426"/>
      <c r="BQ162" s="426"/>
      <c r="BR162" s="426"/>
      <c r="BS162" s="426"/>
      <c r="BT162" s="426"/>
      <c r="BU162" s="426"/>
    </row>
    <row r="163" spans="1:73" s="428" customFormat="1" ht="22.5" customHeight="1" thickBot="1">
      <c r="A163" s="429" t="s">
        <v>523</v>
      </c>
      <c r="B163" s="424">
        <v>412000</v>
      </c>
      <c r="C163" s="431"/>
      <c r="D163" s="431"/>
      <c r="E163" s="431"/>
      <c r="F163" s="335"/>
      <c r="G163" s="426"/>
      <c r="H163" s="426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  <c r="U163" s="426"/>
      <c r="V163" s="426"/>
      <c r="W163" s="426"/>
      <c r="X163" s="426"/>
      <c r="Y163" s="426"/>
      <c r="Z163" s="426"/>
      <c r="AA163" s="426"/>
      <c r="AB163" s="426"/>
      <c r="AC163" s="426"/>
      <c r="AD163" s="426"/>
      <c r="AE163" s="426"/>
      <c r="AF163" s="426"/>
      <c r="AG163" s="426"/>
      <c r="AH163" s="426"/>
      <c r="AI163" s="426"/>
      <c r="AJ163" s="426"/>
      <c r="AK163" s="426"/>
      <c r="AL163" s="426"/>
      <c r="AM163" s="426"/>
      <c r="AN163" s="426"/>
      <c r="AO163" s="426"/>
      <c r="AP163" s="426"/>
      <c r="AQ163" s="426"/>
      <c r="AR163" s="426"/>
      <c r="AS163" s="426"/>
      <c r="AT163" s="426"/>
      <c r="AU163" s="426"/>
      <c r="AV163" s="426"/>
      <c r="AW163" s="426"/>
      <c r="AX163" s="426"/>
      <c r="AY163" s="426"/>
      <c r="AZ163" s="426"/>
      <c r="BA163" s="426"/>
      <c r="BB163" s="426"/>
      <c r="BC163" s="426"/>
      <c r="BD163" s="426"/>
      <c r="BE163" s="426"/>
      <c r="BF163" s="426"/>
      <c r="BG163" s="426"/>
      <c r="BH163" s="426"/>
      <c r="BI163" s="426"/>
      <c r="BJ163" s="426"/>
      <c r="BK163" s="426"/>
      <c r="BL163" s="426"/>
      <c r="BM163" s="426"/>
      <c r="BN163" s="426"/>
      <c r="BO163" s="426"/>
      <c r="BP163" s="426"/>
      <c r="BQ163" s="426"/>
      <c r="BR163" s="426"/>
      <c r="BS163" s="426"/>
      <c r="BT163" s="426"/>
      <c r="BU163" s="426"/>
    </row>
    <row r="164" spans="1:73" s="428" customFormat="1" ht="22.5" customHeight="1" thickBot="1">
      <c r="A164" s="429" t="s">
        <v>524</v>
      </c>
      <c r="B164" s="424">
        <v>283000</v>
      </c>
      <c r="C164" s="431"/>
      <c r="D164" s="431"/>
      <c r="E164" s="431"/>
      <c r="F164" s="335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6"/>
      <c r="AK164" s="426"/>
      <c r="AL164" s="426"/>
      <c r="AM164" s="426"/>
      <c r="AN164" s="426"/>
      <c r="AO164" s="426"/>
      <c r="AP164" s="426"/>
      <c r="AQ164" s="426"/>
      <c r="AR164" s="426"/>
      <c r="AS164" s="426"/>
      <c r="AT164" s="426"/>
      <c r="AU164" s="426"/>
      <c r="AV164" s="426"/>
      <c r="AW164" s="426"/>
      <c r="AX164" s="426"/>
      <c r="AY164" s="426"/>
      <c r="AZ164" s="426"/>
      <c r="BA164" s="426"/>
      <c r="BB164" s="426"/>
      <c r="BC164" s="426"/>
      <c r="BD164" s="426"/>
      <c r="BE164" s="426"/>
      <c r="BF164" s="426"/>
      <c r="BG164" s="426"/>
      <c r="BH164" s="426"/>
      <c r="BI164" s="426"/>
      <c r="BJ164" s="426"/>
      <c r="BK164" s="426"/>
      <c r="BL164" s="426"/>
      <c r="BM164" s="426"/>
      <c r="BN164" s="426"/>
      <c r="BO164" s="426"/>
      <c r="BP164" s="426"/>
      <c r="BQ164" s="426"/>
      <c r="BR164" s="426"/>
      <c r="BS164" s="426"/>
      <c r="BT164" s="426"/>
      <c r="BU164" s="426"/>
    </row>
    <row r="165" spans="1:73" s="428" customFormat="1" ht="21.75" customHeight="1" thickBot="1">
      <c r="A165" s="429" t="s">
        <v>826</v>
      </c>
      <c r="B165" s="424">
        <f>378150+355600</f>
        <v>733750</v>
      </c>
      <c r="C165" s="476"/>
      <c r="D165" s="476"/>
      <c r="E165" s="476"/>
      <c r="F165" s="481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  <c r="AN165" s="426"/>
      <c r="AO165" s="426"/>
      <c r="AP165" s="426"/>
      <c r="AQ165" s="426"/>
      <c r="AR165" s="426"/>
      <c r="AS165" s="426"/>
      <c r="AT165" s="426"/>
      <c r="AU165" s="426"/>
      <c r="AV165" s="426"/>
      <c r="AW165" s="426"/>
      <c r="AX165" s="426"/>
      <c r="AY165" s="426"/>
      <c r="AZ165" s="426"/>
      <c r="BA165" s="426"/>
      <c r="BB165" s="426"/>
      <c r="BC165" s="426"/>
      <c r="BD165" s="426"/>
      <c r="BE165" s="426"/>
      <c r="BF165" s="426"/>
      <c r="BG165" s="426"/>
      <c r="BH165" s="426"/>
      <c r="BI165" s="426"/>
      <c r="BJ165" s="426"/>
      <c r="BK165" s="426"/>
      <c r="BL165" s="426"/>
      <c r="BM165" s="426"/>
      <c r="BN165" s="426"/>
      <c r="BO165" s="426"/>
      <c r="BP165" s="426"/>
      <c r="BQ165" s="426"/>
      <c r="BR165" s="426"/>
      <c r="BS165" s="426"/>
      <c r="BT165" s="426"/>
      <c r="BU165" s="426"/>
    </row>
    <row r="166" spans="1:73" s="428" customFormat="1" ht="21.75" customHeight="1" thickBot="1">
      <c r="A166" s="645" t="s">
        <v>491</v>
      </c>
      <c r="B166" s="475">
        <f>124000+254000+254000+1401+85000+444500+849000+130769</f>
        <v>2142670</v>
      </c>
      <c r="C166" s="476"/>
      <c r="D166" s="476"/>
      <c r="E166" s="476"/>
      <c r="F166" s="481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  <c r="AN166" s="426"/>
      <c r="AO166" s="426"/>
      <c r="AP166" s="426"/>
      <c r="AQ166" s="426"/>
      <c r="AR166" s="426"/>
      <c r="AS166" s="426"/>
      <c r="AT166" s="426"/>
      <c r="AU166" s="426"/>
      <c r="AV166" s="426"/>
      <c r="AW166" s="426"/>
      <c r="AX166" s="426"/>
      <c r="AY166" s="426"/>
      <c r="AZ166" s="426"/>
      <c r="BA166" s="426"/>
      <c r="BB166" s="426"/>
      <c r="BC166" s="426"/>
      <c r="BD166" s="426"/>
      <c r="BE166" s="426"/>
      <c r="BF166" s="426"/>
      <c r="BG166" s="426"/>
      <c r="BH166" s="426"/>
      <c r="BI166" s="426"/>
      <c r="BJ166" s="426"/>
      <c r="BK166" s="426"/>
      <c r="BL166" s="426"/>
      <c r="BM166" s="426"/>
      <c r="BN166" s="426"/>
      <c r="BO166" s="426"/>
      <c r="BP166" s="426"/>
      <c r="BQ166" s="426"/>
      <c r="BR166" s="426"/>
      <c r="BS166" s="426"/>
      <c r="BT166" s="426"/>
      <c r="BU166" s="426"/>
    </row>
    <row r="167" spans="1:73" s="428" customFormat="1" ht="19.5" thickBot="1">
      <c r="A167" s="429" t="s">
        <v>827</v>
      </c>
      <c r="B167" s="424">
        <f>500000+2286000</f>
        <v>2786000</v>
      </c>
      <c r="C167" s="431"/>
      <c r="D167" s="431"/>
      <c r="E167" s="431"/>
      <c r="F167" s="335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6"/>
      <c r="AK167" s="426"/>
      <c r="AL167" s="426"/>
      <c r="AM167" s="426"/>
      <c r="AN167" s="426"/>
      <c r="AO167" s="426"/>
      <c r="AP167" s="426"/>
      <c r="AQ167" s="426"/>
      <c r="AR167" s="426"/>
      <c r="AS167" s="426"/>
      <c r="AT167" s="426"/>
      <c r="AU167" s="426"/>
      <c r="AV167" s="426"/>
      <c r="AW167" s="426"/>
      <c r="AX167" s="426"/>
      <c r="AY167" s="426"/>
      <c r="AZ167" s="426"/>
      <c r="BA167" s="426"/>
      <c r="BB167" s="426"/>
      <c r="BC167" s="426"/>
      <c r="BD167" s="426"/>
      <c r="BE167" s="426"/>
      <c r="BF167" s="426"/>
      <c r="BG167" s="426"/>
      <c r="BH167" s="426"/>
      <c r="BI167" s="426"/>
      <c r="BJ167" s="426"/>
      <c r="BK167" s="426"/>
      <c r="BL167" s="426"/>
      <c r="BM167" s="426"/>
      <c r="BN167" s="426"/>
      <c r="BO167" s="426"/>
      <c r="BP167" s="426"/>
      <c r="BQ167" s="426"/>
      <c r="BR167" s="426"/>
      <c r="BS167" s="426"/>
      <c r="BT167" s="426"/>
      <c r="BU167" s="426"/>
    </row>
    <row r="168" spans="1:73" s="434" customFormat="1" ht="35.25" customHeight="1" thickBot="1">
      <c r="A168" s="341" t="s">
        <v>525</v>
      </c>
      <c r="B168" s="342"/>
      <c r="C168" s="431">
        <v>5000000</v>
      </c>
      <c r="D168" s="431">
        <v>5000000</v>
      </c>
      <c r="E168" s="431">
        <v>0</v>
      </c>
      <c r="F168" s="335">
        <v>0</v>
      </c>
      <c r="G168" s="432"/>
      <c r="H168" s="432"/>
      <c r="I168" s="432"/>
      <c r="J168" s="432"/>
      <c r="K168" s="432"/>
      <c r="L168" s="432"/>
      <c r="M168" s="432"/>
      <c r="N168" s="432"/>
      <c r="O168" s="432"/>
      <c r="P168" s="432"/>
      <c r="Q168" s="432"/>
      <c r="R168" s="432"/>
      <c r="S168" s="432"/>
      <c r="T168" s="432"/>
      <c r="U168" s="432"/>
      <c r="V168" s="432"/>
      <c r="W168" s="432"/>
      <c r="X168" s="432"/>
      <c r="Y168" s="432"/>
      <c r="Z168" s="432"/>
      <c r="AA168" s="432"/>
      <c r="AB168" s="432"/>
      <c r="AC168" s="432"/>
      <c r="AD168" s="432"/>
      <c r="AE168" s="432"/>
      <c r="AF168" s="432"/>
      <c r="AG168" s="432"/>
      <c r="AH168" s="432"/>
      <c r="AI168" s="432"/>
      <c r="AJ168" s="432"/>
      <c r="AK168" s="432"/>
      <c r="AL168" s="432"/>
      <c r="AM168" s="432"/>
      <c r="AN168" s="432"/>
      <c r="AO168" s="432"/>
      <c r="AP168" s="432"/>
      <c r="AQ168" s="432"/>
      <c r="AR168" s="432"/>
      <c r="AS168" s="432"/>
      <c r="AT168" s="432"/>
      <c r="AU168" s="432"/>
      <c r="AV168" s="432"/>
      <c r="AW168" s="432"/>
      <c r="AX168" s="432"/>
      <c r="AY168" s="432"/>
      <c r="AZ168" s="432"/>
      <c r="BA168" s="432"/>
      <c r="BB168" s="432"/>
      <c r="BC168" s="432"/>
      <c r="BD168" s="432"/>
      <c r="BE168" s="432"/>
      <c r="BF168" s="432"/>
      <c r="BG168" s="432"/>
      <c r="BH168" s="432"/>
      <c r="BI168" s="432"/>
      <c r="BJ168" s="432"/>
      <c r="BK168" s="432"/>
      <c r="BL168" s="432"/>
      <c r="BM168" s="432"/>
      <c r="BN168" s="432"/>
      <c r="BO168" s="432"/>
      <c r="BP168" s="432"/>
      <c r="BQ168" s="432"/>
      <c r="BR168" s="432"/>
      <c r="BS168" s="432"/>
      <c r="BT168" s="432"/>
      <c r="BU168" s="432"/>
    </row>
    <row r="169" spans="1:73" s="434" customFormat="1" ht="35.25" customHeight="1" thickBot="1">
      <c r="A169" s="882" t="s">
        <v>849</v>
      </c>
      <c r="B169" s="883"/>
      <c r="C169" s="431">
        <v>16000000</v>
      </c>
      <c r="D169" s="431">
        <v>16000000</v>
      </c>
      <c r="E169" s="431">
        <v>300300</v>
      </c>
      <c r="F169" s="335">
        <f>SUM(E169/D169)</f>
        <v>1.8768750000000001E-2</v>
      </c>
      <c r="G169" s="432"/>
      <c r="H169" s="432"/>
      <c r="I169" s="432"/>
      <c r="J169" s="432"/>
      <c r="K169" s="432"/>
      <c r="L169" s="432"/>
      <c r="M169" s="432"/>
      <c r="N169" s="432"/>
      <c r="O169" s="432"/>
      <c r="P169" s="432"/>
      <c r="Q169" s="432"/>
      <c r="R169" s="432"/>
      <c r="S169" s="432"/>
      <c r="T169" s="432"/>
      <c r="U169" s="432"/>
      <c r="V169" s="432"/>
      <c r="W169" s="432"/>
      <c r="X169" s="432"/>
      <c r="Y169" s="432"/>
      <c r="Z169" s="432"/>
      <c r="AA169" s="432"/>
      <c r="AB169" s="432"/>
      <c r="AC169" s="432"/>
      <c r="AD169" s="432"/>
      <c r="AE169" s="432"/>
      <c r="AF169" s="432"/>
      <c r="AG169" s="432"/>
      <c r="AH169" s="432"/>
      <c r="AI169" s="432"/>
      <c r="AJ169" s="432"/>
      <c r="AK169" s="432"/>
      <c r="AL169" s="432"/>
      <c r="AM169" s="432"/>
      <c r="AN169" s="432"/>
      <c r="AO169" s="432"/>
      <c r="AP169" s="432"/>
      <c r="AQ169" s="432"/>
      <c r="AR169" s="432"/>
      <c r="AS169" s="432"/>
      <c r="AT169" s="432"/>
      <c r="AU169" s="432"/>
      <c r="AV169" s="432"/>
      <c r="AW169" s="432"/>
      <c r="AX169" s="432"/>
      <c r="AY169" s="432"/>
      <c r="AZ169" s="432"/>
      <c r="BA169" s="432"/>
      <c r="BB169" s="432"/>
      <c r="BC169" s="432"/>
      <c r="BD169" s="432"/>
      <c r="BE169" s="432"/>
      <c r="BF169" s="432"/>
      <c r="BG169" s="432"/>
      <c r="BH169" s="432"/>
      <c r="BI169" s="432"/>
      <c r="BJ169" s="432"/>
      <c r="BK169" s="432"/>
      <c r="BL169" s="432"/>
      <c r="BM169" s="432"/>
      <c r="BN169" s="432"/>
      <c r="BO169" s="432"/>
      <c r="BP169" s="432"/>
      <c r="BQ169" s="432"/>
      <c r="BR169" s="432"/>
      <c r="BS169" s="432"/>
      <c r="BT169" s="432"/>
      <c r="BU169" s="432"/>
    </row>
    <row r="170" spans="1:73" s="434" customFormat="1" ht="35.25" customHeight="1" thickBot="1">
      <c r="A170" s="624" t="s">
        <v>829</v>
      </c>
      <c r="B170" s="625"/>
      <c r="C170" s="431"/>
      <c r="D170" s="431">
        <v>10000000</v>
      </c>
      <c r="E170" s="431">
        <v>10620000</v>
      </c>
      <c r="F170" s="335">
        <f>SUM(E170/D170)</f>
        <v>1.0620000000000001</v>
      </c>
      <c r="G170" s="432"/>
      <c r="H170" s="432"/>
      <c r="I170" s="432"/>
      <c r="J170" s="432"/>
      <c r="K170" s="432"/>
      <c r="L170" s="432"/>
      <c r="M170" s="432"/>
      <c r="N170" s="432"/>
      <c r="O170" s="432"/>
      <c r="P170" s="432"/>
      <c r="Q170" s="432"/>
      <c r="R170" s="432"/>
      <c r="S170" s="432"/>
      <c r="T170" s="432"/>
      <c r="U170" s="432"/>
      <c r="V170" s="432"/>
      <c r="W170" s="432"/>
      <c r="X170" s="432"/>
      <c r="Y170" s="432"/>
      <c r="Z170" s="432"/>
      <c r="AA170" s="432"/>
      <c r="AB170" s="432"/>
      <c r="AC170" s="432"/>
      <c r="AD170" s="432"/>
      <c r="AE170" s="432"/>
      <c r="AF170" s="432"/>
      <c r="AG170" s="432"/>
      <c r="AH170" s="432"/>
      <c r="AI170" s="432"/>
      <c r="AJ170" s="432"/>
      <c r="AK170" s="432"/>
      <c r="AL170" s="432"/>
      <c r="AM170" s="432"/>
      <c r="AN170" s="432"/>
      <c r="AO170" s="432"/>
      <c r="AP170" s="432"/>
      <c r="AQ170" s="432"/>
      <c r="AR170" s="432"/>
      <c r="AS170" s="432"/>
      <c r="AT170" s="432"/>
      <c r="AU170" s="432"/>
      <c r="AV170" s="432"/>
      <c r="AW170" s="432"/>
      <c r="AX170" s="432"/>
      <c r="AY170" s="432"/>
      <c r="AZ170" s="432"/>
      <c r="BA170" s="432"/>
      <c r="BB170" s="432"/>
      <c r="BC170" s="432"/>
      <c r="BD170" s="432"/>
      <c r="BE170" s="432"/>
      <c r="BF170" s="432"/>
      <c r="BG170" s="432"/>
      <c r="BH170" s="432"/>
      <c r="BI170" s="432"/>
      <c r="BJ170" s="432"/>
      <c r="BK170" s="432"/>
      <c r="BL170" s="432"/>
      <c r="BM170" s="432"/>
      <c r="BN170" s="432"/>
      <c r="BO170" s="432"/>
      <c r="BP170" s="432"/>
      <c r="BQ170" s="432"/>
      <c r="BR170" s="432"/>
      <c r="BS170" s="432"/>
      <c r="BT170" s="432"/>
      <c r="BU170" s="432"/>
    </row>
    <row r="171" spans="1:73" s="434" customFormat="1" ht="35.25" customHeight="1" thickBot="1">
      <c r="A171" s="624" t="s">
        <v>830</v>
      </c>
      <c r="B171" s="625"/>
      <c r="C171" s="431"/>
      <c r="D171" s="431">
        <v>50000</v>
      </c>
      <c r="E171" s="431">
        <v>50000</v>
      </c>
      <c r="F171" s="335">
        <f>SUM(E171/D171)</f>
        <v>1</v>
      </c>
      <c r="G171" s="432"/>
      <c r="H171" s="432"/>
      <c r="I171" s="432"/>
      <c r="J171" s="432"/>
      <c r="K171" s="432"/>
      <c r="L171" s="432"/>
      <c r="M171" s="432"/>
      <c r="N171" s="432"/>
      <c r="O171" s="432"/>
      <c r="P171" s="432"/>
      <c r="Q171" s="432"/>
      <c r="R171" s="432"/>
      <c r="S171" s="432"/>
      <c r="T171" s="432"/>
      <c r="U171" s="432"/>
      <c r="V171" s="432"/>
      <c r="W171" s="432"/>
      <c r="X171" s="432"/>
      <c r="Y171" s="432"/>
      <c r="Z171" s="432"/>
      <c r="AA171" s="432"/>
      <c r="AB171" s="432"/>
      <c r="AC171" s="432"/>
      <c r="AD171" s="432"/>
      <c r="AE171" s="432"/>
      <c r="AF171" s="432"/>
      <c r="AG171" s="432"/>
      <c r="AH171" s="432"/>
      <c r="AI171" s="432"/>
      <c r="AJ171" s="432"/>
      <c r="AK171" s="432"/>
      <c r="AL171" s="432"/>
      <c r="AM171" s="432"/>
      <c r="AN171" s="432"/>
      <c r="AO171" s="432"/>
      <c r="AP171" s="432"/>
      <c r="AQ171" s="432"/>
      <c r="AR171" s="432"/>
      <c r="AS171" s="432"/>
      <c r="AT171" s="432"/>
      <c r="AU171" s="432"/>
      <c r="AV171" s="432"/>
      <c r="AW171" s="432"/>
      <c r="AX171" s="432"/>
      <c r="AY171" s="432"/>
      <c r="AZ171" s="432"/>
      <c r="BA171" s="432"/>
      <c r="BB171" s="432"/>
      <c r="BC171" s="432"/>
      <c r="BD171" s="432"/>
      <c r="BE171" s="432"/>
      <c r="BF171" s="432"/>
      <c r="BG171" s="432"/>
      <c r="BH171" s="432"/>
      <c r="BI171" s="432"/>
      <c r="BJ171" s="432"/>
      <c r="BK171" s="432"/>
      <c r="BL171" s="432"/>
      <c r="BM171" s="432"/>
      <c r="BN171" s="432"/>
      <c r="BO171" s="432"/>
      <c r="BP171" s="432"/>
      <c r="BQ171" s="432"/>
      <c r="BR171" s="432"/>
      <c r="BS171" s="432"/>
      <c r="BT171" s="432"/>
      <c r="BU171" s="432"/>
    </row>
    <row r="172" spans="1:73" s="434" customFormat="1" ht="33.75" customHeight="1" thickBot="1">
      <c r="A172" s="624" t="s">
        <v>526</v>
      </c>
      <c r="B172" s="430"/>
      <c r="C172" s="431">
        <v>3000000</v>
      </c>
      <c r="D172" s="431">
        <f>3000000+1300000+350000</f>
        <v>4650000</v>
      </c>
      <c r="E172" s="431">
        <v>4433916</v>
      </c>
      <c r="F172" s="335">
        <f>E172/D172</f>
        <v>0.95353032258064518</v>
      </c>
      <c r="G172" s="432"/>
      <c r="H172" s="432"/>
      <c r="I172" s="432"/>
      <c r="J172" s="432"/>
      <c r="K172" s="432"/>
      <c r="L172" s="432"/>
      <c r="M172" s="432"/>
      <c r="N172" s="432"/>
      <c r="O172" s="432"/>
      <c r="P172" s="432"/>
      <c r="Q172" s="432"/>
      <c r="R172" s="432"/>
      <c r="S172" s="432"/>
      <c r="T172" s="432"/>
      <c r="U172" s="432"/>
      <c r="V172" s="432"/>
      <c r="W172" s="432"/>
      <c r="X172" s="432"/>
      <c r="Y172" s="432"/>
      <c r="Z172" s="432"/>
      <c r="AA172" s="432"/>
      <c r="AB172" s="432"/>
      <c r="AC172" s="432"/>
      <c r="AD172" s="432"/>
      <c r="AE172" s="432"/>
      <c r="AF172" s="432"/>
      <c r="AG172" s="432"/>
      <c r="AH172" s="432"/>
      <c r="AI172" s="432"/>
      <c r="AJ172" s="432"/>
      <c r="AK172" s="432"/>
      <c r="AL172" s="432"/>
      <c r="AM172" s="432"/>
      <c r="AN172" s="432"/>
      <c r="AO172" s="432"/>
      <c r="AP172" s="432"/>
      <c r="AQ172" s="432"/>
      <c r="AR172" s="432"/>
      <c r="AS172" s="432"/>
      <c r="AT172" s="432"/>
      <c r="AU172" s="432"/>
      <c r="AV172" s="432"/>
      <c r="AW172" s="432"/>
      <c r="AX172" s="432"/>
      <c r="AY172" s="432"/>
      <c r="AZ172" s="432"/>
      <c r="BA172" s="432"/>
      <c r="BB172" s="432"/>
      <c r="BC172" s="432"/>
      <c r="BD172" s="432"/>
      <c r="BE172" s="432"/>
      <c r="BF172" s="432"/>
      <c r="BG172" s="432"/>
      <c r="BH172" s="432"/>
      <c r="BI172" s="432"/>
      <c r="BJ172" s="432"/>
      <c r="BK172" s="432"/>
      <c r="BL172" s="432"/>
      <c r="BM172" s="432"/>
      <c r="BN172" s="432"/>
      <c r="BO172" s="432"/>
      <c r="BP172" s="432"/>
      <c r="BQ172" s="432"/>
      <c r="BR172" s="432"/>
      <c r="BS172" s="432"/>
      <c r="BT172" s="432"/>
      <c r="BU172" s="432"/>
    </row>
    <row r="173" spans="1:73" s="299" customFormat="1" ht="33" customHeight="1" thickBot="1">
      <c r="A173" s="438" t="s">
        <v>527</v>
      </c>
      <c r="B173" s="439"/>
      <c r="C173" s="440">
        <f>SUM(C80:C172)</f>
        <v>397924000</v>
      </c>
      <c r="D173" s="440">
        <f>SUM(D80:D172)</f>
        <v>981256961</v>
      </c>
      <c r="E173" s="440">
        <f>SUM(E80:E172)</f>
        <v>527317784</v>
      </c>
      <c r="F173" s="345">
        <f>SUM(E173/D173)</f>
        <v>0.53739010774772988</v>
      </c>
      <c r="G173" s="441"/>
      <c r="H173" s="441"/>
      <c r="I173" s="441"/>
      <c r="J173" s="441"/>
      <c r="K173" s="441"/>
      <c r="L173" s="441"/>
      <c r="M173" s="441"/>
      <c r="N173" s="441"/>
      <c r="O173" s="441"/>
      <c r="P173" s="441"/>
      <c r="Q173" s="441"/>
      <c r="R173" s="441"/>
      <c r="S173" s="441"/>
      <c r="T173" s="441"/>
      <c r="U173" s="441"/>
      <c r="V173" s="441"/>
      <c r="W173" s="441"/>
      <c r="X173" s="441"/>
      <c r="Y173" s="441"/>
      <c r="Z173" s="441"/>
      <c r="AA173" s="441"/>
      <c r="AB173" s="441"/>
      <c r="AC173" s="441"/>
      <c r="AD173" s="441"/>
      <c r="AE173" s="441"/>
      <c r="AF173" s="441"/>
      <c r="AG173" s="441"/>
      <c r="AH173" s="441"/>
      <c r="AI173" s="441"/>
      <c r="AJ173" s="441"/>
      <c r="AK173" s="441"/>
      <c r="AL173" s="441"/>
      <c r="AM173" s="441"/>
      <c r="AN173" s="441"/>
      <c r="AO173" s="441"/>
      <c r="AP173" s="441"/>
      <c r="AQ173" s="441"/>
      <c r="AR173" s="441"/>
      <c r="AS173" s="441"/>
      <c r="AT173" s="441"/>
      <c r="AU173" s="441"/>
      <c r="AV173" s="441"/>
      <c r="AW173" s="441"/>
      <c r="AX173" s="441"/>
      <c r="AY173" s="441"/>
      <c r="AZ173" s="441"/>
      <c r="BA173" s="441"/>
      <c r="BB173" s="441"/>
      <c r="BC173" s="441"/>
      <c r="BD173" s="441"/>
      <c r="BE173" s="441"/>
      <c r="BF173" s="441"/>
      <c r="BG173" s="441"/>
      <c r="BH173" s="441"/>
      <c r="BI173" s="441"/>
      <c r="BJ173" s="441"/>
      <c r="BK173" s="441"/>
      <c r="BL173" s="441"/>
      <c r="BM173" s="441"/>
      <c r="BN173" s="441"/>
      <c r="BO173" s="441"/>
      <c r="BP173" s="441"/>
      <c r="BQ173" s="441"/>
      <c r="BR173" s="441"/>
      <c r="BS173" s="441"/>
      <c r="BT173" s="441"/>
      <c r="BU173" s="441"/>
    </row>
    <row r="174" spans="1:73" s="302" customFormat="1" ht="31.5" customHeight="1" thickBot="1">
      <c r="A174" s="661" t="s">
        <v>528</v>
      </c>
      <c r="B174" s="662"/>
      <c r="C174" s="663">
        <f>SUM(C78+C173)</f>
        <v>1266308000</v>
      </c>
      <c r="D174" s="663">
        <f>SUM(D78+D173)</f>
        <v>2135639135</v>
      </c>
      <c r="E174" s="663">
        <f>SUM(E78+E173)</f>
        <v>1636982969</v>
      </c>
      <c r="F174" s="746">
        <f>SUM(F78+F173)</f>
        <v>22.136766013717711</v>
      </c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301"/>
      <c r="AK174" s="301"/>
      <c r="AL174" s="301"/>
      <c r="AM174" s="301"/>
      <c r="AN174" s="301"/>
      <c r="AO174" s="301"/>
      <c r="AP174" s="301"/>
      <c r="AQ174" s="301"/>
      <c r="AR174" s="301"/>
      <c r="AS174" s="301"/>
      <c r="AT174" s="301"/>
      <c r="AU174" s="301"/>
      <c r="AV174" s="301"/>
      <c r="AW174" s="301"/>
      <c r="AX174" s="301"/>
      <c r="AY174" s="301"/>
      <c r="AZ174" s="301"/>
      <c r="BA174" s="301"/>
      <c r="BB174" s="301"/>
      <c r="BC174" s="301"/>
      <c r="BD174" s="301"/>
      <c r="BE174" s="301"/>
      <c r="BF174" s="301"/>
      <c r="BG174" s="301"/>
      <c r="BH174" s="301"/>
      <c r="BI174" s="301"/>
      <c r="BJ174" s="301"/>
      <c r="BK174" s="301"/>
      <c r="BL174" s="301"/>
      <c r="BM174" s="301"/>
      <c r="BN174" s="301"/>
      <c r="BO174" s="301"/>
      <c r="BP174" s="301"/>
      <c r="BQ174" s="301"/>
      <c r="BR174" s="301"/>
      <c r="BS174" s="301"/>
      <c r="BT174" s="301"/>
      <c r="BU174" s="301"/>
    </row>
    <row r="175" spans="1:73" s="295" customFormat="1" ht="66.75" customHeight="1" thickBot="1">
      <c r="A175" s="646" t="s">
        <v>463</v>
      </c>
      <c r="B175" s="647"/>
      <c r="C175" s="638" t="s">
        <v>350</v>
      </c>
      <c r="D175" s="638" t="s">
        <v>351</v>
      </c>
      <c r="E175" s="638" t="s">
        <v>288</v>
      </c>
      <c r="F175" s="741" t="s">
        <v>289</v>
      </c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293"/>
      <c r="AT175" s="293"/>
      <c r="AU175" s="293"/>
      <c r="AV175" s="293"/>
      <c r="AW175" s="293"/>
      <c r="AX175" s="293"/>
      <c r="AY175" s="293"/>
      <c r="AZ175" s="293"/>
      <c r="BA175" s="293"/>
      <c r="BB175" s="293"/>
      <c r="BC175" s="293"/>
      <c r="BD175" s="293"/>
      <c r="BE175" s="293"/>
      <c r="BF175" s="293"/>
      <c r="BG175" s="293"/>
      <c r="BH175" s="293"/>
      <c r="BI175" s="293"/>
      <c r="BJ175" s="293"/>
      <c r="BK175" s="293"/>
      <c r="BL175" s="293"/>
      <c r="BM175" s="293"/>
      <c r="BN175" s="293"/>
      <c r="BO175" s="293"/>
      <c r="BP175" s="293"/>
      <c r="BQ175" s="293"/>
      <c r="BR175" s="293"/>
      <c r="BS175" s="293"/>
      <c r="BT175" s="293"/>
      <c r="BU175" s="293"/>
    </row>
    <row r="176" spans="1:73" s="299" customFormat="1" ht="47.25" customHeight="1" thickBot="1">
      <c r="A176" s="438" t="s">
        <v>529</v>
      </c>
      <c r="B176" s="439"/>
      <c r="C176" s="440">
        <v>1233052000</v>
      </c>
      <c r="D176" s="440">
        <f>1233052000+27758638+56045407-10556460</f>
        <v>1306299585</v>
      </c>
      <c r="E176" s="440">
        <v>1306299585</v>
      </c>
      <c r="F176" s="345">
        <f>E176/D176</f>
        <v>1</v>
      </c>
      <c r="G176" s="441"/>
      <c r="H176" s="441"/>
      <c r="I176" s="441"/>
      <c r="J176" s="441"/>
      <c r="K176" s="441"/>
      <c r="L176" s="441"/>
      <c r="M176" s="441"/>
      <c r="N176" s="441"/>
      <c r="O176" s="441"/>
      <c r="P176" s="441"/>
      <c r="Q176" s="441"/>
      <c r="R176" s="441"/>
      <c r="S176" s="441"/>
      <c r="T176" s="441"/>
      <c r="U176" s="441"/>
      <c r="V176" s="441"/>
      <c r="W176" s="441"/>
      <c r="X176" s="441"/>
      <c r="Y176" s="441"/>
      <c r="Z176" s="441"/>
      <c r="AA176" s="441"/>
      <c r="AB176" s="441"/>
      <c r="AC176" s="441"/>
      <c r="AD176" s="441"/>
      <c r="AE176" s="441"/>
      <c r="AF176" s="441"/>
      <c r="AG176" s="441"/>
      <c r="AH176" s="441"/>
      <c r="AI176" s="441"/>
      <c r="AJ176" s="441"/>
      <c r="AK176" s="441"/>
      <c r="AL176" s="441"/>
      <c r="AM176" s="441"/>
      <c r="AN176" s="441"/>
      <c r="AO176" s="441"/>
      <c r="AP176" s="441"/>
      <c r="AQ176" s="441"/>
      <c r="AR176" s="441"/>
      <c r="AS176" s="441"/>
      <c r="AT176" s="441"/>
      <c r="AU176" s="441"/>
      <c r="AV176" s="441"/>
      <c r="AW176" s="441"/>
      <c r="AX176" s="441"/>
      <c r="AY176" s="441"/>
      <c r="AZ176" s="441"/>
      <c r="BA176" s="441"/>
      <c r="BB176" s="441"/>
      <c r="BC176" s="441"/>
      <c r="BD176" s="441"/>
      <c r="BE176" s="441"/>
      <c r="BF176" s="441"/>
      <c r="BG176" s="441"/>
      <c r="BH176" s="441"/>
      <c r="BI176" s="441"/>
      <c r="BJ176" s="441"/>
      <c r="BK176" s="441"/>
      <c r="BL176" s="441"/>
      <c r="BM176" s="441"/>
      <c r="BN176" s="441"/>
      <c r="BO176" s="441"/>
      <c r="BP176" s="441"/>
      <c r="BQ176" s="441"/>
      <c r="BR176" s="441"/>
      <c r="BS176" s="441"/>
      <c r="BT176" s="441"/>
      <c r="BU176" s="441"/>
    </row>
    <row r="177" spans="1:73" s="442" customFormat="1" ht="38.25" customHeight="1" thickBot="1">
      <c r="A177" s="438" t="s">
        <v>530</v>
      </c>
      <c r="B177" s="439"/>
      <c r="C177" s="440">
        <v>50000000</v>
      </c>
      <c r="D177" s="440">
        <f>50000000-3950435+2844905-35597755+21743477</f>
        <v>35040192</v>
      </c>
      <c r="E177" s="440"/>
      <c r="F177" s="345"/>
      <c r="G177" s="441"/>
      <c r="H177" s="441"/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  <c r="U177" s="441"/>
      <c r="V177" s="441"/>
      <c r="W177" s="441"/>
      <c r="X177" s="441"/>
      <c r="Y177" s="441"/>
      <c r="Z177" s="441"/>
      <c r="AA177" s="441"/>
      <c r="AB177" s="441"/>
      <c r="AC177" s="441"/>
      <c r="AD177" s="441"/>
      <c r="AE177" s="441"/>
      <c r="AF177" s="441"/>
      <c r="AG177" s="441"/>
      <c r="AH177" s="441"/>
      <c r="AI177" s="441"/>
      <c r="AJ177" s="441"/>
      <c r="AK177" s="441"/>
      <c r="AL177" s="441"/>
      <c r="AM177" s="441"/>
      <c r="AN177" s="441"/>
      <c r="AO177" s="441"/>
      <c r="AP177" s="441"/>
      <c r="AQ177" s="441"/>
      <c r="AR177" s="441"/>
      <c r="AS177" s="441"/>
      <c r="AT177" s="441"/>
      <c r="AU177" s="441"/>
      <c r="AV177" s="441"/>
      <c r="AW177" s="441"/>
      <c r="AX177" s="441"/>
      <c r="AY177" s="441"/>
      <c r="AZ177" s="441"/>
      <c r="BA177" s="441"/>
      <c r="BB177" s="441"/>
      <c r="BC177" s="441"/>
      <c r="BD177" s="441"/>
      <c r="BE177" s="441"/>
      <c r="BF177" s="441"/>
      <c r="BG177" s="441"/>
      <c r="BH177" s="441"/>
      <c r="BI177" s="441"/>
      <c r="BJ177" s="441"/>
      <c r="BK177" s="441"/>
      <c r="BL177" s="441"/>
      <c r="BM177" s="441"/>
      <c r="BN177" s="441"/>
      <c r="BO177" s="441"/>
      <c r="BP177" s="441"/>
      <c r="BQ177" s="441"/>
      <c r="BR177" s="441"/>
      <c r="BS177" s="441"/>
      <c r="BT177" s="441"/>
      <c r="BU177" s="441"/>
    </row>
    <row r="178" spans="1:73" s="442" customFormat="1" ht="38.25" customHeight="1" thickBot="1">
      <c r="A178" s="437" t="s">
        <v>531</v>
      </c>
      <c r="B178" s="443"/>
      <c r="C178" s="436">
        <v>231934000</v>
      </c>
      <c r="D178" s="436">
        <f>SUM(B179+B181+B182+B186+B187+B188+B189+B190+B191+B192)</f>
        <v>2241418763</v>
      </c>
      <c r="E178" s="436">
        <f t="shared" ref="E178:F178" si="8">SUM(C179+C181+C182+C186+C187+C188+C189+C190+C191+C192)</f>
        <v>0</v>
      </c>
      <c r="F178" s="472">
        <f t="shared" si="8"/>
        <v>0</v>
      </c>
      <c r="G178" s="649"/>
      <c r="H178" s="441"/>
      <c r="I178" s="441"/>
      <c r="J178" s="441"/>
      <c r="K178" s="441"/>
      <c r="L178" s="441"/>
      <c r="M178" s="441"/>
      <c r="N178" s="441"/>
      <c r="O178" s="441"/>
      <c r="P178" s="441"/>
      <c r="Q178" s="441"/>
      <c r="R178" s="441"/>
      <c r="S178" s="441"/>
      <c r="T178" s="441"/>
      <c r="U178" s="441"/>
      <c r="V178" s="441"/>
      <c r="W178" s="441"/>
      <c r="X178" s="441"/>
      <c r="Y178" s="441"/>
      <c r="Z178" s="441"/>
      <c r="AA178" s="441"/>
      <c r="AB178" s="441"/>
      <c r="AC178" s="441"/>
      <c r="AD178" s="441"/>
      <c r="AE178" s="441"/>
      <c r="AF178" s="441"/>
      <c r="AG178" s="441"/>
      <c r="AH178" s="441"/>
      <c r="AI178" s="441"/>
      <c r="AJ178" s="441"/>
      <c r="AK178" s="441"/>
      <c r="AL178" s="441"/>
      <c r="AM178" s="441"/>
      <c r="AN178" s="441"/>
      <c r="AO178" s="441"/>
      <c r="AP178" s="441"/>
      <c r="AQ178" s="441"/>
      <c r="AR178" s="441"/>
      <c r="AS178" s="441"/>
      <c r="AT178" s="441"/>
      <c r="AU178" s="441"/>
      <c r="AV178" s="441"/>
      <c r="AW178" s="441"/>
      <c r="AX178" s="441"/>
      <c r="AY178" s="441"/>
      <c r="AZ178" s="441"/>
      <c r="BA178" s="441"/>
      <c r="BB178" s="441"/>
      <c r="BC178" s="441"/>
      <c r="BD178" s="441"/>
      <c r="BE178" s="441"/>
      <c r="BF178" s="441"/>
      <c r="BG178" s="441"/>
      <c r="BH178" s="441"/>
      <c r="BI178" s="441"/>
      <c r="BJ178" s="441"/>
      <c r="BK178" s="441"/>
      <c r="BL178" s="441"/>
      <c r="BM178" s="441"/>
      <c r="BN178" s="441"/>
      <c r="BO178" s="441"/>
      <c r="BP178" s="441"/>
      <c r="BQ178" s="441"/>
      <c r="BR178" s="441"/>
      <c r="BS178" s="441"/>
      <c r="BT178" s="441"/>
      <c r="BU178" s="441"/>
    </row>
    <row r="179" spans="1:73" s="428" customFormat="1" ht="44.25" customHeight="1" thickBot="1">
      <c r="A179" s="624" t="s">
        <v>831</v>
      </c>
      <c r="B179" s="424">
        <f>3875000-73+8870741</f>
        <v>12745668</v>
      </c>
      <c r="C179" s="431"/>
      <c r="D179" s="431"/>
      <c r="E179" s="431"/>
      <c r="F179" s="335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6"/>
      <c r="AX179" s="426"/>
      <c r="AY179" s="426"/>
      <c r="AZ179" s="426"/>
      <c r="BA179" s="426"/>
      <c r="BB179" s="426"/>
      <c r="BC179" s="426"/>
      <c r="BD179" s="426"/>
      <c r="BE179" s="426"/>
      <c r="BF179" s="426"/>
      <c r="BG179" s="426"/>
      <c r="BH179" s="426"/>
      <c r="BI179" s="426"/>
      <c r="BJ179" s="426"/>
      <c r="BK179" s="426"/>
      <c r="BL179" s="426"/>
      <c r="BM179" s="426"/>
      <c r="BN179" s="426"/>
      <c r="BO179" s="426"/>
      <c r="BP179" s="426"/>
      <c r="BQ179" s="426"/>
      <c r="BR179" s="426"/>
      <c r="BS179" s="426"/>
      <c r="BT179" s="426"/>
      <c r="BU179" s="426"/>
    </row>
    <row r="180" spans="1:73" s="434" customFormat="1" ht="41.25" customHeight="1" thickBot="1">
      <c r="A180" s="624" t="s">
        <v>532</v>
      </c>
      <c r="B180" s="430"/>
      <c r="C180" s="431"/>
      <c r="D180" s="431"/>
      <c r="E180" s="431"/>
      <c r="F180" s="335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432"/>
      <c r="S180" s="432"/>
      <c r="T180" s="432"/>
      <c r="U180" s="432"/>
      <c r="V180" s="432"/>
      <c r="W180" s="432"/>
      <c r="X180" s="432"/>
      <c r="Y180" s="432"/>
      <c r="Z180" s="432"/>
      <c r="AA180" s="432"/>
      <c r="AB180" s="432"/>
      <c r="AC180" s="432"/>
      <c r="AD180" s="432"/>
      <c r="AE180" s="432"/>
      <c r="AF180" s="432"/>
      <c r="AG180" s="432"/>
      <c r="AH180" s="432"/>
      <c r="AI180" s="432"/>
      <c r="AJ180" s="432"/>
      <c r="AK180" s="432"/>
      <c r="AL180" s="432"/>
      <c r="AM180" s="432"/>
      <c r="AN180" s="432"/>
      <c r="AO180" s="432"/>
      <c r="AP180" s="432"/>
      <c r="AQ180" s="432"/>
      <c r="AR180" s="432"/>
      <c r="AS180" s="432"/>
      <c r="AT180" s="432"/>
      <c r="AU180" s="432"/>
      <c r="AV180" s="432"/>
      <c r="AW180" s="432"/>
      <c r="AX180" s="432"/>
      <c r="AY180" s="432"/>
      <c r="AZ180" s="432"/>
      <c r="BA180" s="432"/>
      <c r="BB180" s="432"/>
      <c r="BC180" s="432"/>
      <c r="BD180" s="432"/>
      <c r="BE180" s="432"/>
      <c r="BF180" s="432"/>
      <c r="BG180" s="432"/>
      <c r="BH180" s="432"/>
      <c r="BI180" s="432"/>
      <c r="BJ180" s="432"/>
      <c r="BK180" s="432"/>
      <c r="BL180" s="432"/>
      <c r="BM180" s="432"/>
      <c r="BN180" s="432"/>
      <c r="BO180" s="432"/>
      <c r="BP180" s="432"/>
      <c r="BQ180" s="432"/>
      <c r="BR180" s="432"/>
      <c r="BS180" s="432"/>
      <c r="BT180" s="432"/>
      <c r="BU180" s="432"/>
    </row>
    <row r="181" spans="1:73" s="428" customFormat="1" ht="59.25" customHeight="1" thickBot="1">
      <c r="A181" s="429" t="s">
        <v>533</v>
      </c>
      <c r="B181" s="424">
        <f>12155000-434</f>
        <v>12154566</v>
      </c>
      <c r="C181" s="431"/>
      <c r="D181" s="431"/>
      <c r="E181" s="431"/>
      <c r="F181" s="335"/>
      <c r="G181" s="426"/>
      <c r="H181" s="426"/>
      <c r="I181" s="426"/>
      <c r="J181" s="426"/>
      <c r="K181" s="426"/>
      <c r="L181" s="426"/>
      <c r="M181" s="426"/>
      <c r="N181" s="426"/>
      <c r="O181" s="426"/>
      <c r="P181" s="426"/>
      <c r="Q181" s="426"/>
      <c r="R181" s="426"/>
      <c r="S181" s="426"/>
      <c r="T181" s="426"/>
      <c r="U181" s="426"/>
      <c r="V181" s="426"/>
      <c r="W181" s="426"/>
      <c r="X181" s="426"/>
      <c r="Y181" s="426"/>
      <c r="Z181" s="426"/>
      <c r="AA181" s="426"/>
      <c r="AB181" s="426"/>
      <c r="AC181" s="426"/>
      <c r="AD181" s="426"/>
      <c r="AE181" s="426"/>
      <c r="AF181" s="426"/>
      <c r="AG181" s="426"/>
      <c r="AH181" s="426"/>
      <c r="AI181" s="426"/>
      <c r="AJ181" s="426"/>
      <c r="AK181" s="426"/>
      <c r="AL181" s="426"/>
      <c r="AM181" s="426"/>
      <c r="AN181" s="426"/>
      <c r="AO181" s="426"/>
      <c r="AP181" s="426"/>
      <c r="AQ181" s="426"/>
      <c r="AR181" s="426"/>
      <c r="AS181" s="426"/>
      <c r="AT181" s="426"/>
      <c r="AU181" s="426"/>
      <c r="AV181" s="426"/>
      <c r="AW181" s="426"/>
      <c r="AX181" s="426"/>
      <c r="AY181" s="426"/>
      <c r="AZ181" s="426"/>
      <c r="BA181" s="426"/>
      <c r="BB181" s="426"/>
      <c r="BC181" s="426"/>
      <c r="BD181" s="426"/>
      <c r="BE181" s="426"/>
      <c r="BF181" s="426"/>
      <c r="BG181" s="426"/>
      <c r="BH181" s="426"/>
      <c r="BI181" s="426"/>
      <c r="BJ181" s="426"/>
      <c r="BK181" s="426"/>
      <c r="BL181" s="426"/>
      <c r="BM181" s="426"/>
      <c r="BN181" s="426"/>
      <c r="BO181" s="426"/>
      <c r="BP181" s="426"/>
      <c r="BQ181" s="426"/>
      <c r="BR181" s="426"/>
      <c r="BS181" s="426"/>
      <c r="BT181" s="426"/>
      <c r="BU181" s="426"/>
    </row>
    <row r="182" spans="1:73" s="428" customFormat="1" ht="38.25" thickBot="1">
      <c r="A182" s="624" t="s">
        <v>534</v>
      </c>
      <c r="B182" s="424">
        <f>SUM(B184:B185)</f>
        <v>164375993</v>
      </c>
      <c r="C182" s="431"/>
      <c r="D182" s="431"/>
      <c r="E182" s="431"/>
      <c r="F182" s="335"/>
      <c r="G182" s="426"/>
      <c r="H182" s="426"/>
      <c r="I182" s="426"/>
      <c r="J182" s="426"/>
      <c r="K182" s="426"/>
      <c r="L182" s="426"/>
      <c r="M182" s="426"/>
      <c r="N182" s="426"/>
      <c r="O182" s="426"/>
      <c r="P182" s="426"/>
      <c r="Q182" s="426"/>
      <c r="R182" s="426"/>
      <c r="S182" s="426"/>
      <c r="T182" s="426"/>
      <c r="U182" s="426"/>
      <c r="V182" s="426"/>
      <c r="W182" s="426"/>
      <c r="X182" s="426"/>
      <c r="Y182" s="426"/>
      <c r="Z182" s="426"/>
      <c r="AA182" s="426"/>
      <c r="AB182" s="426"/>
      <c r="AC182" s="426"/>
      <c r="AD182" s="426"/>
      <c r="AE182" s="426"/>
      <c r="AF182" s="426"/>
      <c r="AG182" s="426"/>
      <c r="AH182" s="426"/>
      <c r="AI182" s="426"/>
      <c r="AJ182" s="426"/>
      <c r="AK182" s="426"/>
      <c r="AL182" s="426"/>
      <c r="AM182" s="426"/>
      <c r="AN182" s="426"/>
      <c r="AO182" s="426"/>
      <c r="AP182" s="426"/>
      <c r="AQ182" s="426"/>
      <c r="AR182" s="426"/>
      <c r="AS182" s="426"/>
      <c r="AT182" s="426"/>
      <c r="AU182" s="426"/>
      <c r="AV182" s="426"/>
      <c r="AW182" s="426"/>
      <c r="AX182" s="426"/>
      <c r="AY182" s="426"/>
      <c r="AZ182" s="426"/>
      <c r="BA182" s="426"/>
      <c r="BB182" s="426"/>
      <c r="BC182" s="426"/>
      <c r="BD182" s="426"/>
      <c r="BE182" s="426"/>
      <c r="BF182" s="426"/>
      <c r="BG182" s="426"/>
      <c r="BH182" s="426"/>
      <c r="BI182" s="426"/>
      <c r="BJ182" s="426"/>
      <c r="BK182" s="426"/>
      <c r="BL182" s="426"/>
      <c r="BM182" s="426"/>
      <c r="BN182" s="426"/>
      <c r="BO182" s="426"/>
      <c r="BP182" s="426"/>
      <c r="BQ182" s="426"/>
      <c r="BR182" s="426"/>
      <c r="BS182" s="426"/>
      <c r="BT182" s="426"/>
      <c r="BU182" s="426"/>
    </row>
    <row r="183" spans="1:73" s="428" customFormat="1" ht="22.5" customHeight="1" thickBot="1">
      <c r="A183" s="429" t="s">
        <v>433</v>
      </c>
      <c r="B183" s="424"/>
      <c r="C183" s="431"/>
      <c r="D183" s="431"/>
      <c r="E183" s="431"/>
      <c r="F183" s="335"/>
      <c r="G183" s="426"/>
      <c r="H183" s="426"/>
      <c r="I183" s="426"/>
      <c r="J183" s="426"/>
      <c r="K183" s="426"/>
      <c r="L183" s="426"/>
      <c r="M183" s="426"/>
      <c r="N183" s="426"/>
      <c r="O183" s="426"/>
      <c r="P183" s="426"/>
      <c r="Q183" s="426"/>
      <c r="R183" s="426"/>
      <c r="S183" s="426"/>
      <c r="T183" s="426"/>
      <c r="U183" s="426"/>
      <c r="V183" s="426"/>
      <c r="W183" s="426"/>
      <c r="X183" s="426"/>
      <c r="Y183" s="426"/>
      <c r="Z183" s="426"/>
      <c r="AA183" s="426"/>
      <c r="AB183" s="426"/>
      <c r="AC183" s="426"/>
      <c r="AD183" s="426"/>
      <c r="AE183" s="426"/>
      <c r="AF183" s="426"/>
      <c r="AG183" s="426"/>
      <c r="AH183" s="426"/>
      <c r="AI183" s="426"/>
      <c r="AJ183" s="426"/>
      <c r="AK183" s="426"/>
      <c r="AL183" s="426"/>
      <c r="AM183" s="426"/>
      <c r="AN183" s="426"/>
      <c r="AO183" s="426"/>
      <c r="AP183" s="426"/>
      <c r="AQ183" s="426"/>
      <c r="AR183" s="426"/>
      <c r="AS183" s="426"/>
      <c r="AT183" s="426"/>
      <c r="AU183" s="426"/>
      <c r="AV183" s="426"/>
      <c r="AW183" s="426"/>
      <c r="AX183" s="426"/>
      <c r="AY183" s="426"/>
      <c r="AZ183" s="426"/>
      <c r="BA183" s="426"/>
      <c r="BB183" s="426"/>
      <c r="BC183" s="426"/>
      <c r="BD183" s="426"/>
      <c r="BE183" s="426"/>
      <c r="BF183" s="426"/>
      <c r="BG183" s="426"/>
      <c r="BH183" s="426"/>
      <c r="BI183" s="426"/>
      <c r="BJ183" s="426"/>
      <c r="BK183" s="426"/>
      <c r="BL183" s="426"/>
      <c r="BM183" s="426"/>
      <c r="BN183" s="426"/>
      <c r="BO183" s="426"/>
      <c r="BP183" s="426"/>
      <c r="BQ183" s="426"/>
      <c r="BR183" s="426"/>
      <c r="BS183" s="426"/>
      <c r="BT183" s="426"/>
      <c r="BU183" s="426"/>
    </row>
    <row r="184" spans="1:73" s="428" customFormat="1" ht="22.5" customHeight="1" thickBot="1">
      <c r="A184" s="429" t="s">
        <v>707</v>
      </c>
      <c r="B184" s="424">
        <v>49950000</v>
      </c>
      <c r="C184" s="431"/>
      <c r="D184" s="431"/>
      <c r="E184" s="431"/>
      <c r="F184" s="335"/>
      <c r="G184" s="426"/>
      <c r="H184" s="426"/>
      <c r="I184" s="426"/>
      <c r="J184" s="426"/>
      <c r="K184" s="426"/>
      <c r="L184" s="426"/>
      <c r="M184" s="426"/>
      <c r="N184" s="426"/>
      <c r="O184" s="426"/>
      <c r="P184" s="426"/>
      <c r="Q184" s="426"/>
      <c r="R184" s="426"/>
      <c r="S184" s="426"/>
      <c r="T184" s="426"/>
      <c r="U184" s="426"/>
      <c r="V184" s="426"/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426"/>
      <c r="AG184" s="426"/>
      <c r="AH184" s="426"/>
      <c r="AI184" s="426"/>
      <c r="AJ184" s="426"/>
      <c r="AK184" s="426"/>
      <c r="AL184" s="426"/>
      <c r="AM184" s="426"/>
      <c r="AN184" s="426"/>
      <c r="AO184" s="426"/>
      <c r="AP184" s="426"/>
      <c r="AQ184" s="426"/>
      <c r="AR184" s="426"/>
      <c r="AS184" s="426"/>
      <c r="AT184" s="426"/>
      <c r="AU184" s="426"/>
      <c r="AV184" s="426"/>
      <c r="AW184" s="426"/>
      <c r="AX184" s="426"/>
      <c r="AY184" s="426"/>
      <c r="AZ184" s="426"/>
      <c r="BA184" s="426"/>
      <c r="BB184" s="426"/>
      <c r="BC184" s="426"/>
      <c r="BD184" s="426"/>
      <c r="BE184" s="426"/>
      <c r="BF184" s="426"/>
      <c r="BG184" s="426"/>
      <c r="BH184" s="426"/>
      <c r="BI184" s="426"/>
      <c r="BJ184" s="426"/>
      <c r="BK184" s="426"/>
      <c r="BL184" s="426"/>
      <c r="BM184" s="426"/>
      <c r="BN184" s="426"/>
      <c r="BO184" s="426"/>
      <c r="BP184" s="426"/>
      <c r="BQ184" s="426"/>
      <c r="BR184" s="426"/>
      <c r="BS184" s="426"/>
      <c r="BT184" s="426"/>
      <c r="BU184" s="426"/>
    </row>
    <row r="185" spans="1:73" s="428" customFormat="1" ht="37.5" customHeight="1" thickBot="1">
      <c r="A185" s="429" t="s">
        <v>832</v>
      </c>
      <c r="B185" s="424">
        <f>165954000-328-460419-2103086-25757662-20625194+2583543-5164861</f>
        <v>114425993</v>
      </c>
      <c r="C185" s="431"/>
      <c r="D185" s="431"/>
      <c r="E185" s="431"/>
      <c r="F185" s="335"/>
      <c r="G185" s="426"/>
      <c r="H185" s="426"/>
      <c r="I185" s="426"/>
      <c r="J185" s="426"/>
      <c r="K185" s="426"/>
      <c r="L185" s="426"/>
      <c r="M185" s="426"/>
      <c r="N185" s="426"/>
      <c r="O185" s="426"/>
      <c r="P185" s="426"/>
      <c r="Q185" s="426"/>
      <c r="R185" s="426"/>
      <c r="S185" s="426"/>
      <c r="T185" s="426"/>
      <c r="U185" s="426"/>
      <c r="V185" s="426"/>
      <c r="W185" s="426"/>
      <c r="X185" s="426"/>
      <c r="Y185" s="426"/>
      <c r="Z185" s="426"/>
      <c r="AA185" s="426"/>
      <c r="AB185" s="426"/>
      <c r="AC185" s="426"/>
      <c r="AD185" s="426"/>
      <c r="AE185" s="426"/>
      <c r="AF185" s="426"/>
      <c r="AG185" s="426"/>
      <c r="AH185" s="426"/>
      <c r="AI185" s="426"/>
      <c r="AJ185" s="426"/>
      <c r="AK185" s="426"/>
      <c r="AL185" s="426"/>
      <c r="AM185" s="426"/>
      <c r="AN185" s="426"/>
      <c r="AO185" s="426"/>
      <c r="AP185" s="426"/>
      <c r="AQ185" s="426"/>
      <c r="AR185" s="426"/>
      <c r="AS185" s="426"/>
      <c r="AT185" s="426"/>
      <c r="AU185" s="426"/>
      <c r="AV185" s="426"/>
      <c r="AW185" s="426"/>
      <c r="AX185" s="426"/>
      <c r="AY185" s="426"/>
      <c r="AZ185" s="426"/>
      <c r="BA185" s="426"/>
      <c r="BB185" s="426"/>
      <c r="BC185" s="426"/>
      <c r="BD185" s="426"/>
      <c r="BE185" s="426"/>
      <c r="BF185" s="426"/>
      <c r="BG185" s="426"/>
      <c r="BH185" s="426"/>
      <c r="BI185" s="426"/>
      <c r="BJ185" s="426"/>
      <c r="BK185" s="426"/>
      <c r="BL185" s="426"/>
      <c r="BM185" s="426"/>
      <c r="BN185" s="426"/>
      <c r="BO185" s="426"/>
      <c r="BP185" s="426"/>
      <c r="BQ185" s="426"/>
      <c r="BR185" s="426"/>
      <c r="BS185" s="426"/>
      <c r="BT185" s="426"/>
      <c r="BU185" s="426"/>
    </row>
    <row r="186" spans="1:73" s="450" customFormat="1" ht="37.5" customHeight="1" thickBot="1">
      <c r="A186" s="624" t="s">
        <v>709</v>
      </c>
      <c r="B186" s="424">
        <v>119456054</v>
      </c>
      <c r="C186" s="431"/>
      <c r="D186" s="431"/>
      <c r="E186" s="431"/>
      <c r="F186" s="335"/>
      <c r="G186" s="432"/>
      <c r="H186" s="432"/>
      <c r="I186" s="432"/>
      <c r="J186" s="432"/>
      <c r="K186" s="432"/>
      <c r="L186" s="432"/>
      <c r="M186" s="432"/>
      <c r="N186" s="432"/>
      <c r="O186" s="432"/>
      <c r="P186" s="432"/>
      <c r="Q186" s="432"/>
      <c r="R186" s="432"/>
      <c r="S186" s="432"/>
      <c r="T186" s="432"/>
      <c r="U186" s="432"/>
      <c r="V186" s="432"/>
      <c r="W186" s="432"/>
      <c r="X186" s="432"/>
      <c r="Y186" s="432"/>
      <c r="Z186" s="432"/>
      <c r="AA186" s="432"/>
      <c r="AB186" s="432"/>
      <c r="AC186" s="432"/>
      <c r="AD186" s="432"/>
      <c r="AE186" s="432"/>
      <c r="AF186" s="432"/>
      <c r="AG186" s="432"/>
      <c r="AH186" s="432"/>
      <c r="AI186" s="432"/>
      <c r="AJ186" s="432"/>
      <c r="AK186" s="432"/>
      <c r="AL186" s="432"/>
      <c r="AM186" s="432"/>
      <c r="AN186" s="432"/>
      <c r="AO186" s="432"/>
      <c r="AP186" s="432"/>
      <c r="AQ186" s="432"/>
      <c r="AR186" s="432"/>
      <c r="AS186" s="432"/>
      <c r="AT186" s="432"/>
      <c r="AU186" s="432"/>
      <c r="AV186" s="432"/>
      <c r="AW186" s="432"/>
      <c r="AX186" s="432"/>
      <c r="AY186" s="432"/>
      <c r="AZ186" s="432"/>
      <c r="BA186" s="432"/>
      <c r="BB186" s="432"/>
      <c r="BC186" s="432"/>
      <c r="BD186" s="432"/>
      <c r="BE186" s="432"/>
      <c r="BF186" s="432"/>
      <c r="BG186" s="432"/>
      <c r="BH186" s="432"/>
      <c r="BI186" s="432"/>
      <c r="BJ186" s="432"/>
      <c r="BK186" s="432"/>
      <c r="BL186" s="432"/>
      <c r="BM186" s="432"/>
      <c r="BN186" s="432"/>
      <c r="BO186" s="432"/>
      <c r="BP186" s="432"/>
      <c r="BQ186" s="432"/>
      <c r="BR186" s="432"/>
      <c r="BS186" s="432"/>
      <c r="BT186" s="432"/>
      <c r="BU186" s="432"/>
    </row>
    <row r="187" spans="1:73" s="450" customFormat="1" ht="64.5" customHeight="1" thickBot="1">
      <c r="A187" s="624" t="s">
        <v>710</v>
      </c>
      <c r="B187" s="424">
        <v>28337952</v>
      </c>
      <c r="C187" s="431"/>
      <c r="D187" s="431"/>
      <c r="E187" s="431"/>
      <c r="F187" s="335"/>
      <c r="G187" s="432"/>
      <c r="H187" s="432"/>
      <c r="I187" s="432"/>
      <c r="J187" s="432"/>
      <c r="K187" s="432"/>
      <c r="L187" s="432"/>
      <c r="M187" s="432"/>
      <c r="N187" s="432"/>
      <c r="O187" s="432"/>
      <c r="P187" s="432"/>
      <c r="Q187" s="432"/>
      <c r="R187" s="432"/>
      <c r="S187" s="432"/>
      <c r="T187" s="432"/>
      <c r="U187" s="432"/>
      <c r="V187" s="432"/>
      <c r="W187" s="432"/>
      <c r="X187" s="432"/>
      <c r="Y187" s="432"/>
      <c r="Z187" s="432"/>
      <c r="AA187" s="432"/>
      <c r="AB187" s="432"/>
      <c r="AC187" s="432"/>
      <c r="AD187" s="432"/>
      <c r="AE187" s="432"/>
      <c r="AF187" s="432"/>
      <c r="AG187" s="432"/>
      <c r="AH187" s="432"/>
      <c r="AI187" s="432"/>
      <c r="AJ187" s="432"/>
      <c r="AK187" s="432"/>
      <c r="AL187" s="432"/>
      <c r="AM187" s="432"/>
      <c r="AN187" s="432"/>
      <c r="AO187" s="432"/>
      <c r="AP187" s="432"/>
      <c r="AQ187" s="432"/>
      <c r="AR187" s="432"/>
      <c r="AS187" s="432"/>
      <c r="AT187" s="432"/>
      <c r="AU187" s="432"/>
      <c r="AV187" s="432"/>
      <c r="AW187" s="432"/>
      <c r="AX187" s="432"/>
      <c r="AY187" s="432"/>
      <c r="AZ187" s="432"/>
      <c r="BA187" s="432"/>
      <c r="BB187" s="432"/>
      <c r="BC187" s="432"/>
      <c r="BD187" s="432"/>
      <c r="BE187" s="432"/>
      <c r="BF187" s="432"/>
      <c r="BG187" s="432"/>
      <c r="BH187" s="432"/>
      <c r="BI187" s="432"/>
      <c r="BJ187" s="432"/>
      <c r="BK187" s="432"/>
      <c r="BL187" s="432"/>
      <c r="BM187" s="432"/>
      <c r="BN187" s="432"/>
      <c r="BO187" s="432"/>
      <c r="BP187" s="432"/>
      <c r="BQ187" s="432"/>
      <c r="BR187" s="432"/>
      <c r="BS187" s="432"/>
      <c r="BT187" s="432"/>
      <c r="BU187" s="432"/>
    </row>
    <row r="188" spans="1:73" s="450" customFormat="1" ht="37.5" customHeight="1" thickBot="1">
      <c r="A188" s="474" t="s">
        <v>686</v>
      </c>
      <c r="B188" s="475">
        <f>468035127-2476500</f>
        <v>465558627</v>
      </c>
      <c r="C188" s="476"/>
      <c r="D188" s="476"/>
      <c r="E188" s="476"/>
      <c r="F188" s="481"/>
      <c r="G188" s="432"/>
      <c r="H188" s="432"/>
      <c r="I188" s="432"/>
      <c r="J188" s="432"/>
      <c r="K188" s="432"/>
      <c r="L188" s="432"/>
      <c r="M188" s="432"/>
      <c r="N188" s="432"/>
      <c r="O188" s="432"/>
      <c r="P188" s="432"/>
      <c r="Q188" s="432"/>
      <c r="R188" s="432"/>
      <c r="S188" s="432"/>
      <c r="T188" s="432"/>
      <c r="U188" s="432"/>
      <c r="V188" s="432"/>
      <c r="W188" s="432"/>
      <c r="X188" s="432"/>
      <c r="Y188" s="432"/>
      <c r="Z188" s="432"/>
      <c r="AA188" s="432"/>
      <c r="AB188" s="432"/>
      <c r="AC188" s="432"/>
      <c r="AD188" s="432"/>
      <c r="AE188" s="432"/>
      <c r="AF188" s="432"/>
      <c r="AG188" s="432"/>
      <c r="AH188" s="432"/>
      <c r="AI188" s="432"/>
      <c r="AJ188" s="432"/>
      <c r="AK188" s="432"/>
      <c r="AL188" s="432"/>
      <c r="AM188" s="432"/>
      <c r="AN188" s="432"/>
      <c r="AO188" s="432"/>
      <c r="AP188" s="432"/>
      <c r="AQ188" s="432"/>
      <c r="AR188" s="432"/>
      <c r="AS188" s="432"/>
      <c r="AT188" s="432"/>
      <c r="AU188" s="432"/>
      <c r="AV188" s="432"/>
      <c r="AW188" s="432"/>
      <c r="AX188" s="432"/>
      <c r="AY188" s="432"/>
      <c r="AZ188" s="432"/>
      <c r="BA188" s="432"/>
      <c r="BB188" s="432"/>
      <c r="BC188" s="432"/>
      <c r="BD188" s="432"/>
      <c r="BE188" s="432"/>
      <c r="BF188" s="432"/>
      <c r="BG188" s="432"/>
      <c r="BH188" s="432"/>
      <c r="BI188" s="432"/>
      <c r="BJ188" s="432"/>
      <c r="BK188" s="432"/>
      <c r="BL188" s="432"/>
      <c r="BM188" s="432"/>
      <c r="BN188" s="432"/>
      <c r="BO188" s="432"/>
      <c r="BP188" s="432"/>
      <c r="BQ188" s="432"/>
      <c r="BR188" s="432"/>
      <c r="BS188" s="432"/>
      <c r="BT188" s="432"/>
      <c r="BU188" s="432"/>
    </row>
    <row r="189" spans="1:73" s="434" customFormat="1" ht="52.5" customHeight="1" thickBot="1">
      <c r="A189" s="624" t="s">
        <v>711</v>
      </c>
      <c r="B189" s="435">
        <f>189089200-1821600</f>
        <v>187267600</v>
      </c>
      <c r="C189" s="431"/>
      <c r="D189" s="431"/>
      <c r="E189" s="431"/>
      <c r="F189" s="335"/>
      <c r="G189" s="432"/>
      <c r="H189" s="432"/>
      <c r="I189" s="432"/>
      <c r="J189" s="432"/>
      <c r="K189" s="432"/>
      <c r="L189" s="432"/>
      <c r="M189" s="432"/>
      <c r="N189" s="432"/>
      <c r="O189" s="432"/>
      <c r="P189" s="432"/>
      <c r="Q189" s="432"/>
      <c r="R189" s="432"/>
      <c r="S189" s="432"/>
      <c r="T189" s="432"/>
      <c r="U189" s="432"/>
      <c r="V189" s="432"/>
      <c r="W189" s="432"/>
      <c r="X189" s="432"/>
      <c r="Y189" s="432"/>
      <c r="Z189" s="432"/>
      <c r="AA189" s="432"/>
      <c r="AB189" s="432"/>
      <c r="AC189" s="432"/>
      <c r="AD189" s="432"/>
      <c r="AE189" s="432"/>
      <c r="AF189" s="432"/>
      <c r="AG189" s="432"/>
      <c r="AH189" s="432"/>
      <c r="AI189" s="432"/>
      <c r="AJ189" s="432"/>
      <c r="AK189" s="432"/>
      <c r="AL189" s="432"/>
      <c r="AM189" s="432"/>
      <c r="AN189" s="432"/>
      <c r="AO189" s="432"/>
      <c r="AP189" s="432"/>
      <c r="AQ189" s="432"/>
      <c r="AR189" s="432"/>
      <c r="AS189" s="432"/>
      <c r="AT189" s="432"/>
      <c r="AU189" s="432"/>
      <c r="AV189" s="432"/>
      <c r="AW189" s="432"/>
      <c r="AX189" s="432"/>
      <c r="AY189" s="432"/>
      <c r="AZ189" s="432"/>
      <c r="BA189" s="432"/>
      <c r="BB189" s="432"/>
      <c r="BC189" s="432"/>
      <c r="BD189" s="432"/>
      <c r="BE189" s="432"/>
      <c r="BF189" s="432"/>
      <c r="BG189" s="432"/>
      <c r="BH189" s="432"/>
      <c r="BI189" s="432"/>
      <c r="BJ189" s="432"/>
      <c r="BK189" s="432"/>
      <c r="BL189" s="432"/>
      <c r="BM189" s="432"/>
      <c r="BN189" s="432"/>
      <c r="BO189" s="432"/>
      <c r="BP189" s="432"/>
      <c r="BQ189" s="432"/>
      <c r="BR189" s="432"/>
      <c r="BS189" s="432"/>
      <c r="BT189" s="432"/>
      <c r="BU189" s="432"/>
    </row>
    <row r="190" spans="1:73" s="434" customFormat="1" ht="52.5" customHeight="1" thickBot="1">
      <c r="A190" s="341" t="s">
        <v>712</v>
      </c>
      <c r="B190" s="664">
        <f>236298633-5759393</f>
        <v>230539240</v>
      </c>
      <c r="C190" s="431"/>
      <c r="D190" s="431"/>
      <c r="E190" s="431"/>
      <c r="F190" s="335"/>
      <c r="G190" s="432"/>
      <c r="H190" s="432"/>
      <c r="I190" s="432"/>
      <c r="J190" s="432"/>
      <c r="K190" s="432"/>
      <c r="L190" s="432"/>
      <c r="M190" s="432"/>
      <c r="N190" s="432"/>
      <c r="O190" s="432"/>
      <c r="P190" s="432"/>
      <c r="Q190" s="432"/>
      <c r="R190" s="432"/>
      <c r="S190" s="432"/>
      <c r="T190" s="432"/>
      <c r="U190" s="432"/>
      <c r="V190" s="432"/>
      <c r="W190" s="432"/>
      <c r="X190" s="432"/>
      <c r="Y190" s="432"/>
      <c r="Z190" s="432"/>
      <c r="AA190" s="432"/>
      <c r="AB190" s="432"/>
      <c r="AC190" s="432"/>
      <c r="AD190" s="432"/>
      <c r="AE190" s="432"/>
      <c r="AF190" s="432"/>
      <c r="AG190" s="432"/>
      <c r="AH190" s="432"/>
      <c r="AI190" s="432"/>
      <c r="AJ190" s="432"/>
      <c r="AK190" s="432"/>
      <c r="AL190" s="432"/>
      <c r="AM190" s="432"/>
      <c r="AN190" s="432"/>
      <c r="AO190" s="432"/>
      <c r="AP190" s="432"/>
      <c r="AQ190" s="432"/>
      <c r="AR190" s="432"/>
      <c r="AS190" s="432"/>
      <c r="AT190" s="432"/>
      <c r="AU190" s="432"/>
      <c r="AV190" s="432"/>
      <c r="AW190" s="432"/>
      <c r="AX190" s="432"/>
      <c r="AY190" s="432"/>
      <c r="AZ190" s="432"/>
      <c r="BA190" s="432"/>
      <c r="BB190" s="432"/>
      <c r="BC190" s="432"/>
      <c r="BD190" s="432"/>
      <c r="BE190" s="432"/>
      <c r="BF190" s="432"/>
      <c r="BG190" s="432"/>
      <c r="BH190" s="432"/>
      <c r="BI190" s="432"/>
      <c r="BJ190" s="432"/>
      <c r="BK190" s="432"/>
      <c r="BL190" s="432"/>
      <c r="BM190" s="432"/>
      <c r="BN190" s="432"/>
      <c r="BO190" s="432"/>
      <c r="BP190" s="432"/>
      <c r="BQ190" s="432"/>
      <c r="BR190" s="432"/>
      <c r="BS190" s="432"/>
      <c r="BT190" s="432"/>
      <c r="BU190" s="432"/>
    </row>
    <row r="191" spans="1:73" s="434" customFormat="1" ht="52.5" customHeight="1" thickBot="1">
      <c r="A191" s="341" t="s">
        <v>713</v>
      </c>
      <c r="B191" s="664">
        <f>195200000-13123000</f>
        <v>182077000</v>
      </c>
      <c r="C191" s="431"/>
      <c r="D191" s="431"/>
      <c r="E191" s="431"/>
      <c r="F191" s="335"/>
      <c r="G191" s="432"/>
      <c r="H191" s="432"/>
      <c r="I191" s="432"/>
      <c r="J191" s="432"/>
      <c r="K191" s="432"/>
      <c r="L191" s="432"/>
      <c r="M191" s="432"/>
      <c r="N191" s="432"/>
      <c r="O191" s="432"/>
      <c r="P191" s="432"/>
      <c r="Q191" s="432"/>
      <c r="R191" s="432"/>
      <c r="S191" s="432"/>
      <c r="T191" s="432"/>
      <c r="U191" s="432"/>
      <c r="V191" s="432"/>
      <c r="W191" s="432"/>
      <c r="X191" s="432"/>
      <c r="Y191" s="432"/>
      <c r="Z191" s="432"/>
      <c r="AA191" s="432"/>
      <c r="AB191" s="432"/>
      <c r="AC191" s="432"/>
      <c r="AD191" s="432"/>
      <c r="AE191" s="432"/>
      <c r="AF191" s="432"/>
      <c r="AG191" s="432"/>
      <c r="AH191" s="432"/>
      <c r="AI191" s="432"/>
      <c r="AJ191" s="432"/>
      <c r="AK191" s="432"/>
      <c r="AL191" s="432"/>
      <c r="AM191" s="432"/>
      <c r="AN191" s="432"/>
      <c r="AO191" s="432"/>
      <c r="AP191" s="432"/>
      <c r="AQ191" s="432"/>
      <c r="AR191" s="432"/>
      <c r="AS191" s="432"/>
      <c r="AT191" s="432"/>
      <c r="AU191" s="432"/>
      <c r="AV191" s="432"/>
      <c r="AW191" s="432"/>
      <c r="AX191" s="432"/>
      <c r="AY191" s="432"/>
      <c r="AZ191" s="432"/>
      <c r="BA191" s="432"/>
      <c r="BB191" s="432"/>
      <c r="BC191" s="432"/>
      <c r="BD191" s="432"/>
      <c r="BE191" s="432"/>
      <c r="BF191" s="432"/>
      <c r="BG191" s="432"/>
      <c r="BH191" s="432"/>
      <c r="BI191" s="432"/>
      <c r="BJ191" s="432"/>
      <c r="BK191" s="432"/>
      <c r="BL191" s="432"/>
      <c r="BM191" s="432"/>
      <c r="BN191" s="432"/>
      <c r="BO191" s="432"/>
      <c r="BP191" s="432"/>
      <c r="BQ191" s="432"/>
      <c r="BR191" s="432"/>
      <c r="BS191" s="432"/>
      <c r="BT191" s="432"/>
      <c r="BU191" s="432"/>
    </row>
    <row r="192" spans="1:73" s="434" customFormat="1" ht="52.5" customHeight="1" thickBot="1">
      <c r="A192" s="665" t="s">
        <v>690</v>
      </c>
      <c r="B192" s="666">
        <v>838906063</v>
      </c>
      <c r="C192" s="431"/>
      <c r="D192" s="431"/>
      <c r="E192" s="431"/>
      <c r="F192" s="335"/>
      <c r="G192" s="432"/>
      <c r="H192" s="432"/>
      <c r="I192" s="432"/>
      <c r="J192" s="432"/>
      <c r="K192" s="432"/>
      <c r="L192" s="432"/>
      <c r="M192" s="432"/>
      <c r="N192" s="432"/>
      <c r="O192" s="432"/>
      <c r="P192" s="432"/>
      <c r="Q192" s="432"/>
      <c r="R192" s="432"/>
      <c r="S192" s="432"/>
      <c r="T192" s="432"/>
      <c r="U192" s="432"/>
      <c r="V192" s="432"/>
      <c r="W192" s="432"/>
      <c r="X192" s="432"/>
      <c r="Y192" s="432"/>
      <c r="Z192" s="432"/>
      <c r="AA192" s="432"/>
      <c r="AB192" s="432"/>
      <c r="AC192" s="432"/>
      <c r="AD192" s="432"/>
      <c r="AE192" s="432"/>
      <c r="AF192" s="432"/>
      <c r="AG192" s="432"/>
      <c r="AH192" s="432"/>
      <c r="AI192" s="432"/>
      <c r="AJ192" s="432"/>
      <c r="AK192" s="432"/>
      <c r="AL192" s="432"/>
      <c r="AM192" s="432"/>
      <c r="AN192" s="432"/>
      <c r="AO192" s="432"/>
      <c r="AP192" s="432"/>
      <c r="AQ192" s="432"/>
      <c r="AR192" s="432"/>
      <c r="AS192" s="432"/>
      <c r="AT192" s="432"/>
      <c r="AU192" s="432"/>
      <c r="AV192" s="432"/>
      <c r="AW192" s="432"/>
      <c r="AX192" s="432"/>
      <c r="AY192" s="432"/>
      <c r="AZ192" s="432"/>
      <c r="BA192" s="432"/>
      <c r="BB192" s="432"/>
      <c r="BC192" s="432"/>
      <c r="BD192" s="432"/>
      <c r="BE192" s="432"/>
      <c r="BF192" s="432"/>
      <c r="BG192" s="432"/>
      <c r="BH192" s="432"/>
      <c r="BI192" s="432"/>
      <c r="BJ192" s="432"/>
      <c r="BK192" s="432"/>
      <c r="BL192" s="432"/>
      <c r="BM192" s="432"/>
      <c r="BN192" s="432"/>
      <c r="BO192" s="432"/>
      <c r="BP192" s="432"/>
      <c r="BQ192" s="432"/>
      <c r="BR192" s="432"/>
      <c r="BS192" s="432"/>
      <c r="BT192" s="432"/>
      <c r="BU192" s="432"/>
    </row>
    <row r="193" spans="1:73" s="442" customFormat="1" ht="38.25" customHeight="1" thickBot="1">
      <c r="A193" s="438" t="s">
        <v>535</v>
      </c>
      <c r="B193" s="439"/>
      <c r="C193" s="440">
        <v>52044000</v>
      </c>
      <c r="D193" s="440">
        <f>SUM(B194)</f>
        <v>52044365</v>
      </c>
      <c r="E193" s="440">
        <v>52044365</v>
      </c>
      <c r="F193" s="345">
        <f>E193/D193</f>
        <v>1</v>
      </c>
      <c r="G193" s="441"/>
      <c r="H193" s="441"/>
      <c r="I193" s="441"/>
      <c r="J193" s="441"/>
      <c r="K193" s="441"/>
      <c r="L193" s="441"/>
      <c r="M193" s="441"/>
      <c r="N193" s="441"/>
      <c r="O193" s="441"/>
      <c r="P193" s="441"/>
      <c r="Q193" s="441"/>
      <c r="R193" s="441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1"/>
      <c r="AT193" s="441"/>
      <c r="AU193" s="441"/>
      <c r="AV193" s="441"/>
      <c r="AW193" s="441"/>
      <c r="AX193" s="441"/>
      <c r="AY193" s="441"/>
      <c r="AZ193" s="441"/>
      <c r="BA193" s="441"/>
      <c r="BB193" s="441"/>
      <c r="BC193" s="441"/>
      <c r="BD193" s="441"/>
      <c r="BE193" s="441"/>
      <c r="BF193" s="441"/>
      <c r="BG193" s="441"/>
      <c r="BH193" s="441"/>
      <c r="BI193" s="441"/>
      <c r="BJ193" s="441"/>
      <c r="BK193" s="441"/>
      <c r="BL193" s="441"/>
      <c r="BM193" s="441"/>
      <c r="BN193" s="441"/>
      <c r="BO193" s="441"/>
      <c r="BP193" s="441"/>
      <c r="BQ193" s="441"/>
      <c r="BR193" s="441"/>
      <c r="BS193" s="441"/>
      <c r="BT193" s="441"/>
      <c r="BU193" s="441"/>
    </row>
    <row r="194" spans="1:73" s="442" customFormat="1" ht="38.25" customHeight="1" thickBot="1">
      <c r="A194" s="438" t="s">
        <v>833</v>
      </c>
      <c r="B194" s="445">
        <f>52044000+365</f>
        <v>52044365</v>
      </c>
      <c r="C194" s="440"/>
      <c r="D194" s="440"/>
      <c r="E194" s="440"/>
      <c r="F194" s="345"/>
      <c r="G194" s="441"/>
      <c r="H194" s="441"/>
      <c r="I194" s="441"/>
      <c r="J194" s="441"/>
      <c r="K194" s="441"/>
      <c r="L194" s="441"/>
      <c r="M194" s="441"/>
      <c r="N194" s="441"/>
      <c r="O194" s="441"/>
      <c r="P194" s="441"/>
      <c r="Q194" s="441"/>
      <c r="R194" s="441"/>
      <c r="S194" s="441"/>
      <c r="T194" s="441"/>
      <c r="U194" s="441"/>
      <c r="V194" s="441"/>
      <c r="W194" s="441"/>
      <c r="X194" s="441"/>
      <c r="Y194" s="441"/>
      <c r="Z194" s="441"/>
      <c r="AA194" s="441"/>
      <c r="AB194" s="441"/>
      <c r="AC194" s="441"/>
      <c r="AD194" s="441"/>
      <c r="AE194" s="441"/>
      <c r="AF194" s="441"/>
      <c r="AG194" s="441"/>
      <c r="AH194" s="441"/>
      <c r="AI194" s="441"/>
      <c r="AJ194" s="441"/>
      <c r="AK194" s="441"/>
      <c r="AL194" s="441"/>
      <c r="AM194" s="441"/>
      <c r="AN194" s="441"/>
      <c r="AO194" s="441"/>
      <c r="AP194" s="441"/>
      <c r="AQ194" s="441"/>
      <c r="AR194" s="441"/>
      <c r="AS194" s="441"/>
      <c r="AT194" s="441"/>
      <c r="AU194" s="441"/>
      <c r="AV194" s="441"/>
      <c r="AW194" s="441"/>
      <c r="AX194" s="441"/>
      <c r="AY194" s="441"/>
      <c r="AZ194" s="441"/>
      <c r="BA194" s="441"/>
      <c r="BB194" s="441"/>
      <c r="BC194" s="441"/>
      <c r="BD194" s="441"/>
      <c r="BE194" s="441"/>
      <c r="BF194" s="441"/>
      <c r="BG194" s="441"/>
      <c r="BH194" s="441"/>
      <c r="BI194" s="441"/>
      <c r="BJ194" s="441"/>
      <c r="BK194" s="441"/>
      <c r="BL194" s="441"/>
      <c r="BM194" s="441"/>
      <c r="BN194" s="441"/>
      <c r="BO194" s="441"/>
      <c r="BP194" s="441"/>
      <c r="BQ194" s="441"/>
      <c r="BR194" s="441"/>
      <c r="BS194" s="441"/>
      <c r="BT194" s="441"/>
      <c r="BU194" s="441"/>
    </row>
    <row r="195" spans="1:73" s="303" customFormat="1" ht="33" customHeight="1" thickBot="1">
      <c r="A195" s="667" t="s">
        <v>536</v>
      </c>
      <c r="B195" s="668"/>
      <c r="C195" s="663">
        <f>SUM(C174:C193)</f>
        <v>2833338000</v>
      </c>
      <c r="D195" s="663">
        <f>SUM(D174:D193)</f>
        <v>5770442040</v>
      </c>
      <c r="E195" s="663">
        <f t="shared" ref="E195" si="9">SUM(E174:E193)</f>
        <v>2995326919</v>
      </c>
      <c r="F195" s="746">
        <f>SUM(E195/D195)</f>
        <v>0.51908101636525583</v>
      </c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  <c r="AA195" s="301"/>
      <c r="AB195" s="301"/>
      <c r="AC195" s="301"/>
      <c r="AD195" s="301"/>
      <c r="AE195" s="301"/>
      <c r="AF195" s="301"/>
      <c r="AG195" s="301"/>
      <c r="AH195" s="301"/>
      <c r="AI195" s="301"/>
      <c r="AJ195" s="301"/>
      <c r="AK195" s="301"/>
      <c r="AL195" s="301"/>
      <c r="AM195" s="301"/>
      <c r="AN195" s="301"/>
      <c r="AO195" s="301"/>
      <c r="AP195" s="301"/>
      <c r="AQ195" s="301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  <c r="BE195" s="301"/>
      <c r="BF195" s="301"/>
      <c r="BG195" s="301"/>
      <c r="BH195" s="301"/>
      <c r="BI195" s="301"/>
      <c r="BJ195" s="301"/>
      <c r="BK195" s="301"/>
      <c r="BL195" s="301"/>
      <c r="BM195" s="301"/>
      <c r="BN195" s="301"/>
      <c r="BO195" s="301"/>
      <c r="BP195" s="301"/>
      <c r="BQ195" s="301"/>
      <c r="BR195" s="301"/>
      <c r="BS195" s="301"/>
      <c r="BT195" s="301"/>
      <c r="BU195" s="301"/>
    </row>
    <row r="196" spans="1:73" s="426" customFormat="1" ht="93" customHeight="1" thickBot="1">
      <c r="A196" s="444"/>
      <c r="B196" s="444"/>
      <c r="C196" s="304"/>
      <c r="D196" s="304">
        <f>SUM('12. sz. melléklet'!E272)</f>
        <v>2995326919</v>
      </c>
      <c r="E196" s="304">
        <f>SUM(E195)</f>
        <v>2995326919</v>
      </c>
      <c r="F196" s="304"/>
    </row>
    <row r="197" spans="1:73" ht="33" customHeight="1" thickBot="1">
      <c r="A197" s="305"/>
      <c r="B197" s="306"/>
      <c r="C197" s="307"/>
      <c r="D197" s="307"/>
      <c r="E197" s="307"/>
      <c r="F197" s="747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</row>
    <row r="198" spans="1:73" ht="30.75" customHeight="1" thickBot="1">
      <c r="A198" s="310"/>
      <c r="B198" s="311"/>
      <c r="C198" s="307"/>
      <c r="D198" s="307"/>
      <c r="E198" s="307"/>
      <c r="F198" s="747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</row>
    <row r="199" spans="1:73" ht="34.5" customHeight="1" thickBot="1">
      <c r="A199" s="305"/>
      <c r="B199" s="312"/>
      <c r="C199" s="313"/>
      <c r="D199" s="313"/>
      <c r="E199" s="313"/>
      <c r="F199" s="739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</row>
    <row r="200" spans="1:73" ht="15.75" customHeight="1" thickBot="1">
      <c r="A200" s="310"/>
      <c r="B200" s="311"/>
      <c r="C200" s="313"/>
      <c r="D200" s="313"/>
      <c r="E200" s="313"/>
      <c r="F200" s="739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</row>
    <row r="201" spans="1:73" ht="15.75" customHeight="1" thickBot="1">
      <c r="A201" s="310"/>
      <c r="B201" s="311"/>
      <c r="C201" s="313"/>
      <c r="D201" s="313"/>
      <c r="E201" s="313"/>
      <c r="F201" s="739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</row>
    <row r="202" spans="1:73" ht="15.75" customHeight="1" thickBot="1">
      <c r="A202" s="310"/>
      <c r="B202" s="311"/>
      <c r="C202" s="313"/>
      <c r="D202" s="313"/>
      <c r="E202" s="313"/>
      <c r="F202" s="739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</row>
    <row r="203" spans="1:73" ht="15.75" customHeight="1" thickBot="1">
      <c r="A203" s="310"/>
      <c r="B203" s="310"/>
      <c r="C203" s="313"/>
      <c r="D203" s="313"/>
      <c r="E203" s="313"/>
      <c r="F203" s="739"/>
      <c r="I203" s="755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</row>
    <row r="204" spans="1:73" ht="15.75" customHeight="1" thickBot="1">
      <c r="A204" s="310"/>
      <c r="B204" s="310"/>
      <c r="C204" s="313"/>
      <c r="D204" s="313"/>
      <c r="E204" s="313"/>
      <c r="F204" s="739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</row>
    <row r="205" spans="1:73" ht="15.75" customHeight="1" thickBot="1">
      <c r="A205" s="310"/>
      <c r="B205" s="310"/>
      <c r="C205" s="313"/>
      <c r="D205" s="313"/>
      <c r="E205" s="313"/>
      <c r="F205" s="739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</row>
    <row r="206" spans="1:73" ht="15.75" customHeight="1" thickBot="1">
      <c r="A206" s="310"/>
      <c r="B206" s="310"/>
      <c r="C206" s="313"/>
      <c r="D206" s="313"/>
      <c r="E206" s="313"/>
      <c r="F206" s="739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</row>
    <row r="207" spans="1:73" ht="15.75" customHeight="1" thickBot="1">
      <c r="A207" s="310"/>
      <c r="B207" s="310"/>
      <c r="C207" s="313"/>
      <c r="D207" s="313"/>
      <c r="E207" s="313"/>
      <c r="F207" s="739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</row>
    <row r="208" spans="1:73" ht="15.75" customHeight="1" thickBot="1">
      <c r="A208" s="310"/>
      <c r="B208" s="310"/>
      <c r="C208" s="313"/>
      <c r="D208" s="313"/>
      <c r="E208" s="313"/>
      <c r="F208" s="739"/>
      <c r="AO208" s="292"/>
      <c r="AP208" s="292"/>
      <c r="AQ208" s="292"/>
      <c r="AR208" s="292"/>
      <c r="AS208" s="292"/>
      <c r="AT208" s="292"/>
      <c r="AU208" s="292"/>
      <c r="AV208" s="292"/>
      <c r="AW208" s="292"/>
      <c r="AX208" s="292"/>
      <c r="AY208" s="292"/>
      <c r="AZ208" s="292"/>
      <c r="BA208" s="292"/>
      <c r="BB208" s="292"/>
      <c r="BC208" s="292"/>
      <c r="BD208" s="292"/>
      <c r="BE208" s="292"/>
      <c r="BF208" s="292"/>
      <c r="BG208" s="292"/>
      <c r="BH208" s="292"/>
      <c r="BI208" s="292"/>
      <c r="BJ208" s="292"/>
      <c r="BK208" s="292"/>
      <c r="BL208" s="292"/>
      <c r="BM208" s="292"/>
      <c r="BN208" s="292"/>
      <c r="BO208" s="292"/>
      <c r="BP208" s="292"/>
      <c r="BQ208" s="292"/>
      <c r="BR208" s="292"/>
      <c r="BS208" s="292"/>
      <c r="BT208" s="292"/>
      <c r="BU208" s="292"/>
    </row>
    <row r="209" spans="1:73" ht="15.75" customHeight="1" thickBot="1">
      <c r="A209" s="310"/>
      <c r="B209" s="310"/>
      <c r="C209" s="313"/>
      <c r="D209" s="313"/>
      <c r="E209" s="313"/>
      <c r="F209" s="739"/>
      <c r="AO209" s="292"/>
      <c r="AP209" s="292"/>
      <c r="AQ209" s="292"/>
      <c r="AR209" s="292"/>
      <c r="AS209" s="292"/>
      <c r="AT209" s="292"/>
      <c r="AU209" s="292"/>
      <c r="AV209" s="292"/>
      <c r="AW209" s="292"/>
      <c r="AX209" s="292"/>
      <c r="AY209" s="292"/>
      <c r="AZ209" s="292"/>
      <c r="BA209" s="292"/>
      <c r="BB209" s="292"/>
      <c r="BC209" s="292"/>
      <c r="BD209" s="292"/>
      <c r="BE209" s="292"/>
      <c r="BF209" s="292"/>
      <c r="BG209" s="292"/>
      <c r="BH209" s="292"/>
      <c r="BI209" s="292"/>
      <c r="BJ209" s="292"/>
      <c r="BK209" s="292"/>
      <c r="BL209" s="292"/>
      <c r="BM209" s="292"/>
      <c r="BN209" s="292"/>
      <c r="BO209" s="292"/>
      <c r="BP209" s="292"/>
      <c r="BQ209" s="292"/>
      <c r="BR209" s="292"/>
      <c r="BS209" s="292"/>
      <c r="BT209" s="292"/>
      <c r="BU209" s="292"/>
    </row>
    <row r="210" spans="1:73" ht="15.75" customHeight="1" thickBot="1">
      <c r="A210" s="310"/>
      <c r="B210" s="310"/>
      <c r="C210" s="313"/>
      <c r="D210" s="313"/>
      <c r="E210" s="313"/>
      <c r="F210" s="739"/>
      <c r="AO210" s="292"/>
      <c r="AP210" s="292"/>
      <c r="AQ210" s="292"/>
      <c r="AR210" s="292"/>
      <c r="AS210" s="292"/>
      <c r="AT210" s="292"/>
      <c r="AU210" s="292"/>
      <c r="AV210" s="292"/>
      <c r="AW210" s="292"/>
      <c r="AX210" s="292"/>
      <c r="AY210" s="292"/>
      <c r="AZ210" s="292"/>
      <c r="BA210" s="292"/>
      <c r="BB210" s="292"/>
      <c r="BC210" s="292"/>
      <c r="BD210" s="292"/>
      <c r="BE210" s="292"/>
      <c r="BF210" s="292"/>
      <c r="BG210" s="292"/>
      <c r="BH210" s="292"/>
      <c r="BI210" s="292"/>
      <c r="BJ210" s="292"/>
      <c r="BK210" s="292"/>
      <c r="BL210" s="292"/>
      <c r="BM210" s="292"/>
      <c r="BN210" s="292"/>
      <c r="BO210" s="292"/>
      <c r="BP210" s="292"/>
      <c r="BQ210" s="292"/>
      <c r="BR210" s="292"/>
      <c r="BS210" s="292"/>
      <c r="BT210" s="292"/>
      <c r="BU210" s="292"/>
    </row>
    <row r="211" spans="1:73" ht="15.75" customHeight="1" thickBot="1">
      <c r="A211" s="310"/>
      <c r="B211" s="310"/>
      <c r="C211" s="313"/>
      <c r="D211" s="313"/>
      <c r="E211" s="313"/>
      <c r="F211" s="739"/>
      <c r="AO211" s="292"/>
      <c r="AP211" s="292"/>
      <c r="AQ211" s="292"/>
      <c r="AR211" s="292"/>
      <c r="AS211" s="292"/>
      <c r="AT211" s="292"/>
      <c r="AU211" s="292"/>
      <c r="AV211" s="292"/>
      <c r="AW211" s="292"/>
      <c r="AX211" s="292"/>
      <c r="AY211" s="292"/>
      <c r="AZ211" s="292"/>
      <c r="BA211" s="292"/>
      <c r="BB211" s="292"/>
      <c r="BC211" s="292"/>
      <c r="BD211" s="292"/>
      <c r="BE211" s="292"/>
      <c r="BF211" s="292"/>
      <c r="BG211" s="292"/>
      <c r="BH211" s="292"/>
      <c r="BI211" s="292"/>
      <c r="BJ211" s="292"/>
      <c r="BK211" s="292"/>
      <c r="BL211" s="292"/>
      <c r="BM211" s="292"/>
      <c r="BN211" s="292"/>
      <c r="BO211" s="292"/>
      <c r="BP211" s="292"/>
      <c r="BQ211" s="292"/>
      <c r="BR211" s="292"/>
      <c r="BS211" s="292"/>
      <c r="BT211" s="292"/>
      <c r="BU211" s="292"/>
    </row>
    <row r="212" spans="1:73" ht="15.75" customHeight="1" thickBot="1">
      <c r="A212" s="310"/>
      <c r="B212" s="310"/>
      <c r="C212" s="313"/>
      <c r="D212" s="313"/>
      <c r="E212" s="313"/>
      <c r="F212" s="739"/>
      <c r="AO212" s="292"/>
      <c r="AP212" s="292"/>
      <c r="AQ212" s="292"/>
      <c r="AR212" s="292"/>
      <c r="AS212" s="292"/>
      <c r="AT212" s="292"/>
      <c r="AU212" s="292"/>
      <c r="AV212" s="292"/>
      <c r="AW212" s="292"/>
      <c r="AX212" s="292"/>
      <c r="AY212" s="292"/>
      <c r="AZ212" s="292"/>
      <c r="BA212" s="292"/>
      <c r="BB212" s="292"/>
      <c r="BC212" s="292"/>
      <c r="BD212" s="292"/>
      <c r="BE212" s="292"/>
      <c r="BF212" s="292"/>
      <c r="BG212" s="292"/>
      <c r="BH212" s="292"/>
      <c r="BI212" s="292"/>
      <c r="BJ212" s="292"/>
      <c r="BK212" s="292"/>
      <c r="BL212" s="292"/>
      <c r="BM212" s="292"/>
      <c r="BN212" s="292"/>
      <c r="BO212" s="292"/>
      <c r="BP212" s="292"/>
      <c r="BQ212" s="292"/>
      <c r="BR212" s="292"/>
      <c r="BS212" s="292"/>
      <c r="BT212" s="292"/>
      <c r="BU212" s="292"/>
    </row>
    <row r="213" spans="1:73" ht="15.75" customHeight="1" thickBot="1">
      <c r="A213" s="310"/>
      <c r="B213" s="310"/>
      <c r="C213" s="313"/>
      <c r="D213" s="313"/>
      <c r="E213" s="313"/>
      <c r="F213" s="739"/>
      <c r="AO213" s="292"/>
      <c r="AP213" s="292"/>
      <c r="AQ213" s="292"/>
      <c r="AR213" s="292"/>
      <c r="AS213" s="292"/>
      <c r="AT213" s="292"/>
      <c r="AU213" s="292"/>
      <c r="AV213" s="292"/>
      <c r="AW213" s="292"/>
      <c r="AX213" s="292"/>
      <c r="AY213" s="292"/>
      <c r="AZ213" s="292"/>
      <c r="BA213" s="292"/>
      <c r="BB213" s="292"/>
      <c r="BC213" s="292"/>
      <c r="BD213" s="292"/>
      <c r="BE213" s="292"/>
      <c r="BF213" s="292"/>
      <c r="BG213" s="292"/>
      <c r="BH213" s="292"/>
      <c r="BI213" s="292"/>
      <c r="BJ213" s="292"/>
      <c r="BK213" s="292"/>
      <c r="BL213" s="292"/>
      <c r="BM213" s="292"/>
      <c r="BN213" s="292"/>
      <c r="BO213" s="292"/>
      <c r="BP213" s="292"/>
      <c r="BQ213" s="292"/>
      <c r="BR213" s="292"/>
      <c r="BS213" s="292"/>
      <c r="BT213" s="292"/>
      <c r="BU213" s="292"/>
    </row>
    <row r="214" spans="1:73" ht="15.75" customHeight="1" thickBot="1">
      <c r="A214" s="310"/>
      <c r="B214" s="310"/>
      <c r="C214" s="313"/>
      <c r="D214" s="313"/>
      <c r="E214" s="313"/>
      <c r="F214" s="739"/>
      <c r="AO214" s="292"/>
      <c r="AP214" s="292"/>
      <c r="AQ214" s="292"/>
      <c r="AR214" s="292"/>
      <c r="AS214" s="292"/>
      <c r="AT214" s="292"/>
      <c r="AU214" s="292"/>
      <c r="AV214" s="292"/>
      <c r="AW214" s="292"/>
      <c r="AX214" s="292"/>
      <c r="AY214" s="292"/>
      <c r="AZ214" s="292"/>
      <c r="BA214" s="292"/>
      <c r="BB214" s="292"/>
      <c r="BC214" s="292"/>
      <c r="BD214" s="292"/>
      <c r="BE214" s="292"/>
      <c r="BF214" s="292"/>
      <c r="BG214" s="292"/>
      <c r="BH214" s="292"/>
      <c r="BI214" s="292"/>
      <c r="BJ214" s="292"/>
      <c r="BK214" s="292"/>
      <c r="BL214" s="292"/>
      <c r="BM214" s="292"/>
      <c r="BN214" s="292"/>
      <c r="BO214" s="292"/>
      <c r="BP214" s="292"/>
      <c r="BQ214" s="292"/>
      <c r="BR214" s="292"/>
      <c r="BS214" s="292"/>
      <c r="BT214" s="292"/>
      <c r="BU214" s="292"/>
    </row>
    <row r="215" spans="1:73" ht="15.75" customHeight="1" thickBot="1">
      <c r="A215" s="310"/>
      <c r="B215" s="310"/>
      <c r="C215" s="313"/>
      <c r="D215" s="313"/>
      <c r="E215" s="313"/>
      <c r="F215" s="739"/>
      <c r="AO215" s="292"/>
      <c r="AP215" s="292"/>
      <c r="AQ215" s="292"/>
      <c r="AR215" s="292"/>
      <c r="AS215" s="292"/>
      <c r="AT215" s="292"/>
      <c r="AU215" s="292"/>
      <c r="AV215" s="292"/>
      <c r="AW215" s="292"/>
      <c r="AX215" s="292"/>
      <c r="AY215" s="292"/>
      <c r="AZ215" s="292"/>
      <c r="BA215" s="292"/>
      <c r="BB215" s="292"/>
      <c r="BC215" s="292"/>
      <c r="BD215" s="292"/>
      <c r="BE215" s="292"/>
      <c r="BF215" s="292"/>
      <c r="BG215" s="292"/>
      <c r="BH215" s="292"/>
      <c r="BI215" s="292"/>
      <c r="BJ215" s="292"/>
      <c r="BK215" s="292"/>
      <c r="BL215" s="292"/>
      <c r="BM215" s="292"/>
      <c r="BN215" s="292"/>
      <c r="BO215" s="292"/>
      <c r="BP215" s="292"/>
      <c r="BQ215" s="292"/>
      <c r="BR215" s="292"/>
      <c r="BS215" s="292"/>
      <c r="BT215" s="292"/>
      <c r="BU215" s="292"/>
    </row>
    <row r="216" spans="1:73" ht="15.75" customHeight="1" thickBot="1">
      <c r="A216" s="310"/>
      <c r="B216" s="310"/>
      <c r="C216" s="313"/>
      <c r="D216" s="313"/>
      <c r="E216" s="313"/>
      <c r="F216" s="739"/>
      <c r="AO216" s="292"/>
      <c r="AP216" s="292"/>
      <c r="AQ216" s="292"/>
      <c r="AR216" s="292"/>
      <c r="AS216" s="292"/>
      <c r="AT216" s="292"/>
      <c r="AU216" s="292"/>
      <c r="AV216" s="292"/>
      <c r="AW216" s="292"/>
      <c r="AX216" s="292"/>
      <c r="AY216" s="292"/>
      <c r="AZ216" s="292"/>
      <c r="BA216" s="292"/>
      <c r="BB216" s="292"/>
      <c r="BC216" s="292"/>
      <c r="BD216" s="292"/>
      <c r="BE216" s="292"/>
      <c r="BF216" s="292"/>
      <c r="BG216" s="292"/>
      <c r="BH216" s="292"/>
      <c r="BI216" s="292"/>
      <c r="BJ216" s="292"/>
      <c r="BK216" s="292"/>
      <c r="BL216" s="292"/>
      <c r="BM216" s="292"/>
      <c r="BN216" s="292"/>
      <c r="BO216" s="292"/>
      <c r="BP216" s="292"/>
      <c r="BQ216" s="292"/>
      <c r="BR216" s="292"/>
      <c r="BS216" s="292"/>
      <c r="BT216" s="292"/>
      <c r="BU216" s="292"/>
    </row>
    <row r="217" spans="1:73" ht="15.75" customHeight="1" thickBot="1">
      <c r="A217" s="310"/>
      <c r="B217" s="310"/>
      <c r="C217" s="313"/>
      <c r="D217" s="313"/>
      <c r="E217" s="313"/>
      <c r="F217" s="739"/>
      <c r="AO217" s="292"/>
      <c r="AP217" s="292"/>
      <c r="AQ217" s="292"/>
      <c r="AR217" s="292"/>
      <c r="AS217" s="292"/>
      <c r="AT217" s="292"/>
      <c r="AU217" s="292"/>
      <c r="AV217" s="292"/>
      <c r="AW217" s="292"/>
      <c r="AX217" s="292"/>
      <c r="AY217" s="292"/>
      <c r="AZ217" s="292"/>
      <c r="BA217" s="292"/>
      <c r="BB217" s="292"/>
      <c r="BC217" s="292"/>
      <c r="BD217" s="292"/>
      <c r="BE217" s="292"/>
      <c r="BF217" s="292"/>
      <c r="BG217" s="292"/>
      <c r="BH217" s="292"/>
      <c r="BI217" s="292"/>
      <c r="BJ217" s="292"/>
      <c r="BK217" s="292"/>
      <c r="BL217" s="292"/>
      <c r="BM217" s="292"/>
      <c r="BN217" s="292"/>
      <c r="BO217" s="292"/>
      <c r="BP217" s="292"/>
      <c r="BQ217" s="292"/>
      <c r="BR217" s="292"/>
      <c r="BS217" s="292"/>
      <c r="BT217" s="292"/>
      <c r="BU217" s="292"/>
    </row>
    <row r="218" spans="1:73" ht="15.75" customHeight="1" thickBot="1">
      <c r="A218" s="310"/>
      <c r="B218" s="310"/>
      <c r="C218" s="313"/>
      <c r="D218" s="313"/>
      <c r="E218" s="313"/>
      <c r="F218" s="739"/>
      <c r="AO218" s="292"/>
      <c r="AP218" s="292"/>
      <c r="AQ218" s="292"/>
      <c r="AR218" s="292"/>
      <c r="AS218" s="292"/>
      <c r="AT218" s="292"/>
      <c r="AU218" s="292"/>
      <c r="AV218" s="292"/>
      <c r="AW218" s="292"/>
      <c r="AX218" s="292"/>
      <c r="AY218" s="292"/>
      <c r="AZ218" s="292"/>
      <c r="BA218" s="292"/>
      <c r="BB218" s="292"/>
      <c r="BC218" s="292"/>
      <c r="BD218" s="292"/>
      <c r="BE218" s="292"/>
      <c r="BF218" s="292"/>
      <c r="BG218" s="292"/>
      <c r="BH218" s="292"/>
      <c r="BI218" s="292"/>
      <c r="BJ218" s="292"/>
      <c r="BK218" s="292"/>
      <c r="BL218" s="292"/>
      <c r="BM218" s="292"/>
      <c r="BN218" s="292"/>
      <c r="BO218" s="292"/>
      <c r="BP218" s="292"/>
      <c r="BQ218" s="292"/>
      <c r="BR218" s="292"/>
      <c r="BS218" s="292"/>
      <c r="BT218" s="292"/>
      <c r="BU218" s="292"/>
    </row>
    <row r="219" spans="1:73" ht="15.75" customHeight="1" thickBot="1">
      <c r="A219" s="310"/>
      <c r="B219" s="310"/>
      <c r="C219" s="313"/>
      <c r="D219" s="313"/>
      <c r="E219" s="313"/>
      <c r="F219" s="739"/>
      <c r="AO219" s="292"/>
      <c r="AP219" s="292"/>
      <c r="AQ219" s="292"/>
      <c r="AR219" s="292"/>
      <c r="AS219" s="292"/>
      <c r="AT219" s="292"/>
      <c r="AU219" s="292"/>
      <c r="AV219" s="292"/>
      <c r="AW219" s="292"/>
      <c r="AX219" s="292"/>
      <c r="AY219" s="292"/>
      <c r="AZ219" s="292"/>
      <c r="BA219" s="292"/>
      <c r="BB219" s="292"/>
      <c r="BC219" s="292"/>
      <c r="BD219" s="292"/>
      <c r="BE219" s="292"/>
      <c r="BF219" s="292"/>
      <c r="BG219" s="292"/>
      <c r="BH219" s="292"/>
      <c r="BI219" s="292"/>
      <c r="BJ219" s="292"/>
      <c r="BK219" s="292"/>
      <c r="BL219" s="292"/>
      <c r="BM219" s="292"/>
      <c r="BN219" s="292"/>
      <c r="BO219" s="292"/>
      <c r="BP219" s="292"/>
      <c r="BQ219" s="292"/>
      <c r="BR219" s="292"/>
      <c r="BS219" s="292"/>
      <c r="BT219" s="292"/>
      <c r="BU219" s="292"/>
    </row>
    <row r="220" spans="1:73" ht="15.75" customHeight="1" thickBot="1">
      <c r="A220" s="310"/>
      <c r="B220" s="310"/>
      <c r="C220" s="313"/>
      <c r="D220" s="313"/>
      <c r="E220" s="313"/>
      <c r="F220" s="739"/>
      <c r="AO220" s="292"/>
      <c r="AP220" s="292"/>
      <c r="AQ220" s="292"/>
      <c r="AR220" s="292"/>
      <c r="AS220" s="292"/>
      <c r="AT220" s="292"/>
      <c r="AU220" s="292"/>
      <c r="AV220" s="292"/>
      <c r="AW220" s="292"/>
      <c r="AX220" s="292"/>
      <c r="AY220" s="292"/>
      <c r="AZ220" s="292"/>
      <c r="BA220" s="292"/>
      <c r="BB220" s="292"/>
      <c r="BC220" s="292"/>
      <c r="BD220" s="292"/>
      <c r="BE220" s="292"/>
      <c r="BF220" s="292"/>
      <c r="BG220" s="292"/>
      <c r="BH220" s="292"/>
      <c r="BI220" s="292"/>
      <c r="BJ220" s="292"/>
      <c r="BK220" s="292"/>
      <c r="BL220" s="292"/>
      <c r="BM220" s="292"/>
      <c r="BN220" s="292"/>
      <c r="BO220" s="292"/>
      <c r="BP220" s="292"/>
      <c r="BQ220" s="292"/>
      <c r="BR220" s="292"/>
      <c r="BS220" s="292"/>
      <c r="BT220" s="292"/>
      <c r="BU220" s="292"/>
    </row>
    <row r="221" spans="1:73" ht="15.75" customHeight="1" thickBot="1">
      <c r="A221" s="310"/>
      <c r="B221" s="310"/>
      <c r="C221" s="313"/>
      <c r="D221" s="313"/>
      <c r="E221" s="313"/>
      <c r="F221" s="739"/>
      <c r="AO221" s="292"/>
      <c r="AP221" s="292"/>
      <c r="AQ221" s="292"/>
      <c r="AR221" s="292"/>
      <c r="AS221" s="292"/>
      <c r="AT221" s="292"/>
      <c r="AU221" s="292"/>
      <c r="AV221" s="292"/>
      <c r="AW221" s="292"/>
      <c r="AX221" s="292"/>
      <c r="AY221" s="292"/>
      <c r="AZ221" s="292"/>
      <c r="BA221" s="292"/>
      <c r="BB221" s="292"/>
      <c r="BC221" s="292"/>
      <c r="BD221" s="292"/>
      <c r="BE221" s="292"/>
      <c r="BF221" s="292"/>
      <c r="BG221" s="292"/>
      <c r="BH221" s="292"/>
      <c r="BI221" s="292"/>
      <c r="BJ221" s="292"/>
      <c r="BK221" s="292"/>
      <c r="BL221" s="292"/>
      <c r="BM221" s="292"/>
      <c r="BN221" s="292"/>
      <c r="BO221" s="292"/>
      <c r="BP221" s="292"/>
      <c r="BQ221" s="292"/>
      <c r="BR221" s="292"/>
      <c r="BS221" s="292"/>
      <c r="BT221" s="292"/>
      <c r="BU221" s="292"/>
    </row>
    <row r="222" spans="1:73" ht="15.75" customHeight="1" thickBot="1">
      <c r="A222" s="310"/>
      <c r="B222" s="310"/>
      <c r="C222" s="313"/>
      <c r="D222" s="313"/>
      <c r="E222" s="313"/>
      <c r="F222" s="739"/>
      <c r="AO222" s="292"/>
      <c r="AP222" s="292"/>
      <c r="AQ222" s="292"/>
      <c r="AR222" s="292"/>
      <c r="AS222" s="292"/>
      <c r="AT222" s="292"/>
      <c r="AU222" s="292"/>
      <c r="AV222" s="292"/>
      <c r="AW222" s="292"/>
      <c r="AX222" s="292"/>
      <c r="AY222" s="292"/>
      <c r="AZ222" s="292"/>
      <c r="BA222" s="292"/>
      <c r="BB222" s="292"/>
      <c r="BC222" s="292"/>
      <c r="BD222" s="292"/>
      <c r="BE222" s="292"/>
      <c r="BF222" s="292"/>
      <c r="BG222" s="292"/>
      <c r="BH222" s="292"/>
      <c r="BI222" s="292"/>
      <c r="BJ222" s="292"/>
      <c r="BK222" s="292"/>
      <c r="BL222" s="292"/>
      <c r="BM222" s="292"/>
      <c r="BN222" s="292"/>
      <c r="BO222" s="292"/>
      <c r="BP222" s="292"/>
      <c r="BQ222" s="292"/>
      <c r="BR222" s="292"/>
      <c r="BS222" s="292"/>
      <c r="BT222" s="292"/>
      <c r="BU222" s="292"/>
    </row>
    <row r="223" spans="1:73" ht="15.75" customHeight="1" thickBot="1">
      <c r="A223" s="310"/>
      <c r="B223" s="310"/>
      <c r="C223" s="313"/>
      <c r="D223" s="313"/>
      <c r="E223" s="313"/>
      <c r="F223" s="739"/>
      <c r="AO223" s="292"/>
      <c r="AP223" s="292"/>
      <c r="AQ223" s="292"/>
      <c r="AR223" s="292"/>
      <c r="AS223" s="292"/>
      <c r="AT223" s="292"/>
      <c r="AU223" s="292"/>
      <c r="AV223" s="292"/>
      <c r="AW223" s="292"/>
      <c r="AX223" s="292"/>
      <c r="AY223" s="292"/>
      <c r="AZ223" s="292"/>
      <c r="BA223" s="292"/>
      <c r="BB223" s="292"/>
      <c r="BC223" s="292"/>
      <c r="BD223" s="292"/>
      <c r="BE223" s="292"/>
      <c r="BF223" s="292"/>
      <c r="BG223" s="292"/>
      <c r="BH223" s="292"/>
      <c r="BI223" s="292"/>
      <c r="BJ223" s="292"/>
      <c r="BK223" s="292"/>
      <c r="BL223" s="292"/>
      <c r="BM223" s="292"/>
      <c r="BN223" s="292"/>
      <c r="BO223" s="292"/>
      <c r="BP223" s="292"/>
      <c r="BQ223" s="292"/>
      <c r="BR223" s="292"/>
      <c r="BS223" s="292"/>
      <c r="BT223" s="292"/>
      <c r="BU223" s="292"/>
    </row>
    <row r="224" spans="1:73" ht="15.75" customHeight="1" thickBot="1">
      <c r="A224" s="310"/>
      <c r="B224" s="310"/>
      <c r="C224" s="313"/>
      <c r="D224" s="313"/>
      <c r="E224" s="313"/>
      <c r="F224" s="739"/>
      <c r="AO224" s="292"/>
      <c r="AP224" s="292"/>
      <c r="AQ224" s="292"/>
      <c r="AR224" s="292"/>
      <c r="AS224" s="292"/>
      <c r="AT224" s="292"/>
      <c r="AU224" s="292"/>
      <c r="AV224" s="292"/>
      <c r="AW224" s="292"/>
      <c r="AX224" s="292"/>
      <c r="AY224" s="292"/>
      <c r="AZ224" s="292"/>
      <c r="BA224" s="292"/>
      <c r="BB224" s="292"/>
      <c r="BC224" s="292"/>
      <c r="BD224" s="292"/>
      <c r="BE224" s="292"/>
      <c r="BF224" s="292"/>
      <c r="BG224" s="292"/>
      <c r="BH224" s="292"/>
      <c r="BI224" s="292"/>
      <c r="BJ224" s="292"/>
      <c r="BK224" s="292"/>
      <c r="BL224" s="292"/>
      <c r="BM224" s="292"/>
      <c r="BN224" s="292"/>
      <c r="BO224" s="292"/>
      <c r="BP224" s="292"/>
      <c r="BQ224" s="292"/>
      <c r="BR224" s="292"/>
      <c r="BS224" s="292"/>
      <c r="BT224" s="292"/>
      <c r="BU224" s="292"/>
    </row>
    <row r="225" spans="1:73" ht="15.75" customHeight="1" thickBot="1">
      <c r="A225" s="310"/>
      <c r="B225" s="310"/>
      <c r="C225" s="313"/>
      <c r="D225" s="313"/>
      <c r="E225" s="313"/>
      <c r="F225" s="739"/>
      <c r="AO225" s="292"/>
      <c r="AP225" s="292"/>
      <c r="AQ225" s="292"/>
      <c r="AR225" s="292"/>
      <c r="AS225" s="292"/>
      <c r="AT225" s="292"/>
      <c r="AU225" s="292"/>
      <c r="AV225" s="292"/>
      <c r="AW225" s="292"/>
      <c r="AX225" s="292"/>
      <c r="AY225" s="292"/>
      <c r="AZ225" s="292"/>
      <c r="BA225" s="292"/>
      <c r="BB225" s="292"/>
      <c r="BC225" s="292"/>
      <c r="BD225" s="292"/>
      <c r="BE225" s="292"/>
      <c r="BF225" s="292"/>
      <c r="BG225" s="292"/>
      <c r="BH225" s="292"/>
      <c r="BI225" s="292"/>
      <c r="BJ225" s="292"/>
      <c r="BK225" s="292"/>
      <c r="BL225" s="292"/>
      <c r="BM225" s="292"/>
      <c r="BN225" s="292"/>
      <c r="BO225" s="292"/>
      <c r="BP225" s="292"/>
      <c r="BQ225" s="292"/>
      <c r="BR225" s="292"/>
      <c r="BS225" s="292"/>
      <c r="BT225" s="292"/>
      <c r="BU225" s="292"/>
    </row>
    <row r="226" spans="1:73" ht="15.75" customHeight="1" thickBot="1">
      <c r="A226" s="310"/>
      <c r="B226" s="310"/>
      <c r="C226" s="313"/>
      <c r="D226" s="313"/>
      <c r="E226" s="313"/>
      <c r="F226" s="739"/>
      <c r="AO226" s="292"/>
      <c r="AP226" s="292"/>
      <c r="AQ226" s="292"/>
      <c r="AR226" s="292"/>
      <c r="AS226" s="292"/>
      <c r="AT226" s="292"/>
      <c r="AU226" s="292"/>
      <c r="AV226" s="292"/>
      <c r="AW226" s="292"/>
      <c r="AX226" s="292"/>
      <c r="AY226" s="292"/>
      <c r="AZ226" s="292"/>
      <c r="BA226" s="292"/>
      <c r="BB226" s="292"/>
      <c r="BC226" s="292"/>
      <c r="BD226" s="292"/>
      <c r="BE226" s="292"/>
      <c r="BF226" s="292"/>
      <c r="BG226" s="292"/>
      <c r="BH226" s="292"/>
      <c r="BI226" s="292"/>
      <c r="BJ226" s="292"/>
      <c r="BK226" s="292"/>
      <c r="BL226" s="292"/>
      <c r="BM226" s="292"/>
      <c r="BN226" s="292"/>
      <c r="BO226" s="292"/>
      <c r="BP226" s="292"/>
      <c r="BQ226" s="292"/>
      <c r="BR226" s="292"/>
      <c r="BS226" s="292"/>
      <c r="BT226" s="292"/>
      <c r="BU226" s="292"/>
    </row>
    <row r="227" spans="1:73" ht="15.75" customHeight="1" thickBot="1">
      <c r="A227" s="310"/>
      <c r="B227" s="310"/>
      <c r="C227" s="313"/>
      <c r="D227" s="313"/>
      <c r="E227" s="313"/>
      <c r="F227" s="739"/>
      <c r="AO227" s="292"/>
      <c r="AP227" s="292"/>
      <c r="AQ227" s="292"/>
      <c r="AR227" s="292"/>
      <c r="AS227" s="292"/>
      <c r="AT227" s="292"/>
      <c r="AU227" s="292"/>
      <c r="AV227" s="292"/>
      <c r="AW227" s="292"/>
      <c r="AX227" s="292"/>
      <c r="AY227" s="292"/>
      <c r="AZ227" s="292"/>
      <c r="BA227" s="292"/>
      <c r="BB227" s="292"/>
      <c r="BC227" s="292"/>
      <c r="BD227" s="292"/>
      <c r="BE227" s="292"/>
      <c r="BF227" s="292"/>
      <c r="BG227" s="292"/>
      <c r="BH227" s="292"/>
      <c r="BI227" s="292"/>
      <c r="BJ227" s="292"/>
      <c r="BK227" s="292"/>
      <c r="BL227" s="292"/>
      <c r="BM227" s="292"/>
      <c r="BN227" s="292"/>
      <c r="BO227" s="292"/>
      <c r="BP227" s="292"/>
      <c r="BQ227" s="292"/>
      <c r="BR227" s="292"/>
      <c r="BS227" s="292"/>
      <c r="BT227" s="292"/>
      <c r="BU227" s="292"/>
    </row>
    <row r="228" spans="1:73" ht="15.75" customHeight="1" thickBot="1">
      <c r="A228" s="310"/>
      <c r="B228" s="310"/>
      <c r="C228" s="313"/>
      <c r="D228" s="313"/>
      <c r="E228" s="313"/>
      <c r="F228" s="739"/>
      <c r="AO228" s="292"/>
      <c r="AP228" s="292"/>
      <c r="AQ228" s="292"/>
      <c r="AR228" s="292"/>
      <c r="AS228" s="292"/>
      <c r="AT228" s="292"/>
      <c r="AU228" s="292"/>
      <c r="AV228" s="292"/>
      <c r="AW228" s="292"/>
      <c r="AX228" s="292"/>
      <c r="AY228" s="292"/>
      <c r="AZ228" s="292"/>
      <c r="BA228" s="292"/>
      <c r="BB228" s="292"/>
      <c r="BC228" s="292"/>
      <c r="BD228" s="292"/>
      <c r="BE228" s="292"/>
      <c r="BF228" s="292"/>
      <c r="BG228" s="292"/>
      <c r="BH228" s="292"/>
      <c r="BI228" s="292"/>
      <c r="BJ228" s="292"/>
      <c r="BK228" s="292"/>
      <c r="BL228" s="292"/>
      <c r="BM228" s="292"/>
      <c r="BN228" s="292"/>
      <c r="BO228" s="292"/>
      <c r="BP228" s="292"/>
      <c r="BQ228" s="292"/>
      <c r="BR228" s="292"/>
      <c r="BS228" s="292"/>
      <c r="BT228" s="292"/>
      <c r="BU228" s="292"/>
    </row>
    <row r="229" spans="1:73" ht="15.75" customHeight="1" thickBot="1">
      <c r="A229" s="310"/>
      <c r="B229" s="310"/>
      <c r="C229" s="313"/>
      <c r="D229" s="313"/>
      <c r="E229" s="313"/>
      <c r="F229" s="739"/>
      <c r="AO229" s="292"/>
      <c r="AP229" s="292"/>
      <c r="AQ229" s="292"/>
      <c r="AR229" s="292"/>
      <c r="AS229" s="292"/>
      <c r="AT229" s="292"/>
      <c r="AU229" s="292"/>
      <c r="AV229" s="292"/>
      <c r="AW229" s="292"/>
      <c r="AX229" s="292"/>
      <c r="AY229" s="292"/>
      <c r="AZ229" s="292"/>
      <c r="BA229" s="292"/>
      <c r="BB229" s="292"/>
      <c r="BC229" s="292"/>
      <c r="BD229" s="292"/>
      <c r="BE229" s="292"/>
      <c r="BF229" s="292"/>
      <c r="BG229" s="292"/>
      <c r="BH229" s="292"/>
      <c r="BI229" s="292"/>
      <c r="BJ229" s="292"/>
      <c r="BK229" s="292"/>
      <c r="BL229" s="292"/>
      <c r="BM229" s="292"/>
      <c r="BN229" s="292"/>
      <c r="BO229" s="292"/>
      <c r="BP229" s="292"/>
      <c r="BQ229" s="292"/>
      <c r="BR229" s="292"/>
      <c r="BS229" s="292"/>
      <c r="BT229" s="292"/>
      <c r="BU229" s="292"/>
    </row>
    <row r="230" spans="1:73" ht="15.75" customHeight="1" thickBot="1">
      <c r="A230" s="310"/>
      <c r="B230" s="310"/>
      <c r="C230" s="313"/>
      <c r="D230" s="313"/>
      <c r="E230" s="313"/>
      <c r="F230" s="739"/>
      <c r="AO230" s="292"/>
      <c r="AP230" s="292"/>
      <c r="AQ230" s="292"/>
      <c r="AR230" s="292"/>
      <c r="AS230" s="292"/>
      <c r="AT230" s="292"/>
      <c r="AU230" s="292"/>
      <c r="AV230" s="292"/>
      <c r="AW230" s="292"/>
      <c r="AX230" s="292"/>
      <c r="AY230" s="292"/>
      <c r="AZ230" s="292"/>
      <c r="BA230" s="292"/>
      <c r="BB230" s="292"/>
      <c r="BC230" s="292"/>
      <c r="BD230" s="292"/>
      <c r="BE230" s="292"/>
      <c r="BF230" s="292"/>
      <c r="BG230" s="292"/>
      <c r="BH230" s="292"/>
      <c r="BI230" s="292"/>
      <c r="BJ230" s="292"/>
      <c r="BK230" s="292"/>
      <c r="BL230" s="292"/>
      <c r="BM230" s="292"/>
      <c r="BN230" s="292"/>
      <c r="BO230" s="292"/>
      <c r="BP230" s="292"/>
      <c r="BQ230" s="292"/>
      <c r="BR230" s="292"/>
      <c r="BS230" s="292"/>
      <c r="BT230" s="292"/>
      <c r="BU230" s="292"/>
    </row>
    <row r="231" spans="1:73" ht="15.75" customHeight="1" thickBot="1">
      <c r="A231" s="310"/>
      <c r="B231" s="310"/>
      <c r="C231" s="313"/>
      <c r="D231" s="313"/>
      <c r="E231" s="313"/>
      <c r="F231" s="739"/>
      <c r="AO231" s="292"/>
      <c r="AP231" s="292"/>
      <c r="AQ231" s="292"/>
      <c r="AR231" s="292"/>
      <c r="AS231" s="292"/>
      <c r="AT231" s="292"/>
      <c r="AU231" s="292"/>
      <c r="AV231" s="292"/>
      <c r="AW231" s="292"/>
      <c r="AX231" s="292"/>
      <c r="AY231" s="292"/>
      <c r="AZ231" s="292"/>
      <c r="BA231" s="292"/>
      <c r="BB231" s="292"/>
      <c r="BC231" s="292"/>
      <c r="BD231" s="292"/>
      <c r="BE231" s="292"/>
      <c r="BF231" s="292"/>
      <c r="BG231" s="292"/>
      <c r="BH231" s="292"/>
      <c r="BI231" s="292"/>
      <c r="BJ231" s="292"/>
      <c r="BK231" s="292"/>
      <c r="BL231" s="292"/>
      <c r="BM231" s="292"/>
      <c r="BN231" s="292"/>
      <c r="BO231" s="292"/>
      <c r="BP231" s="292"/>
      <c r="BQ231" s="292"/>
      <c r="BR231" s="292"/>
      <c r="BS231" s="292"/>
      <c r="BT231" s="292"/>
      <c r="BU231" s="292"/>
    </row>
    <row r="232" spans="1:73" ht="15.75" customHeight="1" thickBot="1">
      <c r="A232" s="310"/>
      <c r="B232" s="310"/>
      <c r="C232" s="313"/>
      <c r="D232" s="313"/>
      <c r="E232" s="313"/>
      <c r="F232" s="739"/>
      <c r="AO232" s="292"/>
      <c r="AP232" s="292"/>
      <c r="AQ232" s="292"/>
      <c r="AR232" s="292"/>
      <c r="AS232" s="292"/>
      <c r="AT232" s="292"/>
      <c r="AU232" s="292"/>
      <c r="AV232" s="292"/>
      <c r="AW232" s="292"/>
      <c r="AX232" s="292"/>
      <c r="AY232" s="292"/>
      <c r="AZ232" s="292"/>
      <c r="BA232" s="292"/>
      <c r="BB232" s="292"/>
      <c r="BC232" s="292"/>
      <c r="BD232" s="292"/>
      <c r="BE232" s="292"/>
      <c r="BF232" s="292"/>
      <c r="BG232" s="292"/>
      <c r="BH232" s="292"/>
      <c r="BI232" s="292"/>
      <c r="BJ232" s="292"/>
      <c r="BK232" s="292"/>
      <c r="BL232" s="292"/>
      <c r="BM232" s="292"/>
      <c r="BN232" s="292"/>
      <c r="BO232" s="292"/>
      <c r="BP232" s="292"/>
      <c r="BQ232" s="292"/>
      <c r="BR232" s="292"/>
      <c r="BS232" s="292"/>
      <c r="BT232" s="292"/>
      <c r="BU232" s="292"/>
    </row>
    <row r="233" spans="1:73" ht="15.75" customHeight="1" thickBot="1">
      <c r="A233" s="310"/>
      <c r="B233" s="310"/>
      <c r="C233" s="313"/>
      <c r="D233" s="313"/>
      <c r="E233" s="313"/>
      <c r="F233" s="739"/>
      <c r="AO233" s="292"/>
      <c r="AP233" s="292"/>
      <c r="AQ233" s="292"/>
      <c r="AR233" s="292"/>
      <c r="AS233" s="292"/>
      <c r="AT233" s="292"/>
      <c r="AU233" s="292"/>
      <c r="AV233" s="292"/>
      <c r="AW233" s="292"/>
      <c r="AX233" s="292"/>
      <c r="AY233" s="292"/>
      <c r="AZ233" s="292"/>
      <c r="BA233" s="292"/>
      <c r="BB233" s="292"/>
      <c r="BC233" s="292"/>
      <c r="BD233" s="292"/>
      <c r="BE233" s="292"/>
      <c r="BF233" s="292"/>
      <c r="BG233" s="292"/>
      <c r="BH233" s="292"/>
      <c r="BI233" s="292"/>
      <c r="BJ233" s="292"/>
      <c r="BK233" s="292"/>
      <c r="BL233" s="292"/>
      <c r="BM233" s="292"/>
      <c r="BN233" s="292"/>
      <c r="BO233" s="292"/>
      <c r="BP233" s="292"/>
      <c r="BQ233" s="292"/>
      <c r="BR233" s="292"/>
      <c r="BS233" s="292"/>
      <c r="BT233" s="292"/>
      <c r="BU233" s="292"/>
    </row>
    <row r="234" spans="1:73" ht="15.75" customHeight="1" thickBot="1">
      <c r="A234" s="310"/>
      <c r="B234" s="310"/>
      <c r="C234" s="313"/>
      <c r="D234" s="313"/>
      <c r="E234" s="313"/>
      <c r="F234" s="739"/>
      <c r="AO234" s="292"/>
      <c r="AP234" s="292"/>
      <c r="AQ234" s="292"/>
      <c r="AR234" s="292"/>
      <c r="AS234" s="292"/>
      <c r="AT234" s="292"/>
      <c r="AU234" s="292"/>
      <c r="AV234" s="292"/>
      <c r="AW234" s="292"/>
      <c r="AX234" s="292"/>
      <c r="AY234" s="292"/>
      <c r="AZ234" s="292"/>
      <c r="BA234" s="292"/>
      <c r="BB234" s="292"/>
      <c r="BC234" s="292"/>
      <c r="BD234" s="292"/>
      <c r="BE234" s="292"/>
      <c r="BF234" s="292"/>
      <c r="BG234" s="292"/>
      <c r="BH234" s="292"/>
      <c r="BI234" s="292"/>
      <c r="BJ234" s="292"/>
      <c r="BK234" s="292"/>
      <c r="BL234" s="292"/>
      <c r="BM234" s="292"/>
      <c r="BN234" s="292"/>
      <c r="BO234" s="292"/>
      <c r="BP234" s="292"/>
      <c r="BQ234" s="292"/>
      <c r="BR234" s="292"/>
      <c r="BS234" s="292"/>
      <c r="BT234" s="292"/>
      <c r="BU234" s="292"/>
    </row>
    <row r="235" spans="1:73" ht="15.75" customHeight="1" thickBot="1">
      <c r="A235" s="310"/>
      <c r="B235" s="310"/>
      <c r="C235" s="313"/>
      <c r="D235" s="313"/>
      <c r="E235" s="313"/>
      <c r="F235" s="739"/>
      <c r="AO235" s="292"/>
      <c r="AP235" s="292"/>
      <c r="AQ235" s="292"/>
      <c r="AR235" s="292"/>
      <c r="AS235" s="292"/>
      <c r="AT235" s="292"/>
      <c r="AU235" s="292"/>
      <c r="AV235" s="292"/>
      <c r="AW235" s="292"/>
      <c r="AX235" s="292"/>
      <c r="AY235" s="292"/>
      <c r="AZ235" s="292"/>
      <c r="BA235" s="292"/>
      <c r="BB235" s="292"/>
      <c r="BC235" s="292"/>
      <c r="BD235" s="292"/>
      <c r="BE235" s="292"/>
      <c r="BF235" s="292"/>
      <c r="BG235" s="292"/>
      <c r="BH235" s="292"/>
      <c r="BI235" s="292"/>
      <c r="BJ235" s="292"/>
      <c r="BK235" s="292"/>
      <c r="BL235" s="292"/>
      <c r="BM235" s="292"/>
      <c r="BN235" s="292"/>
      <c r="BO235" s="292"/>
      <c r="BP235" s="292"/>
      <c r="BQ235" s="292"/>
      <c r="BR235" s="292"/>
      <c r="BS235" s="292"/>
      <c r="BT235" s="292"/>
      <c r="BU235" s="292"/>
    </row>
    <row r="236" spans="1:73" ht="15.75" customHeight="1" thickBot="1">
      <c r="A236" s="310"/>
      <c r="B236" s="310"/>
      <c r="C236" s="313"/>
      <c r="D236" s="313"/>
      <c r="E236" s="313"/>
      <c r="F236" s="739"/>
      <c r="AO236" s="292"/>
      <c r="AP236" s="292"/>
      <c r="AQ236" s="292"/>
      <c r="AR236" s="292"/>
      <c r="AS236" s="292"/>
      <c r="AT236" s="292"/>
      <c r="AU236" s="292"/>
      <c r="AV236" s="292"/>
      <c r="AW236" s="292"/>
      <c r="AX236" s="292"/>
      <c r="AY236" s="292"/>
      <c r="AZ236" s="292"/>
      <c r="BA236" s="292"/>
      <c r="BB236" s="292"/>
      <c r="BC236" s="292"/>
      <c r="BD236" s="292"/>
      <c r="BE236" s="292"/>
      <c r="BF236" s="292"/>
      <c r="BG236" s="292"/>
      <c r="BH236" s="292"/>
      <c r="BI236" s="292"/>
      <c r="BJ236" s="292"/>
      <c r="BK236" s="292"/>
      <c r="BL236" s="292"/>
      <c r="BM236" s="292"/>
      <c r="BN236" s="292"/>
      <c r="BO236" s="292"/>
      <c r="BP236" s="292"/>
      <c r="BQ236" s="292"/>
      <c r="BR236" s="292"/>
      <c r="BS236" s="292"/>
      <c r="BT236" s="292"/>
      <c r="BU236" s="292"/>
    </row>
    <row r="237" spans="1:73" ht="15.75" customHeight="1" thickBot="1">
      <c r="A237" s="310"/>
      <c r="B237" s="310"/>
      <c r="C237" s="313"/>
      <c r="D237" s="313"/>
      <c r="E237" s="313"/>
      <c r="F237" s="739"/>
      <c r="AO237" s="292"/>
      <c r="AP237" s="292"/>
      <c r="AQ237" s="292"/>
      <c r="AR237" s="292"/>
      <c r="AS237" s="292"/>
      <c r="AT237" s="292"/>
      <c r="AU237" s="292"/>
      <c r="AV237" s="292"/>
      <c r="AW237" s="292"/>
      <c r="AX237" s="292"/>
      <c r="AY237" s="292"/>
      <c r="AZ237" s="292"/>
      <c r="BA237" s="292"/>
      <c r="BB237" s="292"/>
      <c r="BC237" s="292"/>
      <c r="BD237" s="292"/>
      <c r="BE237" s="292"/>
      <c r="BF237" s="292"/>
      <c r="BG237" s="292"/>
      <c r="BH237" s="292"/>
      <c r="BI237" s="292"/>
      <c r="BJ237" s="292"/>
      <c r="BK237" s="292"/>
      <c r="BL237" s="292"/>
      <c r="BM237" s="292"/>
      <c r="BN237" s="292"/>
      <c r="BO237" s="292"/>
      <c r="BP237" s="292"/>
      <c r="BQ237" s="292"/>
      <c r="BR237" s="292"/>
      <c r="BS237" s="292"/>
      <c r="BT237" s="292"/>
      <c r="BU237" s="292"/>
    </row>
    <row r="238" spans="1:73" ht="15.75" customHeight="1" thickBot="1">
      <c r="A238" s="310"/>
      <c r="B238" s="310"/>
      <c r="C238" s="313"/>
      <c r="D238" s="313"/>
      <c r="E238" s="313"/>
      <c r="F238" s="739"/>
      <c r="AO238" s="292"/>
      <c r="AP238" s="292"/>
      <c r="AQ238" s="292"/>
      <c r="AR238" s="292"/>
      <c r="AS238" s="292"/>
      <c r="AT238" s="292"/>
      <c r="AU238" s="292"/>
      <c r="AV238" s="292"/>
      <c r="AW238" s="292"/>
      <c r="AX238" s="292"/>
      <c r="AY238" s="292"/>
      <c r="AZ238" s="292"/>
      <c r="BA238" s="292"/>
      <c r="BB238" s="292"/>
      <c r="BC238" s="292"/>
      <c r="BD238" s="292"/>
      <c r="BE238" s="292"/>
      <c r="BF238" s="292"/>
      <c r="BG238" s="292"/>
      <c r="BH238" s="292"/>
      <c r="BI238" s="292"/>
      <c r="BJ238" s="292"/>
      <c r="BK238" s="292"/>
      <c r="BL238" s="292"/>
      <c r="BM238" s="292"/>
      <c r="BN238" s="292"/>
      <c r="BO238" s="292"/>
      <c r="BP238" s="292"/>
      <c r="BQ238" s="292"/>
      <c r="BR238" s="292"/>
      <c r="BS238" s="292"/>
      <c r="BT238" s="292"/>
      <c r="BU238" s="292"/>
    </row>
    <row r="239" spans="1:73" ht="15.75" customHeight="1" thickBot="1">
      <c r="A239" s="310"/>
      <c r="B239" s="310"/>
      <c r="C239" s="313"/>
      <c r="D239" s="313"/>
      <c r="E239" s="313"/>
      <c r="F239" s="739"/>
      <c r="AO239" s="292"/>
      <c r="AP239" s="292"/>
      <c r="AQ239" s="292"/>
      <c r="AR239" s="292"/>
      <c r="AS239" s="292"/>
      <c r="AT239" s="292"/>
      <c r="AU239" s="292"/>
      <c r="AV239" s="292"/>
      <c r="AW239" s="292"/>
      <c r="AX239" s="292"/>
      <c r="AY239" s="292"/>
      <c r="AZ239" s="292"/>
      <c r="BA239" s="292"/>
      <c r="BB239" s="292"/>
      <c r="BC239" s="292"/>
      <c r="BD239" s="292"/>
      <c r="BE239" s="292"/>
      <c r="BF239" s="292"/>
      <c r="BG239" s="292"/>
      <c r="BH239" s="292"/>
      <c r="BI239" s="292"/>
      <c r="BJ239" s="292"/>
      <c r="BK239" s="292"/>
      <c r="BL239" s="292"/>
      <c r="BM239" s="292"/>
      <c r="BN239" s="292"/>
      <c r="BO239" s="292"/>
      <c r="BP239" s="292"/>
      <c r="BQ239" s="292"/>
      <c r="BR239" s="292"/>
      <c r="BS239" s="292"/>
      <c r="BT239" s="292"/>
      <c r="BU239" s="292"/>
    </row>
    <row r="240" spans="1:73" ht="15.75" customHeight="1" thickBot="1">
      <c r="A240" s="310"/>
      <c r="B240" s="310"/>
      <c r="C240" s="313"/>
      <c r="D240" s="313"/>
      <c r="E240" s="313"/>
      <c r="F240" s="739"/>
      <c r="AO240" s="292"/>
      <c r="AP240" s="292"/>
      <c r="AQ240" s="292"/>
      <c r="AR240" s="292"/>
      <c r="AS240" s="292"/>
      <c r="AT240" s="292"/>
      <c r="AU240" s="292"/>
      <c r="AV240" s="292"/>
      <c r="AW240" s="292"/>
      <c r="AX240" s="292"/>
      <c r="AY240" s="292"/>
      <c r="AZ240" s="292"/>
      <c r="BA240" s="292"/>
      <c r="BB240" s="292"/>
      <c r="BC240" s="292"/>
      <c r="BD240" s="292"/>
      <c r="BE240" s="292"/>
      <c r="BF240" s="292"/>
      <c r="BG240" s="292"/>
      <c r="BH240" s="292"/>
      <c r="BI240" s="292"/>
      <c r="BJ240" s="292"/>
      <c r="BK240" s="292"/>
      <c r="BL240" s="292"/>
      <c r="BM240" s="292"/>
      <c r="BN240" s="292"/>
      <c r="BO240" s="292"/>
      <c r="BP240" s="292"/>
      <c r="BQ240" s="292"/>
      <c r="BR240" s="292"/>
      <c r="BS240" s="292"/>
      <c r="BT240" s="292"/>
      <c r="BU240" s="292"/>
    </row>
    <row r="241" spans="1:73" ht="15.75" customHeight="1" thickBot="1">
      <c r="A241" s="310"/>
      <c r="B241" s="310"/>
      <c r="C241" s="313"/>
      <c r="D241" s="313"/>
      <c r="E241" s="313"/>
      <c r="F241" s="739"/>
      <c r="AO241" s="292"/>
      <c r="AP241" s="292"/>
      <c r="AQ241" s="292"/>
      <c r="AR241" s="292"/>
      <c r="AS241" s="292"/>
      <c r="AT241" s="292"/>
      <c r="AU241" s="292"/>
      <c r="AV241" s="292"/>
      <c r="AW241" s="292"/>
      <c r="AX241" s="292"/>
      <c r="AY241" s="292"/>
      <c r="AZ241" s="292"/>
      <c r="BA241" s="292"/>
      <c r="BB241" s="292"/>
      <c r="BC241" s="292"/>
      <c r="BD241" s="292"/>
      <c r="BE241" s="292"/>
      <c r="BF241" s="292"/>
      <c r="BG241" s="292"/>
      <c r="BH241" s="292"/>
      <c r="BI241" s="292"/>
      <c r="BJ241" s="292"/>
      <c r="BK241" s="292"/>
      <c r="BL241" s="292"/>
      <c r="BM241" s="292"/>
      <c r="BN241" s="292"/>
      <c r="BO241" s="292"/>
      <c r="BP241" s="292"/>
      <c r="BQ241" s="292"/>
      <c r="BR241" s="292"/>
      <c r="BS241" s="292"/>
      <c r="BT241" s="292"/>
      <c r="BU241" s="292"/>
    </row>
    <row r="242" spans="1:73" ht="15.75" customHeight="1" thickBot="1">
      <c r="A242" s="310"/>
      <c r="B242" s="310"/>
      <c r="C242" s="313"/>
      <c r="D242" s="313"/>
      <c r="E242" s="313"/>
      <c r="F242" s="739"/>
      <c r="AO242" s="292"/>
      <c r="AP242" s="292"/>
      <c r="AQ242" s="292"/>
      <c r="AR242" s="292"/>
      <c r="AS242" s="292"/>
      <c r="AT242" s="292"/>
      <c r="AU242" s="292"/>
      <c r="AV242" s="292"/>
      <c r="AW242" s="292"/>
      <c r="AX242" s="292"/>
      <c r="AY242" s="292"/>
      <c r="AZ242" s="292"/>
      <c r="BA242" s="292"/>
      <c r="BB242" s="292"/>
      <c r="BC242" s="292"/>
      <c r="BD242" s="292"/>
      <c r="BE242" s="292"/>
      <c r="BF242" s="292"/>
      <c r="BG242" s="292"/>
      <c r="BH242" s="292"/>
      <c r="BI242" s="292"/>
      <c r="BJ242" s="292"/>
      <c r="BK242" s="292"/>
      <c r="BL242" s="292"/>
      <c r="BM242" s="292"/>
      <c r="BN242" s="292"/>
      <c r="BO242" s="292"/>
      <c r="BP242" s="292"/>
      <c r="BQ242" s="292"/>
      <c r="BR242" s="292"/>
      <c r="BS242" s="292"/>
      <c r="BT242" s="292"/>
      <c r="BU242" s="292"/>
    </row>
    <row r="243" spans="1:73" ht="15.75" customHeight="1" thickBot="1">
      <c r="A243" s="310"/>
      <c r="B243" s="310"/>
      <c r="C243" s="313"/>
      <c r="D243" s="313"/>
      <c r="E243" s="313"/>
      <c r="F243" s="739"/>
      <c r="AO243" s="292"/>
      <c r="AP243" s="292"/>
      <c r="AQ243" s="292"/>
      <c r="AR243" s="292"/>
      <c r="AS243" s="292"/>
      <c r="AT243" s="292"/>
      <c r="AU243" s="292"/>
      <c r="AV243" s="292"/>
      <c r="AW243" s="292"/>
      <c r="AX243" s="292"/>
      <c r="AY243" s="292"/>
      <c r="AZ243" s="292"/>
      <c r="BA243" s="292"/>
      <c r="BB243" s="292"/>
      <c r="BC243" s="292"/>
      <c r="BD243" s="292"/>
      <c r="BE243" s="292"/>
      <c r="BF243" s="292"/>
      <c r="BG243" s="292"/>
      <c r="BH243" s="292"/>
      <c r="BI243" s="292"/>
      <c r="BJ243" s="292"/>
      <c r="BK243" s="292"/>
      <c r="BL243" s="292"/>
      <c r="BM243" s="292"/>
      <c r="BN243" s="292"/>
      <c r="BO243" s="292"/>
      <c r="BP243" s="292"/>
      <c r="BQ243" s="292"/>
      <c r="BR243" s="292"/>
      <c r="BS243" s="292"/>
      <c r="BT243" s="292"/>
      <c r="BU243" s="292"/>
    </row>
    <row r="244" spans="1:73" ht="15.75" customHeight="1" thickBot="1">
      <c r="A244" s="310"/>
      <c r="B244" s="310"/>
      <c r="C244" s="313"/>
      <c r="D244" s="313"/>
      <c r="E244" s="313"/>
      <c r="F244" s="739"/>
      <c r="AO244" s="292"/>
      <c r="AP244" s="292"/>
      <c r="AQ244" s="292"/>
      <c r="AR244" s="292"/>
      <c r="AS244" s="292"/>
      <c r="AT244" s="292"/>
      <c r="AU244" s="292"/>
      <c r="AV244" s="292"/>
      <c r="AW244" s="292"/>
      <c r="AX244" s="292"/>
      <c r="AY244" s="292"/>
      <c r="AZ244" s="292"/>
      <c r="BA244" s="292"/>
      <c r="BB244" s="292"/>
      <c r="BC244" s="292"/>
      <c r="BD244" s="292"/>
      <c r="BE244" s="292"/>
      <c r="BF244" s="292"/>
      <c r="BG244" s="292"/>
      <c r="BH244" s="292"/>
      <c r="BI244" s="292"/>
      <c r="BJ244" s="292"/>
      <c r="BK244" s="292"/>
      <c r="BL244" s="292"/>
      <c r="BM244" s="292"/>
      <c r="BN244" s="292"/>
      <c r="BO244" s="292"/>
      <c r="BP244" s="292"/>
      <c r="BQ244" s="292"/>
      <c r="BR244" s="292"/>
      <c r="BS244" s="292"/>
      <c r="BT244" s="292"/>
      <c r="BU244" s="292"/>
    </row>
    <row r="245" spans="1:73" ht="15.75" customHeight="1" thickBot="1">
      <c r="A245" s="310"/>
      <c r="B245" s="310"/>
      <c r="C245" s="313"/>
      <c r="D245" s="313"/>
      <c r="E245" s="313"/>
      <c r="F245" s="739"/>
      <c r="AO245" s="292"/>
      <c r="AP245" s="292"/>
      <c r="AQ245" s="292"/>
      <c r="AR245" s="292"/>
      <c r="AS245" s="292"/>
      <c r="AT245" s="292"/>
      <c r="AU245" s="292"/>
      <c r="AV245" s="292"/>
      <c r="AW245" s="292"/>
      <c r="AX245" s="292"/>
      <c r="AY245" s="292"/>
      <c r="AZ245" s="292"/>
      <c r="BA245" s="292"/>
      <c r="BB245" s="292"/>
      <c r="BC245" s="292"/>
      <c r="BD245" s="292"/>
      <c r="BE245" s="292"/>
      <c r="BF245" s="292"/>
      <c r="BG245" s="292"/>
      <c r="BH245" s="292"/>
      <c r="BI245" s="292"/>
      <c r="BJ245" s="292"/>
      <c r="BK245" s="292"/>
      <c r="BL245" s="292"/>
      <c r="BM245" s="292"/>
      <c r="BN245" s="292"/>
      <c r="BO245" s="292"/>
      <c r="BP245" s="292"/>
      <c r="BQ245" s="292"/>
      <c r="BR245" s="292"/>
      <c r="BS245" s="292"/>
      <c r="BT245" s="292"/>
      <c r="BU245" s="292"/>
    </row>
    <row r="246" spans="1:73" ht="15.75" customHeight="1" thickBot="1">
      <c r="A246" s="310"/>
      <c r="B246" s="310"/>
      <c r="C246" s="313"/>
      <c r="D246" s="313"/>
      <c r="E246" s="313"/>
      <c r="F246" s="739"/>
      <c r="AO246" s="292"/>
      <c r="AP246" s="292"/>
      <c r="AQ246" s="292"/>
      <c r="AR246" s="292"/>
      <c r="AS246" s="292"/>
      <c r="AT246" s="292"/>
      <c r="AU246" s="292"/>
      <c r="AV246" s="292"/>
      <c r="AW246" s="292"/>
      <c r="AX246" s="292"/>
      <c r="AY246" s="292"/>
      <c r="AZ246" s="292"/>
      <c r="BA246" s="292"/>
      <c r="BB246" s="292"/>
      <c r="BC246" s="292"/>
      <c r="BD246" s="292"/>
      <c r="BE246" s="292"/>
      <c r="BF246" s="292"/>
      <c r="BG246" s="292"/>
      <c r="BH246" s="292"/>
      <c r="BI246" s="292"/>
      <c r="BJ246" s="292"/>
      <c r="BK246" s="292"/>
      <c r="BL246" s="292"/>
      <c r="BM246" s="292"/>
      <c r="BN246" s="292"/>
      <c r="BO246" s="292"/>
      <c r="BP246" s="292"/>
      <c r="BQ246" s="292"/>
      <c r="BR246" s="292"/>
      <c r="BS246" s="292"/>
      <c r="BT246" s="292"/>
      <c r="BU246" s="292"/>
    </row>
    <row r="247" spans="1:73" ht="15.75" customHeight="1" thickBot="1">
      <c r="A247" s="310"/>
      <c r="B247" s="310"/>
      <c r="C247" s="313"/>
      <c r="D247" s="313"/>
      <c r="E247" s="313"/>
      <c r="F247" s="739"/>
      <c r="AO247" s="292"/>
      <c r="AP247" s="292"/>
      <c r="AQ247" s="292"/>
      <c r="AR247" s="292"/>
      <c r="AS247" s="292"/>
      <c r="AT247" s="292"/>
      <c r="AU247" s="292"/>
      <c r="AV247" s="292"/>
      <c r="AW247" s="292"/>
      <c r="AX247" s="292"/>
      <c r="AY247" s="292"/>
      <c r="AZ247" s="292"/>
      <c r="BA247" s="292"/>
      <c r="BB247" s="292"/>
      <c r="BC247" s="292"/>
      <c r="BD247" s="292"/>
      <c r="BE247" s="292"/>
      <c r="BF247" s="292"/>
      <c r="BG247" s="292"/>
      <c r="BH247" s="292"/>
      <c r="BI247" s="292"/>
      <c r="BJ247" s="292"/>
      <c r="BK247" s="292"/>
      <c r="BL247" s="292"/>
      <c r="BM247" s="292"/>
      <c r="BN247" s="292"/>
      <c r="BO247" s="292"/>
      <c r="BP247" s="292"/>
      <c r="BQ247" s="292"/>
      <c r="BR247" s="292"/>
      <c r="BS247" s="292"/>
      <c r="BT247" s="292"/>
      <c r="BU247" s="292"/>
    </row>
    <row r="248" spans="1:73" ht="15.75" customHeight="1" thickBot="1">
      <c r="A248" s="310"/>
      <c r="B248" s="310"/>
      <c r="C248" s="313"/>
      <c r="D248" s="313"/>
      <c r="E248" s="313"/>
      <c r="F248" s="739"/>
      <c r="AO248" s="292"/>
      <c r="AP248" s="292"/>
      <c r="AQ248" s="292"/>
      <c r="AR248" s="292"/>
      <c r="AS248" s="292"/>
      <c r="AT248" s="292"/>
      <c r="AU248" s="292"/>
      <c r="AV248" s="292"/>
      <c r="AW248" s="292"/>
      <c r="AX248" s="292"/>
      <c r="AY248" s="292"/>
      <c r="AZ248" s="292"/>
      <c r="BA248" s="292"/>
      <c r="BB248" s="292"/>
      <c r="BC248" s="292"/>
      <c r="BD248" s="292"/>
      <c r="BE248" s="292"/>
      <c r="BF248" s="292"/>
      <c r="BG248" s="292"/>
      <c r="BH248" s="292"/>
      <c r="BI248" s="292"/>
      <c r="BJ248" s="292"/>
      <c r="BK248" s="292"/>
      <c r="BL248" s="292"/>
      <c r="BM248" s="292"/>
      <c r="BN248" s="292"/>
      <c r="BO248" s="292"/>
      <c r="BP248" s="292"/>
      <c r="BQ248" s="292"/>
      <c r="BR248" s="292"/>
      <c r="BS248" s="292"/>
      <c r="BT248" s="292"/>
      <c r="BU248" s="292"/>
    </row>
    <row r="249" spans="1:73" ht="15.75" customHeight="1" thickBot="1">
      <c r="A249" s="310"/>
      <c r="B249" s="310"/>
      <c r="C249" s="313"/>
      <c r="D249" s="313"/>
      <c r="E249" s="313"/>
      <c r="F249" s="739"/>
      <c r="AO249" s="292"/>
      <c r="AP249" s="292"/>
      <c r="AQ249" s="292"/>
      <c r="AR249" s="292"/>
      <c r="AS249" s="292"/>
      <c r="AT249" s="292"/>
      <c r="AU249" s="292"/>
      <c r="AV249" s="292"/>
      <c r="AW249" s="292"/>
      <c r="AX249" s="292"/>
      <c r="AY249" s="292"/>
      <c r="AZ249" s="292"/>
      <c r="BA249" s="292"/>
      <c r="BB249" s="292"/>
      <c r="BC249" s="292"/>
      <c r="BD249" s="292"/>
      <c r="BE249" s="292"/>
      <c r="BF249" s="292"/>
      <c r="BG249" s="292"/>
      <c r="BH249" s="292"/>
      <c r="BI249" s="292"/>
      <c r="BJ249" s="292"/>
      <c r="BK249" s="292"/>
      <c r="BL249" s="292"/>
      <c r="BM249" s="292"/>
      <c r="BN249" s="292"/>
      <c r="BO249" s="292"/>
      <c r="BP249" s="292"/>
      <c r="BQ249" s="292"/>
      <c r="BR249" s="292"/>
      <c r="BS249" s="292"/>
      <c r="BT249" s="292"/>
      <c r="BU249" s="292"/>
    </row>
    <row r="250" spans="1:73" ht="15.75" customHeight="1" thickBot="1">
      <c r="A250" s="310"/>
      <c r="B250" s="310"/>
      <c r="C250" s="313"/>
      <c r="D250" s="313"/>
      <c r="E250" s="313"/>
      <c r="F250" s="739"/>
      <c r="AO250" s="292"/>
      <c r="AP250" s="292"/>
      <c r="AQ250" s="292"/>
      <c r="AR250" s="292"/>
      <c r="AS250" s="292"/>
      <c r="AT250" s="292"/>
      <c r="AU250" s="292"/>
      <c r="AV250" s="292"/>
      <c r="AW250" s="292"/>
      <c r="AX250" s="292"/>
      <c r="AY250" s="292"/>
      <c r="AZ250" s="292"/>
      <c r="BA250" s="292"/>
      <c r="BB250" s="292"/>
      <c r="BC250" s="292"/>
      <c r="BD250" s="292"/>
      <c r="BE250" s="292"/>
      <c r="BF250" s="292"/>
      <c r="BG250" s="292"/>
      <c r="BH250" s="292"/>
      <c r="BI250" s="292"/>
      <c r="BJ250" s="292"/>
      <c r="BK250" s="292"/>
      <c r="BL250" s="292"/>
      <c r="BM250" s="292"/>
      <c r="BN250" s="292"/>
      <c r="BO250" s="292"/>
      <c r="BP250" s="292"/>
      <c r="BQ250" s="292"/>
      <c r="BR250" s="292"/>
      <c r="BS250" s="292"/>
      <c r="BT250" s="292"/>
      <c r="BU250" s="292"/>
    </row>
    <row r="251" spans="1:73" ht="15.75" customHeight="1" thickBot="1">
      <c r="A251" s="310"/>
      <c r="B251" s="310"/>
      <c r="C251" s="313"/>
      <c r="D251" s="313"/>
      <c r="E251" s="313"/>
      <c r="F251" s="739"/>
      <c r="AO251" s="292"/>
      <c r="AP251" s="292"/>
      <c r="AQ251" s="292"/>
      <c r="AR251" s="292"/>
      <c r="AS251" s="292"/>
      <c r="AT251" s="292"/>
      <c r="AU251" s="292"/>
      <c r="AV251" s="292"/>
      <c r="AW251" s="292"/>
      <c r="AX251" s="292"/>
      <c r="AY251" s="292"/>
      <c r="AZ251" s="292"/>
      <c r="BA251" s="292"/>
      <c r="BB251" s="292"/>
      <c r="BC251" s="292"/>
      <c r="BD251" s="292"/>
      <c r="BE251" s="292"/>
      <c r="BF251" s="292"/>
      <c r="BG251" s="292"/>
      <c r="BH251" s="292"/>
      <c r="BI251" s="292"/>
      <c r="BJ251" s="292"/>
      <c r="BK251" s="292"/>
      <c r="BL251" s="292"/>
      <c r="BM251" s="292"/>
      <c r="BN251" s="292"/>
      <c r="BO251" s="292"/>
      <c r="BP251" s="292"/>
      <c r="BQ251" s="292"/>
      <c r="BR251" s="292"/>
      <c r="BS251" s="292"/>
      <c r="BT251" s="292"/>
      <c r="BU251" s="292"/>
    </row>
    <row r="252" spans="1:73" ht="15.75" customHeight="1" thickBot="1">
      <c r="A252" s="310"/>
      <c r="B252" s="310"/>
      <c r="C252" s="313"/>
      <c r="D252" s="313"/>
      <c r="E252" s="313"/>
      <c r="F252" s="739"/>
      <c r="AO252" s="292"/>
      <c r="AP252" s="292"/>
      <c r="AQ252" s="292"/>
      <c r="AR252" s="292"/>
      <c r="AS252" s="292"/>
      <c r="AT252" s="292"/>
      <c r="AU252" s="292"/>
      <c r="AV252" s="292"/>
      <c r="AW252" s="292"/>
      <c r="AX252" s="292"/>
      <c r="AY252" s="292"/>
      <c r="AZ252" s="292"/>
      <c r="BA252" s="292"/>
      <c r="BB252" s="292"/>
      <c r="BC252" s="292"/>
      <c r="BD252" s="292"/>
      <c r="BE252" s="292"/>
      <c r="BF252" s="292"/>
      <c r="BG252" s="292"/>
      <c r="BH252" s="292"/>
      <c r="BI252" s="292"/>
      <c r="BJ252" s="292"/>
      <c r="BK252" s="292"/>
      <c r="BL252" s="292"/>
      <c r="BM252" s="292"/>
      <c r="BN252" s="292"/>
      <c r="BO252" s="292"/>
      <c r="BP252" s="292"/>
      <c r="BQ252" s="292"/>
      <c r="BR252" s="292"/>
      <c r="BS252" s="292"/>
      <c r="BT252" s="292"/>
      <c r="BU252" s="292"/>
    </row>
    <row r="253" spans="1:73" ht="15.75" customHeight="1" thickBot="1">
      <c r="A253" s="310"/>
      <c r="B253" s="310"/>
      <c r="C253" s="313"/>
      <c r="D253" s="313"/>
      <c r="E253" s="313"/>
      <c r="F253" s="739"/>
      <c r="AO253" s="292"/>
      <c r="AP253" s="292"/>
      <c r="AQ253" s="292"/>
      <c r="AR253" s="292"/>
      <c r="AS253" s="292"/>
      <c r="AT253" s="292"/>
      <c r="AU253" s="292"/>
      <c r="AV253" s="292"/>
      <c r="AW253" s="292"/>
      <c r="AX253" s="292"/>
      <c r="AY253" s="292"/>
      <c r="AZ253" s="292"/>
      <c r="BA253" s="292"/>
      <c r="BB253" s="292"/>
      <c r="BC253" s="292"/>
      <c r="BD253" s="292"/>
      <c r="BE253" s="292"/>
      <c r="BF253" s="292"/>
      <c r="BG253" s="292"/>
      <c r="BH253" s="292"/>
      <c r="BI253" s="292"/>
      <c r="BJ253" s="292"/>
      <c r="BK253" s="292"/>
      <c r="BL253" s="292"/>
      <c r="BM253" s="292"/>
      <c r="BN253" s="292"/>
      <c r="BO253" s="292"/>
      <c r="BP253" s="292"/>
      <c r="BQ253" s="292"/>
      <c r="BR253" s="292"/>
      <c r="BS253" s="292"/>
      <c r="BT253" s="292"/>
      <c r="BU253" s="292"/>
    </row>
    <row r="254" spans="1:73" ht="15.75" customHeight="1" thickBot="1">
      <c r="A254" s="310"/>
      <c r="B254" s="310"/>
      <c r="C254" s="313"/>
      <c r="D254" s="313"/>
      <c r="E254" s="313"/>
      <c r="F254" s="739"/>
      <c r="AO254" s="292"/>
      <c r="AP254" s="292"/>
      <c r="AQ254" s="292"/>
      <c r="AR254" s="292"/>
      <c r="AS254" s="292"/>
      <c r="AT254" s="292"/>
      <c r="AU254" s="292"/>
      <c r="AV254" s="292"/>
      <c r="AW254" s="292"/>
      <c r="AX254" s="292"/>
      <c r="AY254" s="292"/>
      <c r="AZ254" s="292"/>
      <c r="BA254" s="292"/>
      <c r="BB254" s="292"/>
      <c r="BC254" s="292"/>
      <c r="BD254" s="292"/>
      <c r="BE254" s="292"/>
      <c r="BF254" s="292"/>
      <c r="BG254" s="292"/>
      <c r="BH254" s="292"/>
      <c r="BI254" s="292"/>
      <c r="BJ254" s="292"/>
      <c r="BK254" s="292"/>
      <c r="BL254" s="292"/>
      <c r="BM254" s="292"/>
      <c r="BN254" s="292"/>
      <c r="BO254" s="292"/>
      <c r="BP254" s="292"/>
      <c r="BQ254" s="292"/>
      <c r="BR254" s="292"/>
      <c r="BS254" s="292"/>
      <c r="BT254" s="292"/>
      <c r="BU254" s="292"/>
    </row>
    <row r="255" spans="1:73" ht="15.75" customHeight="1" thickBot="1">
      <c r="A255" s="310"/>
      <c r="B255" s="310"/>
      <c r="C255" s="313"/>
      <c r="D255" s="313"/>
      <c r="E255" s="313"/>
      <c r="F255" s="739"/>
      <c r="AO255" s="292"/>
      <c r="AP255" s="292"/>
      <c r="AQ255" s="292"/>
      <c r="AR255" s="292"/>
      <c r="AS255" s="292"/>
      <c r="AT255" s="292"/>
      <c r="AU255" s="292"/>
      <c r="AV255" s="292"/>
      <c r="AW255" s="292"/>
      <c r="AX255" s="292"/>
      <c r="AY255" s="292"/>
      <c r="AZ255" s="292"/>
      <c r="BA255" s="292"/>
      <c r="BB255" s="292"/>
      <c r="BC255" s="292"/>
      <c r="BD255" s="292"/>
      <c r="BE255" s="292"/>
      <c r="BF255" s="292"/>
      <c r="BG255" s="292"/>
      <c r="BH255" s="292"/>
      <c r="BI255" s="292"/>
      <c r="BJ255" s="292"/>
      <c r="BK255" s="292"/>
      <c r="BL255" s="292"/>
      <c r="BM255" s="292"/>
      <c r="BN255" s="292"/>
      <c r="BO255" s="292"/>
      <c r="BP255" s="292"/>
      <c r="BQ255" s="292"/>
      <c r="BR255" s="292"/>
      <c r="BS255" s="292"/>
      <c r="BT255" s="292"/>
      <c r="BU255" s="292"/>
    </row>
    <row r="256" spans="1:73" ht="15.75" customHeight="1" thickBot="1">
      <c r="A256" s="310"/>
      <c r="B256" s="310"/>
      <c r="C256" s="313"/>
      <c r="D256" s="313"/>
      <c r="E256" s="313"/>
      <c r="F256" s="739"/>
      <c r="AO256" s="292"/>
      <c r="AP256" s="292"/>
      <c r="AQ256" s="292"/>
      <c r="AR256" s="292"/>
      <c r="AS256" s="292"/>
      <c r="AT256" s="292"/>
      <c r="AU256" s="292"/>
      <c r="AV256" s="292"/>
      <c r="AW256" s="292"/>
      <c r="AX256" s="292"/>
      <c r="AY256" s="292"/>
      <c r="AZ256" s="292"/>
      <c r="BA256" s="292"/>
      <c r="BB256" s="292"/>
      <c r="BC256" s="292"/>
      <c r="BD256" s="292"/>
      <c r="BE256" s="292"/>
      <c r="BF256" s="292"/>
      <c r="BG256" s="292"/>
      <c r="BH256" s="292"/>
      <c r="BI256" s="292"/>
      <c r="BJ256" s="292"/>
      <c r="BK256" s="292"/>
      <c r="BL256" s="292"/>
      <c r="BM256" s="292"/>
      <c r="BN256" s="292"/>
      <c r="BO256" s="292"/>
      <c r="BP256" s="292"/>
      <c r="BQ256" s="292"/>
      <c r="BR256" s="292"/>
      <c r="BS256" s="292"/>
      <c r="BT256" s="292"/>
      <c r="BU256" s="292"/>
    </row>
    <row r="257" spans="1:73" ht="15.75" customHeight="1" thickBot="1">
      <c r="A257" s="310"/>
      <c r="B257" s="310"/>
      <c r="C257" s="313"/>
      <c r="D257" s="313"/>
      <c r="E257" s="313"/>
      <c r="F257" s="739"/>
      <c r="AO257" s="292"/>
      <c r="AP257" s="292"/>
      <c r="AQ257" s="292"/>
      <c r="AR257" s="292"/>
      <c r="AS257" s="292"/>
      <c r="AT257" s="292"/>
      <c r="AU257" s="292"/>
      <c r="AV257" s="292"/>
      <c r="AW257" s="292"/>
      <c r="AX257" s="292"/>
      <c r="AY257" s="292"/>
      <c r="AZ257" s="292"/>
      <c r="BA257" s="292"/>
      <c r="BB257" s="292"/>
      <c r="BC257" s="292"/>
      <c r="BD257" s="292"/>
      <c r="BE257" s="292"/>
      <c r="BF257" s="292"/>
      <c r="BG257" s="292"/>
      <c r="BH257" s="292"/>
      <c r="BI257" s="292"/>
      <c r="BJ257" s="292"/>
      <c r="BK257" s="292"/>
      <c r="BL257" s="292"/>
      <c r="BM257" s="292"/>
      <c r="BN257" s="292"/>
      <c r="BO257" s="292"/>
      <c r="BP257" s="292"/>
      <c r="BQ257" s="292"/>
      <c r="BR257" s="292"/>
      <c r="BS257" s="292"/>
      <c r="BT257" s="292"/>
      <c r="BU257" s="292"/>
    </row>
    <row r="258" spans="1:73" ht="15.75" customHeight="1" thickBot="1">
      <c r="A258" s="310"/>
      <c r="B258" s="310"/>
      <c r="C258" s="313"/>
      <c r="D258" s="313"/>
      <c r="E258" s="313"/>
      <c r="F258" s="739"/>
      <c r="AO258" s="292"/>
      <c r="AP258" s="292"/>
      <c r="AQ258" s="292"/>
      <c r="AR258" s="292"/>
      <c r="AS258" s="292"/>
      <c r="AT258" s="292"/>
      <c r="AU258" s="292"/>
      <c r="AV258" s="292"/>
      <c r="AW258" s="292"/>
      <c r="AX258" s="292"/>
      <c r="AY258" s="292"/>
      <c r="AZ258" s="292"/>
      <c r="BA258" s="292"/>
      <c r="BB258" s="292"/>
      <c r="BC258" s="292"/>
      <c r="BD258" s="292"/>
      <c r="BE258" s="292"/>
      <c r="BF258" s="292"/>
      <c r="BG258" s="292"/>
      <c r="BH258" s="292"/>
      <c r="BI258" s="292"/>
      <c r="BJ258" s="292"/>
      <c r="BK258" s="292"/>
      <c r="BL258" s="292"/>
      <c r="BM258" s="292"/>
      <c r="BN258" s="292"/>
      <c r="BO258" s="292"/>
      <c r="BP258" s="292"/>
      <c r="BQ258" s="292"/>
      <c r="BR258" s="292"/>
      <c r="BS258" s="292"/>
      <c r="BT258" s="292"/>
      <c r="BU258" s="292"/>
    </row>
    <row r="259" spans="1:73" ht="15.75" customHeight="1" thickBot="1">
      <c r="A259" s="310"/>
      <c r="B259" s="310"/>
      <c r="C259" s="313"/>
      <c r="D259" s="313"/>
      <c r="E259" s="313"/>
      <c r="F259" s="739"/>
      <c r="AO259" s="292"/>
      <c r="AP259" s="292"/>
      <c r="AQ259" s="292"/>
      <c r="AR259" s="292"/>
      <c r="AS259" s="292"/>
      <c r="AT259" s="292"/>
      <c r="AU259" s="292"/>
      <c r="AV259" s="292"/>
      <c r="AW259" s="292"/>
      <c r="AX259" s="292"/>
      <c r="AY259" s="292"/>
      <c r="AZ259" s="292"/>
      <c r="BA259" s="292"/>
      <c r="BB259" s="292"/>
      <c r="BC259" s="292"/>
      <c r="BD259" s="292"/>
      <c r="BE259" s="292"/>
      <c r="BF259" s="292"/>
      <c r="BG259" s="292"/>
      <c r="BH259" s="292"/>
      <c r="BI259" s="292"/>
      <c r="BJ259" s="292"/>
      <c r="BK259" s="292"/>
      <c r="BL259" s="292"/>
      <c r="BM259" s="292"/>
      <c r="BN259" s="292"/>
      <c r="BO259" s="292"/>
      <c r="BP259" s="292"/>
      <c r="BQ259" s="292"/>
      <c r="BR259" s="292"/>
      <c r="BS259" s="292"/>
      <c r="BT259" s="292"/>
      <c r="BU259" s="292"/>
    </row>
    <row r="260" spans="1:73" ht="15.75" customHeight="1" thickBot="1">
      <c r="A260" s="310"/>
      <c r="B260" s="310"/>
      <c r="C260" s="313"/>
      <c r="D260" s="313"/>
      <c r="E260" s="313"/>
      <c r="F260" s="739"/>
      <c r="AO260" s="292"/>
      <c r="AP260" s="292"/>
      <c r="AQ260" s="292"/>
      <c r="AR260" s="292"/>
      <c r="AS260" s="292"/>
      <c r="AT260" s="292"/>
      <c r="AU260" s="292"/>
      <c r="AV260" s="292"/>
      <c r="AW260" s="292"/>
      <c r="AX260" s="292"/>
      <c r="AY260" s="292"/>
      <c r="AZ260" s="292"/>
      <c r="BA260" s="292"/>
      <c r="BB260" s="292"/>
      <c r="BC260" s="292"/>
      <c r="BD260" s="292"/>
      <c r="BE260" s="292"/>
      <c r="BF260" s="292"/>
      <c r="BG260" s="292"/>
      <c r="BH260" s="292"/>
      <c r="BI260" s="292"/>
      <c r="BJ260" s="292"/>
      <c r="BK260" s="292"/>
      <c r="BL260" s="292"/>
      <c r="BM260" s="292"/>
      <c r="BN260" s="292"/>
      <c r="BO260" s="292"/>
      <c r="BP260" s="292"/>
      <c r="BQ260" s="292"/>
      <c r="BR260" s="292"/>
      <c r="BS260" s="292"/>
      <c r="BT260" s="292"/>
      <c r="BU260" s="292"/>
    </row>
    <row r="261" spans="1:73" ht="15.75" customHeight="1" thickBot="1">
      <c r="A261" s="310"/>
      <c r="B261" s="310"/>
      <c r="C261" s="313"/>
      <c r="D261" s="313"/>
      <c r="E261" s="313"/>
      <c r="F261" s="739"/>
      <c r="AO261" s="292"/>
      <c r="AP261" s="292"/>
      <c r="AQ261" s="292"/>
      <c r="AR261" s="292"/>
      <c r="AS261" s="292"/>
      <c r="AT261" s="292"/>
      <c r="AU261" s="292"/>
      <c r="AV261" s="292"/>
      <c r="AW261" s="292"/>
      <c r="AX261" s="292"/>
      <c r="AY261" s="292"/>
      <c r="AZ261" s="292"/>
      <c r="BA261" s="292"/>
      <c r="BB261" s="292"/>
      <c r="BC261" s="292"/>
      <c r="BD261" s="292"/>
      <c r="BE261" s="292"/>
      <c r="BF261" s="292"/>
      <c r="BG261" s="292"/>
      <c r="BH261" s="292"/>
      <c r="BI261" s="292"/>
      <c r="BJ261" s="292"/>
      <c r="BK261" s="292"/>
      <c r="BL261" s="292"/>
      <c r="BM261" s="292"/>
      <c r="BN261" s="292"/>
      <c r="BO261" s="292"/>
      <c r="BP261" s="292"/>
      <c r="BQ261" s="292"/>
      <c r="BR261" s="292"/>
      <c r="BS261" s="292"/>
      <c r="BT261" s="292"/>
      <c r="BU261" s="292"/>
    </row>
    <row r="262" spans="1:73" ht="15.75" customHeight="1" thickBot="1">
      <c r="A262" s="310"/>
      <c r="B262" s="310"/>
      <c r="C262" s="313"/>
      <c r="D262" s="313"/>
      <c r="E262" s="313"/>
      <c r="F262" s="739"/>
      <c r="AO262" s="292"/>
      <c r="AP262" s="292"/>
      <c r="AQ262" s="292"/>
      <c r="AR262" s="292"/>
      <c r="AS262" s="292"/>
      <c r="AT262" s="292"/>
      <c r="AU262" s="292"/>
      <c r="AV262" s="292"/>
      <c r="AW262" s="292"/>
      <c r="AX262" s="292"/>
      <c r="AY262" s="292"/>
      <c r="AZ262" s="292"/>
      <c r="BA262" s="292"/>
      <c r="BB262" s="292"/>
      <c r="BC262" s="292"/>
      <c r="BD262" s="292"/>
      <c r="BE262" s="292"/>
      <c r="BF262" s="292"/>
      <c r="BG262" s="292"/>
      <c r="BH262" s="292"/>
      <c r="BI262" s="292"/>
      <c r="BJ262" s="292"/>
      <c r="BK262" s="292"/>
      <c r="BL262" s="292"/>
      <c r="BM262" s="292"/>
      <c r="BN262" s="292"/>
      <c r="BO262" s="292"/>
      <c r="BP262" s="292"/>
      <c r="BQ262" s="292"/>
      <c r="BR262" s="292"/>
      <c r="BS262" s="292"/>
      <c r="BT262" s="292"/>
      <c r="BU262" s="292"/>
    </row>
    <row r="263" spans="1:73" ht="15.75" customHeight="1" thickBot="1">
      <c r="A263" s="310"/>
      <c r="B263" s="310"/>
      <c r="C263" s="313"/>
      <c r="D263" s="313"/>
      <c r="E263" s="313"/>
      <c r="F263" s="739"/>
      <c r="AO263" s="292"/>
      <c r="AP263" s="292"/>
      <c r="AQ263" s="292"/>
      <c r="AR263" s="292"/>
      <c r="AS263" s="292"/>
      <c r="AT263" s="292"/>
      <c r="AU263" s="292"/>
      <c r="AV263" s="292"/>
      <c r="AW263" s="292"/>
      <c r="AX263" s="292"/>
      <c r="AY263" s="292"/>
      <c r="AZ263" s="292"/>
      <c r="BA263" s="292"/>
      <c r="BB263" s="292"/>
      <c r="BC263" s="292"/>
      <c r="BD263" s="292"/>
      <c r="BE263" s="292"/>
      <c r="BF263" s="292"/>
      <c r="BG263" s="292"/>
      <c r="BH263" s="292"/>
      <c r="BI263" s="292"/>
      <c r="BJ263" s="292"/>
      <c r="BK263" s="292"/>
      <c r="BL263" s="292"/>
      <c r="BM263" s="292"/>
      <c r="BN263" s="292"/>
      <c r="BO263" s="292"/>
      <c r="BP263" s="292"/>
      <c r="BQ263" s="292"/>
      <c r="BR263" s="292"/>
      <c r="BS263" s="292"/>
      <c r="BT263" s="292"/>
      <c r="BU263" s="292"/>
    </row>
    <row r="264" spans="1:73" ht="15.75" customHeight="1" thickBot="1">
      <c r="A264" s="310"/>
      <c r="B264" s="310"/>
      <c r="C264" s="313"/>
      <c r="D264" s="313"/>
      <c r="E264" s="313"/>
      <c r="F264" s="739"/>
      <c r="AO264" s="292"/>
      <c r="AP264" s="292"/>
      <c r="AQ264" s="292"/>
      <c r="AR264" s="292"/>
      <c r="AS264" s="292"/>
      <c r="AT264" s="292"/>
      <c r="AU264" s="292"/>
      <c r="AV264" s="292"/>
      <c r="AW264" s="292"/>
      <c r="AX264" s="292"/>
      <c r="AY264" s="292"/>
      <c r="AZ264" s="292"/>
      <c r="BA264" s="292"/>
      <c r="BB264" s="292"/>
      <c r="BC264" s="292"/>
      <c r="BD264" s="292"/>
      <c r="BE264" s="292"/>
      <c r="BF264" s="292"/>
      <c r="BG264" s="292"/>
      <c r="BH264" s="292"/>
      <c r="BI264" s="292"/>
      <c r="BJ264" s="292"/>
      <c r="BK264" s="292"/>
      <c r="BL264" s="292"/>
      <c r="BM264" s="292"/>
      <c r="BN264" s="292"/>
      <c r="BO264" s="292"/>
      <c r="BP264" s="292"/>
      <c r="BQ264" s="292"/>
      <c r="BR264" s="292"/>
      <c r="BS264" s="292"/>
      <c r="BT264" s="292"/>
      <c r="BU264" s="292"/>
    </row>
    <row r="265" spans="1:73" ht="15.75" customHeight="1" thickBot="1">
      <c r="A265" s="310"/>
      <c r="B265" s="310"/>
      <c r="C265" s="313"/>
      <c r="D265" s="313"/>
      <c r="E265" s="313"/>
      <c r="F265" s="739"/>
      <c r="AO265" s="292"/>
      <c r="AP265" s="292"/>
      <c r="AQ265" s="292"/>
      <c r="AR265" s="292"/>
      <c r="AS265" s="292"/>
      <c r="AT265" s="292"/>
      <c r="AU265" s="292"/>
      <c r="AV265" s="292"/>
      <c r="AW265" s="292"/>
      <c r="AX265" s="292"/>
      <c r="AY265" s="292"/>
      <c r="AZ265" s="292"/>
      <c r="BA265" s="292"/>
      <c r="BB265" s="292"/>
      <c r="BC265" s="292"/>
      <c r="BD265" s="292"/>
      <c r="BE265" s="292"/>
      <c r="BF265" s="292"/>
      <c r="BG265" s="292"/>
      <c r="BH265" s="292"/>
      <c r="BI265" s="292"/>
      <c r="BJ265" s="292"/>
      <c r="BK265" s="292"/>
      <c r="BL265" s="292"/>
      <c r="BM265" s="292"/>
      <c r="BN265" s="292"/>
      <c r="BO265" s="292"/>
      <c r="BP265" s="292"/>
      <c r="BQ265" s="292"/>
      <c r="BR265" s="292"/>
      <c r="BS265" s="292"/>
      <c r="BT265" s="292"/>
      <c r="BU265" s="292"/>
    </row>
    <row r="266" spans="1:73" s="671" customFormat="1" ht="15.75" customHeight="1" thickBot="1">
      <c r="A266" s="669"/>
      <c r="B266" s="669"/>
      <c r="C266" s="670"/>
      <c r="D266" s="670"/>
      <c r="E266" s="670"/>
      <c r="F266" s="748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</row>
    <row r="267" spans="1:73" s="671" customFormat="1" ht="15.75" customHeight="1" thickBot="1">
      <c r="A267" s="669"/>
      <c r="B267" s="669"/>
      <c r="C267" s="670"/>
      <c r="D267" s="670"/>
      <c r="E267" s="670"/>
      <c r="F267" s="748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144"/>
      <c r="BT267" s="144"/>
      <c r="BU267" s="144"/>
    </row>
    <row r="268" spans="1:73" s="671" customFormat="1" ht="15.75" customHeight="1" thickBot="1">
      <c r="A268" s="669"/>
      <c r="B268" s="669"/>
      <c r="C268" s="670"/>
      <c r="D268" s="670"/>
      <c r="E268" s="670"/>
      <c r="F268" s="748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/>
      <c r="BJ268" s="144"/>
      <c r="BK268" s="144"/>
      <c r="BL268" s="144"/>
      <c r="BM268" s="144"/>
      <c r="BN268" s="144"/>
      <c r="BO268" s="144"/>
      <c r="BP268" s="144"/>
      <c r="BQ268" s="144"/>
      <c r="BR268" s="144"/>
      <c r="BS268" s="144"/>
      <c r="BT268" s="144"/>
      <c r="BU268" s="144"/>
    </row>
    <row r="269" spans="1:73" s="671" customFormat="1" ht="15.75" customHeight="1" thickBot="1">
      <c r="A269" s="669"/>
      <c r="B269" s="669"/>
      <c r="C269" s="670"/>
      <c r="D269" s="670"/>
      <c r="E269" s="670"/>
      <c r="F269" s="748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44"/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</row>
    <row r="270" spans="1:73" s="671" customFormat="1" ht="15.75" customHeight="1" thickBot="1">
      <c r="A270" s="669"/>
      <c r="B270" s="669"/>
      <c r="C270" s="670"/>
      <c r="D270" s="670"/>
      <c r="E270" s="670"/>
      <c r="F270" s="748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</row>
    <row r="271" spans="1:73" s="671" customFormat="1" ht="15.75" customHeight="1" thickBot="1">
      <c r="A271" s="669"/>
      <c r="B271" s="669"/>
      <c r="C271" s="670"/>
      <c r="D271" s="670"/>
      <c r="E271" s="670"/>
      <c r="F271" s="748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</row>
    <row r="272" spans="1:73" s="671" customFormat="1" ht="15.75" customHeight="1" thickBot="1">
      <c r="A272" s="669"/>
      <c r="B272" s="669"/>
      <c r="C272" s="670"/>
      <c r="D272" s="670"/>
      <c r="E272" s="670"/>
      <c r="F272" s="748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</row>
    <row r="273" spans="1:73" s="671" customFormat="1" ht="15.75" customHeight="1" thickBot="1">
      <c r="A273" s="669"/>
      <c r="B273" s="669"/>
      <c r="C273" s="670"/>
      <c r="D273" s="670"/>
      <c r="E273" s="670"/>
      <c r="F273" s="748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</row>
    <row r="274" spans="1:73" s="671" customFormat="1" ht="15.75" customHeight="1" thickBot="1">
      <c r="A274" s="669"/>
      <c r="B274" s="669"/>
      <c r="C274" s="670"/>
      <c r="D274" s="670"/>
      <c r="E274" s="670"/>
      <c r="F274" s="748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4"/>
      <c r="BN274" s="144"/>
      <c r="BO274" s="144"/>
      <c r="BP274" s="144"/>
      <c r="BQ274" s="144"/>
      <c r="BR274" s="144"/>
      <c r="BS274" s="144"/>
      <c r="BT274" s="144"/>
      <c r="BU274" s="144"/>
    </row>
    <row r="275" spans="1:73" s="671" customFormat="1" ht="15.75" customHeight="1" thickBot="1">
      <c r="A275" s="669"/>
      <c r="B275" s="669"/>
      <c r="C275" s="670"/>
      <c r="D275" s="670"/>
      <c r="E275" s="670"/>
      <c r="F275" s="748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</row>
    <row r="276" spans="1:73" s="671" customFormat="1" ht="15.75" customHeight="1" thickBot="1">
      <c r="A276" s="669"/>
      <c r="B276" s="669"/>
      <c r="C276" s="670"/>
      <c r="D276" s="670"/>
      <c r="E276" s="670"/>
      <c r="F276" s="748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</row>
    <row r="277" spans="1:73" s="671" customFormat="1" ht="15.75" customHeight="1" thickBot="1">
      <c r="A277" s="669"/>
      <c r="B277" s="669"/>
      <c r="C277" s="670"/>
      <c r="D277" s="670"/>
      <c r="E277" s="670"/>
      <c r="F277" s="748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</row>
    <row r="278" spans="1:73" s="671" customFormat="1" ht="15.75" customHeight="1" thickBot="1">
      <c r="A278" s="669"/>
      <c r="B278" s="669"/>
      <c r="C278" s="670"/>
      <c r="D278" s="670"/>
      <c r="E278" s="670"/>
      <c r="F278" s="748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</row>
    <row r="279" spans="1:73" s="671" customFormat="1" ht="15.75" customHeight="1" thickBot="1">
      <c r="A279" s="669"/>
      <c r="B279" s="669"/>
      <c r="C279" s="670"/>
      <c r="D279" s="670"/>
      <c r="E279" s="670"/>
      <c r="F279" s="748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</row>
    <row r="280" spans="1:73" s="671" customFormat="1" ht="15.75" customHeight="1" thickBot="1">
      <c r="A280" s="669"/>
      <c r="B280" s="669"/>
      <c r="C280" s="670"/>
      <c r="D280" s="670"/>
      <c r="E280" s="670"/>
      <c r="F280" s="748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</row>
    <row r="281" spans="1:73" s="671" customFormat="1" ht="15.75" customHeight="1" thickBot="1">
      <c r="A281" s="669"/>
      <c r="B281" s="669"/>
      <c r="C281" s="670"/>
      <c r="D281" s="670"/>
      <c r="E281" s="670"/>
      <c r="F281" s="748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</row>
    <row r="282" spans="1:73" s="671" customFormat="1" ht="15.75" customHeight="1" thickBot="1">
      <c r="A282" s="669"/>
      <c r="B282" s="669"/>
      <c r="C282" s="670"/>
      <c r="D282" s="670"/>
      <c r="E282" s="670"/>
      <c r="F282" s="748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</row>
    <row r="283" spans="1:73" s="671" customFormat="1" ht="15.75" customHeight="1" thickBot="1">
      <c r="A283" s="669"/>
      <c r="B283" s="669"/>
      <c r="C283" s="670"/>
      <c r="D283" s="670"/>
      <c r="E283" s="670"/>
      <c r="F283" s="748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</row>
    <row r="284" spans="1:73" s="671" customFormat="1" ht="15.75" customHeight="1" thickBot="1">
      <c r="A284" s="669"/>
      <c r="B284" s="669"/>
      <c r="C284" s="670"/>
      <c r="D284" s="670"/>
      <c r="E284" s="670"/>
      <c r="F284" s="748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4"/>
      <c r="BJ284" s="144"/>
      <c r="BK284" s="144"/>
      <c r="BL284" s="144"/>
      <c r="BM284" s="144"/>
      <c r="BN284" s="144"/>
      <c r="BO284" s="144"/>
      <c r="BP284" s="144"/>
      <c r="BQ284" s="144"/>
      <c r="BR284" s="144"/>
      <c r="BS284" s="144"/>
      <c r="BT284" s="144"/>
      <c r="BU284" s="144"/>
    </row>
    <row r="285" spans="1:73" s="671" customFormat="1" ht="15.75" customHeight="1" thickBot="1">
      <c r="A285" s="669"/>
      <c r="B285" s="669"/>
      <c r="C285" s="670"/>
      <c r="D285" s="670"/>
      <c r="E285" s="670"/>
      <c r="F285" s="748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4"/>
      <c r="BJ285" s="144"/>
      <c r="BK285" s="144"/>
      <c r="BL285" s="144"/>
      <c r="BM285" s="144"/>
      <c r="BN285" s="144"/>
      <c r="BO285" s="144"/>
      <c r="BP285" s="144"/>
      <c r="BQ285" s="144"/>
      <c r="BR285" s="144"/>
      <c r="BS285" s="144"/>
      <c r="BT285" s="144"/>
      <c r="BU285" s="144"/>
    </row>
    <row r="286" spans="1:73" s="671" customFormat="1" ht="15.75" customHeight="1" thickBot="1">
      <c r="A286" s="669"/>
      <c r="B286" s="669"/>
      <c r="C286" s="670"/>
      <c r="D286" s="670"/>
      <c r="E286" s="670"/>
      <c r="F286" s="748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4"/>
      <c r="BJ286" s="144"/>
      <c r="BK286" s="144"/>
      <c r="BL286" s="144"/>
      <c r="BM286" s="144"/>
      <c r="BN286" s="144"/>
      <c r="BO286" s="144"/>
      <c r="BP286" s="144"/>
      <c r="BQ286" s="144"/>
      <c r="BR286" s="144"/>
      <c r="BS286" s="144"/>
      <c r="BT286" s="144"/>
      <c r="BU286" s="144"/>
    </row>
    <row r="287" spans="1:73" thickBot="1">
      <c r="A287" s="310"/>
      <c r="B287" s="310"/>
      <c r="C287" s="291"/>
      <c r="D287" s="291"/>
      <c r="E287" s="291"/>
      <c r="F287" s="739"/>
    </row>
    <row r="288" spans="1:73" thickBot="1">
      <c r="A288" s="310"/>
      <c r="B288" s="310"/>
      <c r="C288" s="291"/>
      <c r="D288" s="291"/>
      <c r="E288" s="291"/>
      <c r="F288" s="739"/>
    </row>
    <row r="289" spans="1:6" thickBot="1">
      <c r="A289" s="310"/>
      <c r="B289" s="310"/>
      <c r="C289" s="291"/>
      <c r="D289" s="291"/>
      <c r="E289" s="291"/>
      <c r="F289" s="739"/>
    </row>
    <row r="290" spans="1:6" thickBot="1">
      <c r="A290" s="310"/>
      <c r="B290" s="310"/>
      <c r="C290" s="291"/>
      <c r="D290" s="291"/>
      <c r="E290" s="291"/>
      <c r="F290" s="739"/>
    </row>
    <row r="291" spans="1:6" thickBot="1">
      <c r="A291" s="310"/>
      <c r="B291" s="310"/>
      <c r="C291" s="291"/>
      <c r="D291" s="291"/>
      <c r="E291" s="291"/>
      <c r="F291" s="739"/>
    </row>
    <row r="292" spans="1:6" thickBot="1">
      <c r="A292" s="310"/>
      <c r="B292" s="310"/>
      <c r="C292" s="291"/>
      <c r="D292" s="291"/>
      <c r="E292" s="291"/>
      <c r="F292" s="739"/>
    </row>
    <row r="293" spans="1:6" thickBot="1">
      <c r="A293" s="310"/>
      <c r="B293" s="310"/>
      <c r="C293" s="291"/>
      <c r="D293" s="291"/>
      <c r="E293" s="291"/>
      <c r="F293" s="739"/>
    </row>
    <row r="294" spans="1:6" thickBot="1">
      <c r="A294" s="310"/>
      <c r="B294" s="310"/>
      <c r="C294" s="291"/>
      <c r="D294" s="291"/>
      <c r="E294" s="291"/>
      <c r="F294" s="739"/>
    </row>
    <row r="295" spans="1:6" thickBot="1">
      <c r="A295" s="310"/>
      <c r="B295" s="310"/>
      <c r="C295" s="291"/>
      <c r="D295" s="291"/>
      <c r="E295" s="291"/>
      <c r="F295" s="739"/>
    </row>
    <row r="296" spans="1:6" thickBot="1">
      <c r="A296" s="310"/>
      <c r="B296" s="310"/>
      <c r="C296" s="291"/>
      <c r="D296" s="291"/>
      <c r="E296" s="291"/>
      <c r="F296" s="739"/>
    </row>
    <row r="297" spans="1:6" thickBot="1">
      <c r="A297" s="310"/>
      <c r="B297" s="310"/>
      <c r="C297" s="291"/>
      <c r="D297" s="291"/>
      <c r="E297" s="291"/>
      <c r="F297" s="739"/>
    </row>
    <row r="298" spans="1:6" thickBot="1">
      <c r="A298" s="310"/>
      <c r="B298" s="310"/>
      <c r="C298" s="291"/>
      <c r="D298" s="291"/>
      <c r="E298" s="291"/>
      <c r="F298" s="739"/>
    </row>
    <row r="299" spans="1:6" thickBot="1">
      <c r="A299" s="310"/>
      <c r="B299" s="310"/>
      <c r="C299" s="291"/>
      <c r="D299" s="291"/>
      <c r="E299" s="291"/>
      <c r="F299" s="739"/>
    </row>
    <row r="300" spans="1:6" thickBot="1">
      <c r="A300" s="310"/>
      <c r="B300" s="310"/>
      <c r="C300" s="291"/>
      <c r="D300" s="291"/>
      <c r="E300" s="291"/>
      <c r="F300" s="739"/>
    </row>
    <row r="301" spans="1:6" thickBot="1">
      <c r="A301" s="310"/>
      <c r="B301" s="310"/>
      <c r="C301" s="291"/>
      <c r="D301" s="291"/>
      <c r="E301" s="291"/>
      <c r="F301" s="739"/>
    </row>
    <row r="302" spans="1:6" thickBot="1">
      <c r="A302" s="310"/>
      <c r="B302" s="310"/>
      <c r="C302" s="291"/>
      <c r="D302" s="291"/>
      <c r="E302" s="291"/>
      <c r="F302" s="739"/>
    </row>
    <row r="303" spans="1:6" thickBot="1">
      <c r="A303" s="310"/>
      <c r="B303" s="310"/>
      <c r="C303" s="291"/>
      <c r="D303" s="291"/>
      <c r="E303" s="291"/>
      <c r="F303" s="739"/>
    </row>
    <row r="304" spans="1:6" thickBot="1">
      <c r="A304" s="310"/>
      <c r="B304" s="310"/>
      <c r="C304" s="291"/>
      <c r="D304" s="291"/>
      <c r="E304" s="291"/>
      <c r="F304" s="739"/>
    </row>
    <row r="305" spans="1:6" thickBot="1">
      <c r="A305" s="310"/>
      <c r="B305" s="310"/>
      <c r="C305" s="291"/>
      <c r="D305" s="291"/>
      <c r="E305" s="291"/>
      <c r="F305" s="739"/>
    </row>
    <row r="306" spans="1:6" thickBot="1">
      <c r="A306" s="310"/>
      <c r="B306" s="310"/>
      <c r="C306" s="291"/>
      <c r="D306" s="291"/>
      <c r="E306" s="291"/>
      <c r="F306" s="739"/>
    </row>
    <row r="307" spans="1:6" thickBot="1">
      <c r="A307" s="310"/>
      <c r="B307" s="310"/>
      <c r="C307" s="291"/>
      <c r="D307" s="291"/>
      <c r="E307" s="291"/>
      <c r="F307" s="739"/>
    </row>
    <row r="308" spans="1:6" thickBot="1">
      <c r="A308" s="310"/>
      <c r="B308" s="310"/>
      <c r="C308" s="291"/>
      <c r="D308" s="291"/>
      <c r="E308" s="291"/>
      <c r="F308" s="739"/>
    </row>
    <row r="309" spans="1:6" thickBot="1">
      <c r="A309" s="310"/>
      <c r="B309" s="310"/>
      <c r="C309" s="291"/>
      <c r="D309" s="291"/>
      <c r="E309" s="291"/>
      <c r="F309" s="739"/>
    </row>
    <row r="310" spans="1:6" thickBot="1">
      <c r="A310" s="310"/>
      <c r="B310" s="310"/>
      <c r="C310" s="291"/>
      <c r="D310" s="291"/>
      <c r="E310" s="291"/>
      <c r="F310" s="739"/>
    </row>
    <row r="311" spans="1:6" thickBot="1">
      <c r="A311" s="310"/>
      <c r="B311" s="310"/>
      <c r="C311" s="291"/>
      <c r="D311" s="291"/>
      <c r="E311" s="291"/>
      <c r="F311" s="739"/>
    </row>
    <row r="312" spans="1:6" thickBot="1">
      <c r="A312" s="310"/>
      <c r="B312" s="310"/>
      <c r="C312" s="291"/>
      <c r="D312" s="291"/>
      <c r="E312" s="291"/>
      <c r="F312" s="739"/>
    </row>
    <row r="313" spans="1:6" thickBot="1">
      <c r="A313" s="310"/>
      <c r="B313" s="310"/>
      <c r="C313" s="291"/>
      <c r="D313" s="291"/>
      <c r="E313" s="291"/>
      <c r="F313" s="739"/>
    </row>
    <row r="314" spans="1:6" thickBot="1">
      <c r="A314" s="310"/>
      <c r="B314" s="310"/>
      <c r="C314" s="291"/>
      <c r="D314" s="291"/>
      <c r="E314" s="291"/>
      <c r="F314" s="739"/>
    </row>
    <row r="315" spans="1:6" thickBot="1">
      <c r="A315" s="310"/>
      <c r="B315" s="310"/>
      <c r="C315" s="291"/>
      <c r="D315" s="291"/>
      <c r="E315" s="291"/>
      <c r="F315" s="739"/>
    </row>
    <row r="316" spans="1:6" thickBot="1">
      <c r="A316" s="310"/>
      <c r="B316" s="310"/>
      <c r="C316" s="291"/>
      <c r="D316" s="291"/>
      <c r="E316" s="291"/>
      <c r="F316" s="739"/>
    </row>
    <row r="317" spans="1:6" thickBot="1">
      <c r="A317" s="310"/>
      <c r="B317" s="310"/>
      <c r="C317" s="291"/>
      <c r="D317" s="291"/>
      <c r="E317" s="291"/>
      <c r="F317" s="739"/>
    </row>
    <row r="318" spans="1:6" thickBot="1">
      <c r="A318" s="310"/>
      <c r="B318" s="310"/>
      <c r="C318" s="291"/>
      <c r="D318" s="291"/>
      <c r="E318" s="291"/>
      <c r="F318" s="739"/>
    </row>
    <row r="319" spans="1:6" thickBot="1">
      <c r="A319" s="310"/>
      <c r="B319" s="310"/>
      <c r="C319" s="291"/>
      <c r="D319" s="291"/>
      <c r="E319" s="291"/>
      <c r="F319" s="739"/>
    </row>
    <row r="320" spans="1:6" thickBot="1">
      <c r="A320" s="310"/>
      <c r="B320" s="310"/>
      <c r="C320" s="291"/>
      <c r="D320" s="291"/>
      <c r="E320" s="291"/>
      <c r="F320" s="739"/>
    </row>
    <row r="321" spans="1:6" thickBot="1">
      <c r="A321" s="310"/>
      <c r="B321" s="310"/>
      <c r="C321" s="291"/>
      <c r="D321" s="291"/>
      <c r="E321" s="291"/>
      <c r="F321" s="739"/>
    </row>
    <row r="322" spans="1:6" thickBot="1">
      <c r="A322" s="310"/>
      <c r="B322" s="310"/>
      <c r="C322" s="291"/>
      <c r="D322" s="291"/>
      <c r="E322" s="291"/>
      <c r="F322" s="739"/>
    </row>
    <row r="323" spans="1:6" thickBot="1">
      <c r="A323" s="310"/>
      <c r="B323" s="310"/>
      <c r="C323" s="291"/>
      <c r="D323" s="291"/>
      <c r="E323" s="291"/>
      <c r="F323" s="739"/>
    </row>
    <row r="324" spans="1:6" thickBot="1">
      <c r="A324" s="310"/>
      <c r="B324" s="310"/>
      <c r="C324" s="291"/>
      <c r="D324" s="291"/>
      <c r="E324" s="291"/>
      <c r="F324" s="739"/>
    </row>
    <row r="325" spans="1:6" thickBot="1">
      <c r="A325" s="310"/>
      <c r="B325" s="310"/>
      <c r="C325" s="291"/>
      <c r="D325" s="291"/>
      <c r="E325" s="291"/>
      <c r="F325" s="739"/>
    </row>
    <row r="326" spans="1:6" thickBot="1">
      <c r="A326" s="310"/>
      <c r="B326" s="310"/>
      <c r="C326" s="291"/>
      <c r="D326" s="291"/>
      <c r="E326" s="291"/>
      <c r="F326" s="739"/>
    </row>
    <row r="327" spans="1:6" thickBot="1">
      <c r="A327" s="310"/>
      <c r="B327" s="310"/>
      <c r="C327" s="291"/>
      <c r="D327" s="291"/>
      <c r="E327" s="291"/>
      <c r="F327" s="739"/>
    </row>
    <row r="328" spans="1:6" thickBot="1">
      <c r="A328" s="310"/>
      <c r="B328" s="310"/>
      <c r="C328" s="291"/>
      <c r="D328" s="291"/>
      <c r="E328" s="291"/>
      <c r="F328" s="739"/>
    </row>
    <row r="329" spans="1:6" thickBot="1">
      <c r="A329" s="310"/>
      <c r="B329" s="310"/>
      <c r="C329" s="291"/>
      <c r="D329" s="291"/>
      <c r="E329" s="291"/>
      <c r="F329" s="739"/>
    </row>
    <row r="330" spans="1:6" thickBot="1">
      <c r="A330" s="310"/>
      <c r="B330" s="310"/>
      <c r="C330" s="291"/>
      <c r="D330" s="291"/>
      <c r="E330" s="291"/>
      <c r="F330" s="739"/>
    </row>
    <row r="331" spans="1:6" thickBot="1">
      <c r="A331" s="310"/>
      <c r="B331" s="310"/>
      <c r="C331" s="291"/>
      <c r="D331" s="291"/>
      <c r="E331" s="291"/>
      <c r="F331" s="739"/>
    </row>
    <row r="332" spans="1:6" thickBot="1">
      <c r="A332" s="310"/>
      <c r="B332" s="310"/>
      <c r="C332" s="291"/>
      <c r="D332" s="291"/>
      <c r="E332" s="291"/>
      <c r="F332" s="739"/>
    </row>
    <row r="333" spans="1:6" thickBot="1">
      <c r="A333" s="310"/>
      <c r="B333" s="310"/>
      <c r="C333" s="291"/>
      <c r="D333" s="291"/>
      <c r="E333" s="291"/>
      <c r="F333" s="739"/>
    </row>
    <row r="334" spans="1:6" thickBot="1">
      <c r="A334" s="310"/>
      <c r="B334" s="310"/>
      <c r="C334" s="291"/>
      <c r="D334" s="291"/>
      <c r="E334" s="291"/>
      <c r="F334" s="739"/>
    </row>
    <row r="335" spans="1:6" thickBot="1">
      <c r="A335" s="310"/>
      <c r="B335" s="310"/>
      <c r="C335" s="291"/>
      <c r="D335" s="291"/>
      <c r="E335" s="291"/>
      <c r="F335" s="739"/>
    </row>
    <row r="336" spans="1:6" thickBot="1">
      <c r="A336" s="310"/>
      <c r="B336" s="310"/>
      <c r="C336" s="291"/>
      <c r="D336" s="291"/>
      <c r="E336" s="291"/>
      <c r="F336" s="739"/>
    </row>
    <row r="337" spans="1:6" thickBot="1">
      <c r="A337" s="310"/>
      <c r="B337" s="310"/>
      <c r="C337" s="291"/>
      <c r="D337" s="291"/>
      <c r="E337" s="291"/>
      <c r="F337" s="739"/>
    </row>
    <row r="338" spans="1:6" thickBot="1">
      <c r="A338" s="310"/>
      <c r="B338" s="310"/>
      <c r="C338" s="291"/>
      <c r="D338" s="291"/>
      <c r="E338" s="291"/>
      <c r="F338" s="739"/>
    </row>
    <row r="339" spans="1:6" thickBot="1">
      <c r="A339" s="310"/>
      <c r="B339" s="310"/>
      <c r="C339" s="291"/>
      <c r="D339" s="291"/>
      <c r="E339" s="291"/>
      <c r="F339" s="739"/>
    </row>
    <row r="340" spans="1:6" thickBot="1">
      <c r="A340" s="310"/>
      <c r="B340" s="310"/>
      <c r="C340" s="291"/>
      <c r="D340" s="291"/>
      <c r="E340" s="291"/>
      <c r="F340" s="739"/>
    </row>
    <row r="341" spans="1:6" thickBot="1">
      <c r="A341" s="310"/>
      <c r="B341" s="310"/>
      <c r="C341" s="291"/>
      <c r="D341" s="291"/>
      <c r="E341" s="291"/>
      <c r="F341" s="739"/>
    </row>
    <row r="342" spans="1:6" thickBot="1">
      <c r="A342" s="310"/>
      <c r="B342" s="310"/>
      <c r="C342" s="291"/>
      <c r="D342" s="291"/>
      <c r="E342" s="291"/>
      <c r="F342" s="739"/>
    </row>
    <row r="343" spans="1:6" thickBot="1">
      <c r="A343" s="310"/>
      <c r="B343" s="310"/>
      <c r="C343" s="291"/>
      <c r="D343" s="291"/>
      <c r="E343" s="291"/>
      <c r="F343" s="739"/>
    </row>
    <row r="344" spans="1:6" thickBot="1">
      <c r="A344" s="310"/>
      <c r="B344" s="310"/>
      <c r="C344" s="291"/>
      <c r="D344" s="291"/>
      <c r="E344" s="291"/>
      <c r="F344" s="739"/>
    </row>
    <row r="345" spans="1:6" thickBot="1">
      <c r="A345" s="310"/>
      <c r="B345" s="310"/>
      <c r="C345" s="291"/>
      <c r="D345" s="291"/>
      <c r="E345" s="291"/>
      <c r="F345" s="739"/>
    </row>
    <row r="346" spans="1:6" thickBot="1">
      <c r="A346" s="310"/>
      <c r="B346" s="310"/>
      <c r="C346" s="291"/>
      <c r="D346" s="291"/>
      <c r="E346" s="291"/>
      <c r="F346" s="739"/>
    </row>
    <row r="347" spans="1:6" thickBot="1">
      <c r="A347" s="310"/>
      <c r="B347" s="310"/>
      <c r="C347" s="291"/>
      <c r="D347" s="291"/>
      <c r="E347" s="291"/>
      <c r="F347" s="739"/>
    </row>
    <row r="348" spans="1:6" thickBot="1">
      <c r="A348" s="310"/>
      <c r="B348" s="310"/>
      <c r="C348" s="291"/>
      <c r="D348" s="291"/>
      <c r="E348" s="291"/>
      <c r="F348" s="739"/>
    </row>
    <row r="349" spans="1:6" thickBot="1">
      <c r="A349" s="310"/>
      <c r="B349" s="310"/>
      <c r="C349" s="291"/>
      <c r="D349" s="291"/>
      <c r="E349" s="291"/>
      <c r="F349" s="739"/>
    </row>
    <row r="350" spans="1:6" thickBot="1">
      <c r="A350" s="310"/>
      <c r="B350" s="310"/>
      <c r="C350" s="291"/>
      <c r="D350" s="291"/>
      <c r="E350" s="291"/>
      <c r="F350" s="739"/>
    </row>
    <row r="351" spans="1:6" thickBot="1">
      <c r="A351" s="310"/>
      <c r="B351" s="310"/>
      <c r="C351" s="291"/>
      <c r="D351" s="291"/>
      <c r="E351" s="291"/>
      <c r="F351" s="739"/>
    </row>
    <row r="352" spans="1:6" thickBot="1">
      <c r="A352" s="310"/>
      <c r="B352" s="310"/>
      <c r="C352" s="291"/>
      <c r="D352" s="291"/>
      <c r="E352" s="291"/>
      <c r="F352" s="739"/>
    </row>
    <row r="353" spans="1:6" thickBot="1">
      <c r="A353" s="310"/>
      <c r="B353" s="310"/>
      <c r="C353" s="291"/>
      <c r="D353" s="291"/>
      <c r="E353" s="291"/>
      <c r="F353" s="739"/>
    </row>
    <row r="354" spans="1:6" thickBot="1">
      <c r="A354" s="310"/>
      <c r="B354" s="310"/>
      <c r="C354" s="291"/>
      <c r="D354" s="291"/>
      <c r="E354" s="291"/>
      <c r="F354" s="739"/>
    </row>
    <row r="355" spans="1:6" thickBot="1">
      <c r="A355" s="310"/>
      <c r="B355" s="310"/>
      <c r="C355" s="291"/>
      <c r="D355" s="291"/>
      <c r="E355" s="291"/>
      <c r="F355" s="739"/>
    </row>
    <row r="356" spans="1:6" thickBot="1">
      <c r="A356" s="310"/>
      <c r="B356" s="310"/>
      <c r="C356" s="291"/>
      <c r="D356" s="291"/>
      <c r="E356" s="291"/>
      <c r="F356" s="739"/>
    </row>
    <row r="357" spans="1:6" thickBot="1">
      <c r="A357" s="310"/>
      <c r="B357" s="310"/>
      <c r="C357" s="291"/>
      <c r="D357" s="291"/>
      <c r="E357" s="291"/>
      <c r="F357" s="739"/>
    </row>
    <row r="358" spans="1:6" thickBot="1">
      <c r="A358" s="310"/>
      <c r="B358" s="310"/>
      <c r="C358" s="291"/>
      <c r="D358" s="291"/>
      <c r="E358" s="291"/>
      <c r="F358" s="739"/>
    </row>
    <row r="359" spans="1:6" thickBot="1">
      <c r="A359" s="310"/>
      <c r="B359" s="310"/>
      <c r="C359" s="291"/>
      <c r="D359" s="291"/>
      <c r="E359" s="291"/>
      <c r="F359" s="739"/>
    </row>
    <row r="360" spans="1:6" thickBot="1">
      <c r="A360" s="310"/>
      <c r="B360" s="310"/>
      <c r="C360" s="291"/>
      <c r="D360" s="291"/>
      <c r="E360" s="291"/>
      <c r="F360" s="739"/>
    </row>
    <row r="361" spans="1:6" thickBot="1">
      <c r="A361" s="310"/>
      <c r="B361" s="310"/>
      <c r="C361" s="291"/>
      <c r="D361" s="291"/>
      <c r="E361" s="291"/>
      <c r="F361" s="739"/>
    </row>
    <row r="362" spans="1:6" thickBot="1">
      <c r="A362" s="310"/>
      <c r="B362" s="310"/>
      <c r="C362" s="291"/>
      <c r="D362" s="291"/>
      <c r="E362" s="291"/>
      <c r="F362" s="739"/>
    </row>
    <row r="363" spans="1:6" thickBot="1">
      <c r="A363" s="310"/>
      <c r="B363" s="310"/>
      <c r="C363" s="291"/>
      <c r="D363" s="291"/>
      <c r="E363" s="291"/>
      <c r="F363" s="739"/>
    </row>
    <row r="364" spans="1:6" thickBot="1">
      <c r="A364" s="310"/>
      <c r="B364" s="310"/>
      <c r="C364" s="291"/>
      <c r="D364" s="291"/>
      <c r="E364" s="291"/>
      <c r="F364" s="739"/>
    </row>
    <row r="365" spans="1:6" thickBot="1">
      <c r="A365" s="310"/>
      <c r="B365" s="310"/>
      <c r="C365" s="291"/>
      <c r="D365" s="291"/>
      <c r="E365" s="291"/>
      <c r="F365" s="739"/>
    </row>
    <row r="366" spans="1:6" thickBot="1">
      <c r="A366" s="310"/>
      <c r="B366" s="310"/>
      <c r="C366" s="291"/>
      <c r="D366" s="291"/>
      <c r="E366" s="291"/>
      <c r="F366" s="739"/>
    </row>
    <row r="367" spans="1:6" thickBot="1">
      <c r="A367" s="310"/>
      <c r="B367" s="310"/>
      <c r="C367" s="291"/>
      <c r="D367" s="291"/>
      <c r="E367" s="291"/>
      <c r="F367" s="739"/>
    </row>
    <row r="368" spans="1:6" thickBot="1">
      <c r="A368" s="310"/>
      <c r="B368" s="310"/>
      <c r="C368" s="291"/>
      <c r="D368" s="291"/>
      <c r="E368" s="291"/>
      <c r="F368" s="739"/>
    </row>
    <row r="369" spans="1:6" thickBot="1">
      <c r="A369" s="310"/>
      <c r="B369" s="310"/>
      <c r="C369" s="291"/>
      <c r="D369" s="291"/>
      <c r="E369" s="291"/>
      <c r="F369" s="739"/>
    </row>
    <row r="370" spans="1:6" thickBot="1">
      <c r="A370" s="310"/>
      <c r="B370" s="310"/>
      <c r="C370" s="291"/>
      <c r="D370" s="291"/>
      <c r="E370" s="291"/>
      <c r="F370" s="739"/>
    </row>
    <row r="371" spans="1:6" thickBot="1">
      <c r="A371" s="310"/>
      <c r="B371" s="310"/>
      <c r="C371" s="291"/>
      <c r="D371" s="291"/>
      <c r="E371" s="291"/>
      <c r="F371" s="739"/>
    </row>
    <row r="372" spans="1:6" thickBot="1">
      <c r="A372" s="310"/>
      <c r="B372" s="310"/>
      <c r="C372" s="291"/>
      <c r="D372" s="291"/>
      <c r="E372" s="291"/>
      <c r="F372" s="739"/>
    </row>
    <row r="373" spans="1:6" thickBot="1">
      <c r="A373" s="310"/>
      <c r="B373" s="310"/>
      <c r="C373" s="291"/>
      <c r="D373" s="291"/>
      <c r="E373" s="291"/>
      <c r="F373" s="739"/>
    </row>
    <row r="374" spans="1:6" thickBot="1">
      <c r="A374" s="310"/>
      <c r="B374" s="310"/>
      <c r="C374" s="291"/>
      <c r="D374" s="291"/>
      <c r="E374" s="291"/>
      <c r="F374" s="739"/>
    </row>
    <row r="375" spans="1:6" thickBot="1">
      <c r="A375" s="310"/>
      <c r="B375" s="310"/>
      <c r="C375" s="291"/>
      <c r="D375" s="291"/>
      <c r="E375" s="291"/>
      <c r="F375" s="739"/>
    </row>
    <row r="376" spans="1:6" thickBot="1">
      <c r="A376" s="310"/>
      <c r="B376" s="310"/>
      <c r="C376" s="291"/>
      <c r="D376" s="291"/>
      <c r="E376" s="291"/>
      <c r="F376" s="739"/>
    </row>
    <row r="377" spans="1:6" thickBot="1">
      <c r="A377" s="310"/>
      <c r="B377" s="310"/>
      <c r="C377" s="291"/>
      <c r="D377" s="291"/>
      <c r="E377" s="291"/>
      <c r="F377" s="739"/>
    </row>
    <row r="378" spans="1:6" thickBot="1">
      <c r="A378" s="310"/>
      <c r="B378" s="310"/>
      <c r="C378" s="291"/>
      <c r="D378" s="291"/>
      <c r="E378" s="291"/>
      <c r="F378" s="739"/>
    </row>
    <row r="379" spans="1:6" thickBot="1">
      <c r="A379" s="310"/>
      <c r="B379" s="310"/>
      <c r="C379" s="291"/>
      <c r="D379" s="291"/>
      <c r="E379" s="291"/>
      <c r="F379" s="739"/>
    </row>
    <row r="380" spans="1:6" thickBot="1">
      <c r="A380" s="310"/>
      <c r="B380" s="310"/>
      <c r="C380" s="291"/>
      <c r="D380" s="291"/>
      <c r="E380" s="291"/>
      <c r="F380" s="739"/>
    </row>
    <row r="381" spans="1:6" thickBot="1">
      <c r="A381" s="310"/>
      <c r="B381" s="310"/>
      <c r="C381" s="291"/>
      <c r="D381" s="291"/>
      <c r="E381" s="291"/>
      <c r="F381" s="739"/>
    </row>
    <row r="382" spans="1:6" thickBot="1">
      <c r="A382" s="310"/>
      <c r="B382" s="310"/>
      <c r="C382" s="291"/>
      <c r="D382" s="291"/>
      <c r="E382" s="291"/>
      <c r="F382" s="739"/>
    </row>
    <row r="383" spans="1:6" thickBot="1">
      <c r="A383" s="310"/>
      <c r="B383" s="310"/>
      <c r="C383" s="291"/>
      <c r="D383" s="291"/>
      <c r="E383" s="291"/>
      <c r="F383" s="739"/>
    </row>
    <row r="384" spans="1:6" thickBot="1">
      <c r="A384" s="310"/>
      <c r="B384" s="310"/>
      <c r="C384" s="291"/>
      <c r="D384" s="291"/>
      <c r="E384" s="291"/>
      <c r="F384" s="739"/>
    </row>
    <row r="385" spans="1:6" thickBot="1">
      <c r="A385" s="310"/>
      <c r="B385" s="310"/>
      <c r="C385" s="291"/>
      <c r="D385" s="291"/>
      <c r="E385" s="291"/>
      <c r="F385" s="739"/>
    </row>
    <row r="386" spans="1:6" thickBot="1">
      <c r="A386" s="310"/>
      <c r="B386" s="310"/>
      <c r="C386" s="291"/>
      <c r="D386" s="291"/>
      <c r="E386" s="291"/>
      <c r="F386" s="739"/>
    </row>
    <row r="387" spans="1:6" thickBot="1">
      <c r="A387" s="310"/>
      <c r="B387" s="310"/>
      <c r="C387" s="291"/>
      <c r="D387" s="291"/>
      <c r="E387" s="291"/>
      <c r="F387" s="739"/>
    </row>
    <row r="388" spans="1:6" thickBot="1">
      <c r="A388" s="310"/>
      <c r="B388" s="310"/>
      <c r="C388" s="291"/>
      <c r="D388" s="291"/>
      <c r="E388" s="291"/>
      <c r="F388" s="739"/>
    </row>
    <row r="389" spans="1:6" thickBot="1">
      <c r="A389" s="310"/>
      <c r="B389" s="310"/>
      <c r="C389" s="291"/>
      <c r="D389" s="291"/>
      <c r="E389" s="291"/>
      <c r="F389" s="739"/>
    </row>
    <row r="390" spans="1:6" thickBot="1">
      <c r="A390" s="310"/>
      <c r="B390" s="310"/>
      <c r="C390" s="291"/>
      <c r="D390" s="291"/>
      <c r="E390" s="291"/>
      <c r="F390" s="739"/>
    </row>
    <row r="391" spans="1:6" thickBot="1">
      <c r="A391" s="310"/>
      <c r="B391" s="310"/>
      <c r="C391" s="291"/>
      <c r="D391" s="291"/>
      <c r="E391" s="291"/>
      <c r="F391" s="739"/>
    </row>
    <row r="392" spans="1:6" thickBot="1">
      <c r="A392" s="310"/>
      <c r="B392" s="310"/>
      <c r="C392" s="291"/>
      <c r="D392" s="291"/>
      <c r="E392" s="291"/>
      <c r="F392" s="739"/>
    </row>
    <row r="393" spans="1:6" thickBot="1">
      <c r="A393" s="310"/>
      <c r="B393" s="310"/>
      <c r="C393" s="291"/>
      <c r="D393" s="291"/>
      <c r="E393" s="291"/>
      <c r="F393" s="739"/>
    </row>
    <row r="394" spans="1:6" thickBot="1">
      <c r="A394" s="310"/>
      <c r="B394" s="310"/>
      <c r="C394" s="291"/>
      <c r="D394" s="291"/>
      <c r="E394" s="291"/>
      <c r="F394" s="739"/>
    </row>
    <row r="395" spans="1:6" thickBot="1">
      <c r="A395" s="310"/>
      <c r="B395" s="310"/>
      <c r="C395" s="291"/>
      <c r="D395" s="291"/>
      <c r="E395" s="291"/>
      <c r="F395" s="739"/>
    </row>
    <row r="396" spans="1:6" thickBot="1">
      <c r="A396" s="310"/>
      <c r="B396" s="310"/>
      <c r="C396" s="291"/>
      <c r="D396" s="291"/>
      <c r="E396" s="291"/>
      <c r="F396" s="739"/>
    </row>
    <row r="397" spans="1:6" thickBot="1">
      <c r="A397" s="310"/>
      <c r="B397" s="310"/>
      <c r="C397" s="291"/>
      <c r="D397" s="291"/>
      <c r="E397" s="291"/>
      <c r="F397" s="739"/>
    </row>
    <row r="398" spans="1:6" thickBot="1">
      <c r="A398" s="310"/>
      <c r="B398" s="310"/>
      <c r="C398" s="291"/>
      <c r="D398" s="291"/>
      <c r="E398" s="291"/>
      <c r="F398" s="739"/>
    </row>
    <row r="399" spans="1:6" thickBot="1">
      <c r="A399" s="310"/>
      <c r="B399" s="310"/>
      <c r="C399" s="291"/>
      <c r="D399" s="291"/>
      <c r="E399" s="291"/>
      <c r="F399" s="739"/>
    </row>
    <row r="400" spans="1:6" thickBot="1">
      <c r="A400" s="310"/>
      <c r="B400" s="310"/>
      <c r="C400" s="291"/>
      <c r="D400" s="291"/>
      <c r="E400" s="291"/>
      <c r="F400" s="739"/>
    </row>
    <row r="401" spans="1:6" thickBot="1">
      <c r="A401" s="310"/>
      <c r="B401" s="310"/>
      <c r="C401" s="291"/>
      <c r="D401" s="291"/>
      <c r="E401" s="291"/>
      <c r="F401" s="739"/>
    </row>
    <row r="402" spans="1:6" thickBot="1">
      <c r="A402" s="310"/>
      <c r="B402" s="310"/>
      <c r="C402" s="291"/>
      <c r="D402" s="291"/>
      <c r="E402" s="291"/>
      <c r="F402" s="739"/>
    </row>
    <row r="403" spans="1:6" thickBot="1">
      <c r="A403" s="310"/>
      <c r="B403" s="310"/>
      <c r="C403" s="291"/>
      <c r="D403" s="291"/>
      <c r="E403" s="291"/>
      <c r="F403" s="739"/>
    </row>
    <row r="404" spans="1:6" thickBot="1">
      <c r="A404" s="310"/>
      <c r="B404" s="310"/>
      <c r="C404" s="291"/>
      <c r="D404" s="291"/>
      <c r="E404" s="291"/>
      <c r="F404" s="739"/>
    </row>
    <row r="405" spans="1:6" thickBot="1">
      <c r="A405" s="310"/>
      <c r="B405" s="310"/>
      <c r="C405" s="291"/>
      <c r="D405" s="291"/>
      <c r="E405" s="291"/>
      <c r="F405" s="739"/>
    </row>
    <row r="406" spans="1:6" thickBot="1">
      <c r="A406" s="310"/>
      <c r="B406" s="310"/>
      <c r="C406" s="291"/>
      <c r="D406" s="291"/>
      <c r="E406" s="291"/>
      <c r="F406" s="739"/>
    </row>
    <row r="407" spans="1:6" thickBot="1">
      <c r="A407" s="310"/>
      <c r="B407" s="310"/>
      <c r="C407" s="291"/>
      <c r="D407" s="291"/>
      <c r="E407" s="291"/>
      <c r="F407" s="739"/>
    </row>
    <row r="408" spans="1:6" thickBot="1">
      <c r="A408" s="310"/>
      <c r="B408" s="310"/>
      <c r="C408" s="291"/>
      <c r="D408" s="291"/>
      <c r="E408" s="291"/>
      <c r="F408" s="739"/>
    </row>
    <row r="409" spans="1:6" thickBot="1">
      <c r="A409" s="310"/>
      <c r="B409" s="310"/>
      <c r="C409" s="291"/>
      <c r="D409" s="291"/>
      <c r="E409" s="291"/>
      <c r="F409" s="739"/>
    </row>
    <row r="410" spans="1:6" thickBot="1">
      <c r="A410" s="310"/>
      <c r="B410" s="310"/>
      <c r="C410" s="291"/>
      <c r="D410" s="291"/>
      <c r="E410" s="291"/>
      <c r="F410" s="739"/>
    </row>
    <row r="411" spans="1:6" thickBot="1">
      <c r="A411" s="310"/>
      <c r="B411" s="310"/>
      <c r="C411" s="291"/>
      <c r="D411" s="291"/>
      <c r="E411" s="291"/>
      <c r="F411" s="739"/>
    </row>
    <row r="412" spans="1:6" thickBot="1">
      <c r="A412" s="310"/>
      <c r="B412" s="310"/>
      <c r="C412" s="291"/>
      <c r="D412" s="291"/>
      <c r="E412" s="291"/>
      <c r="F412" s="739"/>
    </row>
    <row r="413" spans="1:6" thickBot="1">
      <c r="A413" s="310"/>
      <c r="B413" s="310"/>
      <c r="C413" s="291"/>
      <c r="D413" s="291"/>
      <c r="E413" s="291"/>
      <c r="F413" s="739"/>
    </row>
    <row r="414" spans="1:6" thickBot="1">
      <c r="A414" s="310"/>
      <c r="B414" s="310"/>
      <c r="C414" s="291"/>
      <c r="D414" s="291"/>
      <c r="E414" s="291"/>
      <c r="F414" s="739"/>
    </row>
    <row r="415" spans="1:6" thickBot="1">
      <c r="A415" s="310"/>
      <c r="B415" s="310"/>
      <c r="C415" s="291"/>
      <c r="D415" s="291"/>
      <c r="E415" s="291"/>
      <c r="F415" s="739"/>
    </row>
    <row r="416" spans="1:6" thickBot="1">
      <c r="A416" s="310"/>
      <c r="B416" s="310"/>
      <c r="C416" s="291"/>
      <c r="D416" s="291"/>
      <c r="E416" s="291"/>
      <c r="F416" s="739"/>
    </row>
    <row r="417" spans="1:6" thickBot="1">
      <c r="A417" s="310"/>
      <c r="B417" s="310"/>
      <c r="C417" s="291"/>
      <c r="D417" s="291"/>
      <c r="E417" s="291"/>
      <c r="F417" s="739"/>
    </row>
    <row r="418" spans="1:6" thickBot="1">
      <c r="A418" s="310"/>
      <c r="B418" s="310"/>
      <c r="C418" s="291"/>
      <c r="D418" s="291"/>
      <c r="E418" s="291"/>
      <c r="F418" s="739"/>
    </row>
    <row r="419" spans="1:6" thickBot="1">
      <c r="A419" s="310"/>
      <c r="B419" s="310"/>
      <c r="C419" s="291"/>
      <c r="D419" s="291"/>
      <c r="E419" s="291"/>
      <c r="F419" s="739"/>
    </row>
    <row r="420" spans="1:6" thickBot="1">
      <c r="A420" s="310"/>
      <c r="B420" s="310"/>
      <c r="C420" s="291"/>
      <c r="D420" s="291"/>
      <c r="E420" s="291"/>
      <c r="F420" s="739"/>
    </row>
    <row r="421" spans="1:6" thickBot="1">
      <c r="A421" s="310"/>
      <c r="B421" s="310"/>
      <c r="C421" s="291"/>
      <c r="D421" s="291"/>
      <c r="E421" s="291"/>
      <c r="F421" s="739"/>
    </row>
    <row r="422" spans="1:6" thickBot="1">
      <c r="A422" s="310"/>
      <c r="B422" s="310"/>
      <c r="C422" s="291"/>
      <c r="D422" s="291"/>
      <c r="E422" s="291"/>
      <c r="F422" s="739"/>
    </row>
    <row r="423" spans="1:6" thickBot="1">
      <c r="A423" s="310"/>
      <c r="B423" s="310"/>
      <c r="C423" s="291"/>
      <c r="D423" s="291"/>
      <c r="E423" s="291"/>
      <c r="F423" s="739"/>
    </row>
    <row r="424" spans="1:6" thickBot="1">
      <c r="A424" s="310"/>
      <c r="B424" s="310"/>
      <c r="C424" s="291"/>
      <c r="D424" s="291"/>
      <c r="E424" s="291"/>
      <c r="F424" s="739"/>
    </row>
    <row r="425" spans="1:6" thickBot="1">
      <c r="A425" s="310"/>
      <c r="B425" s="310"/>
      <c r="C425" s="291"/>
      <c r="D425" s="291"/>
      <c r="E425" s="291"/>
      <c r="F425" s="739"/>
    </row>
    <row r="426" spans="1:6" thickBot="1">
      <c r="A426" s="310"/>
      <c r="B426" s="310"/>
      <c r="C426" s="291"/>
      <c r="D426" s="291"/>
      <c r="E426" s="291"/>
      <c r="F426" s="739"/>
    </row>
    <row r="427" spans="1:6" thickBot="1">
      <c r="A427" s="310"/>
      <c r="B427" s="310"/>
      <c r="C427" s="291"/>
      <c r="D427" s="291"/>
      <c r="E427" s="291"/>
      <c r="F427" s="739"/>
    </row>
    <row r="428" spans="1:6" thickBot="1">
      <c r="A428" s="310"/>
      <c r="B428" s="310"/>
      <c r="C428" s="291"/>
      <c r="D428" s="291"/>
      <c r="E428" s="291"/>
      <c r="F428" s="739"/>
    </row>
    <row r="429" spans="1:6" thickBot="1">
      <c r="A429" s="310"/>
      <c r="B429" s="310"/>
      <c r="C429" s="291"/>
      <c r="D429" s="291"/>
      <c r="E429" s="291"/>
      <c r="F429" s="739"/>
    </row>
    <row r="430" spans="1:6" thickBot="1">
      <c r="A430" s="310"/>
      <c r="B430" s="310"/>
      <c r="C430" s="291"/>
      <c r="D430" s="291"/>
      <c r="E430" s="291"/>
      <c r="F430" s="739"/>
    </row>
    <row r="431" spans="1:6" thickBot="1">
      <c r="A431" s="310"/>
      <c r="B431" s="310"/>
      <c r="C431" s="291"/>
      <c r="D431" s="291"/>
      <c r="E431" s="291"/>
      <c r="F431" s="739"/>
    </row>
    <row r="432" spans="1:6" thickBot="1">
      <c r="A432" s="310"/>
      <c r="B432" s="310"/>
      <c r="C432" s="291"/>
      <c r="D432" s="291"/>
      <c r="E432" s="291"/>
      <c r="F432" s="739"/>
    </row>
    <row r="433" spans="1:6" thickBot="1">
      <c r="A433" s="310"/>
      <c r="B433" s="310"/>
      <c r="C433" s="291"/>
      <c r="D433" s="291"/>
      <c r="E433" s="291"/>
      <c r="F433" s="739"/>
    </row>
    <row r="434" spans="1:6" thickBot="1">
      <c r="A434" s="310"/>
      <c r="B434" s="310"/>
      <c r="C434" s="291"/>
      <c r="D434" s="291"/>
      <c r="E434" s="291"/>
      <c r="F434" s="739"/>
    </row>
    <row r="435" spans="1:6" thickBot="1">
      <c r="A435" s="310"/>
      <c r="B435" s="310"/>
      <c r="C435" s="291"/>
      <c r="D435" s="291"/>
      <c r="E435" s="291"/>
      <c r="F435" s="739"/>
    </row>
    <row r="436" spans="1:6" thickBot="1">
      <c r="A436" s="310"/>
      <c r="B436" s="310"/>
      <c r="C436" s="291"/>
      <c r="D436" s="291"/>
      <c r="E436" s="291"/>
      <c r="F436" s="739"/>
    </row>
    <row r="437" spans="1:6" thickBot="1">
      <c r="A437" s="310"/>
      <c r="B437" s="310"/>
      <c r="C437" s="291"/>
      <c r="D437" s="291"/>
      <c r="E437" s="291"/>
      <c r="F437" s="739"/>
    </row>
    <row r="438" spans="1:6" thickBot="1">
      <c r="A438" s="310"/>
      <c r="B438" s="310"/>
      <c r="C438" s="291"/>
      <c r="D438" s="291"/>
      <c r="E438" s="291"/>
      <c r="F438" s="739"/>
    </row>
    <row r="439" spans="1:6" thickBot="1">
      <c r="A439" s="310"/>
      <c r="B439" s="310"/>
      <c r="C439" s="291"/>
      <c r="D439" s="291"/>
      <c r="E439" s="291"/>
      <c r="F439" s="739"/>
    </row>
    <row r="440" spans="1:6" thickBot="1">
      <c r="A440" s="310"/>
      <c r="B440" s="310"/>
      <c r="C440" s="291"/>
      <c r="D440" s="291"/>
      <c r="E440" s="291"/>
      <c r="F440" s="739"/>
    </row>
    <row r="441" spans="1:6" thickBot="1">
      <c r="A441" s="310"/>
      <c r="B441" s="310"/>
      <c r="C441" s="291"/>
      <c r="D441" s="291"/>
      <c r="E441" s="291"/>
      <c r="F441" s="739"/>
    </row>
    <row r="442" spans="1:6" thickBot="1">
      <c r="A442" s="310"/>
      <c r="B442" s="310"/>
      <c r="C442" s="291"/>
      <c r="D442" s="291"/>
      <c r="E442" s="291"/>
      <c r="F442" s="739"/>
    </row>
    <row r="443" spans="1:6" thickBot="1">
      <c r="A443" s="310"/>
      <c r="B443" s="310"/>
      <c r="C443" s="291"/>
      <c r="D443" s="291"/>
      <c r="E443" s="291"/>
      <c r="F443" s="739"/>
    </row>
    <row r="444" spans="1:6" thickBot="1">
      <c r="A444" s="310"/>
      <c r="B444" s="310"/>
      <c r="C444" s="291"/>
      <c r="D444" s="291"/>
      <c r="E444" s="291"/>
      <c r="F444" s="739"/>
    </row>
    <row r="445" spans="1:6" thickBot="1">
      <c r="A445" s="310"/>
      <c r="B445" s="310"/>
      <c r="C445" s="291"/>
      <c r="D445" s="291"/>
      <c r="E445" s="291"/>
      <c r="F445" s="739"/>
    </row>
    <row r="446" spans="1:6" thickBot="1">
      <c r="A446" s="310"/>
      <c r="B446" s="310"/>
      <c r="C446" s="291"/>
      <c r="D446" s="291"/>
      <c r="E446" s="291"/>
      <c r="F446" s="739"/>
    </row>
    <row r="447" spans="1:6" thickBot="1">
      <c r="A447" s="310"/>
      <c r="B447" s="310"/>
      <c r="C447" s="291"/>
      <c r="D447" s="291"/>
      <c r="E447" s="291"/>
      <c r="F447" s="739"/>
    </row>
    <row r="448" spans="1:6" thickBot="1">
      <c r="A448" s="310"/>
      <c r="B448" s="310"/>
      <c r="C448" s="291"/>
      <c r="D448" s="291"/>
      <c r="E448" s="291"/>
      <c r="F448" s="739"/>
    </row>
    <row r="449" spans="1:6" thickBot="1">
      <c r="A449" s="310"/>
      <c r="B449" s="310"/>
      <c r="C449" s="291"/>
      <c r="D449" s="291"/>
      <c r="E449" s="291"/>
      <c r="F449" s="739"/>
    </row>
    <row r="450" spans="1:6" thickBot="1">
      <c r="A450" s="310"/>
      <c r="B450" s="310"/>
      <c r="C450" s="291"/>
      <c r="D450" s="291"/>
      <c r="E450" s="291"/>
      <c r="F450" s="739"/>
    </row>
    <row r="451" spans="1:6" thickBot="1">
      <c r="A451" s="310"/>
      <c r="B451" s="310"/>
      <c r="C451" s="291"/>
      <c r="D451" s="291"/>
      <c r="E451" s="291"/>
      <c r="F451" s="739"/>
    </row>
    <row r="452" spans="1:6" thickBot="1">
      <c r="A452" s="310"/>
      <c r="B452" s="310"/>
      <c r="C452" s="291"/>
      <c r="D452" s="291"/>
      <c r="E452" s="291"/>
      <c r="F452" s="739"/>
    </row>
    <row r="453" spans="1:6" thickBot="1">
      <c r="A453" s="310"/>
      <c r="B453" s="310"/>
      <c r="C453" s="291"/>
      <c r="D453" s="291"/>
      <c r="E453" s="291"/>
      <c r="F453" s="739"/>
    </row>
    <row r="454" spans="1:6" thickBot="1">
      <c r="A454" s="310"/>
      <c r="B454" s="310"/>
      <c r="C454" s="291"/>
      <c r="D454" s="291"/>
      <c r="E454" s="291"/>
      <c r="F454" s="739"/>
    </row>
    <row r="455" spans="1:6" thickBot="1">
      <c r="A455" s="310"/>
      <c r="B455" s="310"/>
      <c r="C455" s="291"/>
      <c r="D455" s="291"/>
      <c r="E455" s="291"/>
      <c r="F455" s="739"/>
    </row>
    <row r="456" spans="1:6" thickBot="1">
      <c r="A456" s="310"/>
      <c r="B456" s="310"/>
      <c r="C456" s="291"/>
      <c r="D456" s="291"/>
      <c r="E456" s="291"/>
      <c r="F456" s="739"/>
    </row>
    <row r="457" spans="1:6" thickBot="1">
      <c r="A457" s="310"/>
      <c r="B457" s="310"/>
      <c r="C457" s="291"/>
      <c r="D457" s="291"/>
      <c r="E457" s="291"/>
      <c r="F457" s="739"/>
    </row>
    <row r="458" spans="1:6" thickBot="1">
      <c r="A458" s="310"/>
      <c r="B458" s="310"/>
      <c r="C458" s="291"/>
      <c r="D458" s="291"/>
      <c r="E458" s="291"/>
      <c r="F458" s="739"/>
    </row>
    <row r="459" spans="1:6" thickBot="1">
      <c r="A459" s="310"/>
      <c r="B459" s="310"/>
      <c r="C459" s="291"/>
      <c r="D459" s="291"/>
      <c r="E459" s="291"/>
      <c r="F459" s="739"/>
    </row>
    <row r="460" spans="1:6" thickBot="1">
      <c r="A460" s="310"/>
      <c r="B460" s="310"/>
      <c r="C460" s="291"/>
      <c r="D460" s="291"/>
      <c r="E460" s="291"/>
      <c r="F460" s="739"/>
    </row>
    <row r="461" spans="1:6" thickBot="1">
      <c r="A461" s="310"/>
      <c r="B461" s="310"/>
      <c r="C461" s="291"/>
      <c r="D461" s="291"/>
      <c r="E461" s="291"/>
      <c r="F461" s="739"/>
    </row>
    <row r="462" spans="1:6" thickBot="1">
      <c r="A462" s="310"/>
      <c r="B462" s="310"/>
      <c r="C462" s="291"/>
      <c r="D462" s="291"/>
      <c r="E462" s="291"/>
      <c r="F462" s="739"/>
    </row>
    <row r="463" spans="1:6" thickBot="1">
      <c r="A463" s="310"/>
      <c r="B463" s="310"/>
      <c r="C463" s="291"/>
      <c r="D463" s="291"/>
      <c r="E463" s="291"/>
      <c r="F463" s="739"/>
    </row>
    <row r="464" spans="1:6" thickBot="1">
      <c r="A464" s="310"/>
      <c r="B464" s="310"/>
      <c r="C464" s="291"/>
      <c r="D464" s="291"/>
      <c r="E464" s="291"/>
      <c r="F464" s="739"/>
    </row>
    <row r="465" spans="1:6" thickBot="1">
      <c r="A465" s="310"/>
      <c r="B465" s="310"/>
      <c r="C465" s="291"/>
      <c r="D465" s="291"/>
      <c r="E465" s="291"/>
      <c r="F465" s="739"/>
    </row>
    <row r="466" spans="1:6" thickBot="1">
      <c r="A466" s="310"/>
      <c r="B466" s="310"/>
      <c r="C466" s="291"/>
      <c r="D466" s="291"/>
      <c r="E466" s="291"/>
      <c r="F466" s="739"/>
    </row>
    <row r="467" spans="1:6" thickBot="1">
      <c r="A467" s="310"/>
      <c r="B467" s="310"/>
      <c r="C467" s="291"/>
      <c r="D467" s="291"/>
      <c r="E467" s="291"/>
      <c r="F467" s="739"/>
    </row>
    <row r="468" spans="1:6" thickBot="1">
      <c r="A468" s="310"/>
      <c r="B468" s="310"/>
      <c r="C468" s="291"/>
      <c r="D468" s="291"/>
      <c r="E468" s="291"/>
      <c r="F468" s="739"/>
    </row>
    <row r="469" spans="1:6" thickBot="1">
      <c r="A469" s="310"/>
      <c r="B469" s="310"/>
      <c r="C469" s="291"/>
      <c r="D469" s="291"/>
      <c r="E469" s="291"/>
      <c r="F469" s="739"/>
    </row>
    <row r="470" spans="1:6" thickBot="1">
      <c r="A470" s="310"/>
      <c r="B470" s="310"/>
      <c r="C470" s="291"/>
      <c r="D470" s="291"/>
      <c r="E470" s="291"/>
      <c r="F470" s="739"/>
    </row>
    <row r="471" spans="1:6" thickBot="1">
      <c r="A471" s="310"/>
      <c r="B471" s="310"/>
      <c r="C471" s="291"/>
      <c r="D471" s="291"/>
      <c r="E471" s="291"/>
      <c r="F471" s="739"/>
    </row>
    <row r="472" spans="1:6" thickBot="1">
      <c r="A472" s="310"/>
      <c r="B472" s="310"/>
      <c r="C472" s="291"/>
      <c r="D472" s="291"/>
      <c r="E472" s="291"/>
      <c r="F472" s="739"/>
    </row>
    <row r="473" spans="1:6" thickBot="1">
      <c r="A473" s="310"/>
      <c r="B473" s="310"/>
      <c r="C473" s="291"/>
      <c r="D473" s="291"/>
      <c r="E473" s="291"/>
      <c r="F473" s="739"/>
    </row>
    <row r="474" spans="1:6" thickBot="1">
      <c r="A474" s="310"/>
      <c r="B474" s="310"/>
      <c r="C474" s="291"/>
      <c r="D474" s="291"/>
      <c r="E474" s="291"/>
      <c r="F474" s="739"/>
    </row>
    <row r="475" spans="1:6" thickBot="1">
      <c r="A475" s="310"/>
      <c r="B475" s="310"/>
      <c r="C475" s="291"/>
      <c r="D475" s="291"/>
      <c r="E475" s="291"/>
      <c r="F475" s="739"/>
    </row>
    <row r="476" spans="1:6" thickBot="1">
      <c r="A476" s="310"/>
      <c r="B476" s="310"/>
      <c r="C476" s="291"/>
      <c r="D476" s="291"/>
      <c r="E476" s="291"/>
      <c r="F476" s="739"/>
    </row>
    <row r="477" spans="1:6" thickBot="1">
      <c r="A477" s="310"/>
      <c r="B477" s="310"/>
      <c r="C477" s="291"/>
      <c r="D477" s="291"/>
      <c r="E477" s="291"/>
      <c r="F477" s="739"/>
    </row>
    <row r="478" spans="1:6" thickBot="1">
      <c r="A478" s="310"/>
      <c r="B478" s="310"/>
      <c r="C478" s="291"/>
      <c r="D478" s="291"/>
      <c r="E478" s="291"/>
      <c r="F478" s="739"/>
    </row>
    <row r="479" spans="1:6" thickBot="1">
      <c r="A479" s="310"/>
      <c r="B479" s="310"/>
      <c r="C479" s="291"/>
      <c r="D479" s="291"/>
      <c r="E479" s="291"/>
      <c r="F479" s="739"/>
    </row>
    <row r="480" spans="1:6" thickBot="1">
      <c r="A480" s="310"/>
      <c r="B480" s="310"/>
      <c r="C480" s="291"/>
      <c r="D480" s="291"/>
      <c r="E480" s="291"/>
      <c r="F480" s="739"/>
    </row>
    <row r="481" spans="1:6" thickBot="1">
      <c r="A481" s="310"/>
      <c r="B481" s="310"/>
      <c r="C481" s="291"/>
      <c r="D481" s="291"/>
      <c r="E481" s="291"/>
      <c r="F481" s="739"/>
    </row>
    <row r="482" spans="1:6" thickBot="1">
      <c r="A482" s="310"/>
      <c r="B482" s="310"/>
      <c r="C482" s="291"/>
      <c r="D482" s="291"/>
      <c r="E482" s="291"/>
      <c r="F482" s="739"/>
    </row>
    <row r="483" spans="1:6" thickBot="1">
      <c r="A483" s="310"/>
      <c r="B483" s="310"/>
      <c r="C483" s="291"/>
      <c r="D483" s="291"/>
      <c r="E483" s="291"/>
      <c r="F483" s="739"/>
    </row>
    <row r="484" spans="1:6" thickBot="1">
      <c r="A484" s="310"/>
      <c r="B484" s="310"/>
      <c r="C484" s="291"/>
      <c r="D484" s="291"/>
      <c r="E484" s="291"/>
      <c r="F484" s="739"/>
    </row>
    <row r="485" spans="1:6" thickBot="1">
      <c r="A485" s="310"/>
      <c r="B485" s="310"/>
      <c r="C485" s="291"/>
      <c r="D485" s="291"/>
      <c r="E485" s="291"/>
      <c r="F485" s="739"/>
    </row>
    <row r="486" spans="1:6" thickBot="1">
      <c r="A486" s="310"/>
      <c r="B486" s="310"/>
      <c r="C486" s="291"/>
      <c r="D486" s="291"/>
      <c r="E486" s="291"/>
      <c r="F486" s="739"/>
    </row>
    <row r="487" spans="1:6" thickBot="1">
      <c r="A487" s="310"/>
      <c r="B487" s="310"/>
      <c r="C487" s="291"/>
      <c r="D487" s="291"/>
      <c r="E487" s="291"/>
      <c r="F487" s="739"/>
    </row>
    <row r="488" spans="1:6" thickBot="1">
      <c r="A488" s="310"/>
      <c r="B488" s="310"/>
      <c r="C488" s="291"/>
      <c r="D488" s="291"/>
      <c r="E488" s="291"/>
      <c r="F488" s="739"/>
    </row>
    <row r="489" spans="1:6" thickBot="1">
      <c r="A489" s="310"/>
      <c r="B489" s="310"/>
      <c r="C489" s="291"/>
      <c r="D489" s="291"/>
      <c r="E489" s="291"/>
      <c r="F489" s="739"/>
    </row>
    <row r="490" spans="1:6" thickBot="1">
      <c r="A490" s="310"/>
      <c r="B490" s="310"/>
      <c r="C490" s="291"/>
      <c r="D490" s="291"/>
      <c r="E490" s="291"/>
      <c r="F490" s="739"/>
    </row>
    <row r="491" spans="1:6" thickBot="1">
      <c r="A491" s="310"/>
      <c r="B491" s="310"/>
      <c r="C491" s="291"/>
      <c r="D491" s="291"/>
      <c r="E491" s="291"/>
      <c r="F491" s="739"/>
    </row>
    <row r="492" spans="1:6" thickBot="1">
      <c r="A492" s="310"/>
      <c r="B492" s="310"/>
      <c r="C492" s="291"/>
      <c r="D492" s="291"/>
      <c r="E492" s="291"/>
      <c r="F492" s="739"/>
    </row>
    <row r="493" spans="1:6" thickBot="1">
      <c r="A493" s="310"/>
      <c r="B493" s="310"/>
      <c r="C493" s="291"/>
      <c r="D493" s="291"/>
      <c r="E493" s="291"/>
      <c r="F493" s="739"/>
    </row>
    <row r="494" spans="1:6" thickBot="1">
      <c r="A494" s="310"/>
      <c r="B494" s="310"/>
      <c r="C494" s="291"/>
      <c r="D494" s="291"/>
      <c r="E494" s="291"/>
      <c r="F494" s="739"/>
    </row>
    <row r="495" spans="1:6" thickBot="1">
      <c r="A495" s="310"/>
      <c r="B495" s="310"/>
      <c r="C495" s="291"/>
      <c r="D495" s="291"/>
      <c r="E495" s="291"/>
      <c r="F495" s="739"/>
    </row>
    <row r="496" spans="1:6" thickBot="1">
      <c r="A496" s="310"/>
      <c r="B496" s="310"/>
      <c r="C496" s="291"/>
      <c r="D496" s="291"/>
      <c r="E496" s="291"/>
      <c r="F496" s="739"/>
    </row>
    <row r="497" spans="1:6" thickBot="1">
      <c r="A497" s="310"/>
      <c r="B497" s="310"/>
      <c r="C497" s="291"/>
      <c r="D497" s="291"/>
      <c r="E497" s="291"/>
      <c r="F497" s="739"/>
    </row>
    <row r="498" spans="1:6" thickBot="1">
      <c r="A498" s="310"/>
      <c r="B498" s="310"/>
      <c r="C498" s="291"/>
      <c r="D498" s="291"/>
      <c r="E498" s="291"/>
      <c r="F498" s="739"/>
    </row>
    <row r="499" spans="1:6" thickBot="1">
      <c r="A499" s="310"/>
      <c r="B499" s="310"/>
      <c r="C499" s="291"/>
      <c r="D499" s="291"/>
      <c r="E499" s="291"/>
      <c r="F499" s="739"/>
    </row>
    <row r="500" spans="1:6" thickBot="1">
      <c r="A500" s="310"/>
      <c r="B500" s="310"/>
      <c r="C500" s="291"/>
      <c r="D500" s="291"/>
      <c r="E500" s="291"/>
      <c r="F500" s="739"/>
    </row>
    <row r="501" spans="1:6" thickBot="1">
      <c r="A501" s="310"/>
      <c r="B501" s="310"/>
      <c r="C501" s="291"/>
      <c r="D501" s="291"/>
      <c r="E501" s="291"/>
      <c r="F501" s="739"/>
    </row>
    <row r="502" spans="1:6" thickBot="1">
      <c r="A502" s="310"/>
      <c r="B502" s="310"/>
      <c r="C502" s="291"/>
      <c r="D502" s="291"/>
      <c r="E502" s="291"/>
      <c r="F502" s="739"/>
    </row>
    <row r="503" spans="1:6" thickBot="1">
      <c r="A503" s="310"/>
      <c r="B503" s="310"/>
      <c r="C503" s="291"/>
      <c r="D503" s="291"/>
      <c r="E503" s="291"/>
      <c r="F503" s="739"/>
    </row>
    <row r="504" spans="1:6" thickBot="1">
      <c r="A504" s="310"/>
      <c r="B504" s="310"/>
      <c r="C504" s="291"/>
      <c r="D504" s="291"/>
      <c r="E504" s="291"/>
      <c r="F504" s="739"/>
    </row>
    <row r="505" spans="1:6" thickBot="1">
      <c r="A505" s="310"/>
      <c r="B505" s="310"/>
      <c r="C505" s="291"/>
      <c r="D505" s="291"/>
      <c r="E505" s="291"/>
      <c r="F505" s="739"/>
    </row>
    <row r="506" spans="1:6" thickBot="1">
      <c r="A506" s="310"/>
      <c r="B506" s="310"/>
      <c r="C506" s="291"/>
      <c r="D506" s="291"/>
      <c r="E506" s="291"/>
      <c r="F506" s="739"/>
    </row>
    <row r="507" spans="1:6" thickBot="1">
      <c r="A507" s="310"/>
      <c r="B507" s="310"/>
      <c r="C507" s="291"/>
      <c r="D507" s="291"/>
      <c r="E507" s="291"/>
      <c r="F507" s="739"/>
    </row>
    <row r="508" spans="1:6" thickBot="1">
      <c r="A508" s="310"/>
      <c r="B508" s="310"/>
      <c r="C508" s="291"/>
      <c r="D508" s="291"/>
      <c r="E508" s="291"/>
      <c r="F508" s="739"/>
    </row>
    <row r="509" spans="1:6" thickBot="1">
      <c r="A509" s="310"/>
      <c r="B509" s="310"/>
      <c r="C509" s="291"/>
      <c r="D509" s="291"/>
      <c r="E509" s="291"/>
      <c r="F509" s="739"/>
    </row>
    <row r="510" spans="1:6" thickBot="1">
      <c r="A510" s="310"/>
      <c r="B510" s="310"/>
      <c r="C510" s="291"/>
      <c r="D510" s="291"/>
      <c r="E510" s="291"/>
      <c r="F510" s="739"/>
    </row>
    <row r="511" spans="1:6" thickBot="1">
      <c r="A511" s="310"/>
      <c r="B511" s="310"/>
      <c r="C511" s="291"/>
      <c r="D511" s="291"/>
      <c r="E511" s="291"/>
      <c r="F511" s="739"/>
    </row>
    <row r="512" spans="1:6" thickBot="1">
      <c r="A512" s="310"/>
      <c r="B512" s="310"/>
      <c r="C512" s="291"/>
      <c r="D512" s="291"/>
      <c r="E512" s="291"/>
      <c r="F512" s="739"/>
    </row>
    <row r="513" spans="1:6" thickBot="1">
      <c r="A513" s="310"/>
      <c r="B513" s="310"/>
      <c r="C513" s="291"/>
      <c r="D513" s="291"/>
      <c r="E513" s="291"/>
      <c r="F513" s="739"/>
    </row>
    <row r="514" spans="1:6" thickBot="1">
      <c r="A514" s="310"/>
      <c r="B514" s="310"/>
      <c r="C514" s="291"/>
      <c r="D514" s="291"/>
      <c r="E514" s="291"/>
      <c r="F514" s="739"/>
    </row>
    <row r="515" spans="1:6" thickBot="1">
      <c r="A515" s="310"/>
      <c r="B515" s="310"/>
      <c r="C515" s="291"/>
      <c r="D515" s="291"/>
      <c r="E515" s="291"/>
      <c r="F515" s="739"/>
    </row>
    <row r="516" spans="1:6" thickBot="1">
      <c r="A516" s="310"/>
      <c r="B516" s="310"/>
      <c r="C516" s="291"/>
      <c r="D516" s="291"/>
      <c r="E516" s="291"/>
      <c r="F516" s="739"/>
    </row>
    <row r="517" spans="1:6" thickBot="1">
      <c r="A517" s="310"/>
      <c r="B517" s="310"/>
      <c r="C517" s="291"/>
      <c r="D517" s="291"/>
      <c r="E517" s="291"/>
      <c r="F517" s="739"/>
    </row>
    <row r="518" spans="1:6" thickBot="1">
      <c r="A518" s="310"/>
      <c r="B518" s="310"/>
      <c r="C518" s="291"/>
      <c r="D518" s="291"/>
      <c r="E518" s="291"/>
      <c r="F518" s="739"/>
    </row>
    <row r="519" spans="1:6" thickBot="1">
      <c r="A519" s="310"/>
      <c r="B519" s="310"/>
      <c r="C519" s="291"/>
      <c r="D519" s="291"/>
      <c r="E519" s="291"/>
      <c r="F519" s="739"/>
    </row>
    <row r="520" spans="1:6" thickBot="1">
      <c r="A520" s="310"/>
      <c r="B520" s="310"/>
      <c r="C520" s="291"/>
      <c r="D520" s="291"/>
      <c r="E520" s="291"/>
      <c r="F520" s="739"/>
    </row>
    <row r="521" spans="1:6" thickBot="1">
      <c r="A521" s="310"/>
      <c r="B521" s="310"/>
      <c r="C521" s="291"/>
      <c r="D521" s="291"/>
      <c r="E521" s="291"/>
      <c r="F521" s="739"/>
    </row>
    <row r="522" spans="1:6" thickBot="1">
      <c r="A522" s="310"/>
      <c r="B522" s="310"/>
      <c r="C522" s="291"/>
      <c r="D522" s="291"/>
      <c r="E522" s="291"/>
      <c r="F522" s="739"/>
    </row>
    <row r="523" spans="1:6" thickBot="1">
      <c r="A523" s="310"/>
      <c r="B523" s="310"/>
      <c r="C523" s="291"/>
      <c r="D523" s="291"/>
      <c r="E523" s="291"/>
      <c r="F523" s="739"/>
    </row>
    <row r="524" spans="1:6" thickBot="1">
      <c r="A524" s="310"/>
      <c r="B524" s="310"/>
      <c r="C524" s="291"/>
      <c r="D524" s="291"/>
      <c r="E524" s="291"/>
      <c r="F524" s="739"/>
    </row>
    <row r="525" spans="1:6" thickBot="1">
      <c r="A525" s="310"/>
      <c r="B525" s="310"/>
      <c r="C525" s="291"/>
      <c r="D525" s="291"/>
      <c r="E525" s="291"/>
      <c r="F525" s="739"/>
    </row>
    <row r="526" spans="1:6" thickBot="1">
      <c r="A526" s="310"/>
      <c r="B526" s="310"/>
      <c r="C526" s="291"/>
      <c r="D526" s="291"/>
      <c r="E526" s="291"/>
      <c r="F526" s="739"/>
    </row>
    <row r="527" spans="1:6" thickBot="1">
      <c r="A527" s="310"/>
      <c r="B527" s="310"/>
      <c r="C527" s="291"/>
      <c r="D527" s="291"/>
      <c r="E527" s="291"/>
      <c r="F527" s="739"/>
    </row>
    <row r="528" spans="1:6" thickBot="1">
      <c r="A528" s="310"/>
      <c r="B528" s="310"/>
      <c r="C528" s="291"/>
      <c r="D528" s="291"/>
      <c r="E528" s="291"/>
      <c r="F528" s="739"/>
    </row>
    <row r="529" spans="1:6" thickBot="1">
      <c r="A529" s="310"/>
      <c r="B529" s="310"/>
      <c r="C529" s="291"/>
      <c r="D529" s="291"/>
      <c r="E529" s="291"/>
      <c r="F529" s="739"/>
    </row>
    <row r="530" spans="1:6" thickBot="1">
      <c r="A530" s="310"/>
      <c r="B530" s="310"/>
      <c r="C530" s="291"/>
      <c r="D530" s="291"/>
      <c r="E530" s="291"/>
      <c r="F530" s="739"/>
    </row>
    <row r="531" spans="1:6" thickBot="1">
      <c r="A531" s="310"/>
      <c r="B531" s="310"/>
      <c r="C531" s="291"/>
      <c r="D531" s="291"/>
      <c r="E531" s="291"/>
      <c r="F531" s="739"/>
    </row>
    <row r="532" spans="1:6" thickBot="1">
      <c r="A532" s="310"/>
      <c r="B532" s="310"/>
      <c r="C532" s="291"/>
      <c r="D532" s="291"/>
      <c r="E532" s="291"/>
      <c r="F532" s="739"/>
    </row>
    <row r="533" spans="1:6" thickBot="1">
      <c r="A533" s="310"/>
      <c r="B533" s="310"/>
      <c r="C533" s="291"/>
      <c r="D533" s="291"/>
      <c r="E533" s="291"/>
      <c r="F533" s="739"/>
    </row>
    <row r="534" spans="1:6" thickBot="1">
      <c r="A534" s="310"/>
      <c r="B534" s="310"/>
      <c r="C534" s="291"/>
      <c r="D534" s="291"/>
      <c r="E534" s="291"/>
      <c r="F534" s="739"/>
    </row>
    <row r="535" spans="1:6" thickBot="1">
      <c r="A535" s="310"/>
      <c r="B535" s="310"/>
      <c r="C535" s="291"/>
      <c r="D535" s="291"/>
      <c r="E535" s="291"/>
      <c r="F535" s="739"/>
    </row>
    <row r="536" spans="1:6" thickBot="1">
      <c r="A536" s="310"/>
      <c r="B536" s="310"/>
      <c r="C536" s="291"/>
      <c r="D536" s="291"/>
      <c r="E536" s="291"/>
      <c r="F536" s="739"/>
    </row>
    <row r="537" spans="1:6" thickBot="1">
      <c r="A537" s="310"/>
      <c r="B537" s="310"/>
      <c r="C537" s="291"/>
      <c r="D537" s="291"/>
      <c r="E537" s="291"/>
      <c r="F537" s="739"/>
    </row>
    <row r="538" spans="1:6" thickBot="1">
      <c r="A538" s="310"/>
      <c r="B538" s="310"/>
      <c r="C538" s="291"/>
      <c r="D538" s="291"/>
      <c r="E538" s="291"/>
      <c r="F538" s="739"/>
    </row>
    <row r="539" spans="1:6" thickBot="1">
      <c r="A539" s="310"/>
      <c r="B539" s="310"/>
      <c r="C539" s="291"/>
      <c r="D539" s="291"/>
      <c r="E539" s="291"/>
      <c r="F539" s="739"/>
    </row>
    <row r="540" spans="1:6" thickBot="1">
      <c r="A540" s="310"/>
      <c r="B540" s="310"/>
      <c r="C540" s="291"/>
      <c r="D540" s="291"/>
      <c r="E540" s="291"/>
      <c r="F540" s="739"/>
    </row>
    <row r="541" spans="1:6" thickBot="1">
      <c r="A541" s="310"/>
      <c r="B541" s="310"/>
      <c r="C541" s="291"/>
      <c r="D541" s="291"/>
      <c r="E541" s="291"/>
      <c r="F541" s="739"/>
    </row>
    <row r="542" spans="1:6" thickBot="1">
      <c r="A542" s="310"/>
      <c r="B542" s="310"/>
      <c r="C542" s="291"/>
      <c r="D542" s="291"/>
      <c r="E542" s="291"/>
      <c r="F542" s="739"/>
    </row>
    <row r="543" spans="1:6" thickBot="1">
      <c r="A543" s="310"/>
      <c r="B543" s="310"/>
      <c r="C543" s="291"/>
      <c r="D543" s="291"/>
      <c r="E543" s="291"/>
      <c r="F543" s="739"/>
    </row>
    <row r="544" spans="1:6" thickBot="1">
      <c r="A544" s="310"/>
      <c r="B544" s="310"/>
      <c r="C544" s="291"/>
      <c r="D544" s="291"/>
      <c r="E544" s="291"/>
      <c r="F544" s="739"/>
    </row>
    <row r="545" spans="1:6" thickBot="1">
      <c r="A545" s="310"/>
      <c r="B545" s="310"/>
      <c r="C545" s="291"/>
      <c r="D545" s="291"/>
      <c r="E545" s="291"/>
      <c r="F545" s="739"/>
    </row>
    <row r="546" spans="1:6" thickBot="1">
      <c r="A546" s="310"/>
      <c r="B546" s="310"/>
      <c r="C546" s="291"/>
      <c r="D546" s="291"/>
      <c r="E546" s="291"/>
      <c r="F546" s="739"/>
    </row>
    <row r="547" spans="1:6" thickBot="1">
      <c r="A547" s="310"/>
      <c r="B547" s="310"/>
      <c r="C547" s="291"/>
      <c r="D547" s="291"/>
      <c r="E547" s="291"/>
      <c r="F547" s="739"/>
    </row>
    <row r="548" spans="1:6" thickBot="1">
      <c r="A548" s="310"/>
      <c r="B548" s="310"/>
      <c r="C548" s="291"/>
      <c r="D548" s="291"/>
      <c r="E548" s="291"/>
      <c r="F548" s="739"/>
    </row>
    <row r="549" spans="1:6" thickBot="1">
      <c r="A549" s="310"/>
      <c r="B549" s="310"/>
      <c r="C549" s="291"/>
      <c r="D549" s="291"/>
      <c r="E549" s="291"/>
      <c r="F549" s="739"/>
    </row>
    <row r="550" spans="1:6" thickBot="1">
      <c r="A550" s="310"/>
      <c r="B550" s="310"/>
      <c r="C550" s="291"/>
      <c r="D550" s="291"/>
      <c r="E550" s="291"/>
      <c r="F550" s="739"/>
    </row>
    <row r="551" spans="1:6" thickBot="1">
      <c r="A551" s="310"/>
      <c r="B551" s="310"/>
      <c r="C551" s="291"/>
      <c r="D551" s="291"/>
      <c r="E551" s="291"/>
      <c r="F551" s="739"/>
    </row>
    <row r="552" spans="1:6" thickBot="1">
      <c r="A552" s="310"/>
      <c r="B552" s="310"/>
      <c r="C552" s="291"/>
      <c r="D552" s="291"/>
      <c r="E552" s="291"/>
      <c r="F552" s="739"/>
    </row>
    <row r="553" spans="1:6" thickBot="1">
      <c r="A553" s="310"/>
      <c r="B553" s="310"/>
      <c r="C553" s="291"/>
      <c r="D553" s="291"/>
      <c r="E553" s="291"/>
      <c r="F553" s="739"/>
    </row>
    <row r="554" spans="1:6" thickBot="1">
      <c r="A554" s="310"/>
      <c r="B554" s="310"/>
      <c r="C554" s="291"/>
      <c r="D554" s="291"/>
      <c r="E554" s="291"/>
      <c r="F554" s="739"/>
    </row>
    <row r="555" spans="1:6" thickBot="1">
      <c r="A555" s="310"/>
      <c r="B555" s="310"/>
      <c r="C555" s="291"/>
      <c r="D555" s="291"/>
      <c r="E555" s="291"/>
      <c r="F555" s="739"/>
    </row>
    <row r="556" spans="1:6" thickBot="1">
      <c r="A556" s="310"/>
      <c r="B556" s="310"/>
      <c r="C556" s="291"/>
      <c r="D556" s="291"/>
      <c r="E556" s="291"/>
      <c r="F556" s="739"/>
    </row>
    <row r="557" spans="1:6" thickBot="1">
      <c r="A557" s="310"/>
      <c r="B557" s="310"/>
      <c r="C557" s="291"/>
      <c r="D557" s="291"/>
      <c r="E557" s="291"/>
      <c r="F557" s="739"/>
    </row>
    <row r="558" spans="1:6" thickBot="1">
      <c r="A558" s="310"/>
      <c r="B558" s="310"/>
      <c r="C558" s="291"/>
      <c r="D558" s="291"/>
      <c r="E558" s="291"/>
      <c r="F558" s="739"/>
    </row>
    <row r="559" spans="1:6" thickBot="1">
      <c r="A559" s="310"/>
      <c r="B559" s="310"/>
      <c r="C559" s="291"/>
      <c r="D559" s="291"/>
      <c r="E559" s="291"/>
      <c r="F559" s="739"/>
    </row>
    <row r="560" spans="1:6" thickBot="1">
      <c r="A560" s="310"/>
      <c r="B560" s="310"/>
      <c r="C560" s="291"/>
      <c r="D560" s="291"/>
      <c r="E560" s="291"/>
      <c r="F560" s="739"/>
    </row>
    <row r="561" spans="1:6" thickBot="1">
      <c r="A561" s="310"/>
      <c r="B561" s="310"/>
      <c r="C561" s="291"/>
      <c r="D561" s="291"/>
      <c r="E561" s="291"/>
      <c r="F561" s="739"/>
    </row>
    <row r="562" spans="1:6" thickBot="1">
      <c r="A562" s="310"/>
      <c r="B562" s="310"/>
      <c r="C562" s="291"/>
      <c r="D562" s="291"/>
      <c r="E562" s="291"/>
      <c r="F562" s="739"/>
    </row>
    <row r="563" spans="1:6" thickBot="1">
      <c r="A563" s="310"/>
      <c r="B563" s="310"/>
      <c r="C563" s="291"/>
      <c r="D563" s="291"/>
      <c r="E563" s="291"/>
      <c r="F563" s="739"/>
    </row>
    <row r="564" spans="1:6" thickBot="1">
      <c r="A564" s="310"/>
      <c r="B564" s="310"/>
      <c r="C564" s="291"/>
      <c r="D564" s="291"/>
      <c r="E564" s="291"/>
      <c r="F564" s="739"/>
    </row>
    <row r="565" spans="1:6" thickBot="1">
      <c r="A565" s="310"/>
      <c r="B565" s="310"/>
      <c r="C565" s="291"/>
      <c r="D565" s="291"/>
      <c r="E565" s="291"/>
      <c r="F565" s="739"/>
    </row>
    <row r="566" spans="1:6" thickBot="1">
      <c r="A566" s="310"/>
      <c r="B566" s="310"/>
      <c r="C566" s="291"/>
      <c r="D566" s="291"/>
      <c r="E566" s="291"/>
      <c r="F566" s="739"/>
    </row>
    <row r="567" spans="1:6" thickBot="1">
      <c r="A567" s="310"/>
      <c r="B567" s="310"/>
      <c r="C567" s="291"/>
      <c r="D567" s="291"/>
      <c r="E567" s="291"/>
      <c r="F567" s="739"/>
    </row>
    <row r="568" spans="1:6" thickBot="1">
      <c r="A568" s="310"/>
      <c r="B568" s="310"/>
      <c r="C568" s="291"/>
      <c r="D568" s="291"/>
      <c r="E568" s="291"/>
      <c r="F568" s="739"/>
    </row>
    <row r="569" spans="1:6" thickBot="1">
      <c r="A569" s="310"/>
      <c r="B569" s="310"/>
      <c r="C569" s="291"/>
      <c r="D569" s="291"/>
      <c r="E569" s="291"/>
      <c r="F569" s="739"/>
    </row>
    <row r="570" spans="1:6" thickBot="1">
      <c r="A570" s="310"/>
      <c r="B570" s="310"/>
      <c r="C570" s="291"/>
      <c r="D570" s="291"/>
      <c r="E570" s="291"/>
      <c r="F570" s="739"/>
    </row>
    <row r="571" spans="1:6" thickBot="1">
      <c r="A571" s="310"/>
      <c r="B571" s="310"/>
      <c r="C571" s="291"/>
      <c r="D571" s="291"/>
      <c r="E571" s="291"/>
      <c r="F571" s="739"/>
    </row>
    <row r="572" spans="1:6" thickBot="1">
      <c r="A572" s="310"/>
      <c r="B572" s="310"/>
      <c r="C572" s="291"/>
      <c r="D572" s="291"/>
      <c r="E572" s="291"/>
      <c r="F572" s="739"/>
    </row>
    <row r="573" spans="1:6" thickBot="1">
      <c r="A573" s="310"/>
      <c r="B573" s="310"/>
      <c r="C573" s="291"/>
      <c r="D573" s="291"/>
      <c r="E573" s="291"/>
      <c r="F573" s="739"/>
    </row>
    <row r="574" spans="1:6" thickBot="1">
      <c r="A574" s="310"/>
      <c r="B574" s="310"/>
      <c r="C574" s="291"/>
      <c r="D574" s="291"/>
      <c r="E574" s="291"/>
      <c r="F574" s="739"/>
    </row>
    <row r="575" spans="1:6" thickBot="1">
      <c r="A575" s="310"/>
      <c r="B575" s="310"/>
      <c r="C575" s="291"/>
      <c r="D575" s="291"/>
      <c r="E575" s="291"/>
      <c r="F575" s="739"/>
    </row>
    <row r="576" spans="1:6" thickBot="1">
      <c r="A576" s="310"/>
      <c r="B576" s="310"/>
      <c r="C576" s="291"/>
      <c r="D576" s="291"/>
      <c r="E576" s="291"/>
      <c r="F576" s="739"/>
    </row>
    <row r="577" spans="1:6" thickBot="1">
      <c r="A577" s="310"/>
      <c r="B577" s="310"/>
      <c r="C577" s="291"/>
      <c r="D577" s="291"/>
      <c r="E577" s="291"/>
      <c r="F577" s="739"/>
    </row>
    <row r="578" spans="1:6" thickBot="1">
      <c r="A578" s="310"/>
      <c r="B578" s="310"/>
      <c r="C578" s="291"/>
      <c r="D578" s="291"/>
      <c r="E578" s="291"/>
      <c r="F578" s="739"/>
    </row>
    <row r="579" spans="1:6" thickBot="1">
      <c r="A579" s="310"/>
      <c r="B579" s="310"/>
      <c r="C579" s="291"/>
      <c r="D579" s="291"/>
      <c r="E579" s="291"/>
      <c r="F579" s="739"/>
    </row>
    <row r="580" spans="1:6" thickBot="1">
      <c r="A580" s="310"/>
      <c r="B580" s="310"/>
      <c r="C580" s="291"/>
      <c r="D580" s="291"/>
      <c r="E580" s="291"/>
      <c r="F580" s="739"/>
    </row>
    <row r="581" spans="1:6" thickBot="1">
      <c r="A581" s="310"/>
      <c r="B581" s="310"/>
      <c r="C581" s="291"/>
      <c r="D581" s="291"/>
      <c r="E581" s="291"/>
      <c r="F581" s="739"/>
    </row>
    <row r="582" spans="1:6" thickBot="1">
      <c r="A582" s="310"/>
      <c r="B582" s="310"/>
      <c r="C582" s="291"/>
      <c r="D582" s="291"/>
      <c r="E582" s="291"/>
      <c r="F582" s="739"/>
    </row>
    <row r="583" spans="1:6" thickBot="1">
      <c r="A583" s="310"/>
      <c r="B583" s="310"/>
      <c r="C583" s="291"/>
      <c r="D583" s="291"/>
      <c r="E583" s="291"/>
      <c r="F583" s="739"/>
    </row>
    <row r="584" spans="1:6" thickBot="1">
      <c r="A584" s="310"/>
      <c r="B584" s="310"/>
      <c r="C584" s="291"/>
      <c r="D584" s="291"/>
      <c r="E584" s="291"/>
      <c r="F584" s="739"/>
    </row>
    <row r="585" spans="1:6" thickBot="1">
      <c r="A585" s="310"/>
      <c r="B585" s="310"/>
      <c r="C585" s="291"/>
      <c r="D585" s="291"/>
      <c r="E585" s="291"/>
      <c r="F585" s="739"/>
    </row>
    <row r="586" spans="1:6" thickBot="1">
      <c r="A586" s="310"/>
      <c r="B586" s="310"/>
      <c r="C586" s="291"/>
      <c r="D586" s="291"/>
      <c r="E586" s="291"/>
      <c r="F586" s="739"/>
    </row>
    <row r="587" spans="1:6" thickBot="1">
      <c r="A587" s="310"/>
      <c r="B587" s="310"/>
      <c r="C587" s="291"/>
      <c r="D587" s="291"/>
      <c r="E587" s="291"/>
      <c r="F587" s="739"/>
    </row>
    <row r="588" spans="1:6" thickBot="1">
      <c r="A588" s="310"/>
      <c r="B588" s="310"/>
      <c r="C588" s="291"/>
      <c r="D588" s="291"/>
      <c r="E588" s="291"/>
      <c r="F588" s="739"/>
    </row>
    <row r="589" spans="1:6" thickBot="1">
      <c r="A589" s="310"/>
      <c r="B589" s="310"/>
      <c r="C589" s="291"/>
      <c r="D589" s="291"/>
      <c r="E589" s="291"/>
      <c r="F589" s="739"/>
    </row>
    <row r="590" spans="1:6" thickBot="1">
      <c r="A590" s="310"/>
      <c r="B590" s="310"/>
      <c r="C590" s="291"/>
      <c r="D590" s="291"/>
      <c r="E590" s="291"/>
      <c r="F590" s="739"/>
    </row>
    <row r="591" spans="1:6" thickBot="1">
      <c r="A591" s="310"/>
      <c r="B591" s="310"/>
      <c r="C591" s="291"/>
      <c r="D591" s="291"/>
      <c r="E591" s="291"/>
      <c r="F591" s="739"/>
    </row>
    <row r="592" spans="1:6" thickBot="1">
      <c r="A592" s="310"/>
      <c r="B592" s="310"/>
      <c r="C592" s="291"/>
      <c r="D592" s="291"/>
      <c r="E592" s="291"/>
      <c r="F592" s="739"/>
    </row>
    <row r="593" spans="1:6" thickBot="1">
      <c r="A593" s="310"/>
      <c r="B593" s="310"/>
      <c r="C593" s="291"/>
      <c r="D593" s="291"/>
      <c r="E593" s="291"/>
      <c r="F593" s="739"/>
    </row>
    <row r="594" spans="1:6" thickBot="1">
      <c r="A594" s="310"/>
      <c r="B594" s="310"/>
      <c r="C594" s="291"/>
      <c r="D594" s="291"/>
      <c r="E594" s="291"/>
      <c r="F594" s="739"/>
    </row>
    <row r="595" spans="1:6" thickBot="1">
      <c r="A595" s="310"/>
      <c r="B595" s="310"/>
      <c r="C595" s="291"/>
      <c r="D595" s="291"/>
      <c r="E595" s="291"/>
      <c r="F595" s="739"/>
    </row>
    <row r="596" spans="1:6" thickBot="1">
      <c r="A596" s="310"/>
      <c r="B596" s="310"/>
      <c r="C596" s="291"/>
      <c r="D596" s="291"/>
      <c r="E596" s="291"/>
      <c r="F596" s="739"/>
    </row>
    <row r="597" spans="1:6" thickBot="1">
      <c r="A597" s="310"/>
      <c r="B597" s="310"/>
      <c r="C597" s="291"/>
      <c r="D597" s="291"/>
      <c r="E597" s="291"/>
      <c r="F597" s="739"/>
    </row>
    <row r="598" spans="1:6" thickBot="1">
      <c r="A598" s="310"/>
      <c r="B598" s="310"/>
      <c r="C598" s="291"/>
      <c r="D598" s="291"/>
      <c r="E598" s="291"/>
      <c r="F598" s="739"/>
    </row>
    <row r="599" spans="1:6" thickBot="1">
      <c r="A599" s="310"/>
      <c r="B599" s="310"/>
      <c r="C599" s="291"/>
      <c r="D599" s="291"/>
      <c r="E599" s="291"/>
      <c r="F599" s="739"/>
    </row>
    <row r="600" spans="1:6" thickBot="1">
      <c r="A600" s="310"/>
      <c r="B600" s="310"/>
      <c r="C600" s="291"/>
      <c r="D600" s="291"/>
      <c r="E600" s="291"/>
      <c r="F600" s="739"/>
    </row>
    <row r="601" spans="1:6" thickBot="1">
      <c r="A601" s="310"/>
      <c r="B601" s="310"/>
      <c r="C601" s="291"/>
      <c r="D601" s="291"/>
      <c r="E601" s="291"/>
      <c r="F601" s="739"/>
    </row>
    <row r="602" spans="1:6" thickBot="1">
      <c r="A602" s="310"/>
      <c r="B602" s="310"/>
      <c r="C602" s="291"/>
      <c r="D602" s="291"/>
      <c r="E602" s="291"/>
      <c r="F602" s="739"/>
    </row>
    <row r="603" spans="1:6" thickBot="1">
      <c r="A603" s="310"/>
      <c r="B603" s="310"/>
      <c r="C603" s="291"/>
      <c r="D603" s="291"/>
      <c r="E603" s="291"/>
      <c r="F603" s="739"/>
    </row>
    <row r="604" spans="1:6" thickBot="1">
      <c r="A604" s="310"/>
      <c r="B604" s="310"/>
      <c r="C604" s="291"/>
      <c r="D604" s="291"/>
      <c r="E604" s="291"/>
      <c r="F604" s="739"/>
    </row>
    <row r="605" spans="1:6" thickBot="1">
      <c r="A605" s="310"/>
      <c r="B605" s="310"/>
      <c r="C605" s="291"/>
      <c r="D605" s="291"/>
      <c r="E605" s="291"/>
      <c r="F605" s="739"/>
    </row>
    <row r="606" spans="1:6" thickBot="1">
      <c r="A606" s="310"/>
      <c r="B606" s="310"/>
      <c r="C606" s="291"/>
      <c r="D606" s="291"/>
      <c r="E606" s="291"/>
      <c r="F606" s="739"/>
    </row>
    <row r="607" spans="1:6" thickBot="1">
      <c r="A607" s="310"/>
      <c r="B607" s="310"/>
      <c r="C607" s="291"/>
      <c r="D607" s="291"/>
      <c r="E607" s="291"/>
      <c r="F607" s="739"/>
    </row>
    <row r="608" spans="1:6" thickBot="1">
      <c r="A608" s="310"/>
      <c r="B608" s="310"/>
      <c r="C608" s="291"/>
      <c r="D608" s="291"/>
      <c r="E608" s="291"/>
      <c r="F608" s="739"/>
    </row>
    <row r="609" spans="1:6" thickBot="1">
      <c r="A609" s="310"/>
      <c r="B609" s="310"/>
      <c r="C609" s="291"/>
      <c r="D609" s="291"/>
      <c r="E609" s="291"/>
      <c r="F609" s="739"/>
    </row>
    <row r="610" spans="1:6" thickBot="1">
      <c r="A610" s="310"/>
      <c r="B610" s="310"/>
      <c r="C610" s="291"/>
      <c r="D610" s="291"/>
      <c r="E610" s="291"/>
      <c r="F610" s="739"/>
    </row>
    <row r="611" spans="1:6" thickBot="1">
      <c r="A611" s="310"/>
      <c r="B611" s="310"/>
      <c r="C611" s="291"/>
      <c r="D611" s="291"/>
      <c r="E611" s="291"/>
      <c r="F611" s="739"/>
    </row>
    <row r="612" spans="1:6" thickBot="1">
      <c r="A612" s="310"/>
      <c r="B612" s="310"/>
      <c r="C612" s="291"/>
      <c r="D612" s="291"/>
      <c r="E612" s="291"/>
      <c r="F612" s="739"/>
    </row>
    <row r="613" spans="1:6" thickBot="1">
      <c r="A613" s="310"/>
      <c r="B613" s="310"/>
      <c r="C613" s="291"/>
      <c r="D613" s="291"/>
      <c r="E613" s="291"/>
      <c r="F613" s="739"/>
    </row>
    <row r="614" spans="1:6" thickBot="1">
      <c r="A614" s="310"/>
      <c r="B614" s="310"/>
      <c r="C614" s="291"/>
      <c r="D614" s="291"/>
      <c r="E614" s="291"/>
      <c r="F614" s="739"/>
    </row>
    <row r="615" spans="1:6" thickBot="1">
      <c r="A615" s="310"/>
      <c r="B615" s="310"/>
      <c r="C615" s="291"/>
      <c r="D615" s="291"/>
      <c r="E615" s="291"/>
      <c r="F615" s="739"/>
    </row>
    <row r="616" spans="1:6" thickBot="1">
      <c r="A616" s="310"/>
      <c r="B616" s="310"/>
      <c r="C616" s="291"/>
      <c r="D616" s="291"/>
      <c r="E616" s="291"/>
      <c r="F616" s="739"/>
    </row>
    <row r="617" spans="1:6" thickBot="1">
      <c r="A617" s="310"/>
      <c r="B617" s="310"/>
      <c r="C617" s="291"/>
      <c r="D617" s="291"/>
      <c r="E617" s="291"/>
      <c r="F617" s="739"/>
    </row>
    <row r="618" spans="1:6" thickBot="1">
      <c r="A618" s="310"/>
      <c r="B618" s="310"/>
      <c r="C618" s="291"/>
      <c r="D618" s="291"/>
      <c r="E618" s="291"/>
      <c r="F618" s="739"/>
    </row>
    <row r="619" spans="1:6" thickBot="1">
      <c r="A619" s="310"/>
      <c r="B619" s="310"/>
      <c r="C619" s="291"/>
      <c r="D619" s="291"/>
      <c r="E619" s="291"/>
      <c r="F619" s="739"/>
    </row>
    <row r="620" spans="1:6" thickBot="1">
      <c r="A620" s="310"/>
      <c r="B620" s="310"/>
      <c r="C620" s="291"/>
      <c r="D620" s="291"/>
      <c r="E620" s="291"/>
      <c r="F620" s="739"/>
    </row>
    <row r="621" spans="1:6" thickBot="1">
      <c r="A621" s="310"/>
      <c r="B621" s="310"/>
      <c r="C621" s="291"/>
      <c r="D621" s="291"/>
      <c r="E621" s="291"/>
      <c r="F621" s="739"/>
    </row>
    <row r="622" spans="1:6" thickBot="1">
      <c r="A622" s="310"/>
      <c r="B622" s="310"/>
      <c r="C622" s="291"/>
      <c r="D622" s="291"/>
      <c r="E622" s="291"/>
      <c r="F622" s="739"/>
    </row>
    <row r="623" spans="1:6" thickBot="1">
      <c r="A623" s="310"/>
      <c r="B623" s="310"/>
      <c r="C623" s="291"/>
      <c r="D623" s="291"/>
      <c r="E623" s="291"/>
      <c r="F623" s="739"/>
    </row>
    <row r="624" spans="1:6" thickBot="1">
      <c r="A624" s="310"/>
      <c r="B624" s="310"/>
      <c r="C624" s="291"/>
      <c r="D624" s="291"/>
      <c r="E624" s="291"/>
      <c r="F624" s="739"/>
    </row>
    <row r="625" spans="1:6" thickBot="1">
      <c r="A625" s="310"/>
      <c r="B625" s="310"/>
      <c r="C625" s="291"/>
      <c r="D625" s="291"/>
      <c r="E625" s="291"/>
      <c r="F625" s="739"/>
    </row>
    <row r="626" spans="1:6" thickBot="1">
      <c r="A626" s="310"/>
      <c r="B626" s="310"/>
      <c r="C626" s="291"/>
      <c r="D626" s="291"/>
      <c r="E626" s="291"/>
      <c r="F626" s="739"/>
    </row>
    <row r="627" spans="1:6" thickBot="1">
      <c r="A627" s="310"/>
      <c r="B627" s="310"/>
      <c r="C627" s="291"/>
      <c r="D627" s="291"/>
      <c r="E627" s="291"/>
      <c r="F627" s="739"/>
    </row>
    <row r="628" spans="1:6" thickBot="1">
      <c r="A628" s="310"/>
      <c r="B628" s="310"/>
      <c r="C628" s="291"/>
      <c r="D628" s="291"/>
      <c r="E628" s="291"/>
      <c r="F628" s="739"/>
    </row>
    <row r="629" spans="1:6" thickBot="1">
      <c r="A629" s="310"/>
      <c r="B629" s="310"/>
      <c r="C629" s="291"/>
      <c r="D629" s="291"/>
      <c r="E629" s="291"/>
      <c r="F629" s="739"/>
    </row>
    <row r="630" spans="1:6" thickBot="1">
      <c r="A630" s="310"/>
      <c r="B630" s="310"/>
      <c r="C630" s="291"/>
      <c r="D630" s="291"/>
      <c r="E630" s="291"/>
      <c r="F630" s="739"/>
    </row>
    <row r="631" spans="1:6" thickBot="1">
      <c r="A631" s="310"/>
      <c r="B631" s="310"/>
      <c r="C631" s="291"/>
      <c r="D631" s="291"/>
      <c r="E631" s="291"/>
      <c r="F631" s="739"/>
    </row>
    <row r="632" spans="1:6" thickBot="1">
      <c r="A632" s="310"/>
      <c r="B632" s="310"/>
      <c r="C632" s="291"/>
      <c r="D632" s="291"/>
      <c r="E632" s="291"/>
      <c r="F632" s="739"/>
    </row>
    <row r="633" spans="1:6" thickBot="1">
      <c r="A633" s="310"/>
      <c r="B633" s="310"/>
      <c r="C633" s="291"/>
      <c r="D633" s="291"/>
      <c r="E633" s="291"/>
      <c r="F633" s="739"/>
    </row>
    <row r="634" spans="1:6" thickBot="1">
      <c r="A634" s="310"/>
      <c r="B634" s="310"/>
      <c r="C634" s="291"/>
      <c r="D634" s="291"/>
      <c r="E634" s="291"/>
      <c r="F634" s="739"/>
    </row>
    <row r="635" spans="1:6" thickBot="1">
      <c r="A635" s="310"/>
      <c r="B635" s="310"/>
      <c r="C635" s="291"/>
      <c r="D635" s="291"/>
      <c r="E635" s="291"/>
      <c r="F635" s="739"/>
    </row>
    <row r="636" spans="1:6" thickBot="1">
      <c r="A636" s="310"/>
      <c r="B636" s="310"/>
      <c r="C636" s="291"/>
      <c r="D636" s="291"/>
      <c r="E636" s="291"/>
      <c r="F636" s="739"/>
    </row>
    <row r="637" spans="1:6" thickBot="1">
      <c r="A637" s="310"/>
      <c r="B637" s="310"/>
      <c r="C637" s="291"/>
      <c r="D637" s="291"/>
      <c r="E637" s="291"/>
      <c r="F637" s="739"/>
    </row>
    <row r="638" spans="1:6" thickBot="1">
      <c r="A638" s="310"/>
      <c r="B638" s="310"/>
      <c r="C638" s="291"/>
      <c r="D638" s="291"/>
      <c r="E638" s="291"/>
      <c r="F638" s="739"/>
    </row>
    <row r="639" spans="1:6" thickBot="1">
      <c r="A639" s="310"/>
      <c r="B639" s="310"/>
      <c r="C639" s="291"/>
      <c r="D639" s="291"/>
      <c r="E639" s="291"/>
      <c r="F639" s="739"/>
    </row>
    <row r="640" spans="1:6" thickBot="1">
      <c r="A640" s="310"/>
      <c r="B640" s="310"/>
      <c r="C640" s="291"/>
      <c r="D640" s="291"/>
      <c r="E640" s="291"/>
      <c r="F640" s="739"/>
    </row>
    <row r="641" spans="1:6" thickBot="1">
      <c r="A641" s="310"/>
      <c r="B641" s="310"/>
      <c r="C641" s="291"/>
      <c r="D641" s="291"/>
      <c r="E641" s="291"/>
      <c r="F641" s="739"/>
    </row>
    <row r="642" spans="1:6" thickBot="1">
      <c r="A642" s="310"/>
      <c r="B642" s="310"/>
      <c r="C642" s="291"/>
      <c r="D642" s="291"/>
      <c r="E642" s="291"/>
      <c r="F642" s="739"/>
    </row>
    <row r="643" spans="1:6" thickBot="1">
      <c r="A643" s="310"/>
      <c r="B643" s="310"/>
      <c r="C643" s="291"/>
      <c r="D643" s="291"/>
      <c r="E643" s="291"/>
      <c r="F643" s="739"/>
    </row>
    <row r="644" spans="1:6" thickBot="1">
      <c r="A644" s="310"/>
      <c r="B644" s="310"/>
      <c r="C644" s="291"/>
      <c r="D644" s="291"/>
      <c r="E644" s="291"/>
      <c r="F644" s="739"/>
    </row>
    <row r="645" spans="1:6" thickBot="1">
      <c r="A645" s="310"/>
      <c r="B645" s="310"/>
      <c r="C645" s="291"/>
      <c r="D645" s="291"/>
      <c r="E645" s="291"/>
      <c r="F645" s="739"/>
    </row>
    <row r="646" spans="1:6" thickBot="1">
      <c r="A646" s="310"/>
      <c r="B646" s="310"/>
      <c r="C646" s="291"/>
      <c r="D646" s="291"/>
      <c r="E646" s="291"/>
      <c r="F646" s="739"/>
    </row>
    <row r="647" spans="1:6" thickBot="1">
      <c r="A647" s="310"/>
      <c r="B647" s="310"/>
      <c r="C647" s="291"/>
      <c r="D647" s="291"/>
      <c r="E647" s="291"/>
      <c r="F647" s="739"/>
    </row>
    <row r="648" spans="1:6" thickBot="1">
      <c r="A648" s="310"/>
      <c r="B648" s="310"/>
      <c r="C648" s="291"/>
      <c r="D648" s="291"/>
      <c r="E648" s="291"/>
      <c r="F648" s="739"/>
    </row>
    <row r="649" spans="1:6" thickBot="1">
      <c r="A649" s="310"/>
      <c r="B649" s="310"/>
      <c r="C649" s="291"/>
      <c r="D649" s="291"/>
      <c r="E649" s="291"/>
      <c r="F649" s="739"/>
    </row>
    <row r="650" spans="1:6" thickBot="1">
      <c r="A650" s="310"/>
      <c r="B650" s="310"/>
      <c r="C650" s="291"/>
      <c r="D650" s="291"/>
      <c r="E650" s="291"/>
      <c r="F650" s="739"/>
    </row>
    <row r="651" spans="1:6" thickBot="1">
      <c r="A651" s="310"/>
      <c r="B651" s="310"/>
      <c r="C651" s="291"/>
      <c r="D651" s="291"/>
      <c r="E651" s="291"/>
      <c r="F651" s="739"/>
    </row>
    <row r="652" spans="1:6" thickBot="1">
      <c r="A652" s="310"/>
      <c r="B652" s="310"/>
      <c r="C652" s="291"/>
      <c r="D652" s="291"/>
      <c r="E652" s="291"/>
      <c r="F652" s="739"/>
    </row>
    <row r="653" spans="1:6" thickBot="1">
      <c r="A653" s="310"/>
      <c r="B653" s="310"/>
      <c r="C653" s="291"/>
      <c r="D653" s="291"/>
      <c r="E653" s="291"/>
      <c r="F653" s="739"/>
    </row>
    <row r="654" spans="1:6" thickBot="1">
      <c r="A654" s="310"/>
      <c r="B654" s="310"/>
      <c r="C654" s="291"/>
      <c r="D654" s="291"/>
      <c r="E654" s="291"/>
      <c r="F654" s="739"/>
    </row>
    <row r="655" spans="1:6" thickBot="1">
      <c r="A655" s="310"/>
      <c r="B655" s="310"/>
      <c r="C655" s="291"/>
      <c r="D655" s="291"/>
      <c r="E655" s="291"/>
      <c r="F655" s="739"/>
    </row>
    <row r="656" spans="1:6" thickBot="1">
      <c r="A656" s="310"/>
      <c r="B656" s="310"/>
      <c r="C656" s="291"/>
      <c r="D656" s="291"/>
      <c r="E656" s="291"/>
      <c r="F656" s="739"/>
    </row>
    <row r="657" spans="1:6" thickBot="1">
      <c r="A657" s="310"/>
      <c r="B657" s="310"/>
      <c r="C657" s="291"/>
      <c r="D657" s="291"/>
      <c r="E657" s="291"/>
      <c r="F657" s="739"/>
    </row>
    <row r="658" spans="1:6" thickBot="1">
      <c r="A658" s="310"/>
      <c r="B658" s="310"/>
      <c r="C658" s="291"/>
      <c r="D658" s="291"/>
      <c r="E658" s="291"/>
      <c r="F658" s="739"/>
    </row>
    <row r="659" spans="1:6" thickBot="1">
      <c r="A659" s="310"/>
      <c r="B659" s="310"/>
      <c r="C659" s="291"/>
      <c r="D659" s="291"/>
      <c r="E659" s="291"/>
      <c r="F659" s="739"/>
    </row>
    <row r="660" spans="1:6" thickBot="1">
      <c r="A660" s="310"/>
      <c r="B660" s="310"/>
      <c r="C660" s="291"/>
      <c r="D660" s="291"/>
      <c r="E660" s="291"/>
      <c r="F660" s="739"/>
    </row>
    <row r="661" spans="1:6" thickBot="1">
      <c r="A661" s="310"/>
      <c r="B661" s="310"/>
      <c r="C661" s="291"/>
      <c r="D661" s="291"/>
      <c r="E661" s="291"/>
      <c r="F661" s="739"/>
    </row>
    <row r="662" spans="1:6" thickBot="1">
      <c r="A662" s="310"/>
      <c r="B662" s="310"/>
      <c r="C662" s="291"/>
      <c r="D662" s="291"/>
      <c r="E662" s="291"/>
      <c r="F662" s="739"/>
    </row>
    <row r="663" spans="1:6" thickBot="1">
      <c r="A663" s="310"/>
      <c r="B663" s="310"/>
      <c r="C663" s="291"/>
      <c r="D663" s="291"/>
      <c r="E663" s="291"/>
      <c r="F663" s="739"/>
    </row>
    <row r="664" spans="1:6" thickBot="1">
      <c r="A664" s="310"/>
      <c r="B664" s="310"/>
      <c r="C664" s="291"/>
      <c r="D664" s="291"/>
      <c r="E664" s="291"/>
      <c r="F664" s="739"/>
    </row>
    <row r="665" spans="1:6" thickBot="1">
      <c r="A665" s="310"/>
      <c r="B665" s="310"/>
      <c r="C665" s="291"/>
      <c r="D665" s="291"/>
      <c r="E665" s="291"/>
      <c r="F665" s="739"/>
    </row>
    <row r="666" spans="1:6" thickBot="1">
      <c r="A666" s="310"/>
      <c r="B666" s="310"/>
      <c r="C666" s="291"/>
      <c r="D666" s="291"/>
      <c r="E666" s="291"/>
      <c r="F666" s="739"/>
    </row>
    <row r="667" spans="1:6" thickBot="1">
      <c r="A667" s="310"/>
      <c r="B667" s="310"/>
      <c r="C667" s="291"/>
      <c r="D667" s="291"/>
      <c r="E667" s="291"/>
      <c r="F667" s="739"/>
    </row>
    <row r="668" spans="1:6" thickBot="1">
      <c r="A668" s="310"/>
      <c r="B668" s="310"/>
      <c r="C668" s="291"/>
      <c r="D668" s="291"/>
      <c r="E668" s="291"/>
      <c r="F668" s="739"/>
    </row>
    <row r="669" spans="1:6" thickBot="1">
      <c r="A669" s="310"/>
      <c r="B669" s="310"/>
      <c r="C669" s="291"/>
      <c r="D669" s="291"/>
      <c r="E669" s="291"/>
      <c r="F669" s="739"/>
    </row>
    <row r="670" spans="1:6" thickBot="1">
      <c r="A670" s="310"/>
      <c r="B670" s="310"/>
      <c r="C670" s="291"/>
      <c r="D670" s="291"/>
      <c r="E670" s="291"/>
      <c r="F670" s="739"/>
    </row>
    <row r="671" spans="1:6" thickBot="1">
      <c r="A671" s="310"/>
      <c r="B671" s="310"/>
      <c r="C671" s="291"/>
      <c r="D671" s="291"/>
      <c r="E671" s="291"/>
      <c r="F671" s="739"/>
    </row>
    <row r="672" spans="1:6" thickBot="1">
      <c r="A672" s="310"/>
      <c r="B672" s="310"/>
      <c r="C672" s="291"/>
      <c r="D672" s="291"/>
      <c r="E672" s="291"/>
      <c r="F672" s="739"/>
    </row>
    <row r="673" spans="1:6" thickBot="1">
      <c r="A673" s="310"/>
      <c r="B673" s="310"/>
      <c r="C673" s="291"/>
      <c r="D673" s="291"/>
      <c r="E673" s="291"/>
      <c r="F673" s="739"/>
    </row>
    <row r="674" spans="1:6" thickBot="1">
      <c r="A674" s="310"/>
      <c r="B674" s="310"/>
      <c r="C674" s="291"/>
      <c r="D674" s="291"/>
      <c r="E674" s="291"/>
      <c r="F674" s="739"/>
    </row>
    <row r="675" spans="1:6" thickBot="1">
      <c r="A675" s="310"/>
      <c r="B675" s="310"/>
      <c r="C675" s="291"/>
      <c r="D675" s="291"/>
      <c r="E675" s="291"/>
      <c r="F675" s="739"/>
    </row>
    <row r="676" spans="1:6" thickBot="1">
      <c r="A676" s="310"/>
      <c r="B676" s="310"/>
      <c r="C676" s="291"/>
      <c r="D676" s="291"/>
      <c r="E676" s="291"/>
      <c r="F676" s="739"/>
    </row>
    <row r="677" spans="1:6" thickBot="1">
      <c r="A677" s="310"/>
      <c r="B677" s="310"/>
      <c r="C677" s="291"/>
      <c r="D677" s="291"/>
      <c r="E677" s="291"/>
      <c r="F677" s="739"/>
    </row>
    <row r="678" spans="1:6" thickBot="1">
      <c r="A678" s="310"/>
      <c r="B678" s="310"/>
      <c r="C678" s="291"/>
      <c r="D678" s="291"/>
      <c r="E678" s="291"/>
      <c r="F678" s="739"/>
    </row>
    <row r="679" spans="1:6" thickBot="1">
      <c r="A679" s="310"/>
      <c r="B679" s="310"/>
      <c r="C679" s="291"/>
      <c r="D679" s="291"/>
      <c r="E679" s="291"/>
      <c r="F679" s="739"/>
    </row>
    <row r="680" spans="1:6" thickBot="1">
      <c r="A680" s="310"/>
      <c r="B680" s="310"/>
      <c r="C680" s="291"/>
      <c r="D680" s="291"/>
      <c r="E680" s="291"/>
      <c r="F680" s="739"/>
    </row>
    <row r="681" spans="1:6" thickBot="1">
      <c r="A681" s="310"/>
      <c r="B681" s="310"/>
      <c r="C681" s="291"/>
      <c r="D681" s="291"/>
      <c r="E681" s="291"/>
      <c r="F681" s="739"/>
    </row>
    <row r="682" spans="1:6" thickBot="1">
      <c r="A682" s="310"/>
      <c r="B682" s="310"/>
      <c r="C682" s="291"/>
      <c r="D682" s="291"/>
      <c r="E682" s="291"/>
      <c r="F682" s="739"/>
    </row>
    <row r="683" spans="1:6" thickBot="1">
      <c r="A683" s="310"/>
      <c r="B683" s="310"/>
      <c r="C683" s="291"/>
      <c r="D683" s="291"/>
      <c r="E683" s="291"/>
      <c r="F683" s="739"/>
    </row>
    <row r="684" spans="1:6" thickBot="1">
      <c r="A684" s="310"/>
      <c r="B684" s="310"/>
      <c r="C684" s="291"/>
      <c r="D684" s="291"/>
      <c r="E684" s="291"/>
      <c r="F684" s="739"/>
    </row>
    <row r="685" spans="1:6" thickBot="1">
      <c r="A685" s="310"/>
      <c r="B685" s="310"/>
      <c r="C685" s="291"/>
      <c r="D685" s="291"/>
      <c r="E685" s="291"/>
      <c r="F685" s="739"/>
    </row>
    <row r="686" spans="1:6" thickBot="1">
      <c r="A686" s="310"/>
      <c r="B686" s="310"/>
      <c r="C686" s="291"/>
      <c r="D686" s="291"/>
      <c r="E686" s="291"/>
      <c r="F686" s="739"/>
    </row>
    <row r="687" spans="1:6" thickBot="1">
      <c r="A687" s="310"/>
      <c r="B687" s="310"/>
      <c r="C687" s="291"/>
      <c r="D687" s="291"/>
      <c r="E687" s="291"/>
      <c r="F687" s="739"/>
    </row>
    <row r="688" spans="1:6" thickBot="1">
      <c r="A688" s="310"/>
      <c r="B688" s="310"/>
      <c r="C688" s="291"/>
      <c r="D688" s="291"/>
      <c r="E688" s="291"/>
      <c r="F688" s="739"/>
    </row>
    <row r="689" spans="1:6" thickBot="1">
      <c r="A689" s="310"/>
      <c r="B689" s="310"/>
      <c r="C689" s="291"/>
      <c r="D689" s="291"/>
      <c r="E689" s="291"/>
      <c r="F689" s="739"/>
    </row>
    <row r="690" spans="1:6" thickBot="1">
      <c r="A690" s="310"/>
      <c r="B690" s="310"/>
      <c r="C690" s="291"/>
      <c r="D690" s="291"/>
      <c r="E690" s="291"/>
      <c r="F690" s="739"/>
    </row>
    <row r="691" spans="1:6" thickBot="1">
      <c r="A691" s="310"/>
      <c r="B691" s="310"/>
      <c r="C691" s="291"/>
      <c r="D691" s="291"/>
      <c r="E691" s="291"/>
      <c r="F691" s="739"/>
    </row>
    <row r="692" spans="1:6" thickBot="1">
      <c r="A692" s="310"/>
      <c r="B692" s="310"/>
      <c r="C692" s="291"/>
      <c r="D692" s="291"/>
      <c r="E692" s="291"/>
      <c r="F692" s="739"/>
    </row>
    <row r="693" spans="1:6" thickBot="1">
      <c r="A693" s="310"/>
      <c r="B693" s="310"/>
      <c r="C693" s="291"/>
      <c r="D693" s="291"/>
      <c r="E693" s="291"/>
      <c r="F693" s="739"/>
    </row>
    <row r="694" spans="1:6" thickBot="1">
      <c r="A694" s="310"/>
      <c r="B694" s="310"/>
      <c r="C694" s="291"/>
      <c r="D694" s="291"/>
      <c r="E694" s="291"/>
      <c r="F694" s="739"/>
    </row>
    <row r="695" spans="1:6" thickBot="1">
      <c r="A695" s="310"/>
      <c r="B695" s="310"/>
      <c r="C695" s="291"/>
      <c r="D695" s="291"/>
      <c r="E695" s="291"/>
      <c r="F695" s="739"/>
    </row>
    <row r="696" spans="1:6" thickBot="1">
      <c r="A696" s="310"/>
      <c r="B696" s="310"/>
      <c r="C696" s="291"/>
      <c r="D696" s="291"/>
      <c r="E696" s="291"/>
      <c r="F696" s="739"/>
    </row>
    <row r="697" spans="1:6" thickBot="1">
      <c r="A697" s="310"/>
      <c r="B697" s="310"/>
      <c r="C697" s="291"/>
      <c r="D697" s="291"/>
      <c r="E697" s="291"/>
      <c r="F697" s="739"/>
    </row>
    <row r="698" spans="1:6" thickBot="1">
      <c r="A698" s="310"/>
      <c r="B698" s="310"/>
      <c r="C698" s="291"/>
      <c r="D698" s="291"/>
      <c r="E698" s="291"/>
      <c r="F698" s="739"/>
    </row>
    <row r="699" spans="1:6" thickBot="1">
      <c r="A699" s="310"/>
      <c r="B699" s="310"/>
      <c r="C699" s="291"/>
      <c r="D699" s="291"/>
      <c r="E699" s="291"/>
      <c r="F699" s="739"/>
    </row>
    <row r="700" spans="1:6" thickBot="1">
      <c r="A700" s="310"/>
      <c r="B700" s="310"/>
      <c r="C700" s="291"/>
      <c r="D700" s="291"/>
      <c r="E700" s="291"/>
      <c r="F700" s="739"/>
    </row>
    <row r="701" spans="1:6" thickBot="1">
      <c r="A701" s="310"/>
      <c r="B701" s="310"/>
      <c r="C701" s="291"/>
      <c r="D701" s="291"/>
      <c r="E701" s="291"/>
      <c r="F701" s="739"/>
    </row>
    <row r="702" spans="1:6" thickBot="1">
      <c r="A702" s="310"/>
      <c r="B702" s="310"/>
      <c r="C702" s="291"/>
      <c r="D702" s="291"/>
      <c r="E702" s="291"/>
      <c r="F702" s="739"/>
    </row>
    <row r="703" spans="1:6" thickBot="1">
      <c r="A703" s="310"/>
      <c r="B703" s="310"/>
      <c r="C703" s="291"/>
      <c r="D703" s="291"/>
      <c r="E703" s="291"/>
      <c r="F703" s="739"/>
    </row>
    <row r="704" spans="1:6" thickBot="1">
      <c r="A704" s="310"/>
      <c r="B704" s="310"/>
      <c r="C704" s="291"/>
      <c r="D704" s="291"/>
      <c r="E704" s="291"/>
      <c r="F704" s="739"/>
    </row>
    <row r="705" spans="1:6" thickBot="1">
      <c r="A705" s="310"/>
      <c r="B705" s="310"/>
      <c r="C705" s="291"/>
      <c r="D705" s="291"/>
      <c r="E705" s="291"/>
      <c r="F705" s="739"/>
    </row>
    <row r="706" spans="1:6" thickBot="1">
      <c r="A706" s="310"/>
      <c r="B706" s="310"/>
      <c r="C706" s="291"/>
      <c r="D706" s="291"/>
      <c r="E706" s="291"/>
      <c r="F706" s="739"/>
    </row>
    <row r="707" spans="1:6" thickBot="1">
      <c r="A707" s="310"/>
      <c r="B707" s="310"/>
      <c r="C707" s="291"/>
      <c r="D707" s="291"/>
      <c r="E707" s="291"/>
      <c r="F707" s="739"/>
    </row>
    <row r="708" spans="1:6" thickBot="1">
      <c r="A708" s="310"/>
      <c r="B708" s="310"/>
      <c r="C708" s="291"/>
      <c r="D708" s="291"/>
      <c r="E708" s="291"/>
      <c r="F708" s="739"/>
    </row>
    <row r="709" spans="1:6" thickBot="1">
      <c r="A709" s="310"/>
      <c r="B709" s="310"/>
      <c r="C709" s="291"/>
      <c r="D709" s="291"/>
      <c r="E709" s="291"/>
      <c r="F709" s="739"/>
    </row>
    <row r="710" spans="1:6" thickBot="1">
      <c r="A710" s="310"/>
      <c r="B710" s="310"/>
      <c r="C710" s="291"/>
      <c r="D710" s="291"/>
      <c r="E710" s="291"/>
      <c r="F710" s="739"/>
    </row>
    <row r="711" spans="1:6" thickBot="1">
      <c r="A711" s="310"/>
      <c r="B711" s="310"/>
      <c r="C711" s="291"/>
      <c r="D711" s="291"/>
      <c r="E711" s="291"/>
      <c r="F711" s="739"/>
    </row>
    <row r="712" spans="1:6" thickBot="1">
      <c r="A712" s="310"/>
      <c r="B712" s="310"/>
      <c r="C712" s="291"/>
      <c r="D712" s="291"/>
      <c r="E712" s="291"/>
      <c r="F712" s="739"/>
    </row>
    <row r="713" spans="1:6" thickBot="1">
      <c r="A713" s="310"/>
      <c r="B713" s="310"/>
      <c r="C713" s="291"/>
      <c r="D713" s="291"/>
      <c r="E713" s="291"/>
      <c r="F713" s="739"/>
    </row>
    <row r="714" spans="1:6" thickBot="1">
      <c r="A714" s="310"/>
      <c r="B714" s="310"/>
      <c r="C714" s="291"/>
      <c r="D714" s="291"/>
      <c r="E714" s="291"/>
      <c r="F714" s="739"/>
    </row>
    <row r="715" spans="1:6" thickBot="1">
      <c r="A715" s="310"/>
      <c r="B715" s="310"/>
      <c r="C715" s="291"/>
      <c r="D715" s="291"/>
      <c r="E715" s="291"/>
      <c r="F715" s="739"/>
    </row>
    <row r="716" spans="1:6" thickBot="1">
      <c r="A716" s="310"/>
      <c r="B716" s="310"/>
      <c r="C716" s="291"/>
      <c r="D716" s="291"/>
      <c r="E716" s="291"/>
      <c r="F716" s="739"/>
    </row>
    <row r="717" spans="1:6" thickBot="1">
      <c r="A717" s="310"/>
      <c r="B717" s="310"/>
      <c r="C717" s="291"/>
      <c r="D717" s="291"/>
      <c r="E717" s="291"/>
      <c r="F717" s="739"/>
    </row>
    <row r="718" spans="1:6" thickBot="1">
      <c r="A718" s="310"/>
      <c r="B718" s="310"/>
      <c r="C718" s="291"/>
      <c r="D718" s="291"/>
      <c r="E718" s="291"/>
      <c r="F718" s="739"/>
    </row>
    <row r="719" spans="1:6" thickBot="1">
      <c r="A719" s="310"/>
      <c r="B719" s="310"/>
      <c r="C719" s="291"/>
      <c r="D719" s="291"/>
      <c r="E719" s="291"/>
      <c r="F719" s="739"/>
    </row>
    <row r="720" spans="1:6" thickBot="1">
      <c r="A720" s="310"/>
      <c r="B720" s="310"/>
      <c r="C720" s="291"/>
      <c r="D720" s="291"/>
      <c r="E720" s="291"/>
      <c r="F720" s="739"/>
    </row>
    <row r="721" spans="1:6" thickBot="1">
      <c r="A721" s="310"/>
      <c r="B721" s="310"/>
      <c r="C721" s="291"/>
      <c r="D721" s="291"/>
      <c r="E721" s="291"/>
      <c r="F721" s="739"/>
    </row>
    <row r="722" spans="1:6" thickBot="1">
      <c r="A722" s="310"/>
      <c r="B722" s="310"/>
      <c r="C722" s="291"/>
      <c r="D722" s="291"/>
      <c r="E722" s="291"/>
      <c r="F722" s="739"/>
    </row>
    <row r="723" spans="1:6" thickBot="1">
      <c r="A723" s="310"/>
      <c r="B723" s="310"/>
      <c r="C723" s="291"/>
      <c r="D723" s="291"/>
      <c r="E723" s="291"/>
      <c r="F723" s="739"/>
    </row>
    <row r="724" spans="1:6" thickBot="1">
      <c r="A724" s="310"/>
      <c r="B724" s="310"/>
      <c r="C724" s="291"/>
      <c r="D724" s="291"/>
      <c r="E724" s="291"/>
      <c r="F724" s="739"/>
    </row>
    <row r="725" spans="1:6" thickBot="1">
      <c r="A725" s="310"/>
      <c r="B725" s="310"/>
      <c r="C725" s="291"/>
      <c r="D725" s="291"/>
      <c r="E725" s="291"/>
      <c r="F725" s="739"/>
    </row>
    <row r="726" spans="1:6" thickBot="1">
      <c r="A726" s="310"/>
      <c r="B726" s="310"/>
      <c r="C726" s="291"/>
      <c r="D726" s="291"/>
      <c r="E726" s="291"/>
      <c r="F726" s="739"/>
    </row>
    <row r="727" spans="1:6" thickBot="1">
      <c r="A727" s="310"/>
      <c r="B727" s="310"/>
      <c r="C727" s="291"/>
      <c r="D727" s="291"/>
      <c r="E727" s="291"/>
      <c r="F727" s="739"/>
    </row>
    <row r="728" spans="1:6" thickBot="1">
      <c r="A728" s="310"/>
      <c r="B728" s="310"/>
      <c r="C728" s="291"/>
      <c r="D728" s="291"/>
      <c r="E728" s="291"/>
      <c r="F728" s="739"/>
    </row>
    <row r="729" spans="1:6" thickBot="1">
      <c r="A729" s="310"/>
      <c r="B729" s="310"/>
      <c r="C729" s="291"/>
      <c r="D729" s="291"/>
      <c r="E729" s="291"/>
      <c r="F729" s="739"/>
    </row>
    <row r="730" spans="1:6" thickBot="1">
      <c r="A730" s="310"/>
      <c r="B730" s="310"/>
      <c r="C730" s="291"/>
      <c r="D730" s="291"/>
      <c r="E730" s="291"/>
      <c r="F730" s="739"/>
    </row>
    <row r="731" spans="1:6" thickBot="1">
      <c r="A731" s="310"/>
      <c r="B731" s="310"/>
      <c r="C731" s="291"/>
      <c r="D731" s="291"/>
      <c r="E731" s="291"/>
      <c r="F731" s="739"/>
    </row>
    <row r="732" spans="1:6" thickBot="1">
      <c r="A732" s="310"/>
      <c r="B732" s="310"/>
      <c r="C732" s="291"/>
      <c r="D732" s="291"/>
      <c r="E732" s="291"/>
      <c r="F732" s="739"/>
    </row>
    <row r="733" spans="1:6" thickBot="1">
      <c r="A733" s="310"/>
      <c r="B733" s="310"/>
      <c r="C733" s="291"/>
      <c r="D733" s="291"/>
      <c r="E733" s="291"/>
      <c r="F733" s="739"/>
    </row>
    <row r="734" spans="1:6" thickBot="1">
      <c r="A734" s="310"/>
      <c r="B734" s="310"/>
      <c r="C734" s="291"/>
      <c r="D734" s="291"/>
      <c r="E734" s="291"/>
      <c r="F734" s="739"/>
    </row>
    <row r="735" spans="1:6" thickBot="1">
      <c r="A735" s="310"/>
      <c r="B735" s="310"/>
      <c r="C735" s="291"/>
      <c r="D735" s="291"/>
      <c r="E735" s="291"/>
      <c r="F735" s="739"/>
    </row>
    <row r="736" spans="1:6" thickBot="1">
      <c r="A736" s="310"/>
      <c r="B736" s="310"/>
      <c r="C736" s="291"/>
      <c r="D736" s="291"/>
      <c r="E736" s="291"/>
      <c r="F736" s="739"/>
    </row>
    <row r="737" spans="1:6" thickBot="1">
      <c r="A737" s="310"/>
      <c r="B737" s="310"/>
      <c r="C737" s="291"/>
      <c r="D737" s="291"/>
      <c r="E737" s="291"/>
      <c r="F737" s="739"/>
    </row>
    <row r="738" spans="1:6" thickBot="1">
      <c r="A738" s="310"/>
      <c r="B738" s="310"/>
      <c r="C738" s="291"/>
      <c r="D738" s="291"/>
      <c r="E738" s="291"/>
      <c r="F738" s="739"/>
    </row>
    <row r="739" spans="1:6" thickBot="1">
      <c r="A739" s="310"/>
      <c r="B739" s="310"/>
      <c r="C739" s="291"/>
      <c r="D739" s="291"/>
      <c r="E739" s="291"/>
      <c r="F739" s="739"/>
    </row>
    <row r="740" spans="1:6" thickBot="1">
      <c r="A740" s="310"/>
      <c r="B740" s="310"/>
      <c r="C740" s="291"/>
      <c r="D740" s="291"/>
      <c r="E740" s="291"/>
      <c r="F740" s="739"/>
    </row>
    <row r="741" spans="1:6" thickBot="1">
      <c r="A741" s="310"/>
      <c r="B741" s="310"/>
      <c r="C741" s="291"/>
      <c r="D741" s="291"/>
      <c r="E741" s="291"/>
      <c r="F741" s="739"/>
    </row>
    <row r="742" spans="1:6" thickBot="1">
      <c r="A742" s="310"/>
      <c r="B742" s="310"/>
      <c r="C742" s="291"/>
      <c r="D742" s="291"/>
      <c r="E742" s="291"/>
      <c r="F742" s="739"/>
    </row>
    <row r="743" spans="1:6" thickBot="1">
      <c r="A743" s="310"/>
      <c r="B743" s="310"/>
      <c r="C743" s="291"/>
      <c r="D743" s="291"/>
      <c r="E743" s="291"/>
      <c r="F743" s="739"/>
    </row>
    <row r="744" spans="1:6" thickBot="1">
      <c r="A744" s="310"/>
      <c r="B744" s="310"/>
      <c r="C744" s="291"/>
      <c r="D744" s="291"/>
      <c r="E744" s="291"/>
      <c r="F744" s="739"/>
    </row>
    <row r="745" spans="1:6" thickBot="1">
      <c r="A745" s="310"/>
      <c r="B745" s="310"/>
      <c r="C745" s="291"/>
      <c r="D745" s="291"/>
      <c r="E745" s="291"/>
      <c r="F745" s="739"/>
    </row>
    <row r="746" spans="1:6" thickBot="1">
      <c r="A746" s="310"/>
      <c r="B746" s="310"/>
      <c r="C746" s="291"/>
      <c r="D746" s="291"/>
      <c r="E746" s="291"/>
      <c r="F746" s="739"/>
    </row>
    <row r="747" spans="1:6" thickBot="1">
      <c r="A747" s="310"/>
      <c r="B747" s="310"/>
      <c r="C747" s="291"/>
      <c r="D747" s="291"/>
      <c r="E747" s="291"/>
      <c r="F747" s="739"/>
    </row>
    <row r="748" spans="1:6" thickBot="1">
      <c r="A748" s="310"/>
      <c r="B748" s="310"/>
      <c r="C748" s="291"/>
      <c r="D748" s="291"/>
      <c r="E748" s="291"/>
      <c r="F748" s="739"/>
    </row>
    <row r="749" spans="1:6" thickBot="1">
      <c r="A749" s="310"/>
      <c r="B749" s="310"/>
      <c r="C749" s="291"/>
      <c r="D749" s="291"/>
      <c r="E749" s="291"/>
      <c r="F749" s="739"/>
    </row>
    <row r="750" spans="1:6" thickBot="1">
      <c r="A750" s="310"/>
      <c r="B750" s="310"/>
      <c r="C750" s="291"/>
      <c r="D750" s="291"/>
      <c r="E750" s="291"/>
      <c r="F750" s="739"/>
    </row>
    <row r="751" spans="1:6" thickBot="1">
      <c r="A751" s="310"/>
      <c r="B751" s="310"/>
      <c r="C751" s="291"/>
      <c r="D751" s="291"/>
      <c r="E751" s="291"/>
      <c r="F751" s="739"/>
    </row>
    <row r="752" spans="1:6" thickBot="1">
      <c r="A752" s="310"/>
      <c r="B752" s="310"/>
      <c r="C752" s="291"/>
      <c r="D752" s="291"/>
      <c r="E752" s="291"/>
      <c r="F752" s="739"/>
    </row>
    <row r="753" spans="1:6" thickBot="1">
      <c r="A753" s="310"/>
      <c r="B753" s="310"/>
      <c r="C753" s="291"/>
      <c r="D753" s="291"/>
      <c r="E753" s="291"/>
      <c r="F753" s="739"/>
    </row>
    <row r="754" spans="1:6" thickBot="1">
      <c r="A754" s="310"/>
      <c r="B754" s="310"/>
      <c r="C754" s="291"/>
      <c r="D754" s="291"/>
      <c r="E754" s="291"/>
      <c r="F754" s="739"/>
    </row>
    <row r="755" spans="1:6" thickBot="1">
      <c r="A755" s="310"/>
      <c r="B755" s="310"/>
      <c r="C755" s="291"/>
      <c r="D755" s="291"/>
      <c r="E755" s="291"/>
      <c r="F755" s="739"/>
    </row>
    <row r="756" spans="1:6" thickBot="1">
      <c r="A756" s="310"/>
      <c r="B756" s="310"/>
      <c r="C756" s="291"/>
      <c r="D756" s="291"/>
      <c r="E756" s="291"/>
      <c r="F756" s="739"/>
    </row>
    <row r="757" spans="1:6" thickBot="1">
      <c r="A757" s="310"/>
      <c r="B757" s="310"/>
      <c r="C757" s="291"/>
      <c r="D757" s="291"/>
      <c r="E757" s="291"/>
      <c r="F757" s="739"/>
    </row>
    <row r="758" spans="1:6" thickBot="1">
      <c r="A758" s="310"/>
      <c r="B758" s="310"/>
      <c r="C758" s="291"/>
      <c r="D758" s="291"/>
      <c r="E758" s="291"/>
      <c r="F758" s="739"/>
    </row>
    <row r="759" spans="1:6" thickBot="1">
      <c r="A759" s="310"/>
      <c r="B759" s="310"/>
      <c r="C759" s="291"/>
      <c r="D759" s="291"/>
      <c r="E759" s="291"/>
      <c r="F759" s="739"/>
    </row>
    <row r="760" spans="1:6" thickBot="1">
      <c r="A760" s="310"/>
      <c r="B760" s="310"/>
      <c r="C760" s="291"/>
      <c r="D760" s="291"/>
      <c r="E760" s="291"/>
      <c r="F760" s="739"/>
    </row>
    <row r="761" spans="1:6" thickBot="1">
      <c r="A761" s="310"/>
      <c r="B761" s="310"/>
      <c r="C761" s="291"/>
      <c r="D761" s="291"/>
      <c r="E761" s="291"/>
      <c r="F761" s="739"/>
    </row>
    <row r="762" spans="1:6" thickBot="1">
      <c r="A762" s="310"/>
      <c r="B762" s="310"/>
      <c r="C762" s="291"/>
      <c r="D762" s="291"/>
      <c r="E762" s="291"/>
      <c r="F762" s="739"/>
    </row>
    <row r="763" spans="1:6" thickBot="1">
      <c r="A763" s="310"/>
      <c r="B763" s="310"/>
      <c r="C763" s="291"/>
      <c r="D763" s="291"/>
      <c r="E763" s="291"/>
      <c r="F763" s="739"/>
    </row>
    <row r="764" spans="1:6" thickBot="1">
      <c r="A764" s="310"/>
      <c r="B764" s="310"/>
      <c r="C764" s="291"/>
      <c r="D764" s="291"/>
      <c r="E764" s="291"/>
      <c r="F764" s="739"/>
    </row>
    <row r="765" spans="1:6" thickBot="1">
      <c r="A765" s="310"/>
      <c r="B765" s="310"/>
      <c r="C765" s="291"/>
      <c r="D765" s="291"/>
      <c r="E765" s="291"/>
      <c r="F765" s="739"/>
    </row>
    <row r="766" spans="1:6" thickBot="1">
      <c r="A766" s="310"/>
      <c r="B766" s="310"/>
      <c r="C766" s="291"/>
      <c r="D766" s="291"/>
      <c r="E766" s="291"/>
      <c r="F766" s="739"/>
    </row>
    <row r="767" spans="1:6" thickBot="1">
      <c r="A767" s="310"/>
      <c r="B767" s="310"/>
      <c r="C767" s="291"/>
      <c r="D767" s="291"/>
      <c r="E767" s="291"/>
      <c r="F767" s="739"/>
    </row>
    <row r="768" spans="1:6" thickBot="1">
      <c r="A768" s="310"/>
      <c r="B768" s="310"/>
      <c r="C768" s="291"/>
      <c r="D768" s="291"/>
      <c r="E768" s="291"/>
      <c r="F768" s="739"/>
    </row>
    <row r="769" spans="1:6" thickBot="1">
      <c r="A769" s="310"/>
      <c r="B769" s="310"/>
      <c r="C769" s="291"/>
      <c r="D769" s="291"/>
      <c r="E769" s="291"/>
      <c r="F769" s="739"/>
    </row>
    <row r="770" spans="1:6" thickBot="1">
      <c r="A770" s="310"/>
      <c r="B770" s="310"/>
      <c r="C770" s="291"/>
      <c r="D770" s="291"/>
      <c r="E770" s="291"/>
      <c r="F770" s="739"/>
    </row>
    <row r="771" spans="1:6" thickBot="1">
      <c r="A771" s="310"/>
      <c r="B771" s="310"/>
      <c r="C771" s="291"/>
      <c r="D771" s="291"/>
      <c r="E771" s="291"/>
      <c r="F771" s="739"/>
    </row>
    <row r="772" spans="1:6" thickBot="1">
      <c r="A772" s="310"/>
      <c r="B772" s="310"/>
      <c r="C772" s="291"/>
      <c r="D772" s="291"/>
      <c r="E772" s="291"/>
      <c r="F772" s="739"/>
    </row>
    <row r="773" spans="1:6" thickBot="1">
      <c r="A773" s="310"/>
      <c r="B773" s="310"/>
      <c r="C773" s="291"/>
      <c r="D773" s="291"/>
      <c r="E773" s="291"/>
      <c r="F773" s="739"/>
    </row>
    <row r="774" spans="1:6" thickBot="1">
      <c r="A774" s="310"/>
      <c r="B774" s="310"/>
      <c r="C774" s="291"/>
      <c r="D774" s="291"/>
      <c r="E774" s="291"/>
      <c r="F774" s="739"/>
    </row>
    <row r="775" spans="1:6" thickBot="1">
      <c r="A775" s="310"/>
      <c r="B775" s="310"/>
      <c r="C775" s="291"/>
      <c r="D775" s="291"/>
      <c r="E775" s="291"/>
      <c r="F775" s="739"/>
    </row>
    <row r="776" spans="1:6" thickBot="1">
      <c r="A776" s="310"/>
      <c r="B776" s="310"/>
      <c r="C776" s="291"/>
      <c r="D776" s="291"/>
      <c r="E776" s="291"/>
      <c r="F776" s="739"/>
    </row>
    <row r="777" spans="1:6" thickBot="1">
      <c r="A777" s="310"/>
      <c r="B777" s="310"/>
      <c r="C777" s="291"/>
      <c r="D777" s="291"/>
      <c r="E777" s="291"/>
      <c r="F777" s="739"/>
    </row>
    <row r="778" spans="1:6" thickBot="1">
      <c r="A778" s="310"/>
      <c r="B778" s="310"/>
      <c r="C778" s="291"/>
      <c r="D778" s="291"/>
      <c r="E778" s="291"/>
      <c r="F778" s="739"/>
    </row>
    <row r="779" spans="1:6" thickBot="1">
      <c r="A779" s="310"/>
      <c r="B779" s="310"/>
      <c r="C779" s="291"/>
      <c r="D779" s="291"/>
      <c r="E779" s="291"/>
      <c r="F779" s="739"/>
    </row>
    <row r="780" spans="1:6" thickBot="1">
      <c r="A780" s="310"/>
      <c r="B780" s="310"/>
      <c r="C780" s="291"/>
      <c r="D780" s="291"/>
      <c r="E780" s="291"/>
      <c r="F780" s="739"/>
    </row>
    <row r="781" spans="1:6" thickBot="1">
      <c r="A781" s="310"/>
      <c r="B781" s="310"/>
      <c r="C781" s="291"/>
      <c r="D781" s="291"/>
      <c r="E781" s="291"/>
      <c r="F781" s="739"/>
    </row>
    <row r="782" spans="1:6" thickBot="1">
      <c r="A782" s="310"/>
      <c r="B782" s="310"/>
      <c r="C782" s="291"/>
      <c r="D782" s="291"/>
      <c r="E782" s="291"/>
      <c r="F782" s="739"/>
    </row>
    <row r="783" spans="1:6" thickBot="1">
      <c r="A783" s="310"/>
      <c r="B783" s="310"/>
      <c r="C783" s="291"/>
      <c r="D783" s="291"/>
      <c r="E783" s="291"/>
      <c r="F783" s="739"/>
    </row>
    <row r="784" spans="1:6" thickBot="1">
      <c r="A784" s="310"/>
      <c r="B784" s="310"/>
      <c r="C784" s="291"/>
      <c r="D784" s="291"/>
      <c r="E784" s="291"/>
      <c r="F784" s="739"/>
    </row>
    <row r="785" spans="1:6" thickBot="1">
      <c r="A785" s="310"/>
      <c r="B785" s="310"/>
      <c r="C785" s="291"/>
      <c r="D785" s="291"/>
      <c r="E785" s="291"/>
      <c r="F785" s="739"/>
    </row>
    <row r="786" spans="1:6" thickBot="1">
      <c r="A786" s="310"/>
      <c r="B786" s="310"/>
      <c r="C786" s="291"/>
      <c r="D786" s="291"/>
      <c r="E786" s="291"/>
      <c r="F786" s="739"/>
    </row>
    <row r="787" spans="1:6" thickBot="1">
      <c r="A787" s="310"/>
      <c r="B787" s="310"/>
      <c r="C787" s="291"/>
      <c r="D787" s="291"/>
      <c r="E787" s="291"/>
      <c r="F787" s="739"/>
    </row>
    <row r="788" spans="1:6" thickBot="1">
      <c r="A788" s="310"/>
      <c r="B788" s="310"/>
      <c r="C788" s="291"/>
      <c r="D788" s="291"/>
      <c r="E788" s="291"/>
      <c r="F788" s="739"/>
    </row>
    <row r="789" spans="1:6" thickBot="1">
      <c r="A789" s="310"/>
      <c r="B789" s="310"/>
      <c r="C789" s="291"/>
      <c r="D789" s="291"/>
      <c r="E789" s="291"/>
      <c r="F789" s="739"/>
    </row>
    <row r="790" spans="1:6" thickBot="1">
      <c r="A790" s="310"/>
      <c r="B790" s="310"/>
      <c r="C790" s="291"/>
      <c r="D790" s="291"/>
      <c r="E790" s="291"/>
      <c r="F790" s="739"/>
    </row>
    <row r="791" spans="1:6" thickBot="1">
      <c r="A791" s="310"/>
      <c r="B791" s="310"/>
      <c r="C791" s="291"/>
      <c r="D791" s="291"/>
      <c r="E791" s="291"/>
      <c r="F791" s="739"/>
    </row>
    <row r="792" spans="1:6" thickBot="1">
      <c r="A792" s="310"/>
      <c r="B792" s="310"/>
      <c r="C792" s="291"/>
      <c r="D792" s="291"/>
      <c r="E792" s="291"/>
      <c r="F792" s="739"/>
    </row>
    <row r="793" spans="1:6" thickBot="1">
      <c r="A793" s="310"/>
      <c r="B793" s="310"/>
      <c r="C793" s="291"/>
      <c r="D793" s="291"/>
      <c r="E793" s="291"/>
      <c r="F793" s="739"/>
    </row>
    <row r="794" spans="1:6" thickBot="1">
      <c r="A794" s="310"/>
      <c r="B794" s="310"/>
      <c r="C794" s="291"/>
      <c r="D794" s="291"/>
      <c r="E794" s="291"/>
      <c r="F794" s="739"/>
    </row>
    <row r="795" spans="1:6" thickBot="1">
      <c r="A795" s="310"/>
      <c r="B795" s="310"/>
      <c r="C795" s="291"/>
      <c r="D795" s="291"/>
      <c r="E795" s="291"/>
      <c r="F795" s="739"/>
    </row>
    <row r="796" spans="1:6" thickBot="1">
      <c r="A796" s="310"/>
      <c r="B796" s="310"/>
      <c r="C796" s="291"/>
      <c r="D796" s="291"/>
      <c r="E796" s="291"/>
      <c r="F796" s="739"/>
    </row>
    <row r="797" spans="1:6" thickBot="1">
      <c r="A797" s="310"/>
      <c r="B797" s="310"/>
      <c r="C797" s="291"/>
      <c r="D797" s="291"/>
      <c r="E797" s="291"/>
      <c r="F797" s="739"/>
    </row>
    <row r="798" spans="1:6" thickBot="1">
      <c r="A798" s="310"/>
      <c r="B798" s="310"/>
      <c r="C798" s="291"/>
      <c r="D798" s="291"/>
      <c r="E798" s="291"/>
      <c r="F798" s="739"/>
    </row>
    <row r="799" spans="1:6" thickBot="1">
      <c r="A799" s="310"/>
      <c r="B799" s="310"/>
      <c r="C799" s="291"/>
      <c r="D799" s="291"/>
      <c r="E799" s="291"/>
      <c r="F799" s="739"/>
    </row>
    <row r="800" spans="1:6" thickBot="1">
      <c r="A800" s="310"/>
      <c r="B800" s="310"/>
      <c r="C800" s="291"/>
      <c r="D800" s="291"/>
      <c r="E800" s="291"/>
      <c r="F800" s="739"/>
    </row>
    <row r="801" spans="1:6" thickBot="1">
      <c r="A801" s="310"/>
      <c r="B801" s="310"/>
      <c r="C801" s="291"/>
      <c r="D801" s="291"/>
      <c r="E801" s="291"/>
      <c r="F801" s="739"/>
    </row>
    <row r="802" spans="1:6" thickBot="1">
      <c r="A802" s="310"/>
      <c r="B802" s="310"/>
      <c r="C802" s="291"/>
      <c r="D802" s="291"/>
      <c r="E802" s="291"/>
      <c r="F802" s="739"/>
    </row>
    <row r="803" spans="1:6" thickBot="1">
      <c r="A803" s="310"/>
      <c r="B803" s="310"/>
      <c r="C803" s="291"/>
      <c r="D803" s="291"/>
      <c r="E803" s="291"/>
      <c r="F803" s="739"/>
    </row>
    <row r="804" spans="1:6" thickBot="1">
      <c r="A804" s="310"/>
      <c r="B804" s="310"/>
      <c r="C804" s="291"/>
      <c r="D804" s="291"/>
      <c r="E804" s="291"/>
      <c r="F804" s="739"/>
    </row>
    <row r="805" spans="1:6" thickBot="1">
      <c r="A805" s="310"/>
      <c r="B805" s="310"/>
      <c r="C805" s="291"/>
      <c r="D805" s="291"/>
      <c r="E805" s="291"/>
      <c r="F805" s="739"/>
    </row>
    <row r="806" spans="1:6" thickBot="1">
      <c r="A806" s="310"/>
      <c r="B806" s="310"/>
      <c r="C806" s="291"/>
      <c r="D806" s="291"/>
      <c r="E806" s="291"/>
      <c r="F806" s="739"/>
    </row>
    <row r="807" spans="1:6" thickBot="1">
      <c r="A807" s="310"/>
      <c r="B807" s="310"/>
      <c r="C807" s="291"/>
      <c r="D807" s="291"/>
      <c r="E807" s="291"/>
      <c r="F807" s="739"/>
    </row>
    <row r="808" spans="1:6" thickBot="1">
      <c r="A808" s="310"/>
      <c r="B808" s="310"/>
      <c r="C808" s="291"/>
      <c r="D808" s="291"/>
      <c r="E808" s="291"/>
      <c r="F808" s="739"/>
    </row>
    <row r="809" spans="1:6" thickBot="1">
      <c r="A809" s="310"/>
      <c r="B809" s="310"/>
      <c r="C809" s="291"/>
      <c r="D809" s="291"/>
      <c r="E809" s="291"/>
      <c r="F809" s="739"/>
    </row>
    <row r="810" spans="1:6" thickBot="1">
      <c r="A810" s="310"/>
      <c r="B810" s="310"/>
      <c r="C810" s="291"/>
      <c r="D810" s="291"/>
      <c r="E810" s="291"/>
      <c r="F810" s="739"/>
    </row>
    <row r="811" spans="1:6" thickBot="1">
      <c r="A811" s="310"/>
      <c r="B811" s="310"/>
      <c r="C811" s="291"/>
      <c r="D811" s="291"/>
      <c r="E811" s="291"/>
      <c r="F811" s="739"/>
    </row>
    <row r="812" spans="1:6" thickBot="1">
      <c r="A812" s="310"/>
      <c r="B812" s="310"/>
      <c r="C812" s="291"/>
      <c r="D812" s="291"/>
      <c r="E812" s="291"/>
      <c r="F812" s="739"/>
    </row>
    <row r="813" spans="1:6" thickBot="1">
      <c r="A813" s="310"/>
      <c r="B813" s="310"/>
      <c r="C813" s="291"/>
      <c r="D813" s="291"/>
      <c r="E813" s="291"/>
      <c r="F813" s="739"/>
    </row>
    <row r="814" spans="1:6" thickBot="1">
      <c r="A814" s="310"/>
      <c r="B814" s="310"/>
      <c r="C814" s="291"/>
      <c r="D814" s="291"/>
      <c r="E814" s="291"/>
      <c r="F814" s="739"/>
    </row>
    <row r="815" spans="1:6" thickBot="1">
      <c r="A815" s="310"/>
      <c r="B815" s="310"/>
      <c r="C815" s="291"/>
      <c r="D815" s="291"/>
      <c r="E815" s="291"/>
      <c r="F815" s="739"/>
    </row>
    <row r="816" spans="1:6" thickBot="1">
      <c r="A816" s="310"/>
      <c r="B816" s="310"/>
      <c r="C816" s="291"/>
      <c r="D816" s="291"/>
      <c r="E816" s="291"/>
      <c r="F816" s="739"/>
    </row>
    <row r="817" spans="1:6" thickBot="1">
      <c r="A817" s="310"/>
      <c r="B817" s="310"/>
      <c r="C817" s="291"/>
      <c r="D817" s="291"/>
      <c r="E817" s="291"/>
      <c r="F817" s="739"/>
    </row>
    <row r="818" spans="1:6" thickBot="1">
      <c r="A818" s="310"/>
      <c r="B818" s="310"/>
      <c r="C818" s="291"/>
      <c r="D818" s="291"/>
      <c r="E818" s="291"/>
      <c r="F818" s="739"/>
    </row>
    <row r="819" spans="1:6" thickBot="1">
      <c r="A819" s="310"/>
      <c r="B819" s="310"/>
      <c r="C819" s="291"/>
      <c r="D819" s="291"/>
      <c r="E819" s="291"/>
      <c r="F819" s="739"/>
    </row>
    <row r="820" spans="1:6" thickBot="1">
      <c r="A820" s="310"/>
      <c r="B820" s="310"/>
      <c r="C820" s="291"/>
      <c r="D820" s="291"/>
      <c r="E820" s="291"/>
      <c r="F820" s="739"/>
    </row>
    <row r="821" spans="1:6" thickBot="1">
      <c r="A821" s="310"/>
      <c r="B821" s="310"/>
      <c r="C821" s="291"/>
      <c r="D821" s="291"/>
      <c r="E821" s="291"/>
      <c r="F821" s="739"/>
    </row>
    <row r="822" spans="1:6" thickBot="1">
      <c r="A822" s="310"/>
      <c r="B822" s="310"/>
      <c r="C822" s="291"/>
      <c r="D822" s="291"/>
      <c r="E822" s="291"/>
      <c r="F822" s="739"/>
    </row>
    <row r="823" spans="1:6" thickBot="1">
      <c r="A823" s="310"/>
      <c r="B823" s="310"/>
      <c r="C823" s="291"/>
      <c r="D823" s="291"/>
      <c r="E823" s="291"/>
      <c r="F823" s="739"/>
    </row>
    <row r="824" spans="1:6" thickBot="1">
      <c r="A824" s="310"/>
      <c r="B824" s="310"/>
      <c r="C824" s="291"/>
      <c r="D824" s="291"/>
      <c r="E824" s="291"/>
      <c r="F824" s="739"/>
    </row>
    <row r="825" spans="1:6" thickBot="1">
      <c r="A825" s="310"/>
      <c r="B825" s="310"/>
      <c r="C825" s="291"/>
      <c r="D825" s="291"/>
      <c r="E825" s="291"/>
      <c r="F825" s="739"/>
    </row>
    <row r="826" spans="1:6" thickBot="1">
      <c r="A826" s="310"/>
      <c r="B826" s="310"/>
      <c r="C826" s="291"/>
      <c r="D826" s="291"/>
      <c r="E826" s="291"/>
      <c r="F826" s="739"/>
    </row>
    <row r="827" spans="1:6" thickBot="1">
      <c r="A827" s="310"/>
      <c r="B827" s="310"/>
      <c r="C827" s="291"/>
      <c r="D827" s="291"/>
      <c r="E827" s="291"/>
      <c r="F827" s="739"/>
    </row>
    <row r="828" spans="1:6" thickBot="1">
      <c r="A828" s="310"/>
      <c r="B828" s="310"/>
      <c r="C828" s="291"/>
      <c r="D828" s="291"/>
      <c r="E828" s="291"/>
      <c r="F828" s="739"/>
    </row>
    <row r="829" spans="1:6" thickBot="1">
      <c r="A829" s="310"/>
      <c r="B829" s="310"/>
      <c r="C829" s="291"/>
      <c r="D829" s="291"/>
      <c r="E829" s="291"/>
      <c r="F829" s="739"/>
    </row>
    <row r="830" spans="1:6" thickBot="1">
      <c r="A830" s="310"/>
      <c r="B830" s="310"/>
      <c r="C830" s="291"/>
      <c r="D830" s="291"/>
      <c r="E830" s="291"/>
      <c r="F830" s="739"/>
    </row>
    <row r="831" spans="1:6" thickBot="1">
      <c r="A831" s="310"/>
      <c r="B831" s="310"/>
      <c r="C831" s="291"/>
      <c r="D831" s="291"/>
      <c r="E831" s="291"/>
      <c r="F831" s="739"/>
    </row>
    <row r="832" spans="1:6" thickBot="1">
      <c r="A832" s="310"/>
      <c r="B832" s="310"/>
      <c r="C832" s="291"/>
      <c r="D832" s="291"/>
      <c r="E832" s="291"/>
      <c r="F832" s="739"/>
    </row>
    <row r="833" spans="1:6" thickBot="1">
      <c r="A833" s="310"/>
      <c r="B833" s="310"/>
      <c r="C833" s="291"/>
      <c r="D833" s="291"/>
      <c r="E833" s="291"/>
      <c r="F833" s="739"/>
    </row>
    <row r="834" spans="1:6" thickBot="1">
      <c r="A834" s="310"/>
      <c r="B834" s="310"/>
      <c r="C834" s="291"/>
      <c r="D834" s="291"/>
      <c r="E834" s="291"/>
      <c r="F834" s="739"/>
    </row>
    <row r="835" spans="1:6" thickBot="1">
      <c r="A835" s="310"/>
      <c r="B835" s="310"/>
      <c r="C835" s="291"/>
      <c r="D835" s="291"/>
      <c r="E835" s="291"/>
      <c r="F835" s="739"/>
    </row>
    <row r="836" spans="1:6" thickBot="1">
      <c r="A836" s="310"/>
      <c r="B836" s="310"/>
      <c r="C836" s="291"/>
      <c r="D836" s="291"/>
      <c r="E836" s="291"/>
      <c r="F836" s="739"/>
    </row>
    <row r="837" spans="1:6" thickBot="1">
      <c r="A837" s="310"/>
      <c r="B837" s="310"/>
      <c r="C837" s="291"/>
      <c r="D837" s="291"/>
      <c r="E837" s="291"/>
      <c r="F837" s="739"/>
    </row>
    <row r="838" spans="1:6" thickBot="1">
      <c r="A838" s="310"/>
      <c r="B838" s="310"/>
      <c r="C838" s="291"/>
      <c r="D838" s="291"/>
      <c r="E838" s="291"/>
      <c r="F838" s="739"/>
    </row>
    <row r="839" spans="1:6" thickBot="1">
      <c r="A839" s="310"/>
      <c r="B839" s="310"/>
      <c r="C839" s="291"/>
      <c r="D839" s="291"/>
      <c r="E839" s="291"/>
      <c r="F839" s="739"/>
    </row>
    <row r="840" spans="1:6" thickBot="1">
      <c r="A840" s="310"/>
      <c r="B840" s="310"/>
      <c r="C840" s="291"/>
      <c r="D840" s="291"/>
      <c r="E840" s="291"/>
      <c r="F840" s="739"/>
    </row>
    <row r="841" spans="1:6" thickBot="1">
      <c r="A841" s="310"/>
      <c r="B841" s="310"/>
      <c r="C841" s="291"/>
      <c r="D841" s="291"/>
      <c r="E841" s="291"/>
      <c r="F841" s="739"/>
    </row>
    <row r="842" spans="1:6" thickBot="1">
      <c r="A842" s="310"/>
      <c r="B842" s="310"/>
      <c r="C842" s="291"/>
      <c r="D842" s="291"/>
      <c r="E842" s="291"/>
      <c r="F842" s="739"/>
    </row>
    <row r="843" spans="1:6" thickBot="1">
      <c r="A843" s="310"/>
      <c r="B843" s="310"/>
      <c r="C843" s="291"/>
      <c r="D843" s="291"/>
      <c r="E843" s="291"/>
      <c r="F843" s="739"/>
    </row>
    <row r="844" spans="1:6" thickBot="1">
      <c r="A844" s="310"/>
      <c r="B844" s="310"/>
      <c r="C844" s="291"/>
      <c r="D844" s="291"/>
      <c r="E844" s="291"/>
      <c r="F844" s="739"/>
    </row>
    <row r="845" spans="1:6" thickBot="1">
      <c r="A845" s="310"/>
      <c r="B845" s="310"/>
      <c r="C845" s="291"/>
      <c r="D845" s="291"/>
      <c r="E845" s="291"/>
      <c r="F845" s="739"/>
    </row>
    <row r="846" spans="1:6" thickBot="1">
      <c r="A846" s="310"/>
      <c r="B846" s="310"/>
      <c r="C846" s="291"/>
      <c r="D846" s="291"/>
      <c r="E846" s="291"/>
      <c r="F846" s="739"/>
    </row>
    <row r="847" spans="1:6" thickBot="1">
      <c r="A847" s="310"/>
      <c r="B847" s="310"/>
      <c r="C847" s="291"/>
      <c r="D847" s="291"/>
      <c r="E847" s="291"/>
      <c r="F847" s="739"/>
    </row>
    <row r="848" spans="1:6" thickBot="1">
      <c r="A848" s="310"/>
      <c r="B848" s="310"/>
      <c r="C848" s="291"/>
      <c r="D848" s="291"/>
      <c r="E848" s="291"/>
      <c r="F848" s="739"/>
    </row>
    <row r="849" spans="1:6" thickBot="1">
      <c r="A849" s="310"/>
      <c r="B849" s="310"/>
      <c r="C849" s="291"/>
      <c r="D849" s="291"/>
      <c r="E849" s="291"/>
      <c r="F849" s="739"/>
    </row>
    <row r="850" spans="1:6" thickBot="1">
      <c r="A850" s="310"/>
      <c r="B850" s="310"/>
      <c r="C850" s="291"/>
      <c r="D850" s="291"/>
      <c r="E850" s="291"/>
      <c r="F850" s="739"/>
    </row>
    <row r="851" spans="1:6" thickBot="1">
      <c r="A851" s="310"/>
      <c r="B851" s="310"/>
      <c r="C851" s="291"/>
      <c r="D851" s="291"/>
      <c r="E851" s="291"/>
      <c r="F851" s="739"/>
    </row>
    <row r="852" spans="1:6" thickBot="1">
      <c r="A852" s="310"/>
      <c r="B852" s="310"/>
      <c r="C852" s="291"/>
      <c r="D852" s="291"/>
      <c r="E852" s="291"/>
      <c r="F852" s="739"/>
    </row>
    <row r="853" spans="1:6" thickBot="1">
      <c r="A853" s="310"/>
      <c r="B853" s="310"/>
      <c r="C853" s="291"/>
      <c r="D853" s="291"/>
      <c r="E853" s="291"/>
      <c r="F853" s="739"/>
    </row>
    <row r="854" spans="1:6" thickBot="1">
      <c r="A854" s="310"/>
      <c r="B854" s="310"/>
      <c r="C854" s="291"/>
      <c r="D854" s="291"/>
      <c r="E854" s="291"/>
      <c r="F854" s="739"/>
    </row>
    <row r="855" spans="1:6" thickBot="1">
      <c r="A855" s="310"/>
      <c r="B855" s="310"/>
      <c r="C855" s="291"/>
      <c r="D855" s="291"/>
      <c r="E855" s="291"/>
      <c r="F855" s="739"/>
    </row>
    <row r="856" spans="1:6" thickBot="1">
      <c r="A856" s="310"/>
      <c r="B856" s="310"/>
      <c r="C856" s="291"/>
      <c r="D856" s="291"/>
      <c r="E856" s="291"/>
      <c r="F856" s="739"/>
    </row>
    <row r="857" spans="1:6" thickBot="1">
      <c r="A857" s="310"/>
      <c r="B857" s="310"/>
      <c r="C857" s="291"/>
      <c r="D857" s="291"/>
      <c r="E857" s="291"/>
      <c r="F857" s="739"/>
    </row>
    <row r="858" spans="1:6" thickBot="1">
      <c r="A858" s="310"/>
      <c r="B858" s="310"/>
      <c r="C858" s="291"/>
      <c r="D858" s="291"/>
      <c r="E858" s="291"/>
      <c r="F858" s="739"/>
    </row>
    <row r="859" spans="1:6" thickBot="1">
      <c r="A859" s="310"/>
      <c r="B859" s="310"/>
      <c r="C859" s="291"/>
      <c r="D859" s="291"/>
      <c r="E859" s="291"/>
      <c r="F859" s="739"/>
    </row>
    <row r="860" spans="1:6" thickBot="1">
      <c r="A860" s="310"/>
      <c r="B860" s="310"/>
      <c r="C860" s="291"/>
      <c r="D860" s="291"/>
      <c r="E860" s="291"/>
      <c r="F860" s="739"/>
    </row>
    <row r="861" spans="1:6" thickBot="1">
      <c r="A861" s="310"/>
      <c r="B861" s="310"/>
      <c r="C861" s="291"/>
      <c r="D861" s="291"/>
      <c r="E861" s="291"/>
      <c r="F861" s="739"/>
    </row>
    <row r="862" spans="1:6" thickBot="1">
      <c r="A862" s="310"/>
      <c r="B862" s="310"/>
      <c r="C862" s="291"/>
      <c r="D862" s="291"/>
      <c r="E862" s="291"/>
      <c r="F862" s="739"/>
    </row>
    <row r="863" spans="1:6" thickBot="1">
      <c r="A863" s="310"/>
      <c r="B863" s="310"/>
      <c r="C863" s="291"/>
      <c r="D863" s="291"/>
      <c r="E863" s="291"/>
      <c r="F863" s="739"/>
    </row>
    <row r="864" spans="1:6" thickBot="1">
      <c r="A864" s="310"/>
      <c r="B864" s="310"/>
      <c r="C864" s="291"/>
      <c r="D864" s="291"/>
      <c r="E864" s="291"/>
      <c r="F864" s="739"/>
    </row>
    <row r="865" spans="1:6" thickBot="1">
      <c r="A865" s="310"/>
      <c r="B865" s="310"/>
      <c r="C865" s="291"/>
      <c r="D865" s="291"/>
      <c r="E865" s="291"/>
      <c r="F865" s="739"/>
    </row>
    <row r="866" spans="1:6" thickBot="1">
      <c r="A866" s="310"/>
      <c r="B866" s="310"/>
      <c r="C866" s="291"/>
      <c r="D866" s="291"/>
      <c r="E866" s="291"/>
      <c r="F866" s="739"/>
    </row>
    <row r="867" spans="1:6" thickBot="1">
      <c r="A867" s="310"/>
      <c r="B867" s="310"/>
      <c r="C867" s="291"/>
      <c r="D867" s="291"/>
      <c r="E867" s="291"/>
      <c r="F867" s="739"/>
    </row>
    <row r="868" spans="1:6" thickBot="1">
      <c r="A868" s="310"/>
      <c r="B868" s="310"/>
      <c r="C868" s="291"/>
      <c r="D868" s="291"/>
      <c r="E868" s="291"/>
      <c r="F868" s="739"/>
    </row>
    <row r="869" spans="1:6" thickBot="1">
      <c r="A869" s="310"/>
      <c r="B869" s="310"/>
      <c r="C869" s="291"/>
      <c r="D869" s="291"/>
      <c r="E869" s="291"/>
      <c r="F869" s="739"/>
    </row>
    <row r="870" spans="1:6" thickBot="1">
      <c r="A870" s="310"/>
      <c r="B870" s="310"/>
      <c r="C870" s="291"/>
      <c r="D870" s="291"/>
      <c r="E870" s="291"/>
      <c r="F870" s="739"/>
    </row>
    <row r="871" spans="1:6" thickBot="1">
      <c r="A871" s="310"/>
      <c r="B871" s="310"/>
      <c r="C871" s="291"/>
      <c r="D871" s="291"/>
      <c r="E871" s="291"/>
      <c r="F871" s="739"/>
    </row>
    <row r="872" spans="1:6" thickBot="1">
      <c r="A872" s="310"/>
      <c r="B872" s="310"/>
      <c r="C872" s="291"/>
      <c r="D872" s="291"/>
      <c r="E872" s="291"/>
      <c r="F872" s="739"/>
    </row>
    <row r="873" spans="1:6" thickBot="1">
      <c r="A873" s="310"/>
      <c r="B873" s="310"/>
      <c r="C873" s="291"/>
      <c r="D873" s="291"/>
      <c r="E873" s="291"/>
      <c r="F873" s="739"/>
    </row>
    <row r="874" spans="1:6" thickBot="1">
      <c r="A874" s="310"/>
      <c r="B874" s="310"/>
      <c r="C874" s="291"/>
      <c r="D874" s="291"/>
      <c r="E874" s="291"/>
      <c r="F874" s="739"/>
    </row>
    <row r="875" spans="1:6" thickBot="1">
      <c r="A875" s="310"/>
      <c r="B875" s="310"/>
      <c r="C875" s="291"/>
      <c r="D875" s="291"/>
      <c r="E875" s="291"/>
      <c r="F875" s="739"/>
    </row>
    <row r="876" spans="1:6" thickBot="1">
      <c r="A876" s="310"/>
      <c r="B876" s="310"/>
      <c r="C876" s="291"/>
      <c r="D876" s="291"/>
      <c r="E876" s="291"/>
      <c r="F876" s="739"/>
    </row>
    <row r="877" spans="1:6" thickBot="1">
      <c r="A877" s="310"/>
      <c r="B877" s="310"/>
      <c r="C877" s="291"/>
      <c r="D877" s="291"/>
      <c r="E877" s="291"/>
      <c r="F877" s="739"/>
    </row>
    <row r="878" spans="1:6" thickBot="1">
      <c r="A878" s="310"/>
      <c r="B878" s="310"/>
      <c r="C878" s="291"/>
      <c r="D878" s="291"/>
      <c r="E878" s="291"/>
      <c r="F878" s="739"/>
    </row>
    <row r="879" spans="1:6" thickBot="1">
      <c r="A879" s="310"/>
      <c r="B879" s="310"/>
      <c r="C879" s="291"/>
      <c r="D879" s="291"/>
      <c r="E879" s="291"/>
      <c r="F879" s="739"/>
    </row>
    <row r="880" spans="1:6" thickBot="1">
      <c r="A880" s="310"/>
      <c r="B880" s="310"/>
      <c r="C880" s="291"/>
      <c r="D880" s="291"/>
      <c r="E880" s="291"/>
      <c r="F880" s="739"/>
    </row>
    <row r="881" spans="1:6" thickBot="1">
      <c r="A881" s="310"/>
      <c r="B881" s="310"/>
      <c r="C881" s="291"/>
      <c r="D881" s="291"/>
      <c r="E881" s="291"/>
      <c r="F881" s="739"/>
    </row>
    <row r="882" spans="1:6" thickBot="1">
      <c r="A882" s="310"/>
      <c r="B882" s="310"/>
      <c r="C882" s="291"/>
      <c r="D882" s="291"/>
      <c r="E882" s="291"/>
      <c r="F882" s="739"/>
    </row>
    <row r="883" spans="1:6" thickBot="1">
      <c r="A883" s="310"/>
      <c r="B883" s="310"/>
      <c r="C883" s="291"/>
      <c r="D883" s="291"/>
      <c r="E883" s="291"/>
      <c r="F883" s="739"/>
    </row>
    <row r="884" spans="1:6" thickBot="1">
      <c r="A884" s="310"/>
      <c r="B884" s="310"/>
      <c r="C884" s="291"/>
      <c r="D884" s="291"/>
      <c r="E884" s="291"/>
      <c r="F884" s="739"/>
    </row>
    <row r="885" spans="1:6" thickBot="1">
      <c r="A885" s="310"/>
      <c r="B885" s="310"/>
      <c r="C885" s="291"/>
      <c r="D885" s="291"/>
      <c r="E885" s="291"/>
      <c r="F885" s="739"/>
    </row>
    <row r="886" spans="1:6" thickBot="1">
      <c r="A886" s="310"/>
      <c r="B886" s="310"/>
      <c r="C886" s="291"/>
      <c r="D886" s="291"/>
      <c r="E886" s="291"/>
      <c r="F886" s="739"/>
    </row>
    <row r="887" spans="1:6" thickBot="1">
      <c r="A887" s="310"/>
      <c r="B887" s="310"/>
      <c r="C887" s="291"/>
      <c r="D887" s="291"/>
      <c r="E887" s="291"/>
      <c r="F887" s="739"/>
    </row>
    <row r="888" spans="1:6" thickBot="1">
      <c r="A888" s="310"/>
      <c r="B888" s="310"/>
      <c r="C888" s="291"/>
      <c r="D888" s="291"/>
      <c r="E888" s="291"/>
      <c r="F888" s="739"/>
    </row>
    <row r="889" spans="1:6" thickBot="1">
      <c r="A889" s="310"/>
      <c r="B889" s="310"/>
      <c r="C889" s="291"/>
      <c r="D889" s="291"/>
      <c r="E889" s="291"/>
      <c r="F889" s="739"/>
    </row>
    <row r="890" spans="1:6" thickBot="1">
      <c r="A890" s="310"/>
      <c r="B890" s="310"/>
      <c r="C890" s="291"/>
      <c r="D890" s="291"/>
      <c r="E890" s="291"/>
      <c r="F890" s="739"/>
    </row>
    <row r="891" spans="1:6" thickBot="1">
      <c r="A891" s="310"/>
      <c r="B891" s="310"/>
      <c r="C891" s="291"/>
      <c r="D891" s="291"/>
      <c r="E891" s="291"/>
      <c r="F891" s="739"/>
    </row>
    <row r="892" spans="1:6" thickBot="1">
      <c r="A892" s="310"/>
      <c r="B892" s="310"/>
      <c r="C892" s="291"/>
      <c r="D892" s="291"/>
      <c r="E892" s="291"/>
      <c r="F892" s="739"/>
    </row>
    <row r="893" spans="1:6" thickBot="1">
      <c r="A893" s="310"/>
      <c r="B893" s="310"/>
      <c r="C893" s="291"/>
      <c r="D893" s="291"/>
      <c r="E893" s="291"/>
      <c r="F893" s="739"/>
    </row>
    <row r="894" spans="1:6" thickBot="1">
      <c r="A894" s="310"/>
      <c r="B894" s="310"/>
      <c r="C894" s="291"/>
      <c r="D894" s="291"/>
      <c r="E894" s="291"/>
      <c r="F894" s="739"/>
    </row>
    <row r="895" spans="1:6" thickBot="1">
      <c r="A895" s="310"/>
      <c r="B895" s="310"/>
      <c r="C895" s="291"/>
      <c r="D895" s="291"/>
      <c r="E895" s="291"/>
      <c r="F895" s="739"/>
    </row>
    <row r="896" spans="1:6" thickBot="1">
      <c r="A896" s="310"/>
      <c r="B896" s="310"/>
      <c r="C896" s="291"/>
      <c r="D896" s="291"/>
      <c r="E896" s="291"/>
      <c r="F896" s="739"/>
    </row>
    <row r="897" spans="1:6" thickBot="1">
      <c r="A897" s="310"/>
      <c r="B897" s="310"/>
      <c r="C897" s="291"/>
      <c r="D897" s="291"/>
      <c r="E897" s="291"/>
      <c r="F897" s="739"/>
    </row>
    <row r="898" spans="1:6" thickBot="1">
      <c r="A898" s="310"/>
      <c r="B898" s="310"/>
      <c r="C898" s="291"/>
      <c r="D898" s="291"/>
      <c r="E898" s="291"/>
      <c r="F898" s="739"/>
    </row>
    <row r="899" spans="1:6" thickBot="1">
      <c r="A899" s="310"/>
      <c r="B899" s="310"/>
      <c r="C899" s="291"/>
      <c r="D899" s="291"/>
      <c r="E899" s="291"/>
      <c r="F899" s="739"/>
    </row>
    <row r="900" spans="1:6" thickBot="1">
      <c r="A900" s="310"/>
      <c r="B900" s="310"/>
      <c r="C900" s="291"/>
      <c r="D900" s="291"/>
      <c r="E900" s="291"/>
      <c r="F900" s="739"/>
    </row>
    <row r="901" spans="1:6" thickBot="1">
      <c r="A901" s="310"/>
      <c r="B901" s="310"/>
      <c r="C901" s="291"/>
      <c r="D901" s="291"/>
      <c r="E901" s="291"/>
      <c r="F901" s="739"/>
    </row>
    <row r="902" spans="1:6" thickBot="1">
      <c r="A902" s="310"/>
      <c r="B902" s="310"/>
      <c r="C902" s="291"/>
      <c r="D902" s="291"/>
      <c r="E902" s="291"/>
      <c r="F902" s="739"/>
    </row>
    <row r="903" spans="1:6" thickBot="1">
      <c r="A903" s="310"/>
      <c r="B903" s="310"/>
      <c r="C903" s="291"/>
      <c r="D903" s="291"/>
      <c r="E903" s="291"/>
      <c r="F903" s="739"/>
    </row>
    <row r="904" spans="1:6" thickBot="1">
      <c r="A904" s="310"/>
      <c r="B904" s="310"/>
      <c r="C904" s="291"/>
      <c r="D904" s="291"/>
      <c r="E904" s="291"/>
      <c r="F904" s="739"/>
    </row>
    <row r="905" spans="1:6" thickBot="1">
      <c r="A905" s="310"/>
      <c r="B905" s="310"/>
      <c r="C905" s="291"/>
      <c r="D905" s="291"/>
      <c r="E905" s="291"/>
      <c r="F905" s="739"/>
    </row>
    <row r="906" spans="1:6" thickBot="1">
      <c r="A906" s="310"/>
      <c r="B906" s="310"/>
      <c r="C906" s="291"/>
      <c r="D906" s="291"/>
      <c r="E906" s="291"/>
      <c r="F906" s="739"/>
    </row>
    <row r="907" spans="1:6" thickBot="1">
      <c r="A907" s="310"/>
      <c r="B907" s="310"/>
      <c r="C907" s="291"/>
      <c r="D907" s="291"/>
      <c r="E907" s="291"/>
      <c r="F907" s="739"/>
    </row>
    <row r="908" spans="1:6" thickBot="1">
      <c r="A908" s="310"/>
      <c r="B908" s="310"/>
      <c r="C908" s="291"/>
      <c r="D908" s="291"/>
      <c r="E908" s="291"/>
      <c r="F908" s="739"/>
    </row>
    <row r="909" spans="1:6" thickBot="1">
      <c r="A909" s="310"/>
      <c r="B909" s="310"/>
      <c r="C909" s="291"/>
      <c r="D909" s="291"/>
      <c r="E909" s="291"/>
      <c r="F909" s="739"/>
    </row>
    <row r="910" spans="1:6" thickBot="1">
      <c r="A910" s="310"/>
      <c r="B910" s="310"/>
      <c r="C910" s="291"/>
      <c r="D910" s="291"/>
      <c r="E910" s="291"/>
      <c r="F910" s="739"/>
    </row>
    <row r="911" spans="1:6" thickBot="1">
      <c r="A911" s="310"/>
      <c r="B911" s="310"/>
      <c r="C911" s="291"/>
      <c r="D911" s="291"/>
      <c r="E911" s="291"/>
      <c r="F911" s="739"/>
    </row>
    <row r="912" spans="1:6" thickBot="1">
      <c r="A912" s="310"/>
      <c r="B912" s="310"/>
      <c r="C912" s="291"/>
      <c r="D912" s="291"/>
      <c r="E912" s="291"/>
      <c r="F912" s="739"/>
    </row>
    <row r="913" spans="1:6" thickBot="1">
      <c r="A913" s="310"/>
      <c r="B913" s="310"/>
      <c r="C913" s="291"/>
      <c r="D913" s="291"/>
      <c r="E913" s="291"/>
      <c r="F913" s="739"/>
    </row>
    <row r="914" spans="1:6" thickBot="1">
      <c r="A914" s="310"/>
      <c r="B914" s="310"/>
      <c r="C914" s="291"/>
      <c r="D914" s="291"/>
      <c r="E914" s="291"/>
      <c r="F914" s="739"/>
    </row>
    <row r="915" spans="1:6" thickBot="1">
      <c r="A915" s="310"/>
      <c r="B915" s="310"/>
      <c r="C915" s="291"/>
      <c r="D915" s="291"/>
      <c r="E915" s="291"/>
      <c r="F915" s="739"/>
    </row>
    <row r="916" spans="1:6" thickBot="1">
      <c r="A916" s="310"/>
      <c r="B916" s="310"/>
      <c r="C916" s="291"/>
      <c r="D916" s="291"/>
      <c r="E916" s="291"/>
      <c r="F916" s="739"/>
    </row>
    <row r="917" spans="1:6" thickBot="1">
      <c r="A917" s="310"/>
      <c r="B917" s="310"/>
      <c r="C917" s="291"/>
      <c r="D917" s="291"/>
      <c r="E917" s="291"/>
      <c r="F917" s="739"/>
    </row>
    <row r="918" spans="1:6" thickBot="1">
      <c r="A918" s="310"/>
      <c r="B918" s="310"/>
      <c r="C918" s="291"/>
      <c r="D918" s="291"/>
      <c r="E918" s="291"/>
      <c r="F918" s="739"/>
    </row>
    <row r="919" spans="1:6" thickBot="1">
      <c r="A919" s="310"/>
      <c r="B919" s="310"/>
      <c r="C919" s="291"/>
      <c r="D919" s="291"/>
      <c r="E919" s="291"/>
      <c r="F919" s="739"/>
    </row>
    <row r="920" spans="1:6" thickBot="1">
      <c r="A920" s="310"/>
      <c r="B920" s="310"/>
      <c r="C920" s="291"/>
      <c r="D920" s="291"/>
      <c r="E920" s="291"/>
      <c r="F920" s="739"/>
    </row>
    <row r="921" spans="1:6" thickBot="1">
      <c r="A921" s="310"/>
      <c r="B921" s="310"/>
      <c r="C921" s="291"/>
      <c r="D921" s="291"/>
      <c r="E921" s="291"/>
      <c r="F921" s="739"/>
    </row>
    <row r="922" spans="1:6" thickBot="1">
      <c r="A922" s="310"/>
      <c r="B922" s="310"/>
      <c r="C922" s="291"/>
      <c r="D922" s="291"/>
      <c r="E922" s="291"/>
      <c r="F922" s="739"/>
    </row>
    <row r="923" spans="1:6" thickBot="1">
      <c r="A923" s="310"/>
      <c r="B923" s="310"/>
      <c r="C923" s="291"/>
      <c r="D923" s="291"/>
      <c r="E923" s="291"/>
      <c r="F923" s="739"/>
    </row>
    <row r="924" spans="1:6" thickBot="1">
      <c r="A924" s="310"/>
      <c r="B924" s="310"/>
      <c r="C924" s="291"/>
      <c r="D924" s="291"/>
      <c r="E924" s="291"/>
      <c r="F924" s="739"/>
    </row>
    <row r="925" spans="1:6" thickBot="1">
      <c r="A925" s="310"/>
      <c r="B925" s="310"/>
      <c r="C925" s="291"/>
      <c r="D925" s="291"/>
      <c r="E925" s="291"/>
      <c r="F925" s="739"/>
    </row>
    <row r="926" spans="1:6" thickBot="1">
      <c r="A926" s="310"/>
      <c r="B926" s="310"/>
      <c r="C926" s="291"/>
      <c r="D926" s="291"/>
      <c r="E926" s="291"/>
      <c r="F926" s="739"/>
    </row>
    <row r="927" spans="1:6" thickBot="1">
      <c r="A927" s="310"/>
      <c r="B927" s="310"/>
      <c r="C927" s="291"/>
      <c r="D927" s="291"/>
      <c r="E927" s="291"/>
      <c r="F927" s="739"/>
    </row>
    <row r="928" spans="1:6" thickBot="1">
      <c r="A928" s="310"/>
      <c r="B928" s="310"/>
      <c r="C928" s="291"/>
      <c r="D928" s="291"/>
      <c r="E928" s="291"/>
      <c r="F928" s="739"/>
    </row>
    <row r="929" spans="1:6" thickBot="1">
      <c r="A929" s="310"/>
      <c r="B929" s="310"/>
      <c r="C929" s="291"/>
      <c r="D929" s="291"/>
      <c r="E929" s="291"/>
      <c r="F929" s="739"/>
    </row>
    <row r="930" spans="1:6" thickBot="1">
      <c r="A930" s="310"/>
      <c r="B930" s="310"/>
      <c r="C930" s="291"/>
      <c r="D930" s="291"/>
      <c r="E930" s="291"/>
      <c r="F930" s="739"/>
    </row>
    <row r="931" spans="1:6" thickBot="1">
      <c r="A931" s="310"/>
      <c r="B931" s="310"/>
      <c r="C931" s="291"/>
      <c r="D931" s="291"/>
      <c r="E931" s="291"/>
      <c r="F931" s="739"/>
    </row>
    <row r="932" spans="1:6" thickBot="1">
      <c r="A932" s="310"/>
      <c r="B932" s="310"/>
      <c r="C932" s="291"/>
      <c r="D932" s="291"/>
      <c r="E932" s="291"/>
      <c r="F932" s="739"/>
    </row>
    <row r="933" spans="1:6" thickBot="1">
      <c r="A933" s="310"/>
      <c r="B933" s="310"/>
      <c r="C933" s="291"/>
      <c r="D933" s="291"/>
      <c r="E933" s="291"/>
      <c r="F933" s="739"/>
    </row>
    <row r="934" spans="1:6" thickBot="1">
      <c r="A934" s="310"/>
      <c r="B934" s="310"/>
      <c r="C934" s="291"/>
      <c r="D934" s="291"/>
      <c r="E934" s="291"/>
      <c r="F934" s="739"/>
    </row>
    <row r="935" spans="1:6" thickBot="1">
      <c r="A935" s="310"/>
      <c r="B935" s="310"/>
      <c r="C935" s="291"/>
      <c r="D935" s="291"/>
      <c r="E935" s="291"/>
      <c r="F935" s="739"/>
    </row>
    <row r="936" spans="1:6" thickBot="1">
      <c r="A936" s="310"/>
      <c r="B936" s="310"/>
      <c r="C936" s="291"/>
      <c r="D936" s="291"/>
      <c r="E936" s="291"/>
      <c r="F936" s="739"/>
    </row>
    <row r="937" spans="1:6" thickBot="1">
      <c r="A937" s="310"/>
      <c r="B937" s="310"/>
      <c r="C937" s="291"/>
      <c r="D937" s="291"/>
      <c r="E937" s="291"/>
      <c r="F937" s="739"/>
    </row>
    <row r="938" spans="1:6" thickBot="1">
      <c r="A938" s="310"/>
      <c r="B938" s="310"/>
      <c r="C938" s="291"/>
      <c r="D938" s="291"/>
      <c r="E938" s="291"/>
      <c r="F938" s="739"/>
    </row>
    <row r="939" spans="1:6" thickBot="1">
      <c r="A939" s="310"/>
      <c r="B939" s="310"/>
      <c r="C939" s="291"/>
      <c r="D939" s="291"/>
      <c r="E939" s="291"/>
      <c r="F939" s="739"/>
    </row>
    <row r="940" spans="1:6" thickBot="1">
      <c r="A940" s="310"/>
      <c r="B940" s="310"/>
      <c r="C940" s="291"/>
      <c r="D940" s="291"/>
      <c r="E940" s="291"/>
      <c r="F940" s="739"/>
    </row>
    <row r="941" spans="1:6" thickBot="1">
      <c r="A941" s="310"/>
      <c r="B941" s="310"/>
      <c r="C941" s="291"/>
      <c r="D941" s="291"/>
      <c r="E941" s="291"/>
      <c r="F941" s="739"/>
    </row>
    <row r="942" spans="1:6" thickBot="1">
      <c r="A942" s="310"/>
      <c r="B942" s="310"/>
      <c r="C942" s="291"/>
      <c r="D942" s="291"/>
      <c r="E942" s="291"/>
      <c r="F942" s="739"/>
    </row>
    <row r="943" spans="1:6" thickBot="1">
      <c r="A943" s="310"/>
      <c r="B943" s="310"/>
      <c r="C943" s="291"/>
      <c r="D943" s="291"/>
      <c r="E943" s="291"/>
      <c r="F943" s="739"/>
    </row>
    <row r="944" spans="1:6" thickBot="1">
      <c r="A944" s="310"/>
      <c r="B944" s="310"/>
      <c r="C944" s="291"/>
      <c r="D944" s="291"/>
      <c r="E944" s="291"/>
      <c r="F944" s="739"/>
    </row>
    <row r="945" spans="1:6" thickBot="1">
      <c r="A945" s="310"/>
      <c r="B945" s="310"/>
      <c r="C945" s="291"/>
      <c r="D945" s="291"/>
      <c r="E945" s="291"/>
      <c r="F945" s="739"/>
    </row>
    <row r="946" spans="1:6" thickBot="1">
      <c r="A946" s="310"/>
      <c r="B946" s="310"/>
      <c r="C946" s="291"/>
      <c r="D946" s="291"/>
      <c r="E946" s="291"/>
      <c r="F946" s="739"/>
    </row>
    <row r="947" spans="1:6" thickBot="1">
      <c r="A947" s="310"/>
      <c r="B947" s="310"/>
      <c r="C947" s="291"/>
      <c r="D947" s="291"/>
      <c r="E947" s="291"/>
      <c r="F947" s="739"/>
    </row>
    <row r="948" spans="1:6" thickBot="1">
      <c r="A948" s="310"/>
      <c r="B948" s="310"/>
      <c r="C948" s="291"/>
      <c r="D948" s="291"/>
      <c r="E948" s="291"/>
      <c r="F948" s="739"/>
    </row>
    <row r="949" spans="1:6" thickBot="1">
      <c r="A949" s="310"/>
      <c r="B949" s="310"/>
      <c r="C949" s="291"/>
      <c r="D949" s="291"/>
      <c r="E949" s="291"/>
      <c r="F949" s="739"/>
    </row>
    <row r="950" spans="1:6" thickBot="1">
      <c r="A950" s="310"/>
      <c r="B950" s="310"/>
      <c r="C950" s="291"/>
      <c r="D950" s="291"/>
      <c r="E950" s="291"/>
      <c r="F950" s="739"/>
    </row>
    <row r="951" spans="1:6" thickBot="1">
      <c r="A951" s="310"/>
      <c r="B951" s="310"/>
      <c r="C951" s="291"/>
      <c r="D951" s="291"/>
      <c r="E951" s="291"/>
      <c r="F951" s="739"/>
    </row>
    <row r="952" spans="1:6" thickBot="1">
      <c r="A952" s="310"/>
      <c r="B952" s="310"/>
      <c r="C952" s="291"/>
      <c r="D952" s="291"/>
      <c r="E952" s="291"/>
      <c r="F952" s="739"/>
    </row>
    <row r="953" spans="1:6" thickBot="1">
      <c r="A953" s="310"/>
      <c r="B953" s="310"/>
      <c r="C953" s="291"/>
      <c r="D953" s="291"/>
      <c r="E953" s="291"/>
      <c r="F953" s="739"/>
    </row>
    <row r="954" spans="1:6" thickBot="1">
      <c r="A954" s="310"/>
      <c r="B954" s="310"/>
      <c r="C954" s="291"/>
      <c r="D954" s="291"/>
      <c r="E954" s="291"/>
      <c r="F954" s="739"/>
    </row>
    <row r="955" spans="1:6" thickBot="1">
      <c r="A955" s="310"/>
      <c r="B955" s="310"/>
      <c r="C955" s="291"/>
      <c r="D955" s="291"/>
      <c r="E955" s="291"/>
      <c r="F955" s="739"/>
    </row>
    <row r="956" spans="1:6" thickBot="1">
      <c r="A956" s="310"/>
      <c r="B956" s="310"/>
      <c r="C956" s="291"/>
      <c r="D956" s="291"/>
      <c r="E956" s="291"/>
      <c r="F956" s="739"/>
    </row>
    <row r="957" spans="1:6" thickBot="1">
      <c r="A957" s="310"/>
      <c r="B957" s="310"/>
      <c r="C957" s="291"/>
      <c r="D957" s="291"/>
      <c r="E957" s="291"/>
      <c r="F957" s="739"/>
    </row>
    <row r="958" spans="1:6" thickBot="1">
      <c r="A958" s="310"/>
      <c r="B958" s="310"/>
      <c r="C958" s="291"/>
      <c r="D958" s="291"/>
      <c r="E958" s="291"/>
      <c r="F958" s="739"/>
    </row>
    <row r="959" spans="1:6" thickBot="1">
      <c r="A959" s="310"/>
      <c r="B959" s="310"/>
      <c r="C959" s="291"/>
      <c r="D959" s="291"/>
      <c r="E959" s="291"/>
      <c r="F959" s="739"/>
    </row>
    <row r="960" spans="1:6" thickBot="1">
      <c r="A960" s="310"/>
      <c r="B960" s="310"/>
      <c r="C960" s="291"/>
      <c r="D960" s="291"/>
      <c r="E960" s="291"/>
      <c r="F960" s="739"/>
    </row>
    <row r="961" spans="1:6" thickBot="1">
      <c r="A961" s="310"/>
      <c r="B961" s="310"/>
      <c r="C961" s="291"/>
      <c r="D961" s="291"/>
      <c r="E961" s="291"/>
      <c r="F961" s="739"/>
    </row>
    <row r="962" spans="1:6" thickBot="1">
      <c r="A962" s="310"/>
      <c r="B962" s="310"/>
      <c r="C962" s="291"/>
      <c r="D962" s="291"/>
      <c r="E962" s="291"/>
      <c r="F962" s="739"/>
    </row>
    <row r="963" spans="1:6" thickBot="1">
      <c r="A963" s="310"/>
      <c r="B963" s="310"/>
      <c r="C963" s="291"/>
      <c r="D963" s="291"/>
      <c r="E963" s="291"/>
      <c r="F963" s="739"/>
    </row>
    <row r="964" spans="1:6" thickBot="1">
      <c r="A964" s="310"/>
      <c r="B964" s="310"/>
      <c r="C964" s="291"/>
      <c r="D964" s="291"/>
      <c r="E964" s="291"/>
      <c r="F964" s="739"/>
    </row>
    <row r="965" spans="1:6" thickBot="1">
      <c r="A965" s="310"/>
      <c r="B965" s="310"/>
      <c r="C965" s="291"/>
      <c r="D965" s="291"/>
      <c r="E965" s="291"/>
      <c r="F965" s="739"/>
    </row>
    <row r="966" spans="1:6" thickBot="1">
      <c r="A966" s="310"/>
      <c r="B966" s="310"/>
      <c r="C966" s="291"/>
      <c r="D966" s="291"/>
      <c r="E966" s="291"/>
      <c r="F966" s="739"/>
    </row>
    <row r="967" spans="1:6" ht="15"/>
    <row r="968" spans="1:6" ht="15"/>
    <row r="969" spans="1:6" ht="15"/>
    <row r="970" spans="1:6" ht="15"/>
  </sheetData>
  <mergeCells count="9">
    <mergeCell ref="A158:B158"/>
    <mergeCell ref="A169:B169"/>
    <mergeCell ref="A38:B38"/>
    <mergeCell ref="A39:B39"/>
    <mergeCell ref="A3:F3"/>
    <mergeCell ref="A34:B34"/>
    <mergeCell ref="A95:B95"/>
    <mergeCell ref="A99:B99"/>
    <mergeCell ref="A102:B102"/>
  </mergeCells>
  <pageMargins left="0.7" right="0.7" top="0.75" bottom="0.75" header="0.3" footer="0.3"/>
  <pageSetup paperSize="9" scale="45" orientation="portrait" horizontalDpi="300" verticalDpi="300" r:id="rId1"/>
  <rowBreaks count="3" manualBreakCount="3">
    <brk id="57" max="5" man="1"/>
    <brk id="97" max="5" man="1"/>
    <brk id="17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U610"/>
  <sheetViews>
    <sheetView tabSelected="1" view="pageBreakPreview" topLeftCell="A58" zoomScale="82" zoomScaleSheetLayoutView="82" workbookViewId="0">
      <selection sqref="A1:A1048576"/>
    </sheetView>
  </sheetViews>
  <sheetFormatPr defaultRowHeight="19.5" thickBottom="1"/>
  <cols>
    <col min="1" max="1" width="100.5703125" style="333" customWidth="1"/>
    <col min="2" max="2" width="18.28515625" style="333" customWidth="1"/>
    <col min="3" max="5" width="21.42578125" style="334" customWidth="1"/>
    <col min="6" max="6" width="21.42578125" style="737" customWidth="1"/>
    <col min="7" max="7" width="12.42578125" style="319" bestFit="1" customWidth="1"/>
    <col min="8" max="9" width="14.28515625" style="319" bestFit="1" customWidth="1"/>
    <col min="10" max="41" width="9.140625" style="319"/>
    <col min="42" max="42" width="9.140625" style="330"/>
    <col min="43" max="16384" width="9.140625" style="331"/>
  </cols>
  <sheetData>
    <row r="1" spans="1:41" s="318" customFormat="1" ht="18.75">
      <c r="A1" s="287" t="s">
        <v>975</v>
      </c>
      <c r="B1" s="316"/>
      <c r="C1" s="317"/>
      <c r="D1" s="317"/>
      <c r="E1" s="317"/>
      <c r="F1" s="724"/>
    </row>
    <row r="2" spans="1:41" s="319" customFormat="1" ht="18.75">
      <c r="A2" s="316"/>
      <c r="B2" s="316"/>
      <c r="C2" s="317"/>
      <c r="D2" s="317"/>
      <c r="E2" s="317"/>
      <c r="F2" s="724"/>
    </row>
    <row r="3" spans="1:41" s="319" customFormat="1" ht="41.25" customHeight="1">
      <c r="A3" s="890" t="s">
        <v>856</v>
      </c>
      <c r="B3" s="890"/>
      <c r="C3" s="890"/>
      <c r="D3" s="890"/>
      <c r="E3" s="890"/>
      <c r="F3" s="890"/>
    </row>
    <row r="4" spans="1:41" s="319" customFormat="1" ht="20.25" customHeight="1">
      <c r="C4" s="317"/>
      <c r="D4" s="317"/>
      <c r="E4" s="317"/>
      <c r="F4" s="724"/>
    </row>
    <row r="5" spans="1:41" s="320" customFormat="1" thickBot="1">
      <c r="A5" s="319"/>
      <c r="B5" s="319"/>
      <c r="C5" s="319"/>
      <c r="D5" s="623"/>
      <c r="E5" s="623"/>
      <c r="F5" s="726" t="s">
        <v>7</v>
      </c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</row>
    <row r="6" spans="1:41" s="295" customFormat="1" ht="66.75" customHeight="1" thickBot="1">
      <c r="A6" s="672" t="s">
        <v>463</v>
      </c>
      <c r="B6" s="673"/>
      <c r="C6" s="674" t="s">
        <v>350</v>
      </c>
      <c r="D6" s="674" t="s">
        <v>351</v>
      </c>
      <c r="E6" s="674" t="s">
        <v>288</v>
      </c>
      <c r="F6" s="727" t="s">
        <v>289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4"/>
    </row>
    <row r="7" spans="1:41" s="295" customFormat="1" ht="33" customHeight="1" thickBot="1">
      <c r="A7" s="675" t="s">
        <v>537</v>
      </c>
      <c r="B7" s="676"/>
      <c r="C7" s="677"/>
      <c r="D7" s="678"/>
      <c r="E7" s="678"/>
      <c r="F7" s="728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4"/>
    </row>
    <row r="8" spans="1:41" s="428" customFormat="1" ht="22.5" customHeight="1" thickBot="1">
      <c r="A8" s="626" t="s">
        <v>473</v>
      </c>
      <c r="B8" s="451"/>
      <c r="C8" s="452">
        <v>120000</v>
      </c>
      <c r="D8" s="452">
        <f>SUM(B10)</f>
        <v>161000</v>
      </c>
      <c r="E8" s="452">
        <v>161000</v>
      </c>
      <c r="F8" s="336">
        <f>SUM(E8/D8)</f>
        <v>1</v>
      </c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7"/>
    </row>
    <row r="9" spans="1:41" s="428" customFormat="1" ht="22.5" customHeight="1" thickBot="1">
      <c r="A9" s="453" t="s">
        <v>433</v>
      </c>
      <c r="B9" s="451"/>
      <c r="C9" s="452"/>
      <c r="D9" s="452"/>
      <c r="E9" s="452"/>
      <c r="F9" s="33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7"/>
    </row>
    <row r="10" spans="1:41" s="428" customFormat="1" ht="30.75" customHeight="1" thickBot="1">
      <c r="A10" s="453" t="s">
        <v>474</v>
      </c>
      <c r="B10" s="451">
        <f>120000+41000</f>
        <v>161000</v>
      </c>
      <c r="C10" s="452"/>
      <c r="D10" s="452"/>
      <c r="E10" s="452"/>
      <c r="F10" s="33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7"/>
    </row>
    <row r="11" spans="1:41" s="428" customFormat="1" ht="25.5" customHeight="1" thickBot="1">
      <c r="A11" s="626" t="s">
        <v>484</v>
      </c>
      <c r="B11" s="451"/>
      <c r="C11" s="452">
        <v>17671000</v>
      </c>
      <c r="D11" s="452">
        <v>17671000</v>
      </c>
      <c r="E11" s="452">
        <v>18233463</v>
      </c>
      <c r="F11" s="336">
        <f>SUM(E11/D11)</f>
        <v>1.0318297210118272</v>
      </c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7"/>
    </row>
    <row r="12" spans="1:41" s="428" customFormat="1" ht="25.5" customHeight="1" thickBot="1">
      <c r="A12" s="453" t="s">
        <v>485</v>
      </c>
      <c r="B12" s="451">
        <v>17671000</v>
      </c>
      <c r="C12" s="452"/>
      <c r="D12" s="452"/>
      <c r="E12" s="452"/>
      <c r="F12" s="33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7"/>
    </row>
    <row r="13" spans="1:41" s="428" customFormat="1" ht="51" customHeight="1" thickBot="1">
      <c r="A13" s="626" t="s">
        <v>507</v>
      </c>
      <c r="B13" s="454"/>
      <c r="C13" s="452">
        <v>2083000</v>
      </c>
      <c r="D13" s="452">
        <v>2083000</v>
      </c>
      <c r="E13" s="452">
        <f>391186+156947</f>
        <v>548133</v>
      </c>
      <c r="F13" s="336">
        <f t="shared" ref="F13:F14" si="0">SUM(E13/D13)</f>
        <v>0.26314594335093616</v>
      </c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7"/>
    </row>
    <row r="14" spans="1:41" s="428" customFormat="1" ht="34.5" customHeight="1" thickBot="1">
      <c r="A14" s="626" t="s">
        <v>508</v>
      </c>
      <c r="B14" s="454"/>
      <c r="C14" s="452">
        <v>3472000</v>
      </c>
      <c r="D14" s="452">
        <f>3472000+63000+2113000-1479550-139606</f>
        <v>4028844</v>
      </c>
      <c r="E14" s="452">
        <f>4494245</f>
        <v>4494245</v>
      </c>
      <c r="F14" s="336">
        <f t="shared" si="0"/>
        <v>1.1155172550736638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7"/>
    </row>
    <row r="15" spans="1:41" s="434" customFormat="1" ht="31.5" customHeight="1" thickBot="1">
      <c r="A15" s="626" t="s">
        <v>834</v>
      </c>
      <c r="B15" s="454"/>
      <c r="C15" s="452">
        <v>858000</v>
      </c>
      <c r="D15" s="452">
        <f>858000+730000</f>
        <v>1588000</v>
      </c>
      <c r="E15" s="452">
        <v>1389492</v>
      </c>
      <c r="F15" s="336">
        <f>SUM(E15/D15)</f>
        <v>0.87499496221662465</v>
      </c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3"/>
    </row>
    <row r="16" spans="1:41" s="434" customFormat="1" ht="44.25" customHeight="1" thickBot="1">
      <c r="A16" s="626" t="s">
        <v>516</v>
      </c>
      <c r="B16" s="454"/>
      <c r="C16" s="452">
        <v>22255000</v>
      </c>
      <c r="D16" s="452">
        <v>22255000</v>
      </c>
      <c r="E16" s="452">
        <f>SUM(B17:B18)</f>
        <v>21743631</v>
      </c>
      <c r="F16" s="336">
        <f>SUM(E16/D16)</f>
        <v>0.97702228712648842</v>
      </c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3"/>
    </row>
    <row r="17" spans="1:125" s="428" customFormat="1" ht="24" customHeight="1" thickBot="1">
      <c r="A17" s="453" t="s">
        <v>517</v>
      </c>
      <c r="B17" s="451">
        <v>4563131</v>
      </c>
      <c r="C17" s="452"/>
      <c r="D17" s="452"/>
      <c r="E17" s="452"/>
      <c r="F17" s="33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7"/>
    </row>
    <row r="18" spans="1:125" s="428" customFormat="1" ht="24" customHeight="1" thickBot="1">
      <c r="A18" s="453" t="s">
        <v>518</v>
      </c>
      <c r="B18" s="451">
        <v>17180500</v>
      </c>
      <c r="C18" s="452"/>
      <c r="D18" s="452"/>
      <c r="E18" s="452"/>
      <c r="F18" s="33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7"/>
    </row>
    <row r="19" spans="1:125" s="434" customFormat="1" ht="24" customHeight="1" thickBot="1">
      <c r="A19" s="885" t="s">
        <v>835</v>
      </c>
      <c r="B19" s="889"/>
      <c r="C19" s="452"/>
      <c r="D19" s="452">
        <f>2200000+117260+6284708-1035104</f>
        <v>7566864</v>
      </c>
      <c r="E19" s="452">
        <v>7346863</v>
      </c>
      <c r="F19" s="336">
        <f>SUM(E19/D19)</f>
        <v>0.9709257362098751</v>
      </c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3"/>
    </row>
    <row r="20" spans="1:125" s="434" customFormat="1" ht="33" customHeight="1" thickBot="1">
      <c r="A20" s="885" t="s">
        <v>847</v>
      </c>
      <c r="B20" s="889"/>
      <c r="C20" s="452"/>
      <c r="D20" s="452"/>
      <c r="E20" s="452">
        <v>43897</v>
      </c>
      <c r="F20" s="336">
        <v>0</v>
      </c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3"/>
      <c r="AP20" s="679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2"/>
      <c r="CQ20" s="432"/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2"/>
      <c r="DC20" s="432"/>
      <c r="DD20" s="432"/>
      <c r="DE20" s="432"/>
      <c r="DF20" s="432"/>
      <c r="DG20" s="432"/>
      <c r="DH20" s="432"/>
      <c r="DI20" s="432"/>
      <c r="DJ20" s="432"/>
      <c r="DK20" s="432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</row>
    <row r="21" spans="1:125" s="434" customFormat="1" ht="43.5" customHeight="1" thickBot="1">
      <c r="A21" s="479" t="s">
        <v>802</v>
      </c>
      <c r="B21" s="700"/>
      <c r="C21" s="452"/>
      <c r="D21" s="452"/>
      <c r="E21" s="452">
        <v>224309</v>
      </c>
      <c r="F21" s="336">
        <v>0</v>
      </c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</row>
    <row r="22" spans="1:125" s="434" customFormat="1" ht="32.25" customHeight="1" thickBot="1">
      <c r="A22" s="626" t="s">
        <v>526</v>
      </c>
      <c r="B22" s="462"/>
      <c r="C22" s="452"/>
      <c r="D22" s="452">
        <v>2200000</v>
      </c>
      <c r="E22" s="452">
        <v>2270079</v>
      </c>
      <c r="F22" s="336">
        <f>SUM(E22/D22)</f>
        <v>1.031854090909091</v>
      </c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3"/>
      <c r="AP22" s="679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432"/>
      <c r="DF22" s="432"/>
      <c r="DG22" s="432"/>
      <c r="DH22" s="432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</row>
    <row r="23" spans="1:125" s="299" customFormat="1" ht="31.5" customHeight="1" thickBot="1">
      <c r="A23" s="680" t="s">
        <v>538</v>
      </c>
      <c r="B23" s="681"/>
      <c r="C23" s="682">
        <f>SUM(C8:C22)</f>
        <v>46459000</v>
      </c>
      <c r="D23" s="682">
        <f>SUM(D8:D22)</f>
        <v>57553708</v>
      </c>
      <c r="E23" s="682">
        <f t="shared" ref="E23" si="1">SUM(E8:E22)</f>
        <v>56455112</v>
      </c>
      <c r="F23" s="729">
        <f>E23/D23</f>
        <v>0.98091181197221911</v>
      </c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298"/>
    </row>
    <row r="24" spans="1:125" s="299" customFormat="1" ht="31.5" customHeight="1" thickBot="1">
      <c r="A24" s="321"/>
      <c r="B24" s="322"/>
      <c r="C24" s="323"/>
      <c r="D24" s="683"/>
      <c r="E24" s="683"/>
      <c r="F24" s="730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298"/>
    </row>
    <row r="25" spans="1:125" s="295" customFormat="1" ht="33" customHeight="1" thickBot="1">
      <c r="A25" s="675" t="s">
        <v>539</v>
      </c>
      <c r="B25" s="676"/>
      <c r="C25" s="678"/>
      <c r="D25" s="678"/>
      <c r="E25" s="678"/>
      <c r="F25" s="728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4"/>
    </row>
    <row r="26" spans="1:125" s="428" customFormat="1" ht="22.5" customHeight="1" thickBot="1">
      <c r="A26" s="626" t="s">
        <v>473</v>
      </c>
      <c r="B26" s="451"/>
      <c r="C26" s="452">
        <v>32000</v>
      </c>
      <c r="D26" s="452">
        <v>32000</v>
      </c>
      <c r="E26" s="452">
        <v>31878</v>
      </c>
      <c r="F26" s="336">
        <f>SUM(E26/D26)</f>
        <v>0.9961875</v>
      </c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7"/>
    </row>
    <row r="27" spans="1:125" s="428" customFormat="1" ht="22.5" customHeight="1" thickBot="1">
      <c r="A27" s="453" t="s">
        <v>433</v>
      </c>
      <c r="B27" s="451"/>
      <c r="C27" s="452"/>
      <c r="D27" s="452"/>
      <c r="E27" s="452"/>
      <c r="F27" s="33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7"/>
    </row>
    <row r="28" spans="1:125" s="428" customFormat="1" ht="30.75" customHeight="1" thickBot="1">
      <c r="A28" s="453" t="s">
        <v>540</v>
      </c>
      <c r="B28" s="451">
        <v>32000</v>
      </c>
      <c r="C28" s="452"/>
      <c r="D28" s="452"/>
      <c r="E28" s="452"/>
      <c r="F28" s="33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7"/>
    </row>
    <row r="29" spans="1:125" s="428" customFormat="1" ht="25.5" customHeight="1" thickBot="1">
      <c r="A29" s="626" t="s">
        <v>484</v>
      </c>
      <c r="B29" s="451"/>
      <c r="C29" s="452">
        <v>4093000</v>
      </c>
      <c r="D29" s="452">
        <v>4093000</v>
      </c>
      <c r="E29" s="452">
        <v>4115280</v>
      </c>
      <c r="F29" s="336">
        <f>SUM(E29/D29)</f>
        <v>1.0054434400195456</v>
      </c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7"/>
    </row>
    <row r="30" spans="1:125" s="428" customFormat="1" ht="25.5" customHeight="1" thickBot="1">
      <c r="A30" s="453" t="s">
        <v>485</v>
      </c>
      <c r="B30" s="451">
        <v>4115280</v>
      </c>
      <c r="C30" s="452"/>
      <c r="D30" s="452"/>
      <c r="E30" s="452"/>
      <c r="F30" s="33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7"/>
    </row>
    <row r="31" spans="1:125" s="428" customFormat="1" ht="51" customHeight="1" thickBot="1">
      <c r="A31" s="626" t="s">
        <v>507</v>
      </c>
      <c r="B31" s="454"/>
      <c r="C31" s="452">
        <v>917000</v>
      </c>
      <c r="D31" s="452">
        <v>917000</v>
      </c>
      <c r="E31" s="452">
        <f>201265+82131</f>
        <v>283396</v>
      </c>
      <c r="F31" s="336">
        <f t="shared" ref="F31:F32" si="2">SUM(E31/D31)</f>
        <v>0.30904689203925845</v>
      </c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7"/>
    </row>
    <row r="32" spans="1:125" s="428" customFormat="1" ht="34.5" customHeight="1" thickBot="1">
      <c r="A32" s="626" t="s">
        <v>508</v>
      </c>
      <c r="B32" s="454"/>
      <c r="C32" s="452">
        <v>1528000</v>
      </c>
      <c r="D32" s="452">
        <f>1528000+139606</f>
        <v>1667606</v>
      </c>
      <c r="E32" s="452">
        <f>2000774+11396</f>
        <v>2012170</v>
      </c>
      <c r="F32" s="336">
        <f t="shared" si="2"/>
        <v>1.2066219478701803</v>
      </c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7"/>
    </row>
    <row r="33" spans="1:125" s="434" customFormat="1" ht="27" customHeight="1" thickBot="1">
      <c r="A33" s="626" t="s">
        <v>834</v>
      </c>
      <c r="B33" s="454"/>
      <c r="C33" s="452">
        <v>189000</v>
      </c>
      <c r="D33" s="452">
        <f>189000+176165</f>
        <v>365165</v>
      </c>
      <c r="E33" s="452">
        <v>374066</v>
      </c>
      <c r="F33" s="336">
        <f>SUM(E33/D33)</f>
        <v>1.0243752824065833</v>
      </c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3"/>
    </row>
    <row r="34" spans="1:125" s="434" customFormat="1" ht="44.25" customHeight="1" thickBot="1">
      <c r="A34" s="626" t="s">
        <v>516</v>
      </c>
      <c r="B34" s="454"/>
      <c r="C34" s="452"/>
      <c r="D34" s="452"/>
      <c r="E34" s="452"/>
      <c r="F34" s="336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3"/>
    </row>
    <row r="35" spans="1:125" s="428" customFormat="1" ht="24" customHeight="1" thickBot="1">
      <c r="A35" s="453" t="s">
        <v>517</v>
      </c>
      <c r="B35" s="451">
        <v>1015730</v>
      </c>
      <c r="C35" s="452">
        <v>4896000</v>
      </c>
      <c r="D35" s="452">
        <v>4896000</v>
      </c>
      <c r="E35" s="452">
        <f>SUM(B35:B36)</f>
        <v>4486697</v>
      </c>
      <c r="F35" s="336">
        <f>SUM(E35/D35)</f>
        <v>0.91640053104575159</v>
      </c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7"/>
    </row>
    <row r="36" spans="1:125" s="428" customFormat="1" ht="24" customHeight="1" thickBot="1">
      <c r="A36" s="453" t="s">
        <v>518</v>
      </c>
      <c r="B36" s="451">
        <v>3470967</v>
      </c>
      <c r="C36" s="452"/>
      <c r="D36" s="452"/>
      <c r="E36" s="452"/>
      <c r="F36" s="33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7"/>
    </row>
    <row r="37" spans="1:125" s="434" customFormat="1" ht="24" customHeight="1" thickBot="1">
      <c r="A37" s="885" t="s">
        <v>835</v>
      </c>
      <c r="B37" s="889"/>
      <c r="C37" s="452"/>
      <c r="D37" s="452">
        <f>484000+1035104</f>
        <v>1519104</v>
      </c>
      <c r="E37" s="452">
        <v>1504205</v>
      </c>
      <c r="F37" s="336">
        <f>SUM(E37/D37)</f>
        <v>0.99019224490225821</v>
      </c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3"/>
    </row>
    <row r="38" spans="1:125" s="434" customFormat="1" ht="33" customHeight="1" thickBot="1">
      <c r="A38" s="885" t="s">
        <v>847</v>
      </c>
      <c r="B38" s="889"/>
      <c r="C38" s="452"/>
      <c r="D38" s="452"/>
      <c r="E38" s="452">
        <v>24340</v>
      </c>
      <c r="F38" s="336">
        <v>0</v>
      </c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3"/>
      <c r="AP38" s="679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2"/>
      <c r="BN38" s="432"/>
      <c r="BO38" s="432"/>
      <c r="BP38" s="432"/>
      <c r="BQ38" s="432"/>
      <c r="BR38" s="432"/>
      <c r="BS38" s="432"/>
      <c r="BT38" s="432"/>
      <c r="BU38" s="432"/>
      <c r="BV38" s="432"/>
      <c r="BW38" s="432"/>
      <c r="BX38" s="432"/>
      <c r="BY38" s="432"/>
      <c r="BZ38" s="432"/>
      <c r="CA38" s="432"/>
      <c r="CB38" s="432"/>
      <c r="CC38" s="432"/>
      <c r="CD38" s="432"/>
      <c r="CE38" s="432"/>
      <c r="CF38" s="432"/>
      <c r="CG38" s="432"/>
      <c r="CH38" s="432"/>
      <c r="CI38" s="432"/>
      <c r="CJ38" s="432"/>
      <c r="CK38" s="432"/>
      <c r="CL38" s="432"/>
      <c r="CM38" s="432"/>
      <c r="CN38" s="432"/>
      <c r="CO38" s="432"/>
      <c r="CP38" s="432"/>
      <c r="CQ38" s="432"/>
      <c r="CR38" s="432"/>
      <c r="CS38" s="432"/>
      <c r="CT38" s="432"/>
      <c r="CU38" s="432"/>
      <c r="CV38" s="432"/>
      <c r="CW38" s="432"/>
      <c r="CX38" s="432"/>
      <c r="CY38" s="432"/>
      <c r="CZ38" s="432"/>
      <c r="DA38" s="432"/>
      <c r="DB38" s="432"/>
      <c r="DC38" s="432"/>
      <c r="DD38" s="432"/>
      <c r="DE38" s="432"/>
      <c r="DF38" s="432"/>
      <c r="DG38" s="432"/>
      <c r="DH38" s="432"/>
      <c r="DI38" s="432"/>
      <c r="DJ38" s="432"/>
      <c r="DK38" s="432"/>
      <c r="DL38" s="432"/>
      <c r="DM38" s="432"/>
      <c r="DN38" s="432"/>
      <c r="DO38" s="432"/>
      <c r="DP38" s="432"/>
      <c r="DQ38" s="432"/>
      <c r="DR38" s="432"/>
      <c r="DS38" s="432"/>
      <c r="DT38" s="432"/>
      <c r="DU38" s="432"/>
    </row>
    <row r="39" spans="1:125" s="434" customFormat="1" ht="43.5" customHeight="1" thickBot="1">
      <c r="A39" s="479" t="s">
        <v>802</v>
      </c>
      <c r="B39" s="700"/>
      <c r="C39" s="452"/>
      <c r="D39" s="452"/>
      <c r="E39" s="452">
        <v>44413</v>
      </c>
      <c r="F39" s="336">
        <v>0</v>
      </c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  <c r="BU39" s="432"/>
    </row>
    <row r="40" spans="1:125" s="434" customFormat="1" ht="32.25" customHeight="1" thickBot="1">
      <c r="A40" s="626" t="s">
        <v>526</v>
      </c>
      <c r="B40" s="462"/>
      <c r="C40" s="452"/>
      <c r="D40" s="452">
        <v>1300000</v>
      </c>
      <c r="E40" s="452">
        <v>1299666</v>
      </c>
      <c r="F40" s="336">
        <f>SUM(E40/D40)</f>
        <v>0.99974307692307696</v>
      </c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3"/>
      <c r="AP40" s="679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  <c r="BM40" s="432"/>
      <c r="BN40" s="432"/>
      <c r="BO40" s="432"/>
      <c r="BP40" s="432"/>
      <c r="BQ40" s="432"/>
      <c r="BR40" s="432"/>
      <c r="BS40" s="432"/>
      <c r="BT40" s="432"/>
      <c r="BU40" s="432"/>
      <c r="BV40" s="432"/>
      <c r="BW40" s="432"/>
      <c r="BX40" s="432"/>
      <c r="BY40" s="432"/>
      <c r="BZ40" s="432"/>
      <c r="CA40" s="432"/>
      <c r="CB40" s="432"/>
      <c r="CC40" s="432"/>
      <c r="CD40" s="432"/>
      <c r="CE40" s="432"/>
      <c r="CF40" s="432"/>
      <c r="CG40" s="432"/>
      <c r="CH40" s="432"/>
      <c r="CI40" s="432"/>
      <c r="CJ40" s="432"/>
      <c r="CK40" s="432"/>
      <c r="CL40" s="432"/>
      <c r="CM40" s="432"/>
      <c r="CN40" s="432"/>
      <c r="CO40" s="432"/>
      <c r="CP40" s="432"/>
      <c r="CQ40" s="432"/>
      <c r="CR40" s="432"/>
      <c r="CS40" s="432"/>
      <c r="CT40" s="432"/>
      <c r="CU40" s="432"/>
      <c r="CV40" s="432"/>
      <c r="CW40" s="432"/>
      <c r="CX40" s="432"/>
      <c r="CY40" s="432"/>
      <c r="CZ40" s="432"/>
      <c r="DA40" s="432"/>
      <c r="DB40" s="432"/>
      <c r="DC40" s="432"/>
      <c r="DD40" s="432"/>
      <c r="DE40" s="432"/>
      <c r="DF40" s="432"/>
      <c r="DG40" s="432"/>
      <c r="DH40" s="432"/>
      <c r="DI40" s="432"/>
      <c r="DJ40" s="432"/>
      <c r="DK40" s="432"/>
      <c r="DL40" s="432"/>
      <c r="DM40" s="432"/>
      <c r="DN40" s="432"/>
      <c r="DO40" s="432"/>
      <c r="DP40" s="432"/>
      <c r="DQ40" s="432"/>
      <c r="DR40" s="432"/>
      <c r="DS40" s="432"/>
      <c r="DT40" s="432"/>
      <c r="DU40" s="432"/>
    </row>
    <row r="41" spans="1:125" s="299" customFormat="1" ht="31.5" customHeight="1" thickBot="1">
      <c r="A41" s="680" t="s">
        <v>541</v>
      </c>
      <c r="B41" s="681"/>
      <c r="C41" s="682">
        <f>SUM(C26:C40)</f>
        <v>11655000</v>
      </c>
      <c r="D41" s="682">
        <f>SUM(D26:D40)</f>
        <v>14789875</v>
      </c>
      <c r="E41" s="682">
        <f t="shared" ref="E41" si="3">SUM(E26:E40)</f>
        <v>14176111</v>
      </c>
      <c r="F41" s="729">
        <f>E41/D41</f>
        <v>0.95850106914358646</v>
      </c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298"/>
    </row>
    <row r="42" spans="1:125" s="299" customFormat="1" ht="31.5" customHeight="1" thickBot="1">
      <c r="A42" s="321"/>
      <c r="B42" s="322"/>
      <c r="C42" s="323"/>
      <c r="D42" s="683"/>
      <c r="E42" s="683"/>
      <c r="F42" s="730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298"/>
    </row>
    <row r="43" spans="1:125" s="295" customFormat="1" ht="33" customHeight="1" thickBot="1">
      <c r="A43" s="675" t="s">
        <v>542</v>
      </c>
      <c r="B43" s="676"/>
      <c r="C43" s="678"/>
      <c r="D43" s="678"/>
      <c r="E43" s="678"/>
      <c r="F43" s="728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4"/>
    </row>
    <row r="44" spans="1:125" s="428" customFormat="1" ht="21" customHeight="1" thickBot="1">
      <c r="A44" s="626" t="s">
        <v>464</v>
      </c>
      <c r="B44" s="451"/>
      <c r="C44" s="452">
        <v>57800000</v>
      </c>
      <c r="D44" s="468">
        <v>57800000</v>
      </c>
      <c r="E44" s="468">
        <v>51441200</v>
      </c>
      <c r="F44" s="336">
        <f>E44/D44</f>
        <v>0.88998615916955015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7"/>
    </row>
    <row r="45" spans="1:125" s="434" customFormat="1" ht="28.5" customHeight="1" thickBot="1">
      <c r="A45" s="626" t="s">
        <v>743</v>
      </c>
      <c r="B45" s="454"/>
      <c r="C45" s="452">
        <v>2000000</v>
      </c>
      <c r="D45" s="468">
        <v>2000000</v>
      </c>
      <c r="E45" s="468">
        <v>1657350</v>
      </c>
      <c r="F45" s="336">
        <f>E45/D45</f>
        <v>0.82867500000000005</v>
      </c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3"/>
    </row>
    <row r="46" spans="1:125" s="434" customFormat="1" ht="23.25" customHeight="1" thickBot="1">
      <c r="A46" s="753" t="s">
        <v>744</v>
      </c>
      <c r="B46" s="462"/>
      <c r="C46" s="452">
        <v>2300000</v>
      </c>
      <c r="D46" s="468">
        <f>SUM(B47:B48)</f>
        <v>2522250</v>
      </c>
      <c r="E46" s="468">
        <f>222250+692785</f>
        <v>915035</v>
      </c>
      <c r="F46" s="336">
        <f>E46/D46</f>
        <v>0.36278521161661215</v>
      </c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3"/>
      <c r="AP46" s="679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  <c r="BM46" s="432"/>
      <c r="BN46" s="432"/>
      <c r="BO46" s="432"/>
      <c r="BP46" s="432"/>
      <c r="BQ46" s="432"/>
      <c r="BR46" s="432"/>
      <c r="BS46" s="432"/>
      <c r="BT46" s="432"/>
      <c r="BU46" s="432"/>
      <c r="BV46" s="432"/>
      <c r="BW46" s="432"/>
      <c r="BX46" s="432"/>
      <c r="BY46" s="432"/>
      <c r="BZ46" s="432"/>
      <c r="CA46" s="432"/>
      <c r="CB46" s="432"/>
      <c r="CC46" s="432"/>
      <c r="CD46" s="432"/>
      <c r="CE46" s="432"/>
      <c r="CF46" s="432"/>
      <c r="CG46" s="432"/>
      <c r="CH46" s="432"/>
      <c r="CI46" s="432"/>
      <c r="CJ46" s="432"/>
      <c r="CK46" s="432"/>
      <c r="CL46" s="432"/>
      <c r="CM46" s="432"/>
      <c r="CN46" s="432"/>
      <c r="CO46" s="432"/>
      <c r="CP46" s="432"/>
      <c r="CQ46" s="432"/>
      <c r="CR46" s="432"/>
      <c r="CS46" s="432"/>
      <c r="CT46" s="432"/>
      <c r="CU46" s="432"/>
      <c r="CV46" s="432"/>
      <c r="CW46" s="432"/>
      <c r="CX46" s="432"/>
      <c r="CY46" s="432"/>
      <c r="CZ46" s="432"/>
      <c r="DA46" s="432"/>
      <c r="DB46" s="432"/>
      <c r="DC46" s="432"/>
      <c r="DD46" s="432"/>
      <c r="DE46" s="432"/>
      <c r="DF46" s="432"/>
      <c r="DG46" s="432"/>
      <c r="DH46" s="432"/>
      <c r="DI46" s="432"/>
      <c r="DJ46" s="432"/>
      <c r="DK46" s="432"/>
      <c r="DL46" s="432"/>
      <c r="DM46" s="432"/>
      <c r="DN46" s="432"/>
      <c r="DO46" s="432"/>
      <c r="DP46" s="432"/>
      <c r="DQ46" s="432"/>
      <c r="DR46" s="432"/>
      <c r="DS46" s="432"/>
      <c r="DT46" s="432"/>
      <c r="DU46" s="432"/>
    </row>
    <row r="47" spans="1:125" s="434" customFormat="1" ht="19.5" customHeight="1" thickBot="1">
      <c r="A47" s="453" t="s">
        <v>745</v>
      </c>
      <c r="B47" s="325">
        <v>1000000</v>
      </c>
      <c r="C47" s="452"/>
      <c r="D47" s="468"/>
      <c r="E47" s="468"/>
      <c r="F47" s="337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3"/>
      <c r="AP47" s="679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432"/>
      <c r="BR47" s="432"/>
      <c r="BS47" s="432"/>
      <c r="BT47" s="432"/>
      <c r="BU47" s="432"/>
      <c r="BV47" s="432"/>
      <c r="BW47" s="432"/>
      <c r="BX47" s="432"/>
      <c r="BY47" s="432"/>
      <c r="BZ47" s="432"/>
      <c r="CA47" s="432"/>
      <c r="CB47" s="432"/>
      <c r="CC47" s="432"/>
      <c r="CD47" s="432"/>
      <c r="CE47" s="432"/>
      <c r="CF47" s="432"/>
      <c r="CG47" s="432"/>
      <c r="CH47" s="432"/>
      <c r="CI47" s="432"/>
      <c r="CJ47" s="432"/>
      <c r="CK47" s="432"/>
      <c r="CL47" s="432"/>
      <c r="CM47" s="432"/>
      <c r="CN47" s="432"/>
      <c r="CO47" s="432"/>
      <c r="CP47" s="432"/>
      <c r="CQ47" s="432"/>
      <c r="CR47" s="432"/>
      <c r="CS47" s="432"/>
      <c r="CT47" s="432"/>
      <c r="CU47" s="432"/>
      <c r="CV47" s="432"/>
      <c r="CW47" s="432"/>
      <c r="CX47" s="432"/>
      <c r="CY47" s="432"/>
      <c r="CZ47" s="432"/>
      <c r="DA47" s="432"/>
      <c r="DB47" s="432"/>
      <c r="DC47" s="432"/>
      <c r="DD47" s="432"/>
      <c r="DE47" s="432"/>
      <c r="DF47" s="432"/>
      <c r="DG47" s="432"/>
      <c r="DH47" s="432"/>
      <c r="DI47" s="432"/>
      <c r="DJ47" s="432"/>
      <c r="DK47" s="432"/>
      <c r="DL47" s="432"/>
      <c r="DM47" s="432"/>
      <c r="DN47" s="432"/>
      <c r="DO47" s="432"/>
      <c r="DP47" s="432"/>
      <c r="DQ47" s="432"/>
      <c r="DR47" s="432"/>
      <c r="DS47" s="432"/>
      <c r="DT47" s="432"/>
      <c r="DU47" s="432"/>
    </row>
    <row r="48" spans="1:125" s="434" customFormat="1" ht="19.5" customHeight="1" thickBot="1">
      <c r="A48" s="453" t="s">
        <v>746</v>
      </c>
      <c r="B48" s="325">
        <f>1300000+222250</f>
        <v>1522250</v>
      </c>
      <c r="C48" s="452"/>
      <c r="D48" s="468"/>
      <c r="E48" s="468"/>
      <c r="F48" s="337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3"/>
      <c r="AP48" s="679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432"/>
      <c r="DF48" s="432"/>
      <c r="DG48" s="432"/>
      <c r="DH48" s="432"/>
      <c r="DI48" s="432"/>
      <c r="DJ48" s="432"/>
      <c r="DK48" s="432"/>
      <c r="DL48" s="432"/>
      <c r="DM48" s="432"/>
      <c r="DN48" s="432"/>
      <c r="DO48" s="432"/>
      <c r="DP48" s="432"/>
      <c r="DQ48" s="432"/>
      <c r="DR48" s="432"/>
      <c r="DS48" s="432"/>
      <c r="DT48" s="432"/>
      <c r="DU48" s="432"/>
    </row>
    <row r="49" spans="1:125" s="428" customFormat="1" ht="27" customHeight="1" thickBot="1">
      <c r="A49" s="626" t="s">
        <v>465</v>
      </c>
      <c r="B49" s="325"/>
      <c r="C49" s="452">
        <v>5283000</v>
      </c>
      <c r="D49" s="468">
        <f>SUM(B50:B52)</f>
        <v>5283000</v>
      </c>
      <c r="E49" s="468">
        <f>8444435-1573355</f>
        <v>6871080</v>
      </c>
      <c r="F49" s="336">
        <f>E49/D49</f>
        <v>1.3006019307211811</v>
      </c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7"/>
      <c r="AP49" s="684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</row>
    <row r="50" spans="1:125" s="428" customFormat="1" ht="39.75" customHeight="1" thickBot="1">
      <c r="A50" s="453" t="s">
        <v>466</v>
      </c>
      <c r="B50" s="685">
        <v>4000000</v>
      </c>
      <c r="C50" s="452"/>
      <c r="D50" s="468"/>
      <c r="E50" s="468"/>
      <c r="F50" s="337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7"/>
      <c r="AP50" s="684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</row>
    <row r="51" spans="1:125" s="428" customFormat="1" ht="21" customHeight="1" thickBot="1">
      <c r="A51" s="453" t="s">
        <v>747</v>
      </c>
      <c r="B51" s="685">
        <v>1283000</v>
      </c>
      <c r="C51" s="452"/>
      <c r="D51" s="468"/>
      <c r="E51" s="468"/>
      <c r="F51" s="337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7"/>
      <c r="AP51" s="684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/>
      <c r="CX51" s="426"/>
      <c r="CY51" s="426"/>
      <c r="CZ51" s="426"/>
      <c r="DA51" s="426"/>
      <c r="DB51" s="426"/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426"/>
      <c r="DN51" s="426"/>
      <c r="DO51" s="426"/>
      <c r="DP51" s="426"/>
      <c r="DQ51" s="426"/>
      <c r="DR51" s="426"/>
      <c r="DS51" s="426"/>
      <c r="DT51" s="426"/>
      <c r="DU51" s="426"/>
    </row>
    <row r="52" spans="1:125" s="428" customFormat="1" ht="21" customHeight="1" thickBot="1">
      <c r="A52" s="453" t="s">
        <v>748</v>
      </c>
      <c r="B52" s="685">
        <f>2540000-2540000</f>
        <v>0</v>
      </c>
      <c r="C52" s="452"/>
      <c r="D52" s="468"/>
      <c r="E52" s="468"/>
      <c r="F52" s="337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7"/>
      <c r="AP52" s="684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</row>
    <row r="53" spans="1:125" s="428" customFormat="1" ht="22.5" customHeight="1" thickBot="1">
      <c r="A53" s="626" t="s">
        <v>467</v>
      </c>
      <c r="B53" s="325"/>
      <c r="C53" s="452">
        <v>150000</v>
      </c>
      <c r="D53" s="468">
        <v>150000</v>
      </c>
      <c r="E53" s="468">
        <v>0</v>
      </c>
      <c r="F53" s="337">
        <v>0</v>
      </c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7"/>
    </row>
    <row r="54" spans="1:125" s="295" customFormat="1" ht="66.75" customHeight="1" thickBot="1">
      <c r="A54" s="672" t="s">
        <v>463</v>
      </c>
      <c r="B54" s="686"/>
      <c r="C54" s="674" t="s">
        <v>350</v>
      </c>
      <c r="D54" s="687" t="s">
        <v>351</v>
      </c>
      <c r="E54" s="674" t="s">
        <v>288</v>
      </c>
      <c r="F54" s="727" t="s">
        <v>289</v>
      </c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4"/>
    </row>
    <row r="55" spans="1:125" s="428" customFormat="1" ht="22.5" customHeight="1" thickBot="1">
      <c r="A55" s="626" t="s">
        <v>468</v>
      </c>
      <c r="B55" s="325"/>
      <c r="C55" s="452">
        <v>340000</v>
      </c>
      <c r="D55" s="468">
        <v>340000</v>
      </c>
      <c r="E55" s="468">
        <v>0</v>
      </c>
      <c r="F55" s="337">
        <v>0</v>
      </c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7"/>
    </row>
    <row r="56" spans="1:125" s="428" customFormat="1" ht="22.5" customHeight="1" thickBot="1">
      <c r="A56" s="453" t="s">
        <v>433</v>
      </c>
      <c r="B56" s="325"/>
      <c r="C56" s="452"/>
      <c r="D56" s="468"/>
      <c r="E56" s="468"/>
      <c r="F56" s="337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7"/>
    </row>
    <row r="57" spans="1:125" s="428" customFormat="1" ht="32.25" thickBot="1">
      <c r="A57" s="453" t="s">
        <v>469</v>
      </c>
      <c r="B57" s="325">
        <v>300000</v>
      </c>
      <c r="C57" s="452"/>
      <c r="D57" s="468"/>
      <c r="E57" s="468"/>
      <c r="F57" s="337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7"/>
    </row>
    <row r="58" spans="1:125" s="428" customFormat="1" ht="22.5" customHeight="1" thickBot="1">
      <c r="A58" s="453" t="s">
        <v>470</v>
      </c>
      <c r="B58" s="325">
        <v>40000</v>
      </c>
      <c r="C58" s="452"/>
      <c r="D58" s="468"/>
      <c r="E58" s="468"/>
      <c r="F58" s="337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7"/>
    </row>
    <row r="59" spans="1:125" s="428" customFormat="1" ht="22.5" customHeight="1" thickBot="1">
      <c r="A59" s="626" t="s">
        <v>471</v>
      </c>
      <c r="B59" s="325"/>
      <c r="C59" s="452">
        <v>1050000</v>
      </c>
      <c r="D59" s="452">
        <f>SUM(B61:B64)</f>
        <v>2511770</v>
      </c>
      <c r="E59" s="452">
        <v>912618</v>
      </c>
      <c r="F59" s="336">
        <f>E59/D59</f>
        <v>0.36333661123430888</v>
      </c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7"/>
      <c r="AP59" s="684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/>
      <c r="CX59" s="426"/>
      <c r="CY59" s="426"/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</row>
    <row r="60" spans="1:125" s="428" customFormat="1" ht="22.5" customHeight="1" thickBot="1">
      <c r="A60" s="453" t="s">
        <v>433</v>
      </c>
      <c r="B60" s="325"/>
      <c r="C60" s="452"/>
      <c r="D60" s="452"/>
      <c r="E60" s="452"/>
      <c r="F60" s="33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7"/>
      <c r="AP60" s="684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</row>
    <row r="61" spans="1:125" s="428" customFormat="1" ht="22.5" customHeight="1" thickBot="1">
      <c r="A61" s="453" t="s">
        <v>472</v>
      </c>
      <c r="B61" s="325">
        <v>50000</v>
      </c>
      <c r="C61" s="452"/>
      <c r="D61" s="452"/>
      <c r="E61" s="452"/>
      <c r="F61" s="33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7"/>
      <c r="AP61" s="684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/>
      <c r="CX61" s="426"/>
      <c r="CY61" s="426"/>
      <c r="CZ61" s="426"/>
      <c r="DA61" s="426"/>
      <c r="DB61" s="426"/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/>
      <c r="DS61" s="426"/>
      <c r="DT61" s="426"/>
      <c r="DU61" s="426"/>
    </row>
    <row r="62" spans="1:125" s="428" customFormat="1" ht="22.5" customHeight="1" thickBot="1">
      <c r="A62" s="453" t="s">
        <v>749</v>
      </c>
      <c r="B62" s="325">
        <v>1000000</v>
      </c>
      <c r="C62" s="452"/>
      <c r="D62" s="452"/>
      <c r="E62" s="452"/>
      <c r="F62" s="33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7"/>
      <c r="AP62" s="684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/>
      <c r="CX62" s="426"/>
      <c r="CY62" s="426"/>
      <c r="CZ62" s="426"/>
      <c r="DA62" s="426"/>
      <c r="DB62" s="426"/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  <c r="DQ62" s="426"/>
      <c r="DR62" s="426"/>
      <c r="DS62" s="426"/>
      <c r="DT62" s="426"/>
      <c r="DU62" s="426"/>
    </row>
    <row r="63" spans="1:125" s="428" customFormat="1" ht="22.5" customHeight="1" thickBot="1">
      <c r="A63" s="453" t="s">
        <v>750</v>
      </c>
      <c r="B63" s="325">
        <v>730250</v>
      </c>
      <c r="C63" s="452"/>
      <c r="D63" s="468"/>
      <c r="E63" s="468"/>
      <c r="F63" s="337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</row>
    <row r="64" spans="1:125" s="428" customFormat="1" ht="22.5" customHeight="1" thickBot="1">
      <c r="A64" s="453" t="s">
        <v>751</v>
      </c>
      <c r="B64" s="325">
        <v>731520</v>
      </c>
      <c r="C64" s="452"/>
      <c r="D64" s="468"/>
      <c r="E64" s="468"/>
      <c r="F64" s="337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</row>
    <row r="65" spans="1:125" s="428" customFormat="1" ht="22.5" customHeight="1" thickBot="1">
      <c r="A65" s="626" t="s">
        <v>473</v>
      </c>
      <c r="B65" s="451"/>
      <c r="C65" s="452">
        <v>1057000</v>
      </c>
      <c r="D65" s="452">
        <f>SUM(B67:B68)</f>
        <v>1890476</v>
      </c>
      <c r="E65" s="452">
        <f>1458137+91016</f>
        <v>1549153</v>
      </c>
      <c r="F65" s="336">
        <f>E65/D65</f>
        <v>0.81945129163237196</v>
      </c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7"/>
    </row>
    <row r="66" spans="1:125" s="428" customFormat="1" ht="22.5" customHeight="1" thickBot="1">
      <c r="A66" s="453" t="s">
        <v>433</v>
      </c>
      <c r="B66" s="451"/>
      <c r="C66" s="452"/>
      <c r="D66" s="452"/>
      <c r="E66" s="452"/>
      <c r="F66" s="33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7"/>
    </row>
    <row r="67" spans="1:125" s="428" customFormat="1" ht="43.5" customHeight="1" thickBot="1">
      <c r="A67" s="453" t="s">
        <v>752</v>
      </c>
      <c r="B67" s="451">
        <f>909000+833476</f>
        <v>1742476</v>
      </c>
      <c r="C67" s="452"/>
      <c r="D67" s="452"/>
      <c r="E67" s="452"/>
      <c r="F67" s="33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7"/>
    </row>
    <row r="68" spans="1:125" s="428" customFormat="1" ht="30.75" customHeight="1" thickBot="1">
      <c r="A68" s="453" t="s">
        <v>474</v>
      </c>
      <c r="B68" s="451">
        <v>148000</v>
      </c>
      <c r="C68" s="452"/>
      <c r="D68" s="452"/>
      <c r="E68" s="452"/>
      <c r="F68" s="33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7"/>
    </row>
    <row r="69" spans="1:125" s="428" customFormat="1" ht="39" customHeight="1" thickBot="1">
      <c r="A69" s="626" t="s">
        <v>760</v>
      </c>
      <c r="B69" s="451"/>
      <c r="C69" s="452">
        <v>33998000</v>
      </c>
      <c r="D69" s="452">
        <v>33998000</v>
      </c>
      <c r="E69" s="452">
        <f>28875000+755000</f>
        <v>29630000</v>
      </c>
      <c r="F69" s="336">
        <f>E69/D69</f>
        <v>0.87152185422671924</v>
      </c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7"/>
    </row>
    <row r="70" spans="1:125" s="428" customFormat="1" ht="27.75" customHeight="1" thickBot="1">
      <c r="A70" s="453" t="s">
        <v>481</v>
      </c>
      <c r="B70" s="451"/>
      <c r="C70" s="452"/>
      <c r="D70" s="452"/>
      <c r="E70" s="452"/>
      <c r="F70" s="33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7"/>
    </row>
    <row r="71" spans="1:125" s="428" customFormat="1" ht="37.5" customHeight="1" thickBot="1">
      <c r="A71" s="453" t="s">
        <v>761</v>
      </c>
      <c r="B71" s="451">
        <v>3263000</v>
      </c>
      <c r="C71" s="452"/>
      <c r="D71" s="452"/>
      <c r="E71" s="452"/>
      <c r="F71" s="33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7"/>
    </row>
    <row r="72" spans="1:125" s="428" customFormat="1" ht="24.75" customHeight="1" thickBot="1">
      <c r="A72" s="453" t="s">
        <v>762</v>
      </c>
      <c r="B72" s="451">
        <v>30735000</v>
      </c>
      <c r="C72" s="452"/>
      <c r="D72" s="452"/>
      <c r="E72" s="452"/>
      <c r="F72" s="33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7"/>
    </row>
    <row r="73" spans="1:125" s="434" customFormat="1" ht="32.25" customHeight="1" thickBot="1">
      <c r="A73" s="626" t="s">
        <v>483</v>
      </c>
      <c r="B73" s="462"/>
      <c r="C73" s="452">
        <v>1600000</v>
      </c>
      <c r="D73" s="452">
        <f>SUM(B74:B75)</f>
        <v>4800000</v>
      </c>
      <c r="E73" s="452">
        <v>3962235</v>
      </c>
      <c r="F73" s="336">
        <f>E73/D73</f>
        <v>0.82546562499999998</v>
      </c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3"/>
      <c r="AP73" s="679"/>
      <c r="AQ73" s="432"/>
      <c r="AR73" s="432"/>
      <c r="AS73" s="432"/>
      <c r="AT73" s="432"/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  <c r="BM73" s="432"/>
      <c r="BN73" s="432"/>
      <c r="BO73" s="432"/>
      <c r="BP73" s="432"/>
      <c r="BQ73" s="432"/>
      <c r="BR73" s="432"/>
      <c r="BS73" s="432"/>
      <c r="BT73" s="432"/>
      <c r="BU73" s="432"/>
      <c r="BV73" s="432"/>
      <c r="BW73" s="432"/>
      <c r="BX73" s="432"/>
      <c r="BY73" s="432"/>
      <c r="BZ73" s="432"/>
      <c r="CA73" s="432"/>
      <c r="CB73" s="432"/>
      <c r="CC73" s="432"/>
      <c r="CD73" s="432"/>
      <c r="CE73" s="432"/>
      <c r="CF73" s="432"/>
      <c r="CG73" s="432"/>
      <c r="CH73" s="432"/>
      <c r="CI73" s="432"/>
      <c r="CJ73" s="432"/>
      <c r="CK73" s="432"/>
      <c r="CL73" s="432"/>
      <c r="CM73" s="432"/>
      <c r="CN73" s="432"/>
      <c r="CO73" s="432"/>
      <c r="CP73" s="432"/>
      <c r="CQ73" s="432"/>
      <c r="CR73" s="432"/>
      <c r="CS73" s="432"/>
      <c r="CT73" s="432"/>
      <c r="CU73" s="432"/>
      <c r="CV73" s="432"/>
      <c r="CW73" s="432"/>
      <c r="CX73" s="432"/>
      <c r="CY73" s="432"/>
      <c r="CZ73" s="432"/>
      <c r="DA73" s="432"/>
      <c r="DB73" s="432"/>
      <c r="DC73" s="432"/>
      <c r="DD73" s="432"/>
      <c r="DE73" s="432"/>
      <c r="DF73" s="432"/>
      <c r="DG73" s="432"/>
      <c r="DH73" s="432"/>
      <c r="DI73" s="432"/>
      <c r="DJ73" s="432"/>
      <c r="DK73" s="432"/>
      <c r="DL73" s="432"/>
      <c r="DM73" s="432"/>
      <c r="DN73" s="432"/>
      <c r="DO73" s="432"/>
      <c r="DP73" s="432"/>
      <c r="DQ73" s="432"/>
      <c r="DR73" s="432"/>
      <c r="DS73" s="432"/>
      <c r="DT73" s="432"/>
      <c r="DU73" s="432"/>
    </row>
    <row r="74" spans="1:125" s="428" customFormat="1" ht="87.75" customHeight="1" thickBot="1">
      <c r="A74" s="453" t="s">
        <v>768</v>
      </c>
      <c r="B74" s="325">
        <v>1600000</v>
      </c>
      <c r="C74" s="456"/>
      <c r="D74" s="456"/>
      <c r="E74" s="456"/>
      <c r="F74" s="338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7"/>
      <c r="AP74" s="684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/>
      <c r="CX74" s="426"/>
      <c r="CY74" s="426"/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</row>
    <row r="75" spans="1:125" s="428" customFormat="1" ht="29.25" customHeight="1" thickBot="1">
      <c r="A75" s="453" t="s">
        <v>769</v>
      </c>
      <c r="B75" s="325">
        <v>3200000</v>
      </c>
      <c r="C75" s="456"/>
      <c r="D75" s="456"/>
      <c r="E75" s="456"/>
      <c r="F75" s="338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</row>
    <row r="76" spans="1:125" s="434" customFormat="1" ht="29.25" customHeight="1" thickBot="1">
      <c r="A76" s="626" t="s">
        <v>766</v>
      </c>
      <c r="B76" s="462"/>
      <c r="C76" s="452"/>
      <c r="D76" s="452">
        <f>2445858+96520</f>
        <v>2542378</v>
      </c>
      <c r="E76" s="452">
        <v>2542375</v>
      </c>
      <c r="F76" s="336">
        <f t="shared" ref="F76:F77" si="4">E76/D76</f>
        <v>0.99999882000237572</v>
      </c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432"/>
      <c r="BA76" s="432"/>
      <c r="BB76" s="432"/>
      <c r="BC76" s="432"/>
      <c r="BD76" s="432"/>
      <c r="BE76" s="432"/>
      <c r="BF76" s="432"/>
      <c r="BG76" s="432"/>
      <c r="BH76" s="432"/>
      <c r="BI76" s="432"/>
      <c r="BJ76" s="432"/>
      <c r="BK76" s="432"/>
      <c r="BL76" s="432"/>
      <c r="BM76" s="432"/>
      <c r="BN76" s="432"/>
      <c r="BO76" s="432"/>
      <c r="BP76" s="432"/>
      <c r="BQ76" s="432"/>
      <c r="BR76" s="432"/>
      <c r="BS76" s="432"/>
      <c r="BT76" s="432"/>
      <c r="BU76" s="432"/>
      <c r="BV76" s="432"/>
      <c r="BW76" s="432"/>
      <c r="BX76" s="432"/>
      <c r="BY76" s="432"/>
      <c r="BZ76" s="432"/>
      <c r="CA76" s="432"/>
      <c r="CB76" s="432"/>
      <c r="CC76" s="432"/>
      <c r="CD76" s="432"/>
      <c r="CE76" s="432"/>
      <c r="CF76" s="432"/>
      <c r="CG76" s="432"/>
      <c r="CH76" s="432"/>
      <c r="CI76" s="432"/>
      <c r="CJ76" s="432"/>
      <c r="CK76" s="432"/>
      <c r="CL76" s="432"/>
      <c r="CM76" s="432"/>
      <c r="CN76" s="432"/>
      <c r="CO76" s="432"/>
      <c r="CP76" s="432"/>
      <c r="CQ76" s="432"/>
      <c r="CR76" s="432"/>
      <c r="CS76" s="432"/>
      <c r="CT76" s="432"/>
      <c r="CU76" s="432"/>
      <c r="CV76" s="432"/>
      <c r="CW76" s="432"/>
      <c r="CX76" s="432"/>
      <c r="CY76" s="432"/>
      <c r="CZ76" s="432"/>
      <c r="DA76" s="432"/>
      <c r="DB76" s="432"/>
      <c r="DC76" s="432"/>
      <c r="DD76" s="432"/>
      <c r="DE76" s="432"/>
      <c r="DF76" s="432"/>
      <c r="DG76" s="432"/>
      <c r="DH76" s="432"/>
      <c r="DI76" s="432"/>
      <c r="DJ76" s="432"/>
      <c r="DK76" s="432"/>
      <c r="DL76" s="432"/>
      <c r="DM76" s="432"/>
      <c r="DN76" s="432"/>
      <c r="DO76" s="432"/>
      <c r="DP76" s="432"/>
      <c r="DQ76" s="432"/>
      <c r="DR76" s="432"/>
      <c r="DS76" s="432"/>
      <c r="DT76" s="432"/>
      <c r="DU76" s="432"/>
    </row>
    <row r="77" spans="1:125" s="434" customFormat="1" ht="29.25" customHeight="1" thickBot="1">
      <c r="A77" s="626" t="s">
        <v>767</v>
      </c>
      <c r="B77" s="462"/>
      <c r="C77" s="452"/>
      <c r="D77" s="452">
        <v>620991</v>
      </c>
      <c r="E77" s="452">
        <v>616400</v>
      </c>
      <c r="F77" s="336">
        <f t="shared" si="4"/>
        <v>0.99260697820097232</v>
      </c>
      <c r="G77" s="304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2"/>
      <c r="AE77" s="432"/>
      <c r="AF77" s="432"/>
      <c r="AG77" s="432"/>
      <c r="AH77" s="432"/>
      <c r="AI77" s="432"/>
      <c r="AJ77" s="432"/>
      <c r="AK77" s="432"/>
      <c r="AL77" s="432"/>
      <c r="AM77" s="432"/>
      <c r="AN77" s="432"/>
      <c r="AO77" s="432"/>
      <c r="AP77" s="432"/>
      <c r="AQ77" s="432"/>
      <c r="AR77" s="432"/>
      <c r="AS77" s="432"/>
      <c r="AT77" s="432"/>
      <c r="AU77" s="432"/>
      <c r="AV77" s="432"/>
      <c r="AW77" s="432"/>
      <c r="AX77" s="432"/>
      <c r="AY77" s="432"/>
      <c r="AZ77" s="432"/>
      <c r="BA77" s="432"/>
      <c r="BB77" s="432"/>
      <c r="BC77" s="432"/>
      <c r="BD77" s="432"/>
      <c r="BE77" s="432"/>
      <c r="BF77" s="432"/>
      <c r="BG77" s="432"/>
      <c r="BH77" s="432"/>
      <c r="BI77" s="432"/>
      <c r="BJ77" s="432"/>
      <c r="BK77" s="432"/>
      <c r="BL77" s="432"/>
      <c r="BM77" s="432"/>
      <c r="BN77" s="432"/>
      <c r="BO77" s="432"/>
      <c r="BP77" s="432"/>
      <c r="BQ77" s="432"/>
      <c r="BR77" s="432"/>
      <c r="BS77" s="432"/>
      <c r="BT77" s="432"/>
      <c r="BU77" s="432"/>
      <c r="BV77" s="432"/>
      <c r="BW77" s="432"/>
      <c r="BX77" s="432"/>
      <c r="BY77" s="432"/>
      <c r="BZ77" s="432"/>
      <c r="CA77" s="432"/>
      <c r="CB77" s="432"/>
      <c r="CC77" s="432"/>
      <c r="CD77" s="432"/>
      <c r="CE77" s="432"/>
      <c r="CF77" s="432"/>
      <c r="CG77" s="432"/>
      <c r="CH77" s="432"/>
      <c r="CI77" s="432"/>
      <c r="CJ77" s="432"/>
      <c r="CK77" s="432"/>
      <c r="CL77" s="432"/>
      <c r="CM77" s="432"/>
      <c r="CN77" s="432"/>
      <c r="CO77" s="432"/>
      <c r="CP77" s="432"/>
      <c r="CQ77" s="432"/>
      <c r="CR77" s="432"/>
      <c r="CS77" s="432"/>
      <c r="CT77" s="432"/>
      <c r="CU77" s="432"/>
      <c r="CV77" s="432"/>
      <c r="CW77" s="432"/>
      <c r="CX77" s="432"/>
      <c r="CY77" s="432"/>
      <c r="CZ77" s="432"/>
      <c r="DA77" s="432"/>
      <c r="DB77" s="432"/>
      <c r="DC77" s="432"/>
      <c r="DD77" s="432"/>
      <c r="DE77" s="432"/>
      <c r="DF77" s="432"/>
      <c r="DG77" s="432"/>
      <c r="DH77" s="432"/>
      <c r="DI77" s="432"/>
      <c r="DJ77" s="432"/>
      <c r="DK77" s="432"/>
      <c r="DL77" s="432"/>
      <c r="DM77" s="432"/>
      <c r="DN77" s="432"/>
      <c r="DO77" s="432"/>
      <c r="DP77" s="432"/>
      <c r="DQ77" s="432"/>
      <c r="DR77" s="432"/>
      <c r="DS77" s="432"/>
      <c r="DT77" s="432"/>
      <c r="DU77" s="432"/>
    </row>
    <row r="78" spans="1:125" s="434" customFormat="1" ht="29.25" customHeight="1" thickBot="1">
      <c r="A78" s="753" t="s">
        <v>852</v>
      </c>
      <c r="B78" s="462"/>
      <c r="C78" s="452"/>
      <c r="D78" s="452"/>
      <c r="E78" s="452">
        <v>795187</v>
      </c>
      <c r="F78" s="336">
        <v>0</v>
      </c>
      <c r="G78" s="304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432"/>
      <c r="AJ78" s="432"/>
      <c r="AK78" s="432"/>
      <c r="AL78" s="432"/>
      <c r="AM78" s="432"/>
      <c r="AN78" s="432"/>
      <c r="AO78" s="432"/>
      <c r="AP78" s="432"/>
      <c r="AQ78" s="432"/>
      <c r="AR78" s="432"/>
      <c r="AS78" s="432"/>
      <c r="AT78" s="432"/>
      <c r="AU78" s="432"/>
      <c r="AV78" s="432"/>
      <c r="AW78" s="432"/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  <c r="BK78" s="432"/>
      <c r="BL78" s="432"/>
      <c r="BM78" s="432"/>
      <c r="BN78" s="432"/>
      <c r="BO78" s="432"/>
      <c r="BP78" s="432"/>
      <c r="BQ78" s="432"/>
      <c r="BR78" s="432"/>
      <c r="BS78" s="432"/>
      <c r="BT78" s="432"/>
      <c r="BU78" s="432"/>
      <c r="BV78" s="432"/>
      <c r="BW78" s="432"/>
      <c r="BX78" s="432"/>
      <c r="BY78" s="432"/>
      <c r="BZ78" s="432"/>
      <c r="CA78" s="432"/>
      <c r="CB78" s="432"/>
      <c r="CC78" s="432"/>
      <c r="CD78" s="432"/>
      <c r="CE78" s="432"/>
      <c r="CF78" s="432"/>
      <c r="CG78" s="432"/>
      <c r="CH78" s="432"/>
      <c r="CI78" s="432"/>
      <c r="CJ78" s="432"/>
      <c r="CK78" s="432"/>
      <c r="CL78" s="432"/>
      <c r="CM78" s="432"/>
      <c r="CN78" s="432"/>
      <c r="CO78" s="432"/>
      <c r="CP78" s="432"/>
      <c r="CQ78" s="432"/>
      <c r="CR78" s="432"/>
      <c r="CS78" s="432"/>
      <c r="CT78" s="432"/>
      <c r="CU78" s="432"/>
      <c r="CV78" s="432"/>
      <c r="CW78" s="432"/>
      <c r="CX78" s="432"/>
      <c r="CY78" s="432"/>
      <c r="CZ78" s="432"/>
      <c r="DA78" s="432"/>
      <c r="DB78" s="432"/>
      <c r="DC78" s="432"/>
      <c r="DD78" s="432"/>
      <c r="DE78" s="432"/>
      <c r="DF78" s="432"/>
      <c r="DG78" s="432"/>
      <c r="DH78" s="432"/>
      <c r="DI78" s="432"/>
      <c r="DJ78" s="432"/>
      <c r="DK78" s="432"/>
      <c r="DL78" s="432"/>
      <c r="DM78" s="432"/>
      <c r="DN78" s="432"/>
      <c r="DO78" s="432"/>
      <c r="DP78" s="432"/>
      <c r="DQ78" s="432"/>
      <c r="DR78" s="432"/>
      <c r="DS78" s="432"/>
      <c r="DT78" s="432"/>
      <c r="DU78" s="432"/>
    </row>
    <row r="79" spans="1:125" s="434" customFormat="1" ht="29.25" customHeight="1" thickBot="1">
      <c r="A79" s="753" t="s">
        <v>853</v>
      </c>
      <c r="B79" s="462"/>
      <c r="C79" s="452"/>
      <c r="D79" s="452"/>
      <c r="E79" s="452">
        <v>427500</v>
      </c>
      <c r="F79" s="336">
        <v>0</v>
      </c>
      <c r="G79" s="304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  <c r="BK79" s="432"/>
      <c r="BL79" s="432"/>
      <c r="BM79" s="432"/>
      <c r="BN79" s="432"/>
      <c r="BO79" s="432"/>
      <c r="BP79" s="432"/>
      <c r="BQ79" s="432"/>
      <c r="BR79" s="432"/>
      <c r="BS79" s="432"/>
      <c r="BT79" s="432"/>
      <c r="BU79" s="432"/>
      <c r="BV79" s="432"/>
      <c r="BW79" s="432"/>
      <c r="BX79" s="432"/>
      <c r="BY79" s="432"/>
      <c r="BZ79" s="432"/>
      <c r="CA79" s="432"/>
      <c r="CB79" s="432"/>
      <c r="CC79" s="432"/>
      <c r="CD79" s="432"/>
      <c r="CE79" s="432"/>
      <c r="CF79" s="432"/>
      <c r="CG79" s="432"/>
      <c r="CH79" s="432"/>
      <c r="CI79" s="432"/>
      <c r="CJ79" s="432"/>
      <c r="CK79" s="432"/>
      <c r="CL79" s="432"/>
      <c r="CM79" s="432"/>
      <c r="CN79" s="432"/>
      <c r="CO79" s="432"/>
      <c r="CP79" s="432"/>
      <c r="CQ79" s="432"/>
      <c r="CR79" s="432"/>
      <c r="CS79" s="432"/>
      <c r="CT79" s="432"/>
      <c r="CU79" s="432"/>
      <c r="CV79" s="432"/>
      <c r="CW79" s="432"/>
      <c r="CX79" s="432"/>
      <c r="CY79" s="432"/>
      <c r="CZ79" s="432"/>
      <c r="DA79" s="432"/>
      <c r="DB79" s="432"/>
      <c r="DC79" s="432"/>
      <c r="DD79" s="432"/>
      <c r="DE79" s="432"/>
      <c r="DF79" s="432"/>
      <c r="DG79" s="432"/>
      <c r="DH79" s="432"/>
      <c r="DI79" s="432"/>
      <c r="DJ79" s="432"/>
      <c r="DK79" s="432"/>
      <c r="DL79" s="432"/>
      <c r="DM79" s="432"/>
      <c r="DN79" s="432"/>
      <c r="DO79" s="432"/>
      <c r="DP79" s="432"/>
      <c r="DQ79" s="432"/>
      <c r="DR79" s="432"/>
      <c r="DS79" s="432"/>
      <c r="DT79" s="432"/>
      <c r="DU79" s="432"/>
    </row>
    <row r="80" spans="1:125" s="428" customFormat="1" ht="39.75" customHeight="1" thickBot="1">
      <c r="A80" s="626" t="s">
        <v>486</v>
      </c>
      <c r="B80" s="325"/>
      <c r="C80" s="452">
        <v>24147000</v>
      </c>
      <c r="D80" s="452">
        <f>SUM(B82:B86)</f>
        <v>25668134</v>
      </c>
      <c r="E80" s="452">
        <f>1756378+41005+13397+50384+11799+17638275</f>
        <v>19511238</v>
      </c>
      <c r="F80" s="336">
        <f>E80/D80</f>
        <v>0.76013464788675333</v>
      </c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7"/>
      <c r="AP80" s="684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/>
      <c r="CX80" s="426"/>
      <c r="CY80" s="426"/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</row>
    <row r="81" spans="1:125" s="428" customFormat="1" ht="21.75" customHeight="1" thickBot="1">
      <c r="A81" s="453" t="s">
        <v>433</v>
      </c>
      <c r="B81" s="325"/>
      <c r="C81" s="452"/>
      <c r="D81" s="452"/>
      <c r="E81" s="452"/>
      <c r="F81" s="33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7"/>
      <c r="AP81" s="684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</row>
    <row r="82" spans="1:125" s="428" customFormat="1" ht="21.75" customHeight="1" thickBot="1">
      <c r="A82" s="453" t="s">
        <v>487</v>
      </c>
      <c r="B82" s="325">
        <v>14000000</v>
      </c>
      <c r="C82" s="452"/>
      <c r="D82" s="452"/>
      <c r="E82" s="452"/>
      <c r="F82" s="33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7"/>
      <c r="AP82" s="684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6"/>
      <c r="DT82" s="426"/>
      <c r="DU82" s="426"/>
    </row>
    <row r="83" spans="1:125" s="428" customFormat="1" ht="21.75" customHeight="1" thickBot="1">
      <c r="A83" s="453" t="s">
        <v>488</v>
      </c>
      <c r="B83" s="325">
        <f>3147000+326000</f>
        <v>3473000</v>
      </c>
      <c r="C83" s="452"/>
      <c r="D83" s="452"/>
      <c r="E83" s="452"/>
      <c r="F83" s="33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7"/>
      <c r="AP83" s="684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</row>
    <row r="84" spans="1:125" s="428" customFormat="1" ht="21.75" customHeight="1" thickBot="1">
      <c r="A84" s="453" t="s">
        <v>489</v>
      </c>
      <c r="B84" s="325">
        <v>2000000</v>
      </c>
      <c r="C84" s="452"/>
      <c r="D84" s="452"/>
      <c r="E84" s="452"/>
      <c r="F84" s="33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7"/>
      <c r="AP84" s="684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</row>
    <row r="85" spans="1:125" s="428" customFormat="1" ht="21.75" customHeight="1" thickBot="1">
      <c r="A85" s="453" t="s">
        <v>490</v>
      </c>
      <c r="B85" s="325">
        <v>1000000</v>
      </c>
      <c r="C85" s="452"/>
      <c r="D85" s="452"/>
      <c r="E85" s="452"/>
      <c r="F85" s="33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7"/>
      <c r="AP85" s="684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/>
      <c r="CX85" s="426"/>
      <c r="CY85" s="426"/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</row>
    <row r="86" spans="1:125" s="428" customFormat="1" ht="21.75" customHeight="1" thickBot="1">
      <c r="A86" s="453" t="s">
        <v>775</v>
      </c>
      <c r="B86" s="325">
        <f>4000000+642734+552400</f>
        <v>5195134</v>
      </c>
      <c r="C86" s="688"/>
      <c r="D86" s="688"/>
      <c r="E86" s="688"/>
      <c r="F86" s="731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7"/>
      <c r="AP86" s="684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/>
      <c r="CU86" s="426"/>
      <c r="CV86" s="426"/>
      <c r="CW86" s="426"/>
      <c r="CX86" s="426"/>
      <c r="CY86" s="426"/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</row>
    <row r="87" spans="1:125" s="428" customFormat="1" ht="27.75" customHeight="1" thickBot="1">
      <c r="A87" s="689" t="s">
        <v>492</v>
      </c>
      <c r="B87" s="690"/>
      <c r="C87" s="688">
        <v>67450000</v>
      </c>
      <c r="D87" s="688">
        <f>67450000-42300000</f>
        <v>25150000</v>
      </c>
      <c r="E87" s="688">
        <v>25168670</v>
      </c>
      <c r="F87" s="336">
        <f>E87/D87</f>
        <v>1.0007423459244533</v>
      </c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691"/>
      <c r="AN87" s="692"/>
      <c r="AO87" s="692"/>
      <c r="AP87" s="693"/>
      <c r="AQ87" s="426"/>
      <c r="AR87" s="426"/>
      <c r="AS87" s="426"/>
      <c r="AT87" s="426"/>
      <c r="AU87" s="426"/>
      <c r="AV87" s="426"/>
      <c r="AW87" s="426"/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/>
      <c r="CO87" s="426"/>
      <c r="CP87" s="426"/>
      <c r="CQ87" s="426"/>
      <c r="CR87" s="426"/>
      <c r="CS87" s="426"/>
      <c r="CT87" s="426"/>
      <c r="CU87" s="426"/>
      <c r="CV87" s="426"/>
      <c r="CW87" s="426"/>
      <c r="CX87" s="426"/>
      <c r="CY87" s="426"/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</row>
    <row r="88" spans="1:125" s="699" customFormat="1" ht="28.5" customHeight="1">
      <c r="A88" s="626" t="s">
        <v>495</v>
      </c>
      <c r="B88" s="694"/>
      <c r="C88" s="452">
        <v>23828000</v>
      </c>
      <c r="D88" s="452">
        <v>9192375</v>
      </c>
      <c r="E88" s="452">
        <f>1055271+957975+698500+556000</f>
        <v>3267746</v>
      </c>
      <c r="F88" s="336">
        <f>E88/D88</f>
        <v>0.35548440963298383</v>
      </c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695"/>
      <c r="AN88" s="696"/>
      <c r="AO88" s="696"/>
      <c r="AP88" s="697"/>
      <c r="AQ88" s="426"/>
      <c r="AR88" s="426"/>
      <c r="AS88" s="426"/>
      <c r="AT88" s="426"/>
      <c r="AU88" s="426"/>
      <c r="AV88" s="426"/>
      <c r="AW88" s="426"/>
      <c r="AX88" s="426"/>
      <c r="AY88" s="426"/>
      <c r="AZ88" s="698"/>
      <c r="BA88" s="698"/>
      <c r="BB88" s="698"/>
      <c r="BC88" s="698"/>
      <c r="BD88" s="698"/>
      <c r="BE88" s="698"/>
      <c r="BF88" s="698"/>
      <c r="BG88" s="698"/>
      <c r="BH88" s="698"/>
      <c r="BI88" s="698"/>
      <c r="BJ88" s="698"/>
      <c r="BK88" s="698"/>
      <c r="BL88" s="698"/>
      <c r="BM88" s="698"/>
      <c r="BN88" s="698"/>
      <c r="BO88" s="698"/>
      <c r="BP88" s="698"/>
      <c r="BQ88" s="698"/>
      <c r="BR88" s="698"/>
      <c r="BS88" s="698"/>
      <c r="BT88" s="698"/>
      <c r="BU88" s="698"/>
      <c r="BV88" s="698"/>
      <c r="BW88" s="698"/>
      <c r="BX88" s="698"/>
      <c r="BY88" s="698"/>
      <c r="BZ88" s="698"/>
      <c r="CA88" s="698"/>
      <c r="CB88" s="698"/>
      <c r="CC88" s="698"/>
      <c r="CD88" s="698"/>
      <c r="CE88" s="698"/>
      <c r="CF88" s="698"/>
      <c r="CG88" s="698"/>
      <c r="CH88" s="698"/>
      <c r="CI88" s="698"/>
      <c r="CJ88" s="698"/>
      <c r="CK88" s="698"/>
      <c r="CL88" s="698"/>
      <c r="CM88" s="698"/>
      <c r="CN88" s="698"/>
      <c r="CO88" s="698"/>
      <c r="CP88" s="698"/>
      <c r="CQ88" s="698"/>
      <c r="CR88" s="698"/>
      <c r="CS88" s="698"/>
      <c r="CT88" s="698"/>
      <c r="CU88" s="698"/>
      <c r="CV88" s="698"/>
      <c r="CW88" s="698"/>
      <c r="CX88" s="698"/>
      <c r="CY88" s="698"/>
      <c r="CZ88" s="698"/>
      <c r="DA88" s="698"/>
      <c r="DB88" s="698"/>
      <c r="DC88" s="698"/>
      <c r="DD88" s="698"/>
      <c r="DE88" s="698"/>
      <c r="DF88" s="698"/>
      <c r="DG88" s="698"/>
      <c r="DH88" s="698"/>
      <c r="DI88" s="698"/>
      <c r="DJ88" s="698"/>
      <c r="DK88" s="698"/>
      <c r="DL88" s="698"/>
      <c r="DM88" s="698"/>
      <c r="DN88" s="698"/>
      <c r="DO88" s="698"/>
      <c r="DP88" s="698"/>
      <c r="DQ88" s="698"/>
      <c r="DR88" s="698"/>
      <c r="DS88" s="698"/>
      <c r="DT88" s="698"/>
      <c r="DU88" s="698"/>
    </row>
    <row r="89" spans="1:125" s="699" customFormat="1" ht="39" customHeight="1">
      <c r="A89" s="453" t="s">
        <v>780</v>
      </c>
      <c r="B89" s="325"/>
      <c r="C89" s="456"/>
      <c r="D89" s="456"/>
      <c r="E89" s="456"/>
      <c r="F89" s="338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695"/>
      <c r="AN89" s="696"/>
      <c r="AO89" s="696"/>
      <c r="AP89" s="697"/>
      <c r="AQ89" s="426"/>
      <c r="AR89" s="426"/>
      <c r="AS89" s="426"/>
      <c r="AT89" s="426"/>
      <c r="AU89" s="426"/>
      <c r="AV89" s="426"/>
      <c r="AW89" s="426"/>
      <c r="AX89" s="426"/>
      <c r="AY89" s="426"/>
      <c r="AZ89" s="698"/>
      <c r="BA89" s="698"/>
      <c r="BB89" s="698"/>
      <c r="BC89" s="698"/>
      <c r="BD89" s="698"/>
      <c r="BE89" s="698"/>
      <c r="BF89" s="698"/>
      <c r="BG89" s="698"/>
      <c r="BH89" s="698"/>
      <c r="BI89" s="698"/>
      <c r="BJ89" s="698"/>
      <c r="BK89" s="698"/>
      <c r="BL89" s="698"/>
      <c r="BM89" s="698"/>
      <c r="BN89" s="698"/>
      <c r="BO89" s="698"/>
      <c r="BP89" s="698"/>
      <c r="BQ89" s="698"/>
      <c r="BR89" s="698"/>
      <c r="BS89" s="698"/>
      <c r="BT89" s="698"/>
      <c r="BU89" s="698"/>
      <c r="BV89" s="698"/>
      <c r="BW89" s="698"/>
      <c r="BX89" s="698"/>
      <c r="BY89" s="698"/>
      <c r="BZ89" s="698"/>
      <c r="CA89" s="698"/>
      <c r="CB89" s="698"/>
      <c r="CC89" s="698"/>
      <c r="CD89" s="698"/>
      <c r="CE89" s="698"/>
      <c r="CF89" s="698"/>
      <c r="CG89" s="698"/>
      <c r="CH89" s="698"/>
      <c r="CI89" s="698"/>
      <c r="CJ89" s="698"/>
      <c r="CK89" s="698"/>
      <c r="CL89" s="698"/>
      <c r="CM89" s="698"/>
      <c r="CN89" s="698"/>
      <c r="CO89" s="698"/>
      <c r="CP89" s="698"/>
      <c r="CQ89" s="698"/>
      <c r="CR89" s="698"/>
      <c r="CS89" s="698"/>
      <c r="CT89" s="698"/>
      <c r="CU89" s="698"/>
      <c r="CV89" s="698"/>
      <c r="CW89" s="698"/>
      <c r="CX89" s="698"/>
      <c r="CY89" s="698"/>
      <c r="CZ89" s="698"/>
      <c r="DA89" s="698"/>
      <c r="DB89" s="698"/>
      <c r="DC89" s="698"/>
      <c r="DD89" s="698"/>
      <c r="DE89" s="698"/>
      <c r="DF89" s="698"/>
      <c r="DG89" s="698"/>
      <c r="DH89" s="698"/>
      <c r="DI89" s="698"/>
      <c r="DJ89" s="698"/>
      <c r="DK89" s="698"/>
      <c r="DL89" s="698"/>
      <c r="DM89" s="698"/>
      <c r="DN89" s="698"/>
      <c r="DO89" s="698"/>
      <c r="DP89" s="698"/>
      <c r="DQ89" s="698"/>
      <c r="DR89" s="698"/>
      <c r="DS89" s="698"/>
      <c r="DT89" s="698"/>
      <c r="DU89" s="698"/>
    </row>
    <row r="90" spans="1:125" s="699" customFormat="1" ht="30.75" customHeight="1">
      <c r="A90" s="453" t="s">
        <v>781</v>
      </c>
      <c r="B90" s="325"/>
      <c r="C90" s="456"/>
      <c r="D90" s="456"/>
      <c r="E90" s="456"/>
      <c r="F90" s="338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695"/>
      <c r="AN90" s="696"/>
      <c r="AO90" s="696"/>
      <c r="AP90" s="697"/>
      <c r="AQ90" s="426"/>
      <c r="AR90" s="426"/>
      <c r="AS90" s="426"/>
      <c r="AT90" s="426"/>
      <c r="AU90" s="426"/>
      <c r="AV90" s="426"/>
      <c r="AW90" s="426"/>
      <c r="AX90" s="426"/>
      <c r="AY90" s="426"/>
      <c r="AZ90" s="698"/>
      <c r="BA90" s="698"/>
      <c r="BB90" s="698"/>
      <c r="BC90" s="698"/>
      <c r="BD90" s="698"/>
      <c r="BE90" s="698"/>
      <c r="BF90" s="698"/>
      <c r="BG90" s="698"/>
      <c r="BH90" s="698"/>
      <c r="BI90" s="698"/>
      <c r="BJ90" s="698"/>
      <c r="BK90" s="698"/>
      <c r="BL90" s="698"/>
      <c r="BM90" s="698"/>
      <c r="BN90" s="698"/>
      <c r="BO90" s="698"/>
      <c r="BP90" s="698"/>
      <c r="BQ90" s="698"/>
      <c r="BR90" s="698"/>
      <c r="BS90" s="698"/>
      <c r="BT90" s="698"/>
      <c r="BU90" s="698"/>
      <c r="BV90" s="698"/>
      <c r="BW90" s="698"/>
      <c r="BX90" s="698"/>
      <c r="BY90" s="698"/>
      <c r="BZ90" s="698"/>
      <c r="CA90" s="698"/>
      <c r="CB90" s="698"/>
      <c r="CC90" s="698"/>
      <c r="CD90" s="698"/>
      <c r="CE90" s="698"/>
      <c r="CF90" s="698"/>
      <c r="CG90" s="698"/>
      <c r="CH90" s="698"/>
      <c r="CI90" s="698"/>
      <c r="CJ90" s="698"/>
      <c r="CK90" s="698"/>
      <c r="CL90" s="698"/>
      <c r="CM90" s="698"/>
      <c r="CN90" s="698"/>
      <c r="CO90" s="698"/>
      <c r="CP90" s="698"/>
      <c r="CQ90" s="698"/>
      <c r="CR90" s="698"/>
      <c r="CS90" s="698"/>
      <c r="CT90" s="698"/>
      <c r="CU90" s="698"/>
      <c r="CV90" s="698"/>
      <c r="CW90" s="698"/>
      <c r="CX90" s="698"/>
      <c r="CY90" s="698"/>
      <c r="CZ90" s="698"/>
      <c r="DA90" s="698"/>
      <c r="DB90" s="698"/>
      <c r="DC90" s="698"/>
      <c r="DD90" s="698"/>
      <c r="DE90" s="698"/>
      <c r="DF90" s="698"/>
      <c r="DG90" s="698"/>
      <c r="DH90" s="698"/>
      <c r="DI90" s="698"/>
      <c r="DJ90" s="698"/>
      <c r="DK90" s="698"/>
      <c r="DL90" s="698"/>
      <c r="DM90" s="698"/>
      <c r="DN90" s="698"/>
      <c r="DO90" s="698"/>
      <c r="DP90" s="698"/>
      <c r="DQ90" s="698"/>
      <c r="DR90" s="698"/>
      <c r="DS90" s="698"/>
      <c r="DT90" s="698"/>
      <c r="DU90" s="698"/>
    </row>
    <row r="91" spans="1:125" s="699" customFormat="1" ht="30.75" customHeight="1">
      <c r="A91" s="453" t="s">
        <v>782</v>
      </c>
      <c r="B91" s="325"/>
      <c r="C91" s="456"/>
      <c r="D91" s="456"/>
      <c r="E91" s="456"/>
      <c r="F91" s="338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695"/>
      <c r="AN91" s="696"/>
      <c r="AO91" s="696"/>
      <c r="AP91" s="697"/>
      <c r="AQ91" s="426"/>
      <c r="AR91" s="426"/>
      <c r="AS91" s="426"/>
      <c r="AT91" s="426"/>
      <c r="AU91" s="426"/>
      <c r="AV91" s="426"/>
      <c r="AW91" s="426"/>
      <c r="AX91" s="426"/>
      <c r="AY91" s="426"/>
      <c r="AZ91" s="698"/>
      <c r="BA91" s="698"/>
      <c r="BB91" s="698"/>
      <c r="BC91" s="698"/>
      <c r="BD91" s="698"/>
      <c r="BE91" s="698"/>
      <c r="BF91" s="698"/>
      <c r="BG91" s="698"/>
      <c r="BH91" s="698"/>
      <c r="BI91" s="698"/>
      <c r="BJ91" s="698"/>
      <c r="BK91" s="698"/>
      <c r="BL91" s="698"/>
      <c r="BM91" s="698"/>
      <c r="BN91" s="698"/>
      <c r="BO91" s="698"/>
      <c r="BP91" s="698"/>
      <c r="BQ91" s="698"/>
      <c r="BR91" s="698"/>
      <c r="BS91" s="698"/>
      <c r="BT91" s="698"/>
      <c r="BU91" s="698"/>
      <c r="BV91" s="698"/>
      <c r="BW91" s="698"/>
      <c r="BX91" s="698"/>
      <c r="BY91" s="698"/>
      <c r="BZ91" s="698"/>
      <c r="CA91" s="698"/>
      <c r="CB91" s="698"/>
      <c r="CC91" s="698"/>
      <c r="CD91" s="698"/>
      <c r="CE91" s="698"/>
      <c r="CF91" s="698"/>
      <c r="CG91" s="698"/>
      <c r="CH91" s="698"/>
      <c r="CI91" s="698"/>
      <c r="CJ91" s="698"/>
      <c r="CK91" s="698"/>
      <c r="CL91" s="698"/>
      <c r="CM91" s="698"/>
      <c r="CN91" s="698"/>
      <c r="CO91" s="698"/>
      <c r="CP91" s="698"/>
      <c r="CQ91" s="698"/>
      <c r="CR91" s="698"/>
      <c r="CS91" s="698"/>
      <c r="CT91" s="698"/>
      <c r="CU91" s="698"/>
      <c r="CV91" s="698"/>
      <c r="CW91" s="698"/>
      <c r="CX91" s="698"/>
      <c r="CY91" s="698"/>
      <c r="CZ91" s="698"/>
      <c r="DA91" s="698"/>
      <c r="DB91" s="698"/>
      <c r="DC91" s="698"/>
      <c r="DD91" s="698"/>
      <c r="DE91" s="698"/>
      <c r="DF91" s="698"/>
      <c r="DG91" s="698"/>
      <c r="DH91" s="698"/>
      <c r="DI91" s="698"/>
      <c r="DJ91" s="698"/>
      <c r="DK91" s="698"/>
      <c r="DL91" s="698"/>
      <c r="DM91" s="698"/>
      <c r="DN91" s="698"/>
      <c r="DO91" s="698"/>
      <c r="DP91" s="698"/>
      <c r="DQ91" s="698"/>
      <c r="DR91" s="698"/>
      <c r="DS91" s="698"/>
      <c r="DT91" s="698"/>
      <c r="DU91" s="698"/>
    </row>
    <row r="92" spans="1:125" s="699" customFormat="1" ht="30.75" customHeight="1">
      <c r="A92" s="453" t="s">
        <v>783</v>
      </c>
      <c r="B92" s="325">
        <v>698500</v>
      </c>
      <c r="C92" s="456"/>
      <c r="D92" s="456"/>
      <c r="E92" s="456"/>
      <c r="F92" s="338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695"/>
      <c r="AN92" s="696"/>
      <c r="AO92" s="696"/>
      <c r="AP92" s="697"/>
      <c r="AQ92" s="300"/>
      <c r="AR92" s="426"/>
      <c r="AS92" s="300"/>
      <c r="AT92" s="426"/>
      <c r="AU92" s="426"/>
      <c r="AV92" s="426"/>
      <c r="AW92" s="426"/>
      <c r="AX92" s="426"/>
      <c r="AY92" s="426"/>
      <c r="AZ92" s="698"/>
      <c r="BA92" s="698"/>
      <c r="BB92" s="698"/>
      <c r="BC92" s="698"/>
      <c r="BD92" s="698"/>
      <c r="BE92" s="698"/>
      <c r="BF92" s="698"/>
      <c r="BG92" s="698"/>
      <c r="BH92" s="698"/>
      <c r="BI92" s="698"/>
      <c r="BJ92" s="698"/>
      <c r="BK92" s="698"/>
      <c r="BL92" s="698"/>
      <c r="BM92" s="698"/>
      <c r="BN92" s="698"/>
      <c r="BO92" s="698"/>
      <c r="BP92" s="698"/>
      <c r="BQ92" s="698"/>
      <c r="BR92" s="698"/>
      <c r="BS92" s="698"/>
      <c r="BT92" s="698"/>
      <c r="BU92" s="698"/>
      <c r="BV92" s="698"/>
      <c r="BW92" s="698"/>
      <c r="BX92" s="698"/>
      <c r="BY92" s="698"/>
      <c r="BZ92" s="698"/>
      <c r="CA92" s="698"/>
      <c r="CB92" s="698"/>
      <c r="CC92" s="698"/>
      <c r="CD92" s="698"/>
      <c r="CE92" s="698"/>
      <c r="CF92" s="698"/>
      <c r="CG92" s="698"/>
      <c r="CH92" s="698"/>
      <c r="CI92" s="698"/>
      <c r="CJ92" s="698"/>
      <c r="CK92" s="698"/>
      <c r="CL92" s="698"/>
      <c r="CM92" s="698"/>
      <c r="CN92" s="698"/>
      <c r="CO92" s="698"/>
      <c r="CP92" s="698"/>
      <c r="CQ92" s="698"/>
      <c r="CR92" s="698"/>
      <c r="CS92" s="698"/>
      <c r="CT92" s="698"/>
      <c r="CU92" s="698"/>
      <c r="CV92" s="698"/>
      <c r="CW92" s="698"/>
      <c r="CX92" s="698"/>
      <c r="CY92" s="698"/>
      <c r="CZ92" s="698"/>
      <c r="DA92" s="698"/>
      <c r="DB92" s="698"/>
      <c r="DC92" s="698"/>
      <c r="DD92" s="698"/>
      <c r="DE92" s="698"/>
      <c r="DF92" s="698"/>
      <c r="DG92" s="698"/>
      <c r="DH92" s="698"/>
      <c r="DI92" s="698"/>
      <c r="DJ92" s="698"/>
      <c r="DK92" s="698"/>
      <c r="DL92" s="698"/>
      <c r="DM92" s="698"/>
      <c r="DN92" s="698"/>
      <c r="DO92" s="698"/>
      <c r="DP92" s="698"/>
      <c r="DQ92" s="698"/>
      <c r="DR92" s="698"/>
      <c r="DS92" s="698"/>
      <c r="DT92" s="698"/>
      <c r="DU92" s="698"/>
    </row>
    <row r="93" spans="1:125" s="699" customFormat="1" ht="37.5" customHeight="1">
      <c r="A93" s="453" t="s">
        <v>836</v>
      </c>
      <c r="B93" s="325">
        <v>1055271</v>
      </c>
      <c r="C93" s="456"/>
      <c r="D93" s="455"/>
      <c r="E93" s="455"/>
      <c r="F93" s="339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698"/>
      <c r="BN93" s="698"/>
      <c r="BO93" s="698"/>
      <c r="BP93" s="698"/>
      <c r="BQ93" s="698"/>
      <c r="BR93" s="698"/>
      <c r="BS93" s="698"/>
      <c r="BT93" s="698"/>
      <c r="BU93" s="698"/>
    </row>
    <row r="94" spans="1:125" s="699" customFormat="1" ht="28.5" customHeight="1">
      <c r="A94" s="453" t="s">
        <v>786</v>
      </c>
      <c r="B94" s="325">
        <v>957975</v>
      </c>
      <c r="C94" s="456"/>
      <c r="D94" s="455"/>
      <c r="E94" s="455"/>
      <c r="F94" s="339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698"/>
      <c r="BN94" s="698"/>
      <c r="BO94" s="698"/>
      <c r="BP94" s="698"/>
      <c r="BQ94" s="698"/>
      <c r="BR94" s="698"/>
      <c r="BS94" s="698"/>
      <c r="BT94" s="698"/>
      <c r="BU94" s="698"/>
    </row>
    <row r="95" spans="1:125" s="699" customFormat="1" ht="28.5" customHeight="1" thickBot="1">
      <c r="A95" s="453" t="s">
        <v>787</v>
      </c>
      <c r="B95" s="325">
        <v>556000</v>
      </c>
      <c r="C95" s="456"/>
      <c r="D95" s="455"/>
      <c r="E95" s="455"/>
      <c r="F95" s="339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698"/>
      <c r="BN95" s="698"/>
      <c r="BO95" s="698"/>
      <c r="BP95" s="698"/>
      <c r="BQ95" s="698"/>
      <c r="BR95" s="698"/>
      <c r="BS95" s="698"/>
      <c r="BT95" s="698"/>
      <c r="BU95" s="698"/>
    </row>
    <row r="96" spans="1:125" s="434" customFormat="1" ht="55.5" customHeight="1" thickBot="1">
      <c r="A96" s="479" t="s">
        <v>794</v>
      </c>
      <c r="B96" s="700"/>
      <c r="C96" s="452"/>
      <c r="D96" s="452">
        <f>22921875+3810000</f>
        <v>26731875</v>
      </c>
      <c r="E96" s="452">
        <v>36591390</v>
      </c>
      <c r="F96" s="336">
        <f t="shared" ref="F96:F102" si="5">E96/D96</f>
        <v>1.3688299081153117</v>
      </c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2"/>
      <c r="AC96" s="432"/>
      <c r="AD96" s="432"/>
      <c r="AE96" s="432"/>
      <c r="AF96" s="432"/>
      <c r="AG96" s="432"/>
      <c r="AH96" s="432"/>
      <c r="AI96" s="432"/>
      <c r="AJ96" s="432"/>
      <c r="AK96" s="432"/>
      <c r="AL96" s="432"/>
      <c r="AM96" s="432"/>
      <c r="AN96" s="432"/>
      <c r="AO96" s="432"/>
      <c r="AP96" s="432"/>
      <c r="AQ96" s="432"/>
      <c r="AR96" s="432"/>
      <c r="AS96" s="432"/>
      <c r="AT96" s="432"/>
      <c r="AU96" s="432"/>
      <c r="AV96" s="432"/>
      <c r="AW96" s="432"/>
      <c r="AX96" s="432"/>
      <c r="AY96" s="432"/>
      <c r="AZ96" s="432"/>
      <c r="BA96" s="432"/>
      <c r="BB96" s="432"/>
      <c r="BC96" s="432"/>
      <c r="BD96" s="432"/>
      <c r="BE96" s="432"/>
      <c r="BF96" s="432"/>
      <c r="BG96" s="432"/>
      <c r="BH96" s="432"/>
      <c r="BI96" s="432"/>
      <c r="BJ96" s="432"/>
      <c r="BK96" s="432"/>
      <c r="BL96" s="432"/>
      <c r="BM96" s="432"/>
      <c r="BN96" s="432"/>
      <c r="BO96" s="432"/>
      <c r="BP96" s="432"/>
      <c r="BQ96" s="432"/>
      <c r="BR96" s="432"/>
      <c r="BS96" s="432"/>
      <c r="BT96" s="432"/>
      <c r="BU96" s="432"/>
    </row>
    <row r="97" spans="1:125" s="434" customFormat="1" ht="38.25" customHeight="1" thickBot="1">
      <c r="A97" s="479" t="s">
        <v>795</v>
      </c>
      <c r="B97" s="700"/>
      <c r="C97" s="452"/>
      <c r="D97" s="452">
        <v>4230000</v>
      </c>
      <c r="E97" s="452">
        <v>5809730</v>
      </c>
      <c r="F97" s="336">
        <f t="shared" si="5"/>
        <v>1.3734586288416075</v>
      </c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432"/>
      <c r="BH97" s="432"/>
      <c r="BI97" s="432"/>
      <c r="BJ97" s="432"/>
      <c r="BK97" s="432"/>
      <c r="BL97" s="432"/>
      <c r="BM97" s="432"/>
      <c r="BN97" s="432"/>
      <c r="BO97" s="432"/>
      <c r="BP97" s="432"/>
      <c r="BQ97" s="432"/>
      <c r="BR97" s="432"/>
      <c r="BS97" s="432"/>
      <c r="BT97" s="432"/>
      <c r="BU97" s="432"/>
    </row>
    <row r="98" spans="1:125" s="434" customFormat="1" ht="38.25" customHeight="1" thickBot="1">
      <c r="A98" s="479" t="s">
        <v>796</v>
      </c>
      <c r="B98" s="700"/>
      <c r="C98" s="452"/>
      <c r="D98" s="452">
        <f>5592180+2476500</f>
        <v>8068680</v>
      </c>
      <c r="E98" s="452">
        <v>3006735</v>
      </c>
      <c r="F98" s="337">
        <f t="shared" si="5"/>
        <v>0.37264273710197948</v>
      </c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2"/>
      <c r="Z98" s="432"/>
      <c r="AA98" s="432"/>
      <c r="AB98" s="432"/>
      <c r="AC98" s="432"/>
      <c r="AD98" s="432"/>
      <c r="AE98" s="432"/>
      <c r="AF98" s="432"/>
      <c r="AG98" s="432"/>
      <c r="AH98" s="432"/>
      <c r="AI98" s="432"/>
      <c r="AJ98" s="432"/>
      <c r="AK98" s="432"/>
      <c r="AL98" s="432"/>
      <c r="AM98" s="432"/>
      <c r="AN98" s="432"/>
      <c r="AO98" s="432"/>
      <c r="AP98" s="432"/>
      <c r="AQ98" s="432"/>
      <c r="AR98" s="432"/>
      <c r="AS98" s="432"/>
      <c r="AT98" s="432"/>
      <c r="AU98" s="432"/>
      <c r="AV98" s="432"/>
      <c r="AW98" s="432"/>
      <c r="AX98" s="432"/>
      <c r="AY98" s="432"/>
      <c r="AZ98" s="432"/>
      <c r="BA98" s="432"/>
      <c r="BB98" s="432"/>
      <c r="BC98" s="432"/>
      <c r="BD98" s="432"/>
      <c r="BE98" s="432"/>
      <c r="BF98" s="432"/>
      <c r="BG98" s="432"/>
      <c r="BH98" s="432"/>
      <c r="BI98" s="432"/>
      <c r="BJ98" s="432"/>
      <c r="BK98" s="432"/>
      <c r="BL98" s="432"/>
      <c r="BM98" s="432"/>
      <c r="BN98" s="432"/>
      <c r="BO98" s="432"/>
      <c r="BP98" s="432"/>
      <c r="BQ98" s="432"/>
      <c r="BR98" s="432"/>
      <c r="BS98" s="432"/>
      <c r="BT98" s="432"/>
      <c r="BU98" s="432"/>
    </row>
    <row r="99" spans="1:125" s="434" customFormat="1" ht="52.5" customHeight="1" thickBot="1">
      <c r="A99" s="479" t="s">
        <v>797</v>
      </c>
      <c r="B99" s="700"/>
      <c r="C99" s="452"/>
      <c r="D99" s="452">
        <f>50993069-117260-6284708</f>
        <v>44591101</v>
      </c>
      <c r="E99" s="452">
        <v>23536303</v>
      </c>
      <c r="F99" s="337">
        <f t="shared" si="5"/>
        <v>0.52782511470169802</v>
      </c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  <c r="AG99" s="432"/>
      <c r="AH99" s="432"/>
      <c r="AI99" s="432"/>
      <c r="AJ99" s="432"/>
      <c r="AK99" s="432"/>
      <c r="AL99" s="432"/>
      <c r="AM99" s="432"/>
      <c r="AN99" s="432"/>
      <c r="AO99" s="432"/>
      <c r="AP99" s="432"/>
      <c r="AQ99" s="432"/>
      <c r="AR99" s="432"/>
      <c r="AS99" s="432"/>
      <c r="AT99" s="432"/>
      <c r="AU99" s="432"/>
      <c r="AV99" s="432"/>
      <c r="AW99" s="432"/>
      <c r="AX99" s="432"/>
      <c r="AY99" s="432"/>
      <c r="AZ99" s="432"/>
      <c r="BA99" s="432"/>
      <c r="BB99" s="432"/>
      <c r="BC99" s="432"/>
      <c r="BD99" s="432"/>
      <c r="BE99" s="432"/>
      <c r="BF99" s="432"/>
      <c r="BG99" s="432"/>
      <c r="BH99" s="432"/>
      <c r="BI99" s="432"/>
      <c r="BJ99" s="432"/>
      <c r="BK99" s="432"/>
      <c r="BL99" s="432"/>
      <c r="BM99" s="432"/>
      <c r="BN99" s="432"/>
      <c r="BO99" s="432"/>
      <c r="BP99" s="432"/>
      <c r="BQ99" s="432"/>
      <c r="BR99" s="432"/>
      <c r="BS99" s="432"/>
      <c r="BT99" s="432"/>
      <c r="BU99" s="432"/>
    </row>
    <row r="100" spans="1:125" s="434" customFormat="1" ht="34.5" customHeight="1" thickBot="1">
      <c r="A100" s="479" t="s">
        <v>799</v>
      </c>
      <c r="B100" s="700"/>
      <c r="C100" s="452"/>
      <c r="D100" s="468">
        <f>4910800+1821600</f>
        <v>6732400</v>
      </c>
      <c r="E100" s="468">
        <v>4196635</v>
      </c>
      <c r="F100" s="337">
        <f t="shared" si="5"/>
        <v>0.62334902857821872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</row>
    <row r="101" spans="1:125" s="434" customFormat="1" ht="43.5" customHeight="1" thickBot="1">
      <c r="A101" s="479" t="s">
        <v>800</v>
      </c>
      <c r="B101" s="700"/>
      <c r="C101" s="452"/>
      <c r="D101" s="468">
        <f>4530697+2457393</f>
        <v>6988090</v>
      </c>
      <c r="E101" s="468">
        <v>264219</v>
      </c>
      <c r="F101" s="337">
        <f t="shared" si="5"/>
        <v>3.7809902276587738E-2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  <c r="AG101" s="432"/>
      <c r="AH101" s="432"/>
      <c r="AI101" s="432"/>
      <c r="AJ101" s="432"/>
      <c r="AK101" s="432"/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W101" s="432"/>
      <c r="AX101" s="432"/>
      <c r="AY101" s="432"/>
      <c r="AZ101" s="432"/>
      <c r="BA101" s="432"/>
      <c r="BB101" s="432"/>
      <c r="BC101" s="432"/>
      <c r="BD101" s="432"/>
      <c r="BE101" s="432"/>
      <c r="BF101" s="432"/>
      <c r="BG101" s="432"/>
      <c r="BH101" s="432"/>
      <c r="BI101" s="432"/>
      <c r="BJ101" s="432"/>
      <c r="BK101" s="432"/>
      <c r="BL101" s="432"/>
      <c r="BM101" s="432"/>
      <c r="BN101" s="432"/>
      <c r="BO101" s="432"/>
      <c r="BP101" s="432"/>
      <c r="BQ101" s="432"/>
      <c r="BR101" s="432"/>
      <c r="BS101" s="432"/>
      <c r="BT101" s="432"/>
      <c r="BU101" s="432"/>
    </row>
    <row r="102" spans="1:125" s="434" customFormat="1" ht="43.5" customHeight="1" thickBot="1">
      <c r="A102" s="479" t="s">
        <v>801</v>
      </c>
      <c r="B102" s="700"/>
      <c r="C102" s="452"/>
      <c r="D102" s="468">
        <f>990000+6933000</f>
        <v>7923000</v>
      </c>
      <c r="E102" s="468">
        <v>213472</v>
      </c>
      <c r="F102" s="337">
        <f t="shared" si="5"/>
        <v>2.6943329546888804E-2</v>
      </c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32"/>
      <c r="AW102" s="432"/>
      <c r="AX102" s="432"/>
      <c r="AY102" s="432"/>
      <c r="AZ102" s="432"/>
      <c r="BA102" s="432"/>
      <c r="BB102" s="432"/>
      <c r="BC102" s="432"/>
      <c r="BD102" s="432"/>
      <c r="BE102" s="432"/>
      <c r="BF102" s="432"/>
      <c r="BG102" s="432"/>
      <c r="BH102" s="432"/>
      <c r="BI102" s="432"/>
      <c r="BJ102" s="432"/>
      <c r="BK102" s="432"/>
      <c r="BL102" s="432"/>
      <c r="BM102" s="432"/>
      <c r="BN102" s="432"/>
      <c r="BO102" s="432"/>
      <c r="BP102" s="432"/>
      <c r="BQ102" s="432"/>
      <c r="BR102" s="432"/>
      <c r="BS102" s="432"/>
      <c r="BT102" s="432"/>
      <c r="BU102" s="432"/>
    </row>
    <row r="103" spans="1:125" s="295" customFormat="1" ht="66.75" customHeight="1" thickBot="1">
      <c r="A103" s="672" t="s">
        <v>463</v>
      </c>
      <c r="B103" s="686"/>
      <c r="C103" s="674" t="s">
        <v>350</v>
      </c>
      <c r="D103" s="687" t="s">
        <v>351</v>
      </c>
      <c r="E103" s="674" t="s">
        <v>288</v>
      </c>
      <c r="F103" s="727" t="s">
        <v>289</v>
      </c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4"/>
    </row>
    <row r="104" spans="1:125" s="466" customFormat="1" ht="53.25" customHeight="1" thickBot="1">
      <c r="A104" s="885" t="s">
        <v>789</v>
      </c>
      <c r="B104" s="886"/>
      <c r="C104" s="467"/>
      <c r="D104" s="467">
        <f>SUM(B105:B105)</f>
        <v>2943432</v>
      </c>
      <c r="E104" s="467">
        <v>3046052</v>
      </c>
      <c r="F104" s="337">
        <f>E104/D104</f>
        <v>1.0348640634470236</v>
      </c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  <c r="AA104" s="444"/>
      <c r="AB104" s="444"/>
      <c r="AC104" s="444"/>
      <c r="AD104" s="444"/>
      <c r="AE104" s="444"/>
      <c r="AF104" s="444"/>
      <c r="AG104" s="444"/>
      <c r="AH104" s="444"/>
      <c r="AI104" s="444"/>
      <c r="AJ104" s="444"/>
      <c r="AK104" s="444"/>
      <c r="AL104" s="444"/>
      <c r="AM104" s="701"/>
      <c r="AN104" s="702"/>
      <c r="AO104" s="702"/>
      <c r="AP104" s="703"/>
      <c r="AQ104" s="444"/>
      <c r="AR104" s="444"/>
      <c r="AS104" s="444"/>
      <c r="AT104" s="444"/>
      <c r="AU104" s="444"/>
      <c r="AV104" s="444"/>
      <c r="AW104" s="444"/>
      <c r="AX104" s="444"/>
      <c r="AY104" s="444"/>
      <c r="AZ104" s="444"/>
      <c r="BA104" s="444"/>
      <c r="BB104" s="444"/>
      <c r="BC104" s="444"/>
      <c r="BD104" s="444"/>
      <c r="BE104" s="444"/>
      <c r="BF104" s="444"/>
      <c r="BG104" s="444"/>
      <c r="BH104" s="444"/>
      <c r="BI104" s="444"/>
      <c r="BJ104" s="444"/>
      <c r="BK104" s="444"/>
      <c r="BL104" s="444"/>
      <c r="BM104" s="444"/>
      <c r="BN104" s="444"/>
      <c r="BO104" s="444"/>
      <c r="BP104" s="444"/>
      <c r="BQ104" s="444"/>
      <c r="BR104" s="444"/>
      <c r="BS104" s="444"/>
      <c r="BT104" s="444"/>
      <c r="BU104" s="444"/>
      <c r="BV104" s="444"/>
      <c r="BW104" s="444"/>
      <c r="BX104" s="444"/>
      <c r="BY104" s="444"/>
      <c r="BZ104" s="444"/>
      <c r="CA104" s="444"/>
      <c r="CB104" s="444"/>
      <c r="CC104" s="444"/>
      <c r="CD104" s="444"/>
      <c r="CE104" s="444"/>
      <c r="CF104" s="444"/>
      <c r="CG104" s="444"/>
      <c r="CH104" s="444"/>
      <c r="CI104" s="444"/>
      <c r="CJ104" s="444"/>
      <c r="CK104" s="444"/>
      <c r="CL104" s="444"/>
      <c r="CM104" s="444"/>
      <c r="CN104" s="444"/>
      <c r="CO104" s="444"/>
      <c r="CP104" s="444"/>
      <c r="CQ104" s="444"/>
      <c r="CR104" s="444"/>
      <c r="CS104" s="444"/>
      <c r="CT104" s="444"/>
      <c r="CU104" s="444"/>
      <c r="CV104" s="444"/>
      <c r="CW104" s="444"/>
      <c r="CX104" s="444"/>
      <c r="CY104" s="444"/>
      <c r="CZ104" s="444"/>
      <c r="DA104" s="444"/>
      <c r="DB104" s="444"/>
      <c r="DC104" s="444"/>
      <c r="DD104" s="444"/>
      <c r="DE104" s="444"/>
      <c r="DF104" s="444"/>
      <c r="DG104" s="444"/>
      <c r="DH104" s="444"/>
      <c r="DI104" s="444"/>
      <c r="DJ104" s="444"/>
      <c r="DK104" s="444"/>
      <c r="DL104" s="444"/>
      <c r="DM104" s="444"/>
      <c r="DN104" s="444"/>
      <c r="DO104" s="444"/>
      <c r="DP104" s="444"/>
      <c r="DQ104" s="444"/>
      <c r="DR104" s="444"/>
      <c r="DS104" s="444"/>
      <c r="DT104" s="444"/>
      <c r="DU104" s="444"/>
    </row>
    <row r="105" spans="1:125" s="434" customFormat="1" ht="27" customHeight="1" thickBot="1">
      <c r="A105" s="453" t="s">
        <v>837</v>
      </c>
      <c r="B105" s="457">
        <f>190500+2752932</f>
        <v>2943432</v>
      </c>
      <c r="C105" s="452"/>
      <c r="D105" s="452"/>
      <c r="E105" s="452"/>
      <c r="F105" s="336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2"/>
      <c r="AB105" s="432"/>
      <c r="AC105" s="432"/>
      <c r="AD105" s="432"/>
      <c r="AE105" s="432"/>
      <c r="AF105" s="432"/>
      <c r="AG105" s="432"/>
      <c r="AH105" s="432"/>
      <c r="AI105" s="432"/>
      <c r="AJ105" s="432"/>
      <c r="AK105" s="432"/>
      <c r="AL105" s="432"/>
      <c r="AM105" s="704"/>
      <c r="AN105" s="705"/>
      <c r="AO105" s="705"/>
      <c r="AP105" s="706"/>
      <c r="AQ105" s="432"/>
      <c r="AR105" s="432"/>
      <c r="AS105" s="432"/>
      <c r="AT105" s="432"/>
      <c r="AU105" s="432"/>
      <c r="AV105" s="432"/>
      <c r="AW105" s="432"/>
      <c r="AX105" s="432"/>
      <c r="AY105" s="432"/>
      <c r="AZ105" s="432"/>
      <c r="BA105" s="432"/>
      <c r="BB105" s="432"/>
      <c r="BC105" s="432"/>
      <c r="BD105" s="432"/>
      <c r="BE105" s="432"/>
      <c r="BF105" s="432"/>
      <c r="BG105" s="432"/>
      <c r="BH105" s="432"/>
      <c r="BI105" s="432"/>
      <c r="BJ105" s="432"/>
      <c r="BK105" s="432"/>
      <c r="BL105" s="432"/>
      <c r="BM105" s="432"/>
      <c r="BN105" s="432"/>
      <c r="BO105" s="432"/>
      <c r="BP105" s="432"/>
      <c r="BQ105" s="432"/>
      <c r="BR105" s="432"/>
      <c r="BS105" s="432"/>
      <c r="BT105" s="432"/>
      <c r="BU105" s="432"/>
      <c r="BV105" s="432"/>
      <c r="BW105" s="432"/>
      <c r="BX105" s="432"/>
      <c r="BY105" s="432"/>
      <c r="BZ105" s="432"/>
      <c r="CA105" s="432"/>
      <c r="CB105" s="432"/>
      <c r="CC105" s="432"/>
      <c r="CD105" s="432"/>
      <c r="CE105" s="432"/>
      <c r="CF105" s="432"/>
      <c r="CG105" s="432"/>
      <c r="CH105" s="432"/>
      <c r="CI105" s="432"/>
      <c r="CJ105" s="432"/>
      <c r="CK105" s="432"/>
      <c r="CL105" s="432"/>
      <c r="CM105" s="432"/>
      <c r="CN105" s="432"/>
      <c r="CO105" s="432"/>
      <c r="CP105" s="432"/>
      <c r="CQ105" s="432"/>
      <c r="CR105" s="432"/>
      <c r="CS105" s="432"/>
      <c r="CT105" s="432"/>
      <c r="CU105" s="432"/>
      <c r="CV105" s="432"/>
      <c r="CW105" s="432"/>
      <c r="CX105" s="432"/>
      <c r="CY105" s="432"/>
      <c r="CZ105" s="432"/>
      <c r="DA105" s="432"/>
      <c r="DB105" s="432"/>
      <c r="DC105" s="432"/>
      <c r="DD105" s="432"/>
      <c r="DE105" s="432"/>
      <c r="DF105" s="432"/>
      <c r="DG105" s="432"/>
      <c r="DH105" s="432"/>
      <c r="DI105" s="432"/>
      <c r="DJ105" s="432"/>
      <c r="DK105" s="432"/>
      <c r="DL105" s="432"/>
      <c r="DM105" s="432"/>
      <c r="DN105" s="432"/>
      <c r="DO105" s="432"/>
      <c r="DP105" s="432"/>
      <c r="DQ105" s="432"/>
      <c r="DR105" s="432"/>
      <c r="DS105" s="432"/>
      <c r="DT105" s="432"/>
      <c r="DU105" s="432"/>
    </row>
    <row r="106" spans="1:125" s="466" customFormat="1" ht="53.25" customHeight="1" thickBot="1">
      <c r="A106" s="885" t="s">
        <v>854</v>
      </c>
      <c r="B106" s="886"/>
      <c r="C106" s="467"/>
      <c r="D106" s="467">
        <f>SUM(B107:B108)</f>
        <v>712608</v>
      </c>
      <c r="E106" s="467">
        <v>712608</v>
      </c>
      <c r="F106" s="337">
        <f>E106/D106</f>
        <v>1</v>
      </c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  <c r="AB106" s="444"/>
      <c r="AC106" s="444"/>
      <c r="AD106" s="444"/>
      <c r="AE106" s="444"/>
      <c r="AF106" s="444"/>
      <c r="AG106" s="444"/>
      <c r="AH106" s="444"/>
      <c r="AI106" s="444"/>
      <c r="AJ106" s="444"/>
      <c r="AK106" s="444"/>
      <c r="AL106" s="444"/>
      <c r="AM106" s="701"/>
      <c r="AN106" s="702"/>
      <c r="AO106" s="702"/>
      <c r="AP106" s="703"/>
      <c r="AQ106" s="444"/>
      <c r="AR106" s="444"/>
      <c r="AS106" s="444"/>
      <c r="AT106" s="444"/>
      <c r="AU106" s="444"/>
      <c r="AV106" s="444"/>
      <c r="AW106" s="444"/>
      <c r="AX106" s="444"/>
      <c r="AY106" s="444"/>
      <c r="AZ106" s="444"/>
      <c r="BA106" s="444"/>
      <c r="BB106" s="444"/>
      <c r="BC106" s="444"/>
      <c r="BD106" s="444"/>
      <c r="BE106" s="444"/>
      <c r="BF106" s="444"/>
      <c r="BG106" s="444"/>
      <c r="BH106" s="444"/>
      <c r="BI106" s="444"/>
      <c r="BJ106" s="444"/>
      <c r="BK106" s="444"/>
      <c r="BL106" s="444"/>
      <c r="BM106" s="444"/>
      <c r="BN106" s="444"/>
      <c r="BO106" s="444"/>
      <c r="BP106" s="444"/>
      <c r="BQ106" s="444"/>
      <c r="BR106" s="444"/>
      <c r="BS106" s="444"/>
      <c r="BT106" s="444"/>
      <c r="BU106" s="444"/>
      <c r="BV106" s="444"/>
      <c r="BW106" s="444"/>
      <c r="BX106" s="444"/>
      <c r="BY106" s="444"/>
      <c r="BZ106" s="444"/>
      <c r="CA106" s="444"/>
      <c r="CB106" s="444"/>
      <c r="CC106" s="444"/>
      <c r="CD106" s="444"/>
      <c r="CE106" s="444"/>
      <c r="CF106" s="444"/>
      <c r="CG106" s="444"/>
      <c r="CH106" s="444"/>
      <c r="CI106" s="444"/>
      <c r="CJ106" s="444"/>
      <c r="CK106" s="444"/>
      <c r="CL106" s="444"/>
      <c r="CM106" s="444"/>
      <c r="CN106" s="444"/>
      <c r="CO106" s="444"/>
      <c r="CP106" s="444"/>
      <c r="CQ106" s="444"/>
      <c r="CR106" s="444"/>
      <c r="CS106" s="444"/>
      <c r="CT106" s="444"/>
      <c r="CU106" s="444"/>
      <c r="CV106" s="444"/>
      <c r="CW106" s="444"/>
      <c r="CX106" s="444"/>
      <c r="CY106" s="444"/>
      <c r="CZ106" s="444"/>
      <c r="DA106" s="444"/>
      <c r="DB106" s="444"/>
      <c r="DC106" s="444"/>
      <c r="DD106" s="444"/>
      <c r="DE106" s="444"/>
      <c r="DF106" s="444"/>
      <c r="DG106" s="444"/>
      <c r="DH106" s="444"/>
      <c r="DI106" s="444"/>
      <c r="DJ106" s="444"/>
      <c r="DK106" s="444"/>
      <c r="DL106" s="444"/>
      <c r="DM106" s="444"/>
      <c r="DN106" s="444"/>
      <c r="DO106" s="444"/>
      <c r="DP106" s="444"/>
      <c r="DQ106" s="444"/>
      <c r="DR106" s="444"/>
      <c r="DS106" s="444"/>
      <c r="DT106" s="444"/>
      <c r="DU106" s="444"/>
    </row>
    <row r="107" spans="1:125" s="434" customFormat="1" ht="27" customHeight="1" thickBot="1">
      <c r="A107" s="453" t="s">
        <v>496</v>
      </c>
      <c r="B107" s="457">
        <v>712608</v>
      </c>
      <c r="C107" s="452"/>
      <c r="D107" s="452"/>
      <c r="E107" s="452"/>
      <c r="F107" s="336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  <c r="AC107" s="432"/>
      <c r="AD107" s="432"/>
      <c r="AE107" s="432"/>
      <c r="AF107" s="432"/>
      <c r="AG107" s="432"/>
      <c r="AH107" s="432"/>
      <c r="AI107" s="432"/>
      <c r="AJ107" s="432"/>
      <c r="AK107" s="432"/>
      <c r="AL107" s="432"/>
      <c r="AM107" s="704"/>
      <c r="AN107" s="705"/>
      <c r="AO107" s="705"/>
      <c r="AP107" s="706"/>
      <c r="AQ107" s="432"/>
      <c r="AR107" s="432"/>
      <c r="AS107" s="432"/>
      <c r="AT107" s="432"/>
      <c r="AU107" s="432"/>
      <c r="AV107" s="432"/>
      <c r="AW107" s="432"/>
      <c r="AX107" s="432"/>
      <c r="AY107" s="432"/>
      <c r="AZ107" s="432"/>
      <c r="BA107" s="432"/>
      <c r="BB107" s="432"/>
      <c r="BC107" s="432"/>
      <c r="BD107" s="432"/>
      <c r="BE107" s="432"/>
      <c r="BF107" s="432"/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2"/>
      <c r="BY107" s="432"/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2"/>
      <c r="DF107" s="432"/>
      <c r="DG107" s="432"/>
      <c r="DH107" s="432"/>
      <c r="DI107" s="432"/>
      <c r="DJ107" s="432"/>
      <c r="DK107" s="432"/>
      <c r="DL107" s="432"/>
      <c r="DM107" s="432"/>
      <c r="DN107" s="432"/>
      <c r="DO107" s="432"/>
      <c r="DP107" s="432"/>
      <c r="DQ107" s="432"/>
      <c r="DR107" s="432"/>
      <c r="DS107" s="432"/>
      <c r="DT107" s="432"/>
      <c r="DU107" s="432"/>
    </row>
    <row r="108" spans="1:125" s="434" customFormat="1" ht="43.5" customHeight="1" thickBot="1">
      <c r="A108" s="479" t="s">
        <v>802</v>
      </c>
      <c r="B108" s="700"/>
      <c r="C108" s="452"/>
      <c r="D108" s="452">
        <v>1000000</v>
      </c>
      <c r="E108" s="452">
        <v>730800</v>
      </c>
      <c r="F108" s="336">
        <f>E108/D108</f>
        <v>0.73080000000000001</v>
      </c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2"/>
      <c r="AC108" s="432"/>
      <c r="AD108" s="432"/>
      <c r="AE108" s="432"/>
      <c r="AF108" s="432"/>
      <c r="AG108" s="432"/>
      <c r="AH108" s="432"/>
      <c r="AI108" s="432"/>
      <c r="AJ108" s="432"/>
      <c r="AK108" s="432"/>
      <c r="AL108" s="432"/>
      <c r="AM108" s="432"/>
      <c r="AN108" s="432"/>
      <c r="AO108" s="432"/>
      <c r="AP108" s="432"/>
      <c r="AQ108" s="432"/>
      <c r="AR108" s="432"/>
      <c r="AS108" s="432"/>
      <c r="AT108" s="432"/>
      <c r="AU108" s="432"/>
      <c r="AV108" s="432"/>
      <c r="AW108" s="432"/>
      <c r="AX108" s="432"/>
      <c r="AY108" s="432"/>
      <c r="AZ108" s="432"/>
      <c r="BA108" s="432"/>
      <c r="BB108" s="432"/>
      <c r="BC108" s="432"/>
      <c r="BD108" s="432"/>
      <c r="BE108" s="432"/>
      <c r="BF108" s="432"/>
      <c r="BG108" s="432"/>
      <c r="BH108" s="432"/>
      <c r="BI108" s="432"/>
      <c r="BJ108" s="432"/>
      <c r="BK108" s="432"/>
      <c r="BL108" s="432"/>
      <c r="BM108" s="432"/>
      <c r="BN108" s="432"/>
      <c r="BO108" s="432"/>
      <c r="BP108" s="432"/>
      <c r="BQ108" s="432"/>
      <c r="BR108" s="432"/>
      <c r="BS108" s="432"/>
      <c r="BT108" s="432"/>
      <c r="BU108" s="432"/>
    </row>
    <row r="109" spans="1:125" s="434" customFormat="1" ht="63.75" customHeight="1" thickBot="1">
      <c r="A109" s="753" t="s">
        <v>793</v>
      </c>
      <c r="B109" s="463"/>
      <c r="C109" s="452"/>
      <c r="D109" s="452"/>
      <c r="E109" s="452">
        <v>256249</v>
      </c>
      <c r="F109" s="336">
        <v>0</v>
      </c>
      <c r="G109" s="432"/>
      <c r="H109" s="432"/>
      <c r="I109" s="432"/>
      <c r="J109" s="432"/>
      <c r="K109" s="432"/>
      <c r="L109" s="432"/>
      <c r="M109" s="432"/>
      <c r="N109" s="432"/>
      <c r="O109" s="432"/>
      <c r="P109" s="432"/>
      <c r="Q109" s="432"/>
      <c r="R109" s="432"/>
      <c r="S109" s="432"/>
      <c r="T109" s="432"/>
      <c r="U109" s="432"/>
      <c r="V109" s="432"/>
      <c r="W109" s="432"/>
      <c r="X109" s="432"/>
      <c r="Y109" s="432"/>
      <c r="Z109" s="432"/>
      <c r="AA109" s="432"/>
      <c r="AB109" s="432"/>
      <c r="AC109" s="432"/>
      <c r="AD109" s="432"/>
      <c r="AE109" s="432"/>
      <c r="AF109" s="432"/>
      <c r="AG109" s="432"/>
      <c r="AH109" s="432"/>
      <c r="AI109" s="432"/>
      <c r="AJ109" s="432"/>
      <c r="AK109" s="432"/>
      <c r="AL109" s="432"/>
      <c r="AM109" s="707"/>
      <c r="AN109" s="656"/>
      <c r="AO109" s="656"/>
      <c r="AP109" s="708"/>
      <c r="AQ109" s="432"/>
      <c r="AR109" s="432"/>
      <c r="AS109" s="432"/>
      <c r="AT109" s="432"/>
      <c r="AU109" s="432"/>
      <c r="AV109" s="432"/>
      <c r="AW109" s="432"/>
      <c r="AX109" s="432"/>
      <c r="AY109" s="432"/>
      <c r="AZ109" s="432"/>
      <c r="BA109" s="432"/>
      <c r="BB109" s="432"/>
      <c r="BC109" s="432"/>
      <c r="BD109" s="432"/>
      <c r="BE109" s="432"/>
      <c r="BF109" s="432"/>
      <c r="BG109" s="432"/>
      <c r="BH109" s="432"/>
      <c r="BI109" s="432"/>
      <c r="BJ109" s="432"/>
      <c r="BK109" s="432"/>
      <c r="BL109" s="432"/>
      <c r="BM109" s="432"/>
      <c r="BN109" s="432"/>
      <c r="BO109" s="432"/>
      <c r="BP109" s="432"/>
      <c r="BQ109" s="432"/>
      <c r="BR109" s="432"/>
      <c r="BS109" s="432"/>
      <c r="BT109" s="432"/>
      <c r="BU109" s="432"/>
      <c r="BV109" s="432"/>
      <c r="BW109" s="432"/>
      <c r="BX109" s="432"/>
      <c r="BY109" s="432"/>
      <c r="BZ109" s="432"/>
      <c r="CA109" s="432"/>
      <c r="CB109" s="432"/>
      <c r="CC109" s="432"/>
      <c r="CD109" s="432"/>
      <c r="CE109" s="432"/>
      <c r="CF109" s="432"/>
      <c r="CG109" s="432"/>
      <c r="CH109" s="432"/>
      <c r="CI109" s="432"/>
      <c r="CJ109" s="432"/>
      <c r="CK109" s="432"/>
      <c r="CL109" s="432"/>
      <c r="CM109" s="432"/>
      <c r="CN109" s="432"/>
      <c r="CO109" s="432"/>
      <c r="CP109" s="432"/>
      <c r="CQ109" s="432"/>
      <c r="CR109" s="432"/>
      <c r="CS109" s="432"/>
      <c r="CT109" s="432"/>
      <c r="CU109" s="432"/>
      <c r="CV109" s="432"/>
      <c r="CW109" s="432"/>
      <c r="CX109" s="432"/>
      <c r="CY109" s="432"/>
      <c r="CZ109" s="432"/>
      <c r="DA109" s="432"/>
      <c r="DB109" s="432"/>
      <c r="DC109" s="432"/>
      <c r="DD109" s="432"/>
      <c r="DE109" s="432"/>
      <c r="DF109" s="432"/>
      <c r="DG109" s="432"/>
      <c r="DH109" s="432"/>
      <c r="DI109" s="432"/>
      <c r="DJ109" s="432"/>
      <c r="DK109" s="432"/>
      <c r="DL109" s="432"/>
      <c r="DM109" s="432"/>
      <c r="DN109" s="432"/>
      <c r="DO109" s="432"/>
      <c r="DP109" s="432"/>
      <c r="DQ109" s="432"/>
      <c r="DR109" s="432"/>
      <c r="DS109" s="432"/>
      <c r="DT109" s="432"/>
      <c r="DU109" s="432"/>
    </row>
    <row r="110" spans="1:125" s="428" customFormat="1" ht="56.25" customHeight="1" thickBot="1">
      <c r="A110" s="626" t="s">
        <v>838</v>
      </c>
      <c r="B110" s="462"/>
      <c r="C110" s="452">
        <v>19050000</v>
      </c>
      <c r="D110" s="452">
        <v>19050000</v>
      </c>
      <c r="E110" s="452">
        <v>4762500</v>
      </c>
      <c r="F110" s="336">
        <f>E110/D110</f>
        <v>0.25</v>
      </c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695"/>
      <c r="AP110" s="696"/>
      <c r="AQ110" s="696"/>
      <c r="AR110" s="696"/>
      <c r="AS110" s="696"/>
      <c r="AT110" s="696"/>
      <c r="AU110" s="696"/>
      <c r="AV110" s="696"/>
      <c r="AW110" s="696"/>
      <c r="AX110" s="696"/>
      <c r="AY110" s="696"/>
    </row>
    <row r="111" spans="1:125" s="434" customFormat="1" ht="29.25" customHeight="1" thickBot="1">
      <c r="A111" s="626" t="s">
        <v>812</v>
      </c>
      <c r="B111" s="462"/>
      <c r="C111" s="452">
        <v>1000000</v>
      </c>
      <c r="D111" s="452">
        <f>1000000+77000-1000000+100000</f>
        <v>177000</v>
      </c>
      <c r="E111" s="452">
        <v>0</v>
      </c>
      <c r="F111" s="336">
        <v>0</v>
      </c>
      <c r="G111" s="432"/>
      <c r="H111" s="432"/>
      <c r="I111" s="432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432"/>
      <c r="U111" s="432"/>
      <c r="V111" s="432"/>
      <c r="W111" s="432"/>
      <c r="X111" s="432"/>
      <c r="Y111" s="432"/>
      <c r="Z111" s="432"/>
      <c r="AA111" s="432"/>
      <c r="AB111" s="432"/>
      <c r="AC111" s="432"/>
      <c r="AD111" s="432"/>
      <c r="AE111" s="432"/>
      <c r="AF111" s="432"/>
      <c r="AG111" s="432"/>
      <c r="AH111" s="432"/>
      <c r="AI111" s="432"/>
      <c r="AJ111" s="432"/>
      <c r="AK111" s="432"/>
      <c r="AL111" s="432"/>
      <c r="AM111" s="707"/>
      <c r="AN111" s="656"/>
      <c r="AO111" s="656"/>
      <c r="AP111" s="708"/>
      <c r="AQ111" s="432"/>
      <c r="AR111" s="432"/>
      <c r="AS111" s="432"/>
      <c r="AT111" s="432"/>
      <c r="AU111" s="432"/>
      <c r="AV111" s="432"/>
      <c r="AW111" s="432"/>
      <c r="AX111" s="432"/>
      <c r="AY111" s="432"/>
      <c r="AZ111" s="432"/>
      <c r="BA111" s="432"/>
      <c r="BB111" s="432"/>
      <c r="BC111" s="432"/>
      <c r="BD111" s="432"/>
      <c r="BE111" s="432"/>
      <c r="BF111" s="432"/>
      <c r="BG111" s="432"/>
      <c r="BH111" s="432"/>
      <c r="BI111" s="432"/>
      <c r="BJ111" s="432"/>
      <c r="BK111" s="432"/>
      <c r="BL111" s="432"/>
      <c r="BM111" s="432"/>
      <c r="BN111" s="432"/>
      <c r="BO111" s="432"/>
      <c r="BP111" s="432"/>
      <c r="BQ111" s="432"/>
      <c r="BR111" s="432"/>
      <c r="BS111" s="432"/>
      <c r="BT111" s="432"/>
      <c r="BU111" s="432"/>
      <c r="BV111" s="432"/>
      <c r="BW111" s="432"/>
      <c r="BX111" s="432"/>
      <c r="BY111" s="432"/>
      <c r="BZ111" s="432"/>
      <c r="CA111" s="432"/>
      <c r="CB111" s="432"/>
      <c r="CC111" s="432"/>
      <c r="CD111" s="432"/>
      <c r="CE111" s="432"/>
      <c r="CF111" s="432"/>
      <c r="CG111" s="432"/>
      <c r="CH111" s="432"/>
      <c r="CI111" s="432"/>
      <c r="CJ111" s="432"/>
      <c r="CK111" s="432"/>
      <c r="CL111" s="432"/>
      <c r="CM111" s="432"/>
      <c r="CN111" s="432"/>
      <c r="CO111" s="432"/>
      <c r="CP111" s="432"/>
      <c r="CQ111" s="432"/>
      <c r="CR111" s="432"/>
      <c r="CS111" s="432"/>
      <c r="CT111" s="432"/>
      <c r="CU111" s="432"/>
      <c r="CV111" s="432"/>
      <c r="CW111" s="432"/>
      <c r="CX111" s="432"/>
      <c r="CY111" s="432"/>
      <c r="CZ111" s="432"/>
      <c r="DA111" s="432"/>
      <c r="DB111" s="432"/>
      <c r="DC111" s="432"/>
      <c r="DD111" s="432"/>
      <c r="DE111" s="432"/>
      <c r="DF111" s="432"/>
      <c r="DG111" s="432"/>
      <c r="DH111" s="432"/>
      <c r="DI111" s="432"/>
      <c r="DJ111" s="432"/>
      <c r="DK111" s="432"/>
      <c r="DL111" s="432"/>
      <c r="DM111" s="432"/>
      <c r="DN111" s="432"/>
      <c r="DO111" s="432"/>
      <c r="DP111" s="432"/>
      <c r="DQ111" s="432"/>
      <c r="DR111" s="432"/>
      <c r="DS111" s="432"/>
      <c r="DT111" s="432"/>
      <c r="DU111" s="432"/>
    </row>
    <row r="112" spans="1:125" s="428" customFormat="1" ht="24.75" customHeight="1" thickBot="1">
      <c r="A112" s="453" t="s">
        <v>813</v>
      </c>
      <c r="B112" s="325"/>
      <c r="C112" s="452"/>
      <c r="D112" s="452"/>
      <c r="E112" s="452"/>
      <c r="F112" s="33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7"/>
      <c r="AP112" s="684"/>
      <c r="AQ112" s="426"/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/>
    </row>
    <row r="113" spans="1:125" s="428" customFormat="1" ht="24.75" customHeight="1" thickBot="1">
      <c r="A113" s="453" t="s">
        <v>814</v>
      </c>
      <c r="B113" s="325"/>
      <c r="C113" s="452"/>
      <c r="D113" s="452"/>
      <c r="E113" s="452"/>
      <c r="F113" s="33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26"/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7"/>
      <c r="AP113" s="684"/>
      <c r="AQ113" s="426"/>
      <c r="AR113" s="426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/>
      <c r="BN113" s="426"/>
      <c r="BO113" s="426"/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/>
      <c r="DS113" s="426"/>
      <c r="DT113" s="426"/>
      <c r="DU113" s="426"/>
    </row>
    <row r="114" spans="1:125" s="428" customFormat="1" ht="24" customHeight="1" thickBot="1">
      <c r="A114" s="453" t="s">
        <v>815</v>
      </c>
      <c r="B114" s="325"/>
      <c r="C114" s="452"/>
      <c r="D114" s="452"/>
      <c r="E114" s="452"/>
      <c r="F114" s="33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7"/>
      <c r="AP114" s="684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</row>
    <row r="115" spans="1:125" s="428" customFormat="1" ht="51" customHeight="1" thickBot="1">
      <c r="A115" s="632" t="s">
        <v>507</v>
      </c>
      <c r="B115" s="454"/>
      <c r="C115" s="452"/>
      <c r="D115" s="452"/>
      <c r="E115" s="452">
        <f>2102317+31163</f>
        <v>2133480</v>
      </c>
      <c r="F115" s="336">
        <v>0</v>
      </c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7"/>
    </row>
    <row r="116" spans="1:125" s="428" customFormat="1" ht="34.5" customHeight="1" thickBot="1">
      <c r="A116" s="626" t="s">
        <v>508</v>
      </c>
      <c r="B116" s="454"/>
      <c r="C116" s="452"/>
      <c r="D116" s="452">
        <f>300000+10000+1479550</f>
        <v>1789550</v>
      </c>
      <c r="E116" s="452">
        <v>1516034</v>
      </c>
      <c r="F116" s="336">
        <f>E116/D116</f>
        <v>0.84715934173395546</v>
      </c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7"/>
    </row>
    <row r="117" spans="1:125" s="434" customFormat="1" ht="30.75" customHeight="1" thickBot="1">
      <c r="A117" s="479" t="s">
        <v>818</v>
      </c>
      <c r="B117" s="709"/>
      <c r="C117" s="452">
        <v>500000</v>
      </c>
      <c r="D117" s="452">
        <v>500000</v>
      </c>
      <c r="E117" s="452">
        <v>689278</v>
      </c>
      <c r="F117" s="336">
        <f>E117/D117</f>
        <v>1.3785559999999999</v>
      </c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  <c r="AC117" s="432"/>
      <c r="AD117" s="432"/>
      <c r="AE117" s="432"/>
      <c r="AF117" s="432"/>
      <c r="AG117" s="432"/>
      <c r="AH117" s="432"/>
      <c r="AI117" s="432"/>
      <c r="AJ117" s="432"/>
      <c r="AK117" s="432"/>
      <c r="AL117" s="432"/>
      <c r="AM117" s="433"/>
      <c r="AP117" s="679"/>
      <c r="AQ117" s="432"/>
      <c r="AR117" s="432"/>
      <c r="AS117" s="432"/>
      <c r="AT117" s="432"/>
      <c r="AU117" s="432"/>
      <c r="AV117" s="432"/>
      <c r="AW117" s="432"/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2"/>
      <c r="BY117" s="432"/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2"/>
      <c r="DF117" s="432"/>
      <c r="DG117" s="432"/>
      <c r="DH117" s="432"/>
      <c r="DI117" s="432"/>
      <c r="DJ117" s="432"/>
      <c r="DK117" s="432"/>
      <c r="DL117" s="432"/>
      <c r="DM117" s="432"/>
      <c r="DN117" s="432"/>
      <c r="DO117" s="432"/>
      <c r="DP117" s="432"/>
      <c r="DQ117" s="432"/>
      <c r="DR117" s="432"/>
      <c r="DS117" s="432"/>
      <c r="DT117" s="432"/>
      <c r="DU117" s="432"/>
    </row>
    <row r="118" spans="1:125" s="428" customFormat="1" ht="26.25" customHeight="1" thickBot="1">
      <c r="A118" s="632" t="s">
        <v>510</v>
      </c>
      <c r="B118" s="462"/>
      <c r="C118" s="452"/>
      <c r="D118" s="452"/>
      <c r="E118" s="452">
        <v>906260</v>
      </c>
      <c r="F118" s="336">
        <v>0</v>
      </c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7"/>
      <c r="AP118" s="684"/>
      <c r="AQ118" s="426"/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/>
      <c r="CX118" s="426"/>
      <c r="CY118" s="426"/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</row>
    <row r="119" spans="1:125" s="428" customFormat="1" ht="23.25" customHeight="1" thickBot="1">
      <c r="A119" s="626" t="s">
        <v>480</v>
      </c>
      <c r="B119" s="325"/>
      <c r="C119" s="452">
        <v>2000000</v>
      </c>
      <c r="D119" s="452">
        <v>2000000</v>
      </c>
      <c r="E119" s="452">
        <v>2132023</v>
      </c>
      <c r="F119" s="336">
        <f>E119/D119</f>
        <v>1.0660114999999999</v>
      </c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7"/>
    </row>
    <row r="120" spans="1:125" s="428" customFormat="1" ht="32.25" thickBot="1">
      <c r="A120" s="626" t="s">
        <v>820</v>
      </c>
      <c r="B120" s="462"/>
      <c r="C120" s="452">
        <v>3750000</v>
      </c>
      <c r="D120" s="452">
        <v>3750000</v>
      </c>
      <c r="E120" s="452">
        <v>3750000</v>
      </c>
      <c r="F120" s="336">
        <f>E120/D120</f>
        <v>1</v>
      </c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7"/>
    </row>
    <row r="121" spans="1:125" s="428" customFormat="1" ht="27.75" customHeight="1" thickBot="1">
      <c r="A121" s="626" t="s">
        <v>514</v>
      </c>
      <c r="B121" s="462"/>
      <c r="C121" s="452">
        <v>7505000</v>
      </c>
      <c r="D121" s="452">
        <f>7505000+1811100</f>
        <v>9316100</v>
      </c>
      <c r="E121" s="452">
        <v>7762922</v>
      </c>
      <c r="F121" s="336">
        <f>E121/D121</f>
        <v>0.83328023529159201</v>
      </c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7"/>
      <c r="AP121" s="684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/>
      <c r="CU121" s="426"/>
      <c r="CV121" s="426"/>
      <c r="CW121" s="426"/>
      <c r="CX121" s="426"/>
      <c r="CY121" s="426"/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</row>
    <row r="122" spans="1:125" s="428" customFormat="1" ht="24" customHeight="1" thickBot="1">
      <c r="A122" s="453" t="s">
        <v>515</v>
      </c>
      <c r="B122" s="325">
        <f>7505000+1811100</f>
        <v>9316100</v>
      </c>
      <c r="C122" s="452"/>
      <c r="D122" s="452"/>
      <c r="E122" s="452"/>
      <c r="F122" s="33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7"/>
      <c r="AP122" s="684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/>
      <c r="CX122" s="426"/>
      <c r="CY122" s="426"/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</row>
    <row r="123" spans="1:125" s="428" customFormat="1" ht="42.75" customHeight="1" thickBot="1">
      <c r="A123" s="885" t="s">
        <v>486</v>
      </c>
      <c r="B123" s="886"/>
      <c r="C123" s="452">
        <v>1961000</v>
      </c>
      <c r="D123" s="452">
        <f>SUM(B124:B132)-350000</f>
        <v>7225520</v>
      </c>
      <c r="E123" s="452">
        <v>5647722</v>
      </c>
      <c r="F123" s="336">
        <f>E123/D123</f>
        <v>0.78163537018788964</v>
      </c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7"/>
      <c r="AP123" s="684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/>
      <c r="CU123" s="426"/>
      <c r="CV123" s="426"/>
      <c r="CW123" s="426"/>
      <c r="CX123" s="426"/>
      <c r="CY123" s="426"/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</row>
    <row r="124" spans="1:125" s="428" customFormat="1" ht="22.5" customHeight="1" thickBot="1">
      <c r="A124" s="453" t="s">
        <v>519</v>
      </c>
      <c r="B124" s="325">
        <v>138000</v>
      </c>
      <c r="C124" s="452"/>
      <c r="D124" s="452"/>
      <c r="E124" s="452"/>
      <c r="F124" s="33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7"/>
      <c r="AP124" s="684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</row>
    <row r="125" spans="1:125" s="428" customFormat="1" ht="22.5" customHeight="1" thickBot="1">
      <c r="A125" s="453" t="s">
        <v>520</v>
      </c>
      <c r="B125" s="325">
        <f>132000+33000</f>
        <v>165000</v>
      </c>
      <c r="C125" s="452"/>
      <c r="D125" s="452"/>
      <c r="E125" s="452"/>
      <c r="F125" s="33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426"/>
      <c r="AG125" s="426"/>
      <c r="AH125" s="426"/>
      <c r="AI125" s="426"/>
      <c r="AJ125" s="426"/>
      <c r="AK125" s="426"/>
      <c r="AL125" s="426"/>
      <c r="AM125" s="427"/>
      <c r="AP125" s="684"/>
      <c r="AQ125" s="426"/>
      <c r="AR125" s="426"/>
      <c r="AS125" s="426"/>
      <c r="AT125" s="426"/>
      <c r="AU125" s="426"/>
      <c r="AV125" s="426"/>
      <c r="AW125" s="426"/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/>
    </row>
    <row r="126" spans="1:125" s="428" customFormat="1" ht="22.5" customHeight="1" thickBot="1">
      <c r="A126" s="453" t="s">
        <v>521</v>
      </c>
      <c r="B126" s="325">
        <f>445000+419100</f>
        <v>864100</v>
      </c>
      <c r="C126" s="452"/>
      <c r="D126" s="452"/>
      <c r="E126" s="452"/>
      <c r="F126" s="33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7"/>
      <c r="AP126" s="684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</row>
    <row r="127" spans="1:125" s="428" customFormat="1" ht="22.5" customHeight="1" thickBot="1">
      <c r="A127" s="453" t="s">
        <v>522</v>
      </c>
      <c r="B127" s="325">
        <v>51000</v>
      </c>
      <c r="C127" s="452"/>
      <c r="D127" s="452"/>
      <c r="E127" s="452"/>
      <c r="F127" s="33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7"/>
      <c r="AP127" s="684"/>
      <c r="AQ127" s="426"/>
      <c r="AR127" s="426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</row>
    <row r="128" spans="1:125" s="428" customFormat="1" ht="22.5" customHeight="1" thickBot="1">
      <c r="A128" s="453" t="s">
        <v>523</v>
      </c>
      <c r="B128" s="325">
        <v>412000</v>
      </c>
      <c r="C128" s="452"/>
      <c r="D128" s="452"/>
      <c r="E128" s="452"/>
      <c r="F128" s="33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7"/>
      <c r="AP128" s="684"/>
      <c r="AQ128" s="426"/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426"/>
      <c r="CN128" s="426"/>
      <c r="CO128" s="426"/>
      <c r="CP128" s="426"/>
      <c r="CQ128" s="426"/>
      <c r="CR128" s="426"/>
      <c r="CS128" s="426"/>
      <c r="CT128" s="426"/>
      <c r="CU128" s="426"/>
      <c r="CV128" s="426"/>
      <c r="CW128" s="426"/>
      <c r="CX128" s="426"/>
      <c r="CY128" s="426"/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  <c r="DP128" s="426"/>
      <c r="DQ128" s="426"/>
      <c r="DR128" s="426"/>
      <c r="DS128" s="426"/>
      <c r="DT128" s="426"/>
      <c r="DU128" s="426"/>
    </row>
    <row r="129" spans="1:125" s="428" customFormat="1" ht="22.5" customHeight="1" thickBot="1">
      <c r="A129" s="453" t="s">
        <v>524</v>
      </c>
      <c r="B129" s="325">
        <v>283000</v>
      </c>
      <c r="C129" s="452"/>
      <c r="D129" s="452"/>
      <c r="E129" s="452"/>
      <c r="F129" s="33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7"/>
      <c r="AP129" s="684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6"/>
      <c r="BZ129" s="426"/>
      <c r="CA129" s="426"/>
      <c r="CB129" s="426"/>
      <c r="CC129" s="426"/>
      <c r="CD129" s="426"/>
      <c r="CE129" s="426"/>
      <c r="CF129" s="426"/>
      <c r="CG129" s="426"/>
      <c r="CH129" s="426"/>
      <c r="CI129" s="426"/>
      <c r="CJ129" s="426"/>
      <c r="CK129" s="426"/>
      <c r="CL129" s="426"/>
      <c r="CM129" s="426"/>
      <c r="CN129" s="426"/>
      <c r="CO129" s="426"/>
      <c r="CP129" s="426"/>
      <c r="CQ129" s="426"/>
      <c r="CR129" s="426"/>
      <c r="CS129" s="426"/>
      <c r="CT129" s="426"/>
      <c r="CU129" s="426"/>
      <c r="CV129" s="426"/>
      <c r="CW129" s="426"/>
      <c r="CX129" s="426"/>
      <c r="CY129" s="426"/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  <c r="DP129" s="426"/>
      <c r="DQ129" s="426"/>
      <c r="DR129" s="426"/>
      <c r="DS129" s="426"/>
      <c r="DT129" s="426"/>
      <c r="DU129" s="426"/>
    </row>
    <row r="130" spans="1:125" s="428" customFormat="1" ht="22.5" customHeight="1" thickBot="1">
      <c r="A130" s="453" t="s">
        <v>826</v>
      </c>
      <c r="B130" s="325">
        <f>378150+355600</f>
        <v>733750</v>
      </c>
      <c r="C130" s="452"/>
      <c r="D130" s="452"/>
      <c r="E130" s="452"/>
      <c r="F130" s="33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7"/>
      <c r="AP130" s="684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6"/>
      <c r="CN130" s="426"/>
      <c r="CO130" s="426"/>
      <c r="CP130" s="426"/>
      <c r="CQ130" s="426"/>
      <c r="CR130" s="426"/>
      <c r="CS130" s="426"/>
      <c r="CT130" s="426"/>
      <c r="CU130" s="426"/>
      <c r="CV130" s="426"/>
      <c r="CW130" s="426"/>
      <c r="CX130" s="426"/>
      <c r="CY130" s="426"/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  <c r="DP130" s="426"/>
      <c r="DQ130" s="426"/>
      <c r="DR130" s="426"/>
      <c r="DS130" s="426"/>
      <c r="DT130" s="426"/>
      <c r="DU130" s="426"/>
    </row>
    <row r="131" spans="1:125" s="428" customFormat="1" ht="22.5" customHeight="1" thickBot="1">
      <c r="A131" s="453" t="s">
        <v>491</v>
      </c>
      <c r="B131" s="325">
        <f>124000+1401+254000+254000+85000+444500+849000+130769</f>
        <v>2142670</v>
      </c>
      <c r="C131" s="452"/>
      <c r="D131" s="452"/>
      <c r="E131" s="452"/>
      <c r="F131" s="33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26"/>
      <c r="AC131" s="426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7"/>
      <c r="AP131" s="684"/>
      <c r="AQ131" s="426"/>
      <c r="AR131" s="426"/>
      <c r="AS131" s="426"/>
      <c r="AT131" s="426"/>
      <c r="AU131" s="426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6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6"/>
      <c r="CN131" s="426"/>
      <c r="CO131" s="426"/>
      <c r="CP131" s="426"/>
      <c r="CQ131" s="426"/>
      <c r="CR131" s="426"/>
      <c r="CS131" s="426"/>
      <c r="CT131" s="426"/>
      <c r="CU131" s="426"/>
      <c r="CV131" s="426"/>
      <c r="CW131" s="426"/>
      <c r="CX131" s="426"/>
      <c r="CY131" s="426"/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  <c r="DP131" s="426"/>
      <c r="DQ131" s="426"/>
      <c r="DR131" s="426"/>
      <c r="DS131" s="426"/>
      <c r="DT131" s="426"/>
      <c r="DU131" s="426"/>
    </row>
    <row r="132" spans="1:125" s="428" customFormat="1" ht="16.5" thickBot="1">
      <c r="A132" s="453" t="s">
        <v>827</v>
      </c>
      <c r="B132" s="325">
        <f>500000+2286000</f>
        <v>2786000</v>
      </c>
      <c r="C132" s="452"/>
      <c r="D132" s="452"/>
      <c r="E132" s="452"/>
      <c r="F132" s="33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7"/>
      <c r="AP132" s="684"/>
      <c r="AQ132" s="426"/>
      <c r="AR132" s="426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/>
      <c r="BN132" s="426"/>
      <c r="BO132" s="426"/>
      <c r="BP132" s="426"/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6"/>
      <c r="CL132" s="426"/>
      <c r="CM132" s="426"/>
      <c r="CN132" s="426"/>
      <c r="CO132" s="426"/>
      <c r="CP132" s="426"/>
      <c r="CQ132" s="426"/>
      <c r="CR132" s="426"/>
      <c r="CS132" s="426"/>
      <c r="CT132" s="426"/>
      <c r="CU132" s="426"/>
      <c r="CV132" s="426"/>
      <c r="CW132" s="426"/>
      <c r="CX132" s="426"/>
      <c r="CY132" s="426"/>
      <c r="CZ132" s="426"/>
      <c r="DA132" s="426"/>
      <c r="DB132" s="426"/>
      <c r="DC132" s="426"/>
      <c r="DD132" s="426"/>
      <c r="DE132" s="426"/>
      <c r="DF132" s="426"/>
      <c r="DG132" s="426"/>
      <c r="DH132" s="426"/>
      <c r="DI132" s="426"/>
      <c r="DJ132" s="426"/>
      <c r="DK132" s="426"/>
      <c r="DL132" s="426"/>
      <c r="DM132" s="426"/>
      <c r="DN132" s="426"/>
      <c r="DO132" s="426"/>
      <c r="DP132" s="426"/>
      <c r="DQ132" s="426"/>
      <c r="DR132" s="426"/>
      <c r="DS132" s="426"/>
      <c r="DT132" s="426"/>
      <c r="DU132" s="426"/>
    </row>
    <row r="133" spans="1:125" s="434" customFormat="1" ht="32.25" customHeight="1" thickBot="1">
      <c r="A133" s="885" t="s">
        <v>828</v>
      </c>
      <c r="B133" s="886"/>
      <c r="C133" s="452">
        <v>16000000</v>
      </c>
      <c r="D133" s="452">
        <f>16000000-200000</f>
        <v>15800000</v>
      </c>
      <c r="E133" s="452">
        <v>100300</v>
      </c>
      <c r="F133" s="336">
        <f>E133/D133</f>
        <v>6.3481012658227849E-3</v>
      </c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32"/>
      <c r="X133" s="432"/>
      <c r="Y133" s="432"/>
      <c r="Z133" s="432"/>
      <c r="AA133" s="432"/>
      <c r="AB133" s="432"/>
      <c r="AC133" s="432"/>
      <c r="AD133" s="432"/>
      <c r="AE133" s="432"/>
      <c r="AF133" s="432"/>
      <c r="AG133" s="432"/>
      <c r="AH133" s="432"/>
      <c r="AI133" s="432"/>
      <c r="AJ133" s="432"/>
      <c r="AK133" s="432"/>
      <c r="AL133" s="432"/>
      <c r="AM133" s="433"/>
      <c r="AP133" s="679"/>
      <c r="AQ133" s="432"/>
      <c r="AR133" s="432"/>
      <c r="AS133" s="432"/>
      <c r="AT133" s="432"/>
      <c r="AU133" s="432"/>
      <c r="AV133" s="432"/>
      <c r="AW133" s="432"/>
      <c r="AX133" s="432"/>
      <c r="AY133" s="432"/>
      <c r="AZ133" s="432"/>
      <c r="BA133" s="432"/>
      <c r="BB133" s="432"/>
      <c r="BC133" s="432"/>
      <c r="BD133" s="432"/>
      <c r="BE133" s="432"/>
      <c r="BF133" s="432"/>
      <c r="BG133" s="432"/>
      <c r="BH133" s="432"/>
      <c r="BI133" s="432"/>
      <c r="BJ133" s="432"/>
      <c r="BK133" s="432"/>
      <c r="BL133" s="432"/>
      <c r="BM133" s="432"/>
      <c r="BN133" s="432"/>
      <c r="BO133" s="432"/>
      <c r="BP133" s="432"/>
      <c r="BQ133" s="432"/>
      <c r="BR133" s="432"/>
      <c r="BS133" s="432"/>
      <c r="BT133" s="432"/>
      <c r="BU133" s="432"/>
      <c r="BV133" s="432"/>
      <c r="BW133" s="432"/>
      <c r="BX133" s="432"/>
      <c r="BY133" s="432"/>
      <c r="BZ133" s="432"/>
      <c r="CA133" s="432"/>
      <c r="CB133" s="432"/>
      <c r="CC133" s="432"/>
      <c r="CD133" s="432"/>
      <c r="CE133" s="432"/>
      <c r="CF133" s="432"/>
      <c r="CG133" s="432"/>
      <c r="CH133" s="432"/>
      <c r="CI133" s="432"/>
      <c r="CJ133" s="432"/>
      <c r="CK133" s="432"/>
      <c r="CL133" s="432"/>
      <c r="CM133" s="432"/>
      <c r="CN133" s="432"/>
      <c r="CO133" s="432"/>
      <c r="CP133" s="432"/>
      <c r="CQ133" s="432"/>
      <c r="CR133" s="432"/>
      <c r="CS133" s="432"/>
      <c r="CT133" s="432"/>
      <c r="CU133" s="432"/>
      <c r="CV133" s="432"/>
      <c r="CW133" s="432"/>
      <c r="CX133" s="432"/>
      <c r="CY133" s="432"/>
      <c r="CZ133" s="432"/>
      <c r="DA133" s="432"/>
      <c r="DB133" s="432"/>
      <c r="DC133" s="432"/>
      <c r="DD133" s="432"/>
      <c r="DE133" s="432"/>
      <c r="DF133" s="432"/>
      <c r="DG133" s="432"/>
      <c r="DH133" s="432"/>
      <c r="DI133" s="432"/>
      <c r="DJ133" s="432"/>
      <c r="DK133" s="432"/>
      <c r="DL133" s="432"/>
      <c r="DM133" s="432"/>
      <c r="DN133" s="432"/>
      <c r="DO133" s="432"/>
      <c r="DP133" s="432"/>
      <c r="DQ133" s="432"/>
      <c r="DR133" s="432"/>
      <c r="DS133" s="432"/>
      <c r="DT133" s="432"/>
      <c r="DU133" s="432"/>
    </row>
    <row r="134" spans="1:125" s="434" customFormat="1" ht="32.25" customHeight="1" thickBot="1">
      <c r="A134" s="626" t="s">
        <v>830</v>
      </c>
      <c r="B134" s="627"/>
      <c r="C134" s="452"/>
      <c r="D134" s="452">
        <v>50000</v>
      </c>
      <c r="E134" s="452">
        <v>50000</v>
      </c>
      <c r="F134" s="336">
        <f>E134/D134</f>
        <v>1</v>
      </c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32"/>
      <c r="R134" s="432"/>
      <c r="S134" s="432"/>
      <c r="T134" s="432"/>
      <c r="U134" s="432"/>
      <c r="V134" s="432"/>
      <c r="W134" s="432"/>
      <c r="X134" s="432"/>
      <c r="Y134" s="432"/>
      <c r="Z134" s="432"/>
      <c r="AA134" s="432"/>
      <c r="AB134" s="432"/>
      <c r="AC134" s="432"/>
      <c r="AD134" s="432"/>
      <c r="AE134" s="432"/>
      <c r="AF134" s="432"/>
      <c r="AG134" s="432"/>
      <c r="AH134" s="432"/>
      <c r="AI134" s="432"/>
      <c r="AJ134" s="432"/>
      <c r="AK134" s="432"/>
      <c r="AL134" s="432"/>
      <c r="AM134" s="433"/>
      <c r="AP134" s="679"/>
      <c r="AQ134" s="432"/>
      <c r="AR134" s="432"/>
      <c r="AS134" s="432"/>
      <c r="AT134" s="432"/>
      <c r="AU134" s="432"/>
      <c r="AV134" s="432"/>
      <c r="AW134" s="432"/>
      <c r="AX134" s="432"/>
      <c r="AY134" s="432"/>
      <c r="AZ134" s="432"/>
      <c r="BA134" s="432"/>
      <c r="BB134" s="432"/>
      <c r="BC134" s="432"/>
      <c r="BD134" s="432"/>
      <c r="BE134" s="432"/>
      <c r="BF134" s="432"/>
      <c r="BG134" s="432"/>
      <c r="BH134" s="432"/>
      <c r="BI134" s="432"/>
      <c r="BJ134" s="432"/>
      <c r="BK134" s="432"/>
      <c r="BL134" s="432"/>
      <c r="BM134" s="432"/>
      <c r="BN134" s="432"/>
      <c r="BO134" s="432"/>
      <c r="BP134" s="432"/>
      <c r="BQ134" s="432"/>
      <c r="BR134" s="432"/>
      <c r="BS134" s="432"/>
      <c r="BT134" s="432"/>
      <c r="BU134" s="432"/>
      <c r="BV134" s="432"/>
      <c r="BW134" s="432"/>
      <c r="BX134" s="432"/>
      <c r="BY134" s="432"/>
      <c r="BZ134" s="432"/>
      <c r="CA134" s="432"/>
      <c r="CB134" s="432"/>
      <c r="CC134" s="432"/>
      <c r="CD134" s="432"/>
      <c r="CE134" s="432"/>
      <c r="CF134" s="432"/>
      <c r="CG134" s="432"/>
      <c r="CH134" s="432"/>
      <c r="CI134" s="432"/>
      <c r="CJ134" s="432"/>
      <c r="CK134" s="432"/>
      <c r="CL134" s="432"/>
      <c r="CM134" s="432"/>
      <c r="CN134" s="432"/>
      <c r="CO134" s="432"/>
      <c r="CP134" s="432"/>
      <c r="CQ134" s="432"/>
      <c r="CR134" s="432"/>
      <c r="CS134" s="432"/>
      <c r="CT134" s="432"/>
      <c r="CU134" s="432"/>
      <c r="CV134" s="432"/>
      <c r="CW134" s="432"/>
      <c r="CX134" s="432"/>
      <c r="CY134" s="432"/>
      <c r="CZ134" s="432"/>
      <c r="DA134" s="432"/>
      <c r="DB134" s="432"/>
      <c r="DC134" s="432"/>
      <c r="DD134" s="432"/>
      <c r="DE134" s="432"/>
      <c r="DF134" s="432"/>
      <c r="DG134" s="432"/>
      <c r="DH134" s="432"/>
      <c r="DI134" s="432"/>
      <c r="DJ134" s="432"/>
      <c r="DK134" s="432"/>
      <c r="DL134" s="432"/>
      <c r="DM134" s="432"/>
      <c r="DN134" s="432"/>
      <c r="DO134" s="432"/>
      <c r="DP134" s="432"/>
      <c r="DQ134" s="432"/>
      <c r="DR134" s="432"/>
      <c r="DS134" s="432"/>
      <c r="DT134" s="432"/>
      <c r="DU134" s="432"/>
    </row>
    <row r="135" spans="1:125" s="434" customFormat="1" ht="32.25" customHeight="1" thickBot="1">
      <c r="A135" s="626" t="s">
        <v>526</v>
      </c>
      <c r="B135" s="462"/>
      <c r="C135" s="452">
        <v>3000000</v>
      </c>
      <c r="D135" s="452">
        <f>3000000-2200000+350000</f>
        <v>1150000</v>
      </c>
      <c r="E135" s="452">
        <v>514171</v>
      </c>
      <c r="F135" s="336">
        <f>E135/D135</f>
        <v>0.44710521739130432</v>
      </c>
      <c r="G135" s="432"/>
      <c r="H135" s="432"/>
      <c r="I135" s="432"/>
      <c r="J135" s="432"/>
      <c r="K135" s="432"/>
      <c r="L135" s="432"/>
      <c r="M135" s="432"/>
      <c r="N135" s="432"/>
      <c r="O135" s="432"/>
      <c r="P135" s="432"/>
      <c r="Q135" s="432"/>
      <c r="R135" s="432"/>
      <c r="S135" s="432"/>
      <c r="T135" s="432"/>
      <c r="U135" s="432"/>
      <c r="V135" s="432"/>
      <c r="W135" s="432"/>
      <c r="X135" s="432"/>
      <c r="Y135" s="432"/>
      <c r="Z135" s="432"/>
      <c r="AA135" s="432"/>
      <c r="AB135" s="432"/>
      <c r="AC135" s="432"/>
      <c r="AD135" s="432"/>
      <c r="AE135" s="432"/>
      <c r="AF135" s="432"/>
      <c r="AG135" s="432"/>
      <c r="AH135" s="432"/>
      <c r="AI135" s="432"/>
      <c r="AJ135" s="432"/>
      <c r="AK135" s="432"/>
      <c r="AL135" s="432"/>
      <c r="AM135" s="433"/>
      <c r="AP135" s="679"/>
      <c r="AQ135" s="432"/>
      <c r="AR135" s="432"/>
      <c r="AS135" s="432"/>
      <c r="AT135" s="432"/>
      <c r="AU135" s="432"/>
      <c r="AV135" s="432"/>
      <c r="AW135" s="432"/>
      <c r="AX135" s="432"/>
      <c r="AY135" s="432"/>
      <c r="AZ135" s="432"/>
      <c r="BA135" s="432"/>
      <c r="BB135" s="432"/>
      <c r="BC135" s="432"/>
      <c r="BD135" s="432"/>
      <c r="BE135" s="432"/>
      <c r="BF135" s="432"/>
      <c r="BG135" s="432"/>
      <c r="BH135" s="432"/>
      <c r="BI135" s="432"/>
      <c r="BJ135" s="432"/>
      <c r="BK135" s="432"/>
      <c r="BL135" s="432"/>
      <c r="BM135" s="432"/>
      <c r="BN135" s="432"/>
      <c r="BO135" s="432"/>
      <c r="BP135" s="432"/>
      <c r="BQ135" s="432"/>
      <c r="BR135" s="432"/>
      <c r="BS135" s="432"/>
      <c r="BT135" s="432"/>
      <c r="BU135" s="432"/>
      <c r="BV135" s="432"/>
      <c r="BW135" s="432"/>
      <c r="BX135" s="432"/>
      <c r="BY135" s="432"/>
      <c r="BZ135" s="432"/>
      <c r="CA135" s="432"/>
      <c r="CB135" s="432"/>
      <c r="CC135" s="432"/>
      <c r="CD135" s="432"/>
      <c r="CE135" s="432"/>
      <c r="CF135" s="432"/>
      <c r="CG135" s="432"/>
      <c r="CH135" s="432"/>
      <c r="CI135" s="432"/>
      <c r="CJ135" s="432"/>
      <c r="CK135" s="432"/>
      <c r="CL135" s="432"/>
      <c r="CM135" s="432"/>
      <c r="CN135" s="432"/>
      <c r="CO135" s="432"/>
      <c r="CP135" s="432"/>
      <c r="CQ135" s="432"/>
      <c r="CR135" s="432"/>
      <c r="CS135" s="432"/>
      <c r="CT135" s="432"/>
      <c r="CU135" s="432"/>
      <c r="CV135" s="432"/>
      <c r="CW135" s="432"/>
      <c r="CX135" s="432"/>
      <c r="CY135" s="432"/>
      <c r="CZ135" s="432"/>
      <c r="DA135" s="432"/>
      <c r="DB135" s="432"/>
      <c r="DC135" s="432"/>
      <c r="DD135" s="432"/>
      <c r="DE135" s="432"/>
      <c r="DF135" s="432"/>
      <c r="DG135" s="432"/>
      <c r="DH135" s="432"/>
      <c r="DI135" s="432"/>
      <c r="DJ135" s="432"/>
      <c r="DK135" s="432"/>
      <c r="DL135" s="432"/>
      <c r="DM135" s="432"/>
      <c r="DN135" s="432"/>
      <c r="DO135" s="432"/>
      <c r="DP135" s="432"/>
      <c r="DQ135" s="432"/>
      <c r="DR135" s="432"/>
      <c r="DS135" s="432"/>
      <c r="DT135" s="432"/>
      <c r="DU135" s="432"/>
    </row>
    <row r="136" spans="1:125" s="299" customFormat="1" ht="31.5" customHeight="1" thickBot="1">
      <c r="A136" s="680" t="s">
        <v>543</v>
      </c>
      <c r="B136" s="710"/>
      <c r="C136" s="682">
        <f>SUM(C44:C135)</f>
        <v>275769000</v>
      </c>
      <c r="D136" s="682">
        <f>SUM(D44:D135)</f>
        <v>345198730</v>
      </c>
      <c r="E136" s="682">
        <f>SUM(E44:E135)</f>
        <v>257596670</v>
      </c>
      <c r="F136" s="729">
        <f>SUM(F44:F135)</f>
        <v>25.077409363728155</v>
      </c>
      <c r="G136" s="441"/>
      <c r="H136" s="441"/>
      <c r="I136" s="649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  <c r="Y136" s="441"/>
      <c r="Z136" s="441"/>
      <c r="AA136" s="441"/>
      <c r="AB136" s="441"/>
      <c r="AC136" s="441"/>
      <c r="AD136" s="441"/>
      <c r="AE136" s="441"/>
      <c r="AF136" s="441"/>
      <c r="AG136" s="441"/>
      <c r="AH136" s="441"/>
      <c r="AI136" s="441"/>
      <c r="AJ136" s="441"/>
      <c r="AK136" s="441"/>
      <c r="AL136" s="441"/>
      <c r="AM136" s="441"/>
      <c r="AN136" s="441"/>
      <c r="AO136" s="298"/>
    </row>
    <row r="137" spans="1:125" s="299" customFormat="1" ht="31.5" customHeight="1" thickBot="1">
      <c r="A137" s="321"/>
      <c r="B137" s="322"/>
      <c r="C137" s="323"/>
      <c r="D137" s="683"/>
      <c r="E137" s="683"/>
      <c r="F137" s="730"/>
      <c r="G137" s="441"/>
      <c r="H137" s="441"/>
      <c r="I137" s="441"/>
      <c r="J137" s="441"/>
      <c r="K137" s="441"/>
      <c r="L137" s="441"/>
      <c r="M137" s="441"/>
      <c r="N137" s="441"/>
      <c r="O137" s="441"/>
      <c r="P137" s="441"/>
      <c r="Q137" s="441"/>
      <c r="R137" s="441"/>
      <c r="S137" s="441"/>
      <c r="T137" s="441"/>
      <c r="U137" s="441"/>
      <c r="V137" s="441"/>
      <c r="W137" s="441"/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298"/>
    </row>
    <row r="138" spans="1:125" s="295" customFormat="1" ht="33" customHeight="1" thickBot="1">
      <c r="A138" s="675" t="s">
        <v>544</v>
      </c>
      <c r="B138" s="676"/>
      <c r="C138" s="678"/>
      <c r="D138" s="678"/>
      <c r="E138" s="678"/>
      <c r="F138" s="728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4"/>
    </row>
    <row r="139" spans="1:125" s="428" customFormat="1" ht="32.25" customHeight="1" thickBot="1">
      <c r="A139" s="885" t="s">
        <v>756</v>
      </c>
      <c r="B139" s="886"/>
      <c r="C139" s="452">
        <f>SUM(B140:B144)</f>
        <v>56545000</v>
      </c>
      <c r="D139" s="452">
        <v>56545000</v>
      </c>
      <c r="E139" s="452">
        <f>24093900+4562000+40390715+598000-16816500</f>
        <v>52828115</v>
      </c>
      <c r="F139" s="336">
        <f>E139/D139</f>
        <v>0.93426677867185426</v>
      </c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7"/>
      <c r="AP139" s="684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  <c r="BV139" s="426"/>
      <c r="BW139" s="426"/>
      <c r="BX139" s="426"/>
      <c r="BY139" s="426"/>
      <c r="BZ139" s="426"/>
      <c r="CA139" s="426"/>
      <c r="CB139" s="426"/>
      <c r="CC139" s="426"/>
      <c r="CD139" s="426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/>
      <c r="CX139" s="426"/>
      <c r="CY139" s="426"/>
      <c r="CZ139" s="426"/>
      <c r="DA139" s="426"/>
      <c r="DB139" s="426"/>
      <c r="DC139" s="426"/>
      <c r="DD139" s="426"/>
      <c r="DE139" s="426"/>
      <c r="DF139" s="426"/>
      <c r="DG139" s="426"/>
      <c r="DH139" s="426"/>
      <c r="DI139" s="426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</row>
    <row r="140" spans="1:125" s="428" customFormat="1" ht="21" customHeight="1" thickBot="1">
      <c r="A140" s="453" t="s">
        <v>477</v>
      </c>
      <c r="B140" s="325">
        <v>29090000</v>
      </c>
      <c r="C140" s="452"/>
      <c r="D140" s="452"/>
      <c r="E140" s="452"/>
      <c r="F140" s="33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7"/>
      <c r="AP140" s="684"/>
      <c r="AQ140" s="426"/>
      <c r="AR140" s="426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/>
      <c r="BN140" s="426"/>
      <c r="BO140" s="426"/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/>
      <c r="CU140" s="426"/>
      <c r="CV140" s="426"/>
      <c r="CW140" s="426"/>
      <c r="CX140" s="426"/>
      <c r="CY140" s="426"/>
      <c r="CZ140" s="426"/>
      <c r="DA140" s="426"/>
      <c r="DB140" s="426"/>
      <c r="DC140" s="426"/>
      <c r="DD140" s="426"/>
      <c r="DE140" s="426"/>
      <c r="DF140" s="426"/>
      <c r="DG140" s="426"/>
      <c r="DH140" s="426"/>
      <c r="DI140" s="426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</row>
    <row r="141" spans="1:125" s="428" customFormat="1" ht="21" customHeight="1" thickBot="1">
      <c r="A141" s="453" t="s">
        <v>478</v>
      </c>
      <c r="B141" s="325">
        <v>5455000</v>
      </c>
      <c r="C141" s="452"/>
      <c r="D141" s="452"/>
      <c r="E141" s="452"/>
      <c r="F141" s="33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426"/>
      <c r="AG141" s="426"/>
      <c r="AH141" s="426"/>
      <c r="AI141" s="426"/>
      <c r="AJ141" s="426"/>
      <c r="AK141" s="426"/>
      <c r="AL141" s="426"/>
      <c r="AM141" s="427"/>
      <c r="AP141" s="684"/>
      <c r="AQ141" s="426"/>
      <c r="AR141" s="426"/>
      <c r="AS141" s="426"/>
      <c r="AT141" s="426"/>
      <c r="AU141" s="426"/>
      <c r="AV141" s="426"/>
      <c r="AW141" s="426"/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426"/>
      <c r="BO141" s="426"/>
      <c r="BP141" s="426"/>
      <c r="BQ141" s="426"/>
      <c r="BR141" s="426"/>
      <c r="BS141" s="426"/>
      <c r="BT141" s="426"/>
      <c r="BU141" s="426"/>
      <c r="BV141" s="426"/>
      <c r="BW141" s="426"/>
      <c r="BX141" s="426"/>
      <c r="BY141" s="426"/>
      <c r="BZ141" s="426"/>
      <c r="CA141" s="426"/>
      <c r="CB141" s="426"/>
      <c r="CC141" s="426"/>
      <c r="CD141" s="426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26"/>
      <c r="CR141" s="426"/>
      <c r="CS141" s="426"/>
      <c r="CT141" s="426"/>
      <c r="CU141" s="426"/>
      <c r="CV141" s="426"/>
      <c r="CW141" s="426"/>
      <c r="CX141" s="426"/>
      <c r="CY141" s="426"/>
      <c r="CZ141" s="426"/>
      <c r="DA141" s="426"/>
      <c r="DB141" s="426"/>
      <c r="DC141" s="426"/>
      <c r="DD141" s="426"/>
      <c r="DE141" s="426"/>
      <c r="DF141" s="426"/>
      <c r="DG141" s="426"/>
      <c r="DH141" s="426"/>
      <c r="DI141" s="426"/>
      <c r="DJ141" s="426"/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</row>
    <row r="142" spans="1:125" s="428" customFormat="1" ht="21" customHeight="1" thickBot="1">
      <c r="A142" s="453" t="s">
        <v>757</v>
      </c>
      <c r="B142" s="325">
        <v>7455000</v>
      </c>
      <c r="C142" s="452"/>
      <c r="D142" s="452"/>
      <c r="E142" s="452"/>
      <c r="F142" s="33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7"/>
      <c r="AP142" s="684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/>
      <c r="CX142" s="426"/>
      <c r="CY142" s="426"/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</row>
    <row r="143" spans="1:125" s="428" customFormat="1" ht="21" customHeight="1" thickBot="1">
      <c r="A143" s="453" t="s">
        <v>758</v>
      </c>
      <c r="B143" s="325">
        <v>11364000</v>
      </c>
      <c r="C143" s="452"/>
      <c r="D143" s="452"/>
      <c r="E143" s="452"/>
      <c r="F143" s="33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7"/>
      <c r="AP143" s="684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6"/>
      <c r="CC143" s="426"/>
      <c r="CD143" s="426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26"/>
      <c r="CR143" s="426"/>
      <c r="CS143" s="426"/>
      <c r="CT143" s="426"/>
      <c r="CU143" s="426"/>
      <c r="CV143" s="426"/>
      <c r="CW143" s="426"/>
      <c r="CX143" s="426"/>
      <c r="CY143" s="426"/>
      <c r="CZ143" s="426"/>
      <c r="DA143" s="426"/>
      <c r="DB143" s="426"/>
      <c r="DC143" s="426"/>
      <c r="DD143" s="426"/>
      <c r="DE143" s="426"/>
      <c r="DF143" s="426"/>
      <c r="DG143" s="426"/>
      <c r="DH143" s="426"/>
      <c r="DI143" s="426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</row>
    <row r="144" spans="1:125" s="428" customFormat="1" ht="21" customHeight="1" thickBot="1">
      <c r="A144" s="453" t="s">
        <v>479</v>
      </c>
      <c r="B144" s="325">
        <v>3181000</v>
      </c>
      <c r="C144" s="452"/>
      <c r="D144" s="452"/>
      <c r="E144" s="452"/>
      <c r="F144" s="33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7"/>
      <c r="AP144" s="684"/>
      <c r="AQ144" s="426"/>
      <c r="AR144" s="426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6"/>
      <c r="CC144" s="426"/>
      <c r="CD144" s="426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26"/>
      <c r="CR144" s="426"/>
      <c r="CS144" s="426"/>
      <c r="CT144" s="426"/>
      <c r="CU144" s="426"/>
      <c r="CV144" s="426"/>
      <c r="CW144" s="426"/>
      <c r="CX144" s="426"/>
      <c r="CY144" s="426"/>
      <c r="CZ144" s="426"/>
      <c r="DA144" s="426"/>
      <c r="DB144" s="426"/>
      <c r="DC144" s="426"/>
      <c r="DD144" s="426"/>
      <c r="DE144" s="426"/>
      <c r="DF144" s="426"/>
      <c r="DG144" s="426"/>
      <c r="DH144" s="426"/>
      <c r="DI144" s="426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</row>
    <row r="145" spans="1:125" s="428" customFormat="1" ht="27.75" customHeight="1" thickBot="1">
      <c r="A145" s="626" t="s">
        <v>504</v>
      </c>
      <c r="B145" s="454"/>
      <c r="C145" s="452">
        <v>6050000</v>
      </c>
      <c r="D145" s="452">
        <f>SUM(B146:B148)</f>
        <v>2050000</v>
      </c>
      <c r="E145" s="452">
        <v>1029000</v>
      </c>
      <c r="F145" s="336">
        <f>E145/D145</f>
        <v>0.50195121951219512</v>
      </c>
      <c r="G145" s="426"/>
      <c r="H145" s="426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26"/>
      <c r="AC145" s="426"/>
      <c r="AD145" s="426"/>
      <c r="AE145" s="426"/>
      <c r="AF145" s="426"/>
      <c r="AG145" s="426"/>
      <c r="AH145" s="426"/>
      <c r="AI145" s="426"/>
      <c r="AJ145" s="426"/>
      <c r="AK145" s="426"/>
      <c r="AL145" s="426"/>
      <c r="AM145" s="426"/>
      <c r="AN145" s="426"/>
      <c r="AO145" s="427"/>
    </row>
    <row r="146" spans="1:125" s="428" customFormat="1" ht="30" customHeight="1" thickBot="1">
      <c r="A146" s="453" t="s">
        <v>505</v>
      </c>
      <c r="B146" s="451">
        <v>2000000</v>
      </c>
      <c r="C146" s="452"/>
      <c r="D146" s="452"/>
      <c r="E146" s="452"/>
      <c r="F146" s="336"/>
      <c r="G146" s="426"/>
      <c r="H146" s="426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  <c r="U146" s="426"/>
      <c r="V146" s="426"/>
      <c r="W146" s="426"/>
      <c r="X146" s="426"/>
      <c r="Y146" s="426"/>
      <c r="Z146" s="426"/>
      <c r="AA146" s="426"/>
      <c r="AB146" s="426"/>
      <c r="AC146" s="426"/>
      <c r="AD146" s="426"/>
      <c r="AE146" s="426"/>
      <c r="AF146" s="426"/>
      <c r="AG146" s="426"/>
      <c r="AH146" s="426"/>
      <c r="AI146" s="426"/>
      <c r="AJ146" s="426"/>
      <c r="AK146" s="426"/>
      <c r="AL146" s="426"/>
      <c r="AM146" s="426"/>
      <c r="AN146" s="426"/>
      <c r="AO146" s="427"/>
    </row>
    <row r="147" spans="1:125" s="428" customFormat="1" ht="16.5" thickBot="1">
      <c r="A147" s="453" t="s">
        <v>839</v>
      </c>
      <c r="B147" s="451">
        <v>50000</v>
      </c>
      <c r="C147" s="452"/>
      <c r="D147" s="452"/>
      <c r="E147" s="452"/>
      <c r="F147" s="336"/>
      <c r="G147" s="426"/>
      <c r="H147" s="426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  <c r="U147" s="426"/>
      <c r="V147" s="426"/>
      <c r="W147" s="426"/>
      <c r="X147" s="426"/>
      <c r="Y147" s="426"/>
      <c r="Z147" s="426"/>
      <c r="AA147" s="426"/>
      <c r="AB147" s="426"/>
      <c r="AC147" s="426"/>
      <c r="AD147" s="426"/>
      <c r="AE147" s="426"/>
      <c r="AF147" s="426"/>
      <c r="AG147" s="426"/>
      <c r="AH147" s="426"/>
      <c r="AI147" s="426"/>
      <c r="AJ147" s="426"/>
      <c r="AK147" s="426"/>
      <c r="AL147" s="426"/>
      <c r="AM147" s="426"/>
      <c r="AN147" s="426"/>
      <c r="AO147" s="427"/>
    </row>
    <row r="148" spans="1:125" s="428" customFormat="1" ht="39.75" customHeight="1" thickBot="1">
      <c r="A148" s="453" t="s">
        <v>506</v>
      </c>
      <c r="B148" s="451">
        <f>4000000-4000000</f>
        <v>0</v>
      </c>
      <c r="C148" s="452"/>
      <c r="D148" s="452"/>
      <c r="E148" s="452"/>
      <c r="F148" s="336"/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26"/>
      <c r="AC148" s="426"/>
      <c r="AD148" s="426"/>
      <c r="AE148" s="426"/>
      <c r="AF148" s="426"/>
      <c r="AG148" s="426"/>
      <c r="AH148" s="426"/>
      <c r="AI148" s="426"/>
      <c r="AJ148" s="426"/>
      <c r="AK148" s="426"/>
      <c r="AL148" s="426"/>
      <c r="AM148" s="426"/>
      <c r="AN148" s="426"/>
      <c r="AO148" s="427"/>
    </row>
    <row r="149" spans="1:125" s="434" customFormat="1" ht="21" customHeight="1" thickBot="1">
      <c r="A149" s="626" t="s">
        <v>759</v>
      </c>
      <c r="B149" s="462"/>
      <c r="C149" s="452"/>
      <c r="D149" s="468">
        <v>16917000</v>
      </c>
      <c r="E149" s="468">
        <v>16816500</v>
      </c>
      <c r="F149" s="336">
        <f>E149/D149</f>
        <v>0.99405923035999288</v>
      </c>
      <c r="G149" s="432"/>
      <c r="H149" s="432"/>
      <c r="I149" s="432"/>
      <c r="J149" s="432"/>
      <c r="K149" s="432"/>
      <c r="L149" s="432"/>
      <c r="M149" s="432"/>
      <c r="N149" s="432"/>
      <c r="O149" s="432"/>
      <c r="P149" s="432"/>
      <c r="Q149" s="432"/>
      <c r="R149" s="432"/>
      <c r="S149" s="432"/>
      <c r="T149" s="432"/>
      <c r="U149" s="432"/>
      <c r="V149" s="432"/>
      <c r="W149" s="432"/>
      <c r="X149" s="432"/>
      <c r="Y149" s="432"/>
      <c r="Z149" s="432"/>
      <c r="AA149" s="432"/>
      <c r="AB149" s="432"/>
      <c r="AC149" s="432"/>
      <c r="AD149" s="432"/>
      <c r="AE149" s="432"/>
      <c r="AF149" s="432"/>
      <c r="AG149" s="432"/>
      <c r="AH149" s="432"/>
      <c r="AI149" s="432"/>
      <c r="AJ149" s="432"/>
      <c r="AK149" s="432"/>
      <c r="AL149" s="432"/>
      <c r="AM149" s="432"/>
      <c r="AN149" s="432"/>
      <c r="AO149" s="432"/>
      <c r="AP149" s="432"/>
      <c r="AQ149" s="432"/>
      <c r="AR149" s="432"/>
      <c r="AS149" s="432"/>
      <c r="AT149" s="432"/>
      <c r="AU149" s="432"/>
      <c r="AV149" s="432"/>
      <c r="AW149" s="432"/>
      <c r="AX149" s="432"/>
      <c r="AY149" s="432"/>
      <c r="AZ149" s="432"/>
      <c r="BA149" s="432"/>
      <c r="BB149" s="432"/>
      <c r="BC149" s="432"/>
      <c r="BD149" s="432"/>
      <c r="BE149" s="432"/>
      <c r="BF149" s="432"/>
      <c r="BG149" s="432"/>
      <c r="BH149" s="432"/>
      <c r="BI149" s="432"/>
      <c r="BJ149" s="432"/>
      <c r="BK149" s="432"/>
      <c r="BL149" s="432"/>
      <c r="BM149" s="432"/>
      <c r="BN149" s="432"/>
      <c r="BO149" s="432"/>
      <c r="BP149" s="432"/>
      <c r="BQ149" s="432"/>
      <c r="BR149" s="432"/>
      <c r="BS149" s="432"/>
      <c r="BT149" s="432"/>
      <c r="BU149" s="432"/>
    </row>
    <row r="150" spans="1:125" s="299" customFormat="1" ht="31.5" customHeight="1" thickBot="1">
      <c r="A150" s="680" t="s">
        <v>545</v>
      </c>
      <c r="B150" s="681"/>
      <c r="C150" s="682">
        <f>SUM(C139:C149)</f>
        <v>62595000</v>
      </c>
      <c r="D150" s="682">
        <f>SUM(D139:D149)</f>
        <v>75512000</v>
      </c>
      <c r="E150" s="682">
        <f t="shared" ref="E150" si="6">SUM(E139:E149)</f>
        <v>70673615</v>
      </c>
      <c r="F150" s="729">
        <f>E150/D150</f>
        <v>0.93592561447187206</v>
      </c>
      <c r="G150" s="441"/>
      <c r="H150" s="441"/>
      <c r="I150" s="441"/>
      <c r="J150" s="441"/>
      <c r="K150" s="441"/>
      <c r="L150" s="441"/>
      <c r="M150" s="441"/>
      <c r="N150" s="441"/>
      <c r="O150" s="441"/>
      <c r="P150" s="441"/>
      <c r="Q150" s="441"/>
      <c r="R150" s="441"/>
      <c r="S150" s="441"/>
      <c r="T150" s="441"/>
      <c r="U150" s="441"/>
      <c r="V150" s="441"/>
      <c r="W150" s="441"/>
      <c r="X150" s="441"/>
      <c r="Y150" s="441"/>
      <c r="Z150" s="441"/>
      <c r="AA150" s="441"/>
      <c r="AB150" s="441"/>
      <c r="AC150" s="441"/>
      <c r="AD150" s="441"/>
      <c r="AE150" s="441"/>
      <c r="AF150" s="441"/>
      <c r="AG150" s="441"/>
      <c r="AH150" s="441"/>
      <c r="AI150" s="441"/>
      <c r="AJ150" s="441"/>
      <c r="AK150" s="441"/>
      <c r="AL150" s="441"/>
      <c r="AM150" s="441"/>
      <c r="AN150" s="441"/>
      <c r="AO150" s="298"/>
    </row>
    <row r="151" spans="1:125" s="299" customFormat="1" ht="31.5" customHeight="1" thickBot="1">
      <c r="A151" s="321"/>
      <c r="B151" s="322"/>
      <c r="C151" s="323"/>
      <c r="D151" s="683"/>
      <c r="E151" s="683"/>
      <c r="F151" s="730"/>
      <c r="G151" s="441"/>
      <c r="H151" s="441"/>
      <c r="I151" s="441"/>
      <c r="J151" s="441"/>
      <c r="K151" s="441"/>
      <c r="L151" s="441"/>
      <c r="M151" s="441"/>
      <c r="N151" s="441"/>
      <c r="O151" s="441"/>
      <c r="P151" s="441"/>
      <c r="Q151" s="441"/>
      <c r="R151" s="441"/>
      <c r="S151" s="441"/>
      <c r="T151" s="441"/>
      <c r="U151" s="441"/>
      <c r="V151" s="441"/>
      <c r="W151" s="441"/>
      <c r="X151" s="441"/>
      <c r="Y151" s="441"/>
      <c r="Z151" s="441"/>
      <c r="AA151" s="441"/>
      <c r="AB151" s="441"/>
      <c r="AC151" s="441"/>
      <c r="AD151" s="441"/>
      <c r="AE151" s="441"/>
      <c r="AF151" s="441"/>
      <c r="AG151" s="441"/>
      <c r="AH151" s="441"/>
      <c r="AI151" s="441"/>
      <c r="AJ151" s="441"/>
      <c r="AK151" s="441"/>
      <c r="AL151" s="441"/>
      <c r="AM151" s="441"/>
      <c r="AN151" s="441"/>
      <c r="AO151" s="298"/>
    </row>
    <row r="152" spans="1:125" s="295" customFormat="1" ht="66.75" customHeight="1" thickBot="1">
      <c r="A152" s="672" t="s">
        <v>463</v>
      </c>
      <c r="B152" s="686"/>
      <c r="C152" s="674" t="s">
        <v>350</v>
      </c>
      <c r="D152" s="687" t="s">
        <v>351</v>
      </c>
      <c r="E152" s="674" t="s">
        <v>288</v>
      </c>
      <c r="F152" s="727" t="s">
        <v>289</v>
      </c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  <c r="AJ152" s="293"/>
      <c r="AK152" s="293"/>
      <c r="AL152" s="293"/>
      <c r="AM152" s="293"/>
      <c r="AN152" s="293"/>
      <c r="AO152" s="294"/>
    </row>
    <row r="153" spans="1:125" s="295" customFormat="1" ht="33" customHeight="1" thickBot="1">
      <c r="A153" s="675" t="s">
        <v>546</v>
      </c>
      <c r="B153" s="676"/>
      <c r="C153" s="678"/>
      <c r="D153" s="678"/>
      <c r="E153" s="678"/>
      <c r="F153" s="728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293"/>
      <c r="AA153" s="293"/>
      <c r="AB153" s="293"/>
      <c r="AC153" s="293"/>
      <c r="AD153" s="293"/>
      <c r="AE153" s="293"/>
      <c r="AF153" s="293"/>
      <c r="AG153" s="293"/>
      <c r="AH153" s="293"/>
      <c r="AI153" s="293"/>
      <c r="AJ153" s="293"/>
      <c r="AK153" s="293"/>
      <c r="AL153" s="293"/>
      <c r="AM153" s="293"/>
      <c r="AN153" s="293"/>
      <c r="AO153" s="294"/>
    </row>
    <row r="154" spans="1:125" s="428" customFormat="1" ht="84" customHeight="1" thickBot="1">
      <c r="A154" s="885" t="s">
        <v>753</v>
      </c>
      <c r="B154" s="886"/>
      <c r="C154" s="452">
        <v>1400000</v>
      </c>
      <c r="D154" s="452">
        <v>1400000</v>
      </c>
      <c r="E154" s="452">
        <v>1402405</v>
      </c>
      <c r="F154" s="336">
        <f>E154/D154</f>
        <v>1.0017178571428571</v>
      </c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  <c r="U154" s="426"/>
      <c r="V154" s="426"/>
      <c r="W154" s="426"/>
      <c r="X154" s="426"/>
      <c r="Y154" s="426"/>
      <c r="Z154" s="426"/>
      <c r="AA154" s="426"/>
      <c r="AB154" s="426"/>
      <c r="AC154" s="426"/>
      <c r="AD154" s="426"/>
      <c r="AE154" s="426"/>
      <c r="AF154" s="426"/>
      <c r="AG154" s="426"/>
      <c r="AH154" s="426"/>
      <c r="AI154" s="426"/>
      <c r="AJ154" s="426"/>
      <c r="AK154" s="426"/>
      <c r="AL154" s="426"/>
      <c r="AM154" s="427"/>
      <c r="AP154" s="684"/>
      <c r="AQ154" s="426"/>
      <c r="AR154" s="426"/>
      <c r="AS154" s="426"/>
      <c r="AT154" s="426"/>
      <c r="AU154" s="426"/>
      <c r="AV154" s="426"/>
      <c r="AW154" s="426"/>
      <c r="AX154" s="426"/>
      <c r="AY154" s="426"/>
      <c r="AZ154" s="426"/>
      <c r="BA154" s="426"/>
      <c r="BB154" s="426"/>
      <c r="BC154" s="426"/>
      <c r="BD154" s="426"/>
      <c r="BE154" s="426"/>
      <c r="BF154" s="426"/>
      <c r="BG154" s="426"/>
      <c r="BH154" s="426"/>
      <c r="BI154" s="426"/>
      <c r="BJ154" s="426"/>
      <c r="BK154" s="426"/>
      <c r="BL154" s="426"/>
      <c r="BM154" s="426"/>
      <c r="BN154" s="426"/>
      <c r="BO154" s="426"/>
      <c r="BP154" s="426"/>
      <c r="BQ154" s="426"/>
      <c r="BR154" s="426"/>
      <c r="BS154" s="426"/>
      <c r="BT154" s="426"/>
      <c r="BU154" s="426"/>
      <c r="BV154" s="426"/>
      <c r="BW154" s="426"/>
      <c r="BX154" s="426"/>
      <c r="BY154" s="426"/>
      <c r="BZ154" s="426"/>
      <c r="CA154" s="426"/>
      <c r="CB154" s="426"/>
      <c r="CC154" s="426"/>
      <c r="CD154" s="426"/>
      <c r="CE154" s="426"/>
      <c r="CF154" s="426"/>
      <c r="CG154" s="426"/>
      <c r="CH154" s="426"/>
      <c r="CI154" s="426"/>
      <c r="CJ154" s="426"/>
      <c r="CK154" s="426"/>
      <c r="CL154" s="426"/>
      <c r="CM154" s="426"/>
      <c r="CN154" s="426"/>
      <c r="CO154" s="426"/>
      <c r="CP154" s="426"/>
      <c r="CQ154" s="426"/>
      <c r="CR154" s="426"/>
      <c r="CS154" s="426"/>
      <c r="CT154" s="426"/>
      <c r="CU154" s="426"/>
      <c r="CV154" s="426"/>
      <c r="CW154" s="426"/>
      <c r="CX154" s="426"/>
      <c r="CY154" s="426"/>
      <c r="CZ154" s="426"/>
      <c r="DA154" s="426"/>
      <c r="DB154" s="426"/>
      <c r="DC154" s="426"/>
      <c r="DD154" s="426"/>
      <c r="DE154" s="426"/>
      <c r="DF154" s="426"/>
      <c r="DG154" s="426"/>
      <c r="DH154" s="426"/>
      <c r="DI154" s="426"/>
      <c r="DJ154" s="426"/>
      <c r="DK154" s="426"/>
      <c r="DL154" s="426"/>
      <c r="DM154" s="426"/>
      <c r="DN154" s="426"/>
      <c r="DO154" s="426"/>
      <c r="DP154" s="426"/>
      <c r="DQ154" s="426"/>
      <c r="DR154" s="426"/>
      <c r="DS154" s="426"/>
      <c r="DT154" s="426"/>
      <c r="DU154" s="426"/>
    </row>
    <row r="155" spans="1:125" s="428" customFormat="1" ht="32.25" thickBot="1">
      <c r="A155" s="626" t="s">
        <v>475</v>
      </c>
      <c r="B155" s="325"/>
      <c r="C155" s="452">
        <v>475340000</v>
      </c>
      <c r="D155" s="452">
        <f>475340000+42911662+100583430+48938447+8268928</f>
        <v>676042467</v>
      </c>
      <c r="E155" s="452">
        <v>676042467</v>
      </c>
      <c r="F155" s="336">
        <f t="shared" ref="F155:F158" si="7">E155/D155</f>
        <v>1</v>
      </c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  <c r="U155" s="426"/>
      <c r="V155" s="426"/>
      <c r="W155" s="426"/>
      <c r="X155" s="426"/>
      <c r="Y155" s="426"/>
      <c r="Z155" s="426"/>
      <c r="AA155" s="426"/>
      <c r="AB155" s="426"/>
      <c r="AC155" s="426"/>
      <c r="AD155" s="426"/>
      <c r="AE155" s="426"/>
      <c r="AF155" s="426"/>
      <c r="AG155" s="426"/>
      <c r="AH155" s="426"/>
      <c r="AI155" s="426"/>
      <c r="AJ155" s="426"/>
      <c r="AK155" s="426"/>
      <c r="AL155" s="426"/>
      <c r="AM155" s="427"/>
      <c r="AP155" s="684"/>
      <c r="AQ155" s="426"/>
      <c r="AR155" s="426"/>
      <c r="AS155" s="426"/>
      <c r="AT155" s="426"/>
      <c r="AU155" s="426"/>
      <c r="AV155" s="426"/>
      <c r="AW155" s="426"/>
      <c r="AX155" s="426"/>
      <c r="AY155" s="426"/>
      <c r="AZ155" s="426"/>
      <c r="BA155" s="426"/>
      <c r="BB155" s="426"/>
      <c r="BC155" s="426"/>
      <c r="BD155" s="426"/>
      <c r="BE155" s="426"/>
      <c r="BF155" s="426"/>
      <c r="BG155" s="426"/>
      <c r="BH155" s="426"/>
      <c r="BI155" s="426"/>
      <c r="BJ155" s="426"/>
      <c r="BK155" s="426"/>
      <c r="BL155" s="426"/>
      <c r="BM155" s="426"/>
      <c r="BN155" s="426"/>
      <c r="BO155" s="426"/>
      <c r="BP155" s="426"/>
      <c r="BQ155" s="426"/>
      <c r="BR155" s="426"/>
      <c r="BS155" s="426"/>
      <c r="BT155" s="426"/>
      <c r="BU155" s="426"/>
      <c r="BV155" s="426"/>
      <c r="BW155" s="426"/>
      <c r="BX155" s="426"/>
      <c r="BY155" s="426"/>
      <c r="BZ155" s="426"/>
      <c r="CA155" s="426"/>
      <c r="CB155" s="426"/>
      <c r="CC155" s="426"/>
      <c r="CD155" s="426"/>
      <c r="CE155" s="426"/>
      <c r="CF155" s="426"/>
      <c r="CG155" s="426"/>
      <c r="CH155" s="426"/>
      <c r="CI155" s="426"/>
      <c r="CJ155" s="426"/>
      <c r="CK155" s="426"/>
      <c r="CL155" s="426"/>
      <c r="CM155" s="426"/>
      <c r="CN155" s="426"/>
      <c r="CO155" s="426"/>
      <c r="CP155" s="426"/>
      <c r="CQ155" s="426"/>
      <c r="CR155" s="426"/>
      <c r="CS155" s="426"/>
      <c r="CT155" s="426"/>
      <c r="CU155" s="426"/>
      <c r="CV155" s="426"/>
      <c r="CW155" s="426"/>
      <c r="CX155" s="426"/>
      <c r="CY155" s="426"/>
      <c r="CZ155" s="426"/>
      <c r="DA155" s="426"/>
      <c r="DB155" s="426"/>
      <c r="DC155" s="426"/>
      <c r="DD155" s="426"/>
      <c r="DE155" s="426"/>
      <c r="DF155" s="426"/>
      <c r="DG155" s="426"/>
      <c r="DH155" s="426"/>
      <c r="DI155" s="426"/>
      <c r="DJ155" s="426"/>
      <c r="DK155" s="426"/>
      <c r="DL155" s="426"/>
      <c r="DM155" s="426"/>
      <c r="DN155" s="426"/>
      <c r="DO155" s="426"/>
      <c r="DP155" s="426"/>
      <c r="DQ155" s="426"/>
      <c r="DR155" s="426"/>
      <c r="DS155" s="426"/>
      <c r="DT155" s="426"/>
      <c r="DU155" s="426"/>
    </row>
    <row r="156" spans="1:125" s="428" customFormat="1" ht="32.25" thickBot="1">
      <c r="A156" s="626" t="s">
        <v>476</v>
      </c>
      <c r="B156" s="325"/>
      <c r="C156" s="452">
        <v>97000000</v>
      </c>
      <c r="D156" s="452">
        <f>97000000+425073-8280000+61560</f>
        <v>89206633</v>
      </c>
      <c r="E156" s="452">
        <v>89206633</v>
      </c>
      <c r="F156" s="336">
        <f t="shared" si="7"/>
        <v>1</v>
      </c>
      <c r="G156" s="426"/>
      <c r="H156" s="426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  <c r="U156" s="426"/>
      <c r="V156" s="426"/>
      <c r="W156" s="426"/>
      <c r="X156" s="426"/>
      <c r="Y156" s="426"/>
      <c r="Z156" s="426"/>
      <c r="AA156" s="426"/>
      <c r="AB156" s="426"/>
      <c r="AC156" s="426"/>
      <c r="AD156" s="426"/>
      <c r="AE156" s="426"/>
      <c r="AF156" s="426"/>
      <c r="AG156" s="426"/>
      <c r="AH156" s="426"/>
      <c r="AI156" s="426"/>
      <c r="AJ156" s="426"/>
      <c r="AK156" s="426"/>
      <c r="AL156" s="426"/>
      <c r="AM156" s="427"/>
      <c r="AP156" s="684"/>
      <c r="AQ156" s="426"/>
      <c r="AR156" s="426"/>
      <c r="AS156" s="426"/>
      <c r="AT156" s="426"/>
      <c r="AU156" s="426"/>
      <c r="AV156" s="426"/>
      <c r="AW156" s="426"/>
      <c r="AX156" s="426"/>
      <c r="AY156" s="426"/>
      <c r="AZ156" s="426"/>
      <c r="BA156" s="426"/>
      <c r="BB156" s="426"/>
      <c r="BC156" s="426"/>
      <c r="BD156" s="426"/>
      <c r="BE156" s="426"/>
      <c r="BF156" s="426"/>
      <c r="BG156" s="426"/>
      <c r="BH156" s="426"/>
      <c r="BI156" s="426"/>
      <c r="BJ156" s="426"/>
      <c r="BK156" s="426"/>
      <c r="BL156" s="426"/>
      <c r="BM156" s="426"/>
      <c r="BN156" s="426"/>
      <c r="BO156" s="426"/>
      <c r="BP156" s="426"/>
      <c r="BQ156" s="426"/>
      <c r="BR156" s="426"/>
      <c r="BS156" s="426"/>
      <c r="BT156" s="426"/>
      <c r="BU156" s="426"/>
      <c r="BV156" s="426"/>
      <c r="BW156" s="426"/>
      <c r="BX156" s="426"/>
      <c r="BY156" s="426"/>
      <c r="BZ156" s="426"/>
      <c r="CA156" s="426"/>
      <c r="CB156" s="426"/>
      <c r="CC156" s="426"/>
      <c r="CD156" s="426"/>
      <c r="CE156" s="426"/>
      <c r="CF156" s="426"/>
      <c r="CG156" s="426"/>
      <c r="CH156" s="426"/>
      <c r="CI156" s="426"/>
      <c r="CJ156" s="426"/>
      <c r="CK156" s="426"/>
      <c r="CL156" s="426"/>
      <c r="CM156" s="426"/>
      <c r="CN156" s="426"/>
      <c r="CO156" s="426"/>
      <c r="CP156" s="426"/>
      <c r="CQ156" s="426"/>
      <c r="CR156" s="426"/>
      <c r="CS156" s="426"/>
      <c r="CT156" s="426"/>
      <c r="CU156" s="426"/>
      <c r="CV156" s="426"/>
      <c r="CW156" s="426"/>
      <c r="CX156" s="426"/>
      <c r="CY156" s="426"/>
      <c r="CZ156" s="426"/>
      <c r="DA156" s="426"/>
      <c r="DB156" s="426"/>
      <c r="DC156" s="426"/>
      <c r="DD156" s="426"/>
      <c r="DE156" s="426"/>
      <c r="DF156" s="426"/>
      <c r="DG156" s="426"/>
      <c r="DH156" s="426"/>
      <c r="DI156" s="426"/>
      <c r="DJ156" s="426"/>
      <c r="DK156" s="426"/>
      <c r="DL156" s="426"/>
      <c r="DM156" s="426"/>
      <c r="DN156" s="426"/>
      <c r="DO156" s="426"/>
      <c r="DP156" s="426"/>
      <c r="DQ156" s="426"/>
      <c r="DR156" s="426"/>
      <c r="DS156" s="426"/>
      <c r="DT156" s="426"/>
      <c r="DU156" s="426"/>
    </row>
    <row r="157" spans="1:125" s="428" customFormat="1" ht="27.75" customHeight="1" thickBot="1">
      <c r="A157" s="626" t="s">
        <v>754</v>
      </c>
      <c r="B157" s="325"/>
      <c r="C157" s="452">
        <v>1027000</v>
      </c>
      <c r="D157" s="452">
        <v>1027000</v>
      </c>
      <c r="E157" s="452">
        <v>1027000</v>
      </c>
      <c r="F157" s="336">
        <f t="shared" si="7"/>
        <v>1</v>
      </c>
      <c r="G157" s="300"/>
      <c r="H157" s="426"/>
      <c r="I157" s="426"/>
      <c r="J157" s="426"/>
      <c r="K157" s="426"/>
      <c r="L157" s="426"/>
      <c r="M157" s="426"/>
      <c r="N157" s="426"/>
      <c r="O157" s="426"/>
      <c r="P157" s="426"/>
      <c r="Q157" s="426"/>
      <c r="R157" s="426"/>
      <c r="S157" s="426"/>
      <c r="T157" s="426"/>
      <c r="U157" s="426"/>
      <c r="V157" s="426"/>
      <c r="W157" s="426"/>
      <c r="X157" s="426"/>
      <c r="Y157" s="426"/>
      <c r="Z157" s="426"/>
      <c r="AA157" s="426"/>
      <c r="AB157" s="426"/>
      <c r="AC157" s="426"/>
      <c r="AD157" s="426"/>
      <c r="AE157" s="426"/>
      <c r="AF157" s="426"/>
      <c r="AG157" s="426"/>
      <c r="AH157" s="426"/>
      <c r="AI157" s="426"/>
      <c r="AJ157" s="426"/>
      <c r="AK157" s="426"/>
      <c r="AL157" s="426"/>
      <c r="AM157" s="427"/>
      <c r="AP157" s="684"/>
      <c r="AQ157" s="426"/>
      <c r="AR157" s="426"/>
      <c r="AS157" s="426"/>
      <c r="AT157" s="426"/>
      <c r="AU157" s="426"/>
      <c r="AV157" s="426"/>
      <c r="AW157" s="426"/>
      <c r="AX157" s="426"/>
      <c r="AY157" s="426"/>
      <c r="AZ157" s="426"/>
      <c r="BA157" s="426"/>
      <c r="BB157" s="426"/>
      <c r="BC157" s="426"/>
      <c r="BD157" s="426"/>
      <c r="BE157" s="426"/>
      <c r="BF157" s="426"/>
      <c r="BG157" s="426"/>
      <c r="BH157" s="426"/>
      <c r="BI157" s="426"/>
      <c r="BJ157" s="426"/>
      <c r="BK157" s="426"/>
      <c r="BL157" s="426"/>
      <c r="BM157" s="426"/>
      <c r="BN157" s="426"/>
      <c r="BO157" s="426"/>
      <c r="BP157" s="426"/>
      <c r="BQ157" s="426"/>
      <c r="BR157" s="426"/>
      <c r="BS157" s="426"/>
      <c r="BT157" s="426"/>
      <c r="BU157" s="426"/>
      <c r="BV157" s="426"/>
      <c r="BW157" s="426"/>
      <c r="BX157" s="426"/>
      <c r="BY157" s="426"/>
      <c r="BZ157" s="426"/>
      <c r="CA157" s="426"/>
      <c r="CB157" s="426"/>
      <c r="CC157" s="426"/>
      <c r="CD157" s="426"/>
      <c r="CE157" s="426"/>
      <c r="CF157" s="426"/>
      <c r="CG157" s="426"/>
      <c r="CH157" s="426"/>
      <c r="CI157" s="426"/>
      <c r="CJ157" s="426"/>
      <c r="CK157" s="426"/>
      <c r="CL157" s="426"/>
      <c r="CM157" s="426"/>
      <c r="CN157" s="426"/>
      <c r="CO157" s="426"/>
      <c r="CP157" s="426"/>
      <c r="CQ157" s="426"/>
      <c r="CR157" s="426"/>
      <c r="CS157" s="426"/>
      <c r="CT157" s="426"/>
      <c r="CU157" s="426"/>
      <c r="CV157" s="426"/>
      <c r="CW157" s="426"/>
      <c r="CX157" s="426"/>
      <c r="CY157" s="426"/>
      <c r="CZ157" s="426"/>
      <c r="DA157" s="426"/>
      <c r="DB157" s="426"/>
      <c r="DC157" s="426"/>
      <c r="DD157" s="426"/>
      <c r="DE157" s="426"/>
      <c r="DF157" s="426"/>
      <c r="DG157" s="426"/>
      <c r="DH157" s="426"/>
      <c r="DI157" s="426"/>
      <c r="DJ157" s="426"/>
      <c r="DK157" s="426"/>
      <c r="DL157" s="426"/>
      <c r="DM157" s="426"/>
      <c r="DN157" s="426"/>
      <c r="DO157" s="426"/>
      <c r="DP157" s="426"/>
      <c r="DQ157" s="426"/>
      <c r="DR157" s="426"/>
      <c r="DS157" s="426"/>
      <c r="DT157" s="426"/>
      <c r="DU157" s="426"/>
    </row>
    <row r="158" spans="1:125" s="428" customFormat="1" ht="27.75" customHeight="1" thickBot="1">
      <c r="A158" s="885" t="s">
        <v>755</v>
      </c>
      <c r="B158" s="886"/>
      <c r="C158" s="452"/>
      <c r="D158" s="468">
        <v>593000</v>
      </c>
      <c r="E158" s="468">
        <v>593000</v>
      </c>
      <c r="F158" s="336">
        <f t="shared" si="7"/>
        <v>1</v>
      </c>
      <c r="G158" s="426"/>
      <c r="H158" s="426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  <c r="U158" s="426"/>
      <c r="V158" s="426"/>
      <c r="W158" s="426"/>
      <c r="X158" s="426"/>
      <c r="Y158" s="426"/>
      <c r="Z158" s="426"/>
      <c r="AA158" s="426"/>
      <c r="AB158" s="426"/>
      <c r="AC158" s="426"/>
      <c r="AD158" s="426"/>
      <c r="AE158" s="426"/>
      <c r="AF158" s="426"/>
      <c r="AG158" s="426"/>
      <c r="AH158" s="426"/>
      <c r="AI158" s="426"/>
      <c r="AJ158" s="426"/>
      <c r="AK158" s="426"/>
      <c r="AL158" s="426"/>
      <c r="AM158" s="426"/>
      <c r="AN158" s="426"/>
      <c r="AO158" s="426"/>
      <c r="AP158" s="426"/>
      <c r="AQ158" s="426"/>
      <c r="AR158" s="426"/>
      <c r="AS158" s="426"/>
      <c r="AT158" s="426"/>
      <c r="AU158" s="426"/>
      <c r="AV158" s="426"/>
      <c r="AW158" s="426"/>
      <c r="AX158" s="426"/>
      <c r="AY158" s="426"/>
      <c r="AZ158" s="426"/>
      <c r="BA158" s="426"/>
      <c r="BB158" s="426"/>
      <c r="BC158" s="426"/>
      <c r="BD158" s="426"/>
      <c r="BE158" s="426"/>
      <c r="BF158" s="426"/>
      <c r="BG158" s="426"/>
      <c r="BH158" s="426"/>
      <c r="BI158" s="426"/>
      <c r="BJ158" s="426"/>
      <c r="BK158" s="426"/>
      <c r="BL158" s="426"/>
      <c r="BM158" s="426"/>
      <c r="BN158" s="426"/>
      <c r="BO158" s="426"/>
      <c r="BP158" s="426"/>
      <c r="BQ158" s="426"/>
      <c r="BR158" s="426"/>
      <c r="BS158" s="426"/>
      <c r="BT158" s="426"/>
      <c r="BU158" s="426"/>
    </row>
    <row r="159" spans="1:125" s="428" customFormat="1" ht="37.5" customHeight="1" thickBot="1">
      <c r="A159" s="626" t="s">
        <v>482</v>
      </c>
      <c r="B159" s="325"/>
      <c r="C159" s="452">
        <v>14981000</v>
      </c>
      <c r="D159" s="452">
        <f>SUM(B160:B162)</f>
        <v>14636000</v>
      </c>
      <c r="E159" s="452">
        <v>9233000</v>
      </c>
      <c r="F159" s="336">
        <f>E159/D159</f>
        <v>0.63084176004372783</v>
      </c>
      <c r="G159" s="426"/>
      <c r="H159" s="426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  <c r="U159" s="426"/>
      <c r="V159" s="426"/>
      <c r="W159" s="426"/>
      <c r="X159" s="426"/>
      <c r="Y159" s="426"/>
      <c r="Z159" s="426"/>
      <c r="AA159" s="426"/>
      <c r="AB159" s="426"/>
      <c r="AC159" s="426"/>
      <c r="AD159" s="426"/>
      <c r="AE159" s="426"/>
      <c r="AF159" s="426"/>
      <c r="AG159" s="426"/>
      <c r="AH159" s="426"/>
      <c r="AI159" s="426"/>
      <c r="AJ159" s="426"/>
      <c r="AK159" s="426"/>
      <c r="AL159" s="426"/>
      <c r="AM159" s="427"/>
      <c r="AP159" s="684"/>
      <c r="AQ159" s="426"/>
      <c r="AR159" s="426"/>
      <c r="AS159" s="426"/>
      <c r="AT159" s="426"/>
      <c r="AU159" s="426"/>
      <c r="AV159" s="426"/>
      <c r="AW159" s="426"/>
      <c r="AX159" s="426"/>
      <c r="AY159" s="426"/>
      <c r="AZ159" s="426"/>
      <c r="BA159" s="426"/>
      <c r="BB159" s="426"/>
      <c r="BC159" s="426"/>
      <c r="BD159" s="426"/>
      <c r="BE159" s="426"/>
      <c r="BF159" s="426"/>
      <c r="BG159" s="426"/>
      <c r="BH159" s="426"/>
      <c r="BI159" s="426"/>
      <c r="BJ159" s="426"/>
      <c r="BK159" s="426"/>
      <c r="BL159" s="426"/>
      <c r="BM159" s="426"/>
      <c r="BN159" s="426"/>
      <c r="BO159" s="426"/>
      <c r="BP159" s="426"/>
      <c r="BQ159" s="426"/>
      <c r="BR159" s="426"/>
      <c r="BS159" s="426"/>
      <c r="BT159" s="426"/>
      <c r="BU159" s="426"/>
      <c r="BV159" s="426"/>
      <c r="BW159" s="426"/>
      <c r="BX159" s="426"/>
      <c r="BY159" s="426"/>
      <c r="BZ159" s="426"/>
      <c r="CA159" s="426"/>
      <c r="CB159" s="426"/>
      <c r="CC159" s="426"/>
      <c r="CD159" s="426"/>
      <c r="CE159" s="426"/>
      <c r="CF159" s="426"/>
      <c r="CG159" s="426"/>
      <c r="CH159" s="426"/>
      <c r="CI159" s="426"/>
      <c r="CJ159" s="426"/>
      <c r="CK159" s="426"/>
      <c r="CL159" s="426"/>
      <c r="CM159" s="426"/>
      <c r="CN159" s="426"/>
      <c r="CO159" s="426"/>
      <c r="CP159" s="426"/>
      <c r="CQ159" s="426"/>
      <c r="CR159" s="426"/>
      <c r="CS159" s="426"/>
      <c r="CT159" s="426"/>
      <c r="CU159" s="426"/>
      <c r="CV159" s="426"/>
      <c r="CW159" s="426"/>
      <c r="CX159" s="426"/>
      <c r="CY159" s="426"/>
      <c r="CZ159" s="426"/>
      <c r="DA159" s="426"/>
      <c r="DB159" s="426"/>
      <c r="DC159" s="426"/>
      <c r="DD159" s="426"/>
      <c r="DE159" s="426"/>
      <c r="DF159" s="426"/>
      <c r="DG159" s="426"/>
      <c r="DH159" s="426"/>
      <c r="DI159" s="426"/>
      <c r="DJ159" s="426"/>
      <c r="DK159" s="426"/>
      <c r="DL159" s="426"/>
      <c r="DM159" s="426"/>
      <c r="DN159" s="426"/>
      <c r="DO159" s="426"/>
      <c r="DP159" s="426"/>
      <c r="DQ159" s="426"/>
      <c r="DR159" s="426"/>
      <c r="DS159" s="426"/>
      <c r="DT159" s="426"/>
      <c r="DU159" s="426"/>
    </row>
    <row r="160" spans="1:125" s="428" customFormat="1" ht="37.5" customHeight="1" thickBot="1">
      <c r="A160" s="453" t="s">
        <v>763</v>
      </c>
      <c r="B160" s="325">
        <v>13000000</v>
      </c>
      <c r="C160" s="452"/>
      <c r="D160" s="452"/>
      <c r="E160" s="452"/>
      <c r="F160" s="336"/>
      <c r="G160" s="426"/>
      <c r="H160" s="426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  <c r="U160" s="426"/>
      <c r="V160" s="426"/>
      <c r="W160" s="426"/>
      <c r="X160" s="426"/>
      <c r="Y160" s="426"/>
      <c r="Z160" s="426"/>
      <c r="AA160" s="426"/>
      <c r="AB160" s="426"/>
      <c r="AC160" s="426"/>
      <c r="AD160" s="426"/>
      <c r="AE160" s="426"/>
      <c r="AF160" s="426"/>
      <c r="AG160" s="426"/>
      <c r="AH160" s="426"/>
      <c r="AI160" s="426"/>
      <c r="AJ160" s="426"/>
      <c r="AK160" s="426"/>
      <c r="AL160" s="426"/>
      <c r="AM160" s="427"/>
      <c r="AP160" s="684"/>
      <c r="AQ160" s="426"/>
      <c r="AR160" s="426"/>
      <c r="AS160" s="426"/>
      <c r="AT160" s="426"/>
      <c r="AU160" s="426"/>
      <c r="AV160" s="426"/>
      <c r="AW160" s="426"/>
      <c r="AX160" s="426"/>
      <c r="AY160" s="426"/>
      <c r="AZ160" s="426"/>
      <c r="BA160" s="426"/>
      <c r="BB160" s="426"/>
      <c r="BC160" s="426"/>
      <c r="BD160" s="426"/>
      <c r="BE160" s="426"/>
      <c r="BF160" s="426"/>
      <c r="BG160" s="426"/>
      <c r="BH160" s="426"/>
      <c r="BI160" s="426"/>
      <c r="BJ160" s="426"/>
      <c r="BK160" s="426"/>
      <c r="BL160" s="426"/>
      <c r="BM160" s="426"/>
      <c r="BN160" s="426"/>
      <c r="BO160" s="426"/>
      <c r="BP160" s="426"/>
      <c r="BQ160" s="426"/>
      <c r="BR160" s="426"/>
      <c r="BS160" s="426"/>
      <c r="BT160" s="426"/>
      <c r="BU160" s="426"/>
      <c r="BV160" s="426"/>
      <c r="BW160" s="426"/>
      <c r="BX160" s="426"/>
      <c r="BY160" s="426"/>
      <c r="BZ160" s="426"/>
      <c r="CA160" s="426"/>
      <c r="CB160" s="426"/>
      <c r="CC160" s="426"/>
      <c r="CD160" s="426"/>
      <c r="CE160" s="426"/>
      <c r="CF160" s="426"/>
      <c r="CG160" s="426"/>
      <c r="CH160" s="426"/>
      <c r="CI160" s="426"/>
      <c r="CJ160" s="426"/>
      <c r="CK160" s="426"/>
      <c r="CL160" s="426"/>
      <c r="CM160" s="426"/>
      <c r="CN160" s="426"/>
      <c r="CO160" s="426"/>
      <c r="CP160" s="426"/>
      <c r="CQ160" s="426"/>
      <c r="CR160" s="426"/>
      <c r="CS160" s="426"/>
      <c r="CT160" s="426"/>
      <c r="CU160" s="426"/>
      <c r="CV160" s="426"/>
      <c r="CW160" s="426"/>
      <c r="CX160" s="426"/>
      <c r="CY160" s="426"/>
      <c r="CZ160" s="426"/>
      <c r="DA160" s="426"/>
      <c r="DB160" s="426"/>
      <c r="DC160" s="426"/>
      <c r="DD160" s="426"/>
      <c r="DE160" s="426"/>
      <c r="DF160" s="426"/>
      <c r="DG160" s="426"/>
      <c r="DH160" s="426"/>
      <c r="DI160" s="426"/>
      <c r="DJ160" s="426"/>
      <c r="DK160" s="426"/>
      <c r="DL160" s="426"/>
      <c r="DM160" s="426"/>
      <c r="DN160" s="426"/>
      <c r="DO160" s="426"/>
      <c r="DP160" s="426"/>
      <c r="DQ160" s="426"/>
      <c r="DR160" s="426"/>
      <c r="DS160" s="426"/>
      <c r="DT160" s="426"/>
      <c r="DU160" s="426"/>
    </row>
    <row r="161" spans="1:125" s="428" customFormat="1" ht="24.75" customHeight="1" thickBot="1">
      <c r="A161" s="453" t="s">
        <v>764</v>
      </c>
      <c r="B161" s="325">
        <f>1981000-1981000+1196000</f>
        <v>1196000</v>
      </c>
      <c r="C161" s="452"/>
      <c r="D161" s="452"/>
      <c r="E161" s="452"/>
      <c r="F161" s="336"/>
      <c r="G161" s="426"/>
      <c r="H161" s="426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/>
      <c r="U161" s="426"/>
      <c r="V161" s="426"/>
      <c r="W161" s="426"/>
      <c r="X161" s="426"/>
      <c r="Y161" s="426"/>
      <c r="Z161" s="426"/>
      <c r="AA161" s="426"/>
      <c r="AB161" s="426"/>
      <c r="AC161" s="426"/>
      <c r="AD161" s="426"/>
      <c r="AE161" s="426"/>
      <c r="AF161" s="426"/>
      <c r="AG161" s="426"/>
      <c r="AH161" s="426"/>
      <c r="AI161" s="426"/>
      <c r="AJ161" s="426"/>
      <c r="AK161" s="426"/>
      <c r="AL161" s="426"/>
      <c r="AM161" s="427"/>
      <c r="AP161" s="684"/>
      <c r="AQ161" s="426"/>
      <c r="AR161" s="426"/>
      <c r="AS161" s="426"/>
      <c r="AT161" s="426"/>
      <c r="AU161" s="426"/>
      <c r="AV161" s="426"/>
      <c r="AW161" s="426"/>
      <c r="AX161" s="426"/>
      <c r="AY161" s="426"/>
      <c r="AZ161" s="426"/>
      <c r="BA161" s="426"/>
      <c r="BB161" s="426"/>
      <c r="BC161" s="426"/>
      <c r="BD161" s="426"/>
      <c r="BE161" s="426"/>
      <c r="BF161" s="426"/>
      <c r="BG161" s="426"/>
      <c r="BH161" s="426"/>
      <c r="BI161" s="426"/>
      <c r="BJ161" s="426"/>
      <c r="BK161" s="426"/>
      <c r="BL161" s="426"/>
      <c r="BM161" s="426"/>
      <c r="BN161" s="426"/>
      <c r="BO161" s="426"/>
      <c r="BP161" s="426"/>
      <c r="BQ161" s="426"/>
      <c r="BR161" s="426"/>
      <c r="BS161" s="426"/>
      <c r="BT161" s="426"/>
      <c r="BU161" s="426"/>
      <c r="BV161" s="426"/>
      <c r="BW161" s="426"/>
      <c r="BX161" s="426"/>
      <c r="BY161" s="426"/>
      <c r="BZ161" s="426"/>
      <c r="CA161" s="426"/>
      <c r="CB161" s="426"/>
      <c r="CC161" s="426"/>
      <c r="CD161" s="426"/>
      <c r="CE161" s="426"/>
      <c r="CF161" s="426"/>
      <c r="CG161" s="426"/>
      <c r="CH161" s="426"/>
      <c r="CI161" s="426"/>
      <c r="CJ161" s="426"/>
      <c r="CK161" s="426"/>
      <c r="CL161" s="426"/>
      <c r="CM161" s="426"/>
      <c r="CN161" s="426"/>
      <c r="CO161" s="426"/>
      <c r="CP161" s="426"/>
      <c r="CQ161" s="426"/>
      <c r="CR161" s="426"/>
      <c r="CS161" s="426"/>
      <c r="CT161" s="426"/>
      <c r="CU161" s="426"/>
      <c r="CV161" s="426"/>
      <c r="CW161" s="426"/>
      <c r="CX161" s="426"/>
      <c r="CY161" s="426"/>
      <c r="CZ161" s="426"/>
      <c r="DA161" s="426"/>
      <c r="DB161" s="426"/>
      <c r="DC161" s="426"/>
      <c r="DD161" s="426"/>
      <c r="DE161" s="426"/>
      <c r="DF161" s="426"/>
      <c r="DG161" s="426"/>
      <c r="DH161" s="426"/>
      <c r="DI161" s="426"/>
      <c r="DJ161" s="426"/>
      <c r="DK161" s="426"/>
      <c r="DL161" s="426"/>
      <c r="DM161" s="426"/>
      <c r="DN161" s="426"/>
      <c r="DO161" s="426"/>
      <c r="DP161" s="426"/>
      <c r="DQ161" s="426"/>
      <c r="DR161" s="426"/>
      <c r="DS161" s="426"/>
      <c r="DT161" s="426"/>
      <c r="DU161" s="426"/>
    </row>
    <row r="162" spans="1:125" s="428" customFormat="1" ht="24.75" customHeight="1" thickBot="1">
      <c r="A162" s="711" t="s">
        <v>765</v>
      </c>
      <c r="B162" s="690">
        <v>440000</v>
      </c>
      <c r="C162" s="452"/>
      <c r="D162" s="468"/>
      <c r="E162" s="468"/>
      <c r="F162" s="337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26"/>
      <c r="AC162" s="426"/>
      <c r="AD162" s="426"/>
      <c r="AE162" s="426"/>
      <c r="AF162" s="426"/>
      <c r="AG162" s="426"/>
      <c r="AH162" s="426"/>
      <c r="AI162" s="426"/>
      <c r="AJ162" s="426"/>
      <c r="AK162" s="426"/>
      <c r="AL162" s="426"/>
      <c r="AM162" s="426"/>
      <c r="AN162" s="426"/>
      <c r="AO162" s="426"/>
      <c r="AP162" s="426"/>
      <c r="AQ162" s="426"/>
      <c r="AR162" s="426"/>
      <c r="AS162" s="426"/>
      <c r="AT162" s="426"/>
      <c r="AU162" s="426"/>
      <c r="AV162" s="426"/>
      <c r="AW162" s="426"/>
      <c r="AX162" s="426"/>
      <c r="AY162" s="426"/>
      <c r="AZ162" s="426"/>
      <c r="BA162" s="426"/>
      <c r="BB162" s="426"/>
      <c r="BC162" s="426"/>
      <c r="BD162" s="426"/>
      <c r="BE162" s="426"/>
      <c r="BF162" s="426"/>
      <c r="BG162" s="426"/>
      <c r="BH162" s="426"/>
      <c r="BI162" s="426"/>
      <c r="BJ162" s="426"/>
      <c r="BK162" s="426"/>
      <c r="BL162" s="426"/>
      <c r="BM162" s="426"/>
      <c r="BN162" s="426"/>
      <c r="BO162" s="426"/>
      <c r="BP162" s="426"/>
      <c r="BQ162" s="426"/>
      <c r="BR162" s="426"/>
      <c r="BS162" s="426"/>
      <c r="BT162" s="426"/>
      <c r="BU162" s="426"/>
    </row>
    <row r="163" spans="1:125" s="448" customFormat="1" ht="23.25" customHeight="1" thickBot="1">
      <c r="A163" s="626" t="s">
        <v>788</v>
      </c>
      <c r="B163" s="462"/>
      <c r="C163" s="452">
        <v>100000</v>
      </c>
      <c r="D163" s="452">
        <v>100000</v>
      </c>
      <c r="E163" s="452">
        <v>0</v>
      </c>
      <c r="F163" s="336">
        <v>0</v>
      </c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  <c r="S163" s="446"/>
      <c r="T163" s="446"/>
      <c r="U163" s="446"/>
      <c r="V163" s="446"/>
      <c r="W163" s="446"/>
      <c r="X163" s="446"/>
      <c r="Y163" s="446"/>
      <c r="Z163" s="446"/>
      <c r="AA163" s="446"/>
      <c r="AB163" s="446"/>
      <c r="AC163" s="446"/>
      <c r="AD163" s="446"/>
      <c r="AE163" s="446"/>
      <c r="AF163" s="446"/>
      <c r="AG163" s="446"/>
      <c r="AH163" s="446"/>
      <c r="AI163" s="446"/>
      <c r="AJ163" s="446"/>
      <c r="AK163" s="446"/>
      <c r="AL163" s="446"/>
      <c r="AM163" s="446"/>
      <c r="AN163" s="446"/>
      <c r="AO163" s="447"/>
    </row>
    <row r="164" spans="1:125" s="448" customFormat="1" ht="23.25" customHeight="1" thickBot="1">
      <c r="A164" s="626" t="s">
        <v>502</v>
      </c>
      <c r="B164" s="462"/>
      <c r="C164" s="452">
        <v>115000000</v>
      </c>
      <c r="D164" s="452">
        <f>SUM(B165:B166)</f>
        <v>132707200</v>
      </c>
      <c r="E164" s="452">
        <v>132670268</v>
      </c>
      <c r="F164" s="336">
        <f>E164/D164</f>
        <v>0.99972170311784136</v>
      </c>
      <c r="G164" s="446"/>
      <c r="H164" s="446"/>
      <c r="I164" s="446"/>
      <c r="J164" s="446"/>
      <c r="K164" s="446"/>
      <c r="L164" s="446"/>
      <c r="M164" s="446"/>
      <c r="N164" s="446"/>
      <c r="O164" s="446"/>
      <c r="P164" s="446"/>
      <c r="Q164" s="446"/>
      <c r="R164" s="446"/>
      <c r="S164" s="446"/>
      <c r="T164" s="446"/>
      <c r="U164" s="446"/>
      <c r="V164" s="446"/>
      <c r="W164" s="446"/>
      <c r="X164" s="446"/>
      <c r="Y164" s="446"/>
      <c r="Z164" s="446"/>
      <c r="AA164" s="446"/>
      <c r="AB164" s="446"/>
      <c r="AC164" s="446"/>
      <c r="AD164" s="446"/>
      <c r="AE164" s="446"/>
      <c r="AF164" s="446"/>
      <c r="AG164" s="446"/>
      <c r="AH164" s="446"/>
      <c r="AI164" s="446"/>
      <c r="AJ164" s="446"/>
      <c r="AK164" s="446"/>
      <c r="AL164" s="446"/>
      <c r="AM164" s="446"/>
      <c r="AN164" s="446"/>
      <c r="AO164" s="447"/>
    </row>
    <row r="165" spans="1:125" s="448" customFormat="1" ht="23.25" customHeight="1" thickBot="1">
      <c r="A165" s="453" t="s">
        <v>503</v>
      </c>
      <c r="B165" s="325">
        <f>115000000+17684000</f>
        <v>132684000</v>
      </c>
      <c r="C165" s="456"/>
      <c r="D165" s="456"/>
      <c r="E165" s="456"/>
      <c r="F165" s="338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6"/>
      <c r="R165" s="446"/>
      <c r="S165" s="446"/>
      <c r="T165" s="446"/>
      <c r="U165" s="446"/>
      <c r="V165" s="446"/>
      <c r="W165" s="446"/>
      <c r="X165" s="446"/>
      <c r="Y165" s="446"/>
      <c r="Z165" s="446"/>
      <c r="AA165" s="446"/>
      <c r="AB165" s="446"/>
      <c r="AC165" s="446"/>
      <c r="AD165" s="446"/>
      <c r="AE165" s="446"/>
      <c r="AF165" s="446"/>
      <c r="AG165" s="446"/>
      <c r="AH165" s="446"/>
      <c r="AI165" s="446"/>
      <c r="AJ165" s="446"/>
      <c r="AK165" s="446"/>
      <c r="AL165" s="446"/>
      <c r="AM165" s="446"/>
      <c r="AN165" s="446"/>
      <c r="AO165" s="447"/>
    </row>
    <row r="166" spans="1:125" s="448" customFormat="1" ht="23.25" customHeight="1" thickBot="1">
      <c r="A166" s="453" t="s">
        <v>809</v>
      </c>
      <c r="B166" s="325">
        <v>23200</v>
      </c>
      <c r="C166" s="456"/>
      <c r="D166" s="456"/>
      <c r="E166" s="456"/>
      <c r="F166" s="338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6"/>
      <c r="AF166" s="446"/>
      <c r="AG166" s="446"/>
      <c r="AH166" s="446"/>
      <c r="AI166" s="446"/>
      <c r="AJ166" s="446"/>
      <c r="AK166" s="446"/>
      <c r="AL166" s="446"/>
      <c r="AM166" s="446"/>
      <c r="AN166" s="446"/>
      <c r="AO166" s="447"/>
    </row>
    <row r="167" spans="1:125" s="448" customFormat="1" ht="23.25" customHeight="1" thickBot="1">
      <c r="A167" s="626" t="s">
        <v>509</v>
      </c>
      <c r="B167" s="462"/>
      <c r="C167" s="452">
        <v>300000</v>
      </c>
      <c r="D167" s="452">
        <v>300000</v>
      </c>
      <c r="E167" s="452">
        <v>0</v>
      </c>
      <c r="F167" s="336">
        <v>0</v>
      </c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6"/>
      <c r="AF167" s="446"/>
      <c r="AG167" s="446"/>
      <c r="AH167" s="446"/>
      <c r="AI167" s="446"/>
      <c r="AJ167" s="446"/>
      <c r="AK167" s="446"/>
      <c r="AL167" s="446"/>
      <c r="AM167" s="446"/>
      <c r="AN167" s="446"/>
      <c r="AO167" s="447"/>
    </row>
    <row r="168" spans="1:125" s="448" customFormat="1" ht="23.25" customHeight="1" thickBot="1">
      <c r="A168" s="626" t="s">
        <v>819</v>
      </c>
      <c r="B168" s="462"/>
      <c r="C168" s="452">
        <v>5000000</v>
      </c>
      <c r="D168" s="452">
        <f>5000000+12655000+80000</f>
        <v>17735000</v>
      </c>
      <c r="E168" s="452">
        <v>17735000</v>
      </c>
      <c r="F168" s="336">
        <f>E168/D168</f>
        <v>1</v>
      </c>
      <c r="G168" s="446"/>
      <c r="H168" s="446"/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46"/>
      <c r="Y168" s="446"/>
      <c r="Z168" s="446"/>
      <c r="AA168" s="446"/>
      <c r="AB168" s="446"/>
      <c r="AC168" s="446"/>
      <c r="AD168" s="446"/>
      <c r="AE168" s="446"/>
      <c r="AF168" s="446"/>
      <c r="AG168" s="446"/>
      <c r="AH168" s="446"/>
      <c r="AI168" s="446"/>
      <c r="AJ168" s="446"/>
      <c r="AK168" s="446"/>
      <c r="AL168" s="446"/>
      <c r="AM168" s="446"/>
      <c r="AN168" s="446"/>
      <c r="AO168" s="447"/>
    </row>
    <row r="169" spans="1:125" s="428" customFormat="1" ht="26.25" customHeight="1" thickBot="1">
      <c r="A169" s="626" t="s">
        <v>510</v>
      </c>
      <c r="B169" s="462"/>
      <c r="C169" s="452">
        <v>1369000</v>
      </c>
      <c r="D169" s="452">
        <v>1369000</v>
      </c>
      <c r="E169" s="452">
        <v>0</v>
      </c>
      <c r="F169" s="336">
        <v>0</v>
      </c>
      <c r="G169" s="426"/>
      <c r="H169" s="426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  <c r="U169" s="426"/>
      <c r="V169" s="426"/>
      <c r="W169" s="426"/>
      <c r="X169" s="426"/>
      <c r="Y169" s="426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6"/>
      <c r="AK169" s="426"/>
      <c r="AL169" s="426"/>
      <c r="AM169" s="427"/>
      <c r="AP169" s="684"/>
      <c r="AQ169" s="426"/>
      <c r="AR169" s="426"/>
      <c r="AS169" s="426"/>
      <c r="AT169" s="426"/>
      <c r="AU169" s="426"/>
      <c r="AV169" s="426"/>
      <c r="AW169" s="426"/>
      <c r="AX169" s="426"/>
      <c r="AY169" s="426"/>
      <c r="AZ169" s="426"/>
      <c r="BA169" s="426"/>
      <c r="BB169" s="426"/>
      <c r="BC169" s="426"/>
      <c r="BD169" s="426"/>
      <c r="BE169" s="426"/>
      <c r="BF169" s="426"/>
      <c r="BG169" s="426"/>
      <c r="BH169" s="426"/>
      <c r="BI169" s="426"/>
      <c r="BJ169" s="426"/>
      <c r="BK169" s="426"/>
      <c r="BL169" s="426"/>
      <c r="BM169" s="426"/>
      <c r="BN169" s="426"/>
      <c r="BO169" s="426"/>
      <c r="BP169" s="426"/>
      <c r="BQ169" s="426"/>
      <c r="BR169" s="426"/>
      <c r="BS169" s="426"/>
      <c r="BT169" s="426"/>
      <c r="BU169" s="426"/>
      <c r="BV169" s="426"/>
      <c r="BW169" s="426"/>
      <c r="BX169" s="426"/>
      <c r="BY169" s="426"/>
      <c r="BZ169" s="426"/>
      <c r="CA169" s="426"/>
      <c r="CB169" s="426"/>
      <c r="CC169" s="426"/>
      <c r="CD169" s="426"/>
      <c r="CE169" s="426"/>
      <c r="CF169" s="426"/>
      <c r="CG169" s="426"/>
      <c r="CH169" s="426"/>
      <c r="CI169" s="426"/>
      <c r="CJ169" s="426"/>
      <c r="CK169" s="426"/>
      <c r="CL169" s="426"/>
      <c r="CM169" s="426"/>
      <c r="CN169" s="426"/>
      <c r="CO169" s="426"/>
      <c r="CP169" s="426"/>
      <c r="CQ169" s="426"/>
      <c r="CR169" s="426"/>
      <c r="CS169" s="426"/>
      <c r="CT169" s="426"/>
      <c r="CU169" s="426"/>
      <c r="CV169" s="426"/>
      <c r="CW169" s="426"/>
      <c r="CX169" s="426"/>
      <c r="CY169" s="426"/>
      <c r="CZ169" s="426"/>
      <c r="DA169" s="426"/>
      <c r="DB169" s="426"/>
      <c r="DC169" s="426"/>
      <c r="DD169" s="426"/>
      <c r="DE169" s="426"/>
      <c r="DF169" s="426"/>
      <c r="DG169" s="426"/>
      <c r="DH169" s="426"/>
      <c r="DI169" s="426"/>
      <c r="DJ169" s="426"/>
      <c r="DK169" s="426"/>
      <c r="DL169" s="426"/>
      <c r="DM169" s="426"/>
      <c r="DN169" s="426"/>
      <c r="DO169" s="426"/>
      <c r="DP169" s="426"/>
      <c r="DQ169" s="426"/>
      <c r="DR169" s="426"/>
      <c r="DS169" s="426"/>
      <c r="DT169" s="426"/>
      <c r="DU169" s="426"/>
    </row>
    <row r="170" spans="1:125" s="428" customFormat="1" ht="16.5" thickBot="1">
      <c r="A170" s="453" t="s">
        <v>821</v>
      </c>
      <c r="B170" s="325">
        <v>723000</v>
      </c>
      <c r="C170" s="452"/>
      <c r="D170" s="452"/>
      <c r="E170" s="452"/>
      <c r="F170" s="336"/>
      <c r="G170" s="426"/>
      <c r="H170" s="426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  <c r="U170" s="426"/>
      <c r="V170" s="426"/>
      <c r="W170" s="426"/>
      <c r="X170" s="426"/>
      <c r="Y170" s="426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6"/>
      <c r="AK170" s="426"/>
      <c r="AL170" s="426"/>
      <c r="AM170" s="427"/>
      <c r="AP170" s="684"/>
      <c r="AQ170" s="426"/>
      <c r="AR170" s="426"/>
      <c r="AS170" s="426"/>
      <c r="AT170" s="426"/>
      <c r="AU170" s="426"/>
      <c r="AV170" s="426"/>
      <c r="AW170" s="426"/>
      <c r="AX170" s="426"/>
      <c r="AY170" s="426"/>
      <c r="AZ170" s="426"/>
      <c r="BA170" s="426"/>
      <c r="BB170" s="426"/>
      <c r="BC170" s="426"/>
      <c r="BD170" s="426"/>
      <c r="BE170" s="426"/>
      <c r="BF170" s="426"/>
      <c r="BG170" s="426"/>
      <c r="BH170" s="426"/>
      <c r="BI170" s="426"/>
      <c r="BJ170" s="426"/>
      <c r="BK170" s="426"/>
      <c r="BL170" s="426"/>
      <c r="BM170" s="426"/>
      <c r="BN170" s="426"/>
      <c r="BO170" s="426"/>
      <c r="BP170" s="426"/>
      <c r="BQ170" s="426"/>
      <c r="BR170" s="426"/>
      <c r="BS170" s="426"/>
      <c r="BT170" s="426"/>
      <c r="BU170" s="426"/>
      <c r="BV170" s="426"/>
      <c r="BW170" s="426"/>
      <c r="BX170" s="426"/>
      <c r="BY170" s="426"/>
      <c r="BZ170" s="426"/>
      <c r="CA170" s="426"/>
      <c r="CB170" s="426"/>
      <c r="CC170" s="426"/>
      <c r="CD170" s="426"/>
      <c r="CE170" s="426"/>
      <c r="CF170" s="426"/>
      <c r="CG170" s="426"/>
      <c r="CH170" s="426"/>
      <c r="CI170" s="426"/>
      <c r="CJ170" s="426"/>
      <c r="CK170" s="426"/>
      <c r="CL170" s="426"/>
      <c r="CM170" s="426"/>
      <c r="CN170" s="426"/>
      <c r="CO170" s="426"/>
      <c r="CP170" s="426"/>
      <c r="CQ170" s="426"/>
      <c r="CR170" s="426"/>
      <c r="CS170" s="426"/>
      <c r="CT170" s="426"/>
      <c r="CU170" s="426"/>
      <c r="CV170" s="426"/>
      <c r="CW170" s="426"/>
      <c r="CX170" s="426"/>
      <c r="CY170" s="426"/>
      <c r="CZ170" s="426"/>
      <c r="DA170" s="426"/>
      <c r="DB170" s="426"/>
      <c r="DC170" s="426"/>
      <c r="DD170" s="426"/>
      <c r="DE170" s="426"/>
      <c r="DF170" s="426"/>
      <c r="DG170" s="426"/>
      <c r="DH170" s="426"/>
      <c r="DI170" s="426"/>
      <c r="DJ170" s="426"/>
      <c r="DK170" s="426"/>
      <c r="DL170" s="426"/>
      <c r="DM170" s="426"/>
      <c r="DN170" s="426"/>
      <c r="DO170" s="426"/>
      <c r="DP170" s="426"/>
      <c r="DQ170" s="426"/>
      <c r="DR170" s="426"/>
      <c r="DS170" s="426"/>
      <c r="DT170" s="426"/>
      <c r="DU170" s="426"/>
    </row>
    <row r="171" spans="1:125" s="428" customFormat="1" ht="24" customHeight="1" thickBot="1">
      <c r="A171" s="453" t="s">
        <v>511</v>
      </c>
      <c r="B171" s="325">
        <v>25000</v>
      </c>
      <c r="C171" s="452"/>
      <c r="D171" s="452"/>
      <c r="E171" s="452"/>
      <c r="F171" s="336"/>
      <c r="G171" s="426"/>
      <c r="H171" s="426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  <c r="Y171" s="426"/>
      <c r="Z171" s="426"/>
      <c r="AA171" s="426"/>
      <c r="AB171" s="426"/>
      <c r="AC171" s="426"/>
      <c r="AD171" s="426"/>
      <c r="AE171" s="426"/>
      <c r="AF171" s="426"/>
      <c r="AG171" s="426"/>
      <c r="AH171" s="426"/>
      <c r="AI171" s="426"/>
      <c r="AJ171" s="426"/>
      <c r="AK171" s="426"/>
      <c r="AL171" s="426"/>
      <c r="AM171" s="427"/>
      <c r="AP171" s="684"/>
      <c r="AQ171" s="426"/>
      <c r="AR171" s="426"/>
      <c r="AS171" s="426"/>
      <c r="AT171" s="426"/>
      <c r="AU171" s="426"/>
      <c r="AV171" s="426"/>
      <c r="AW171" s="426"/>
      <c r="AX171" s="426"/>
      <c r="AY171" s="426"/>
      <c r="AZ171" s="426"/>
      <c r="BA171" s="426"/>
      <c r="BB171" s="426"/>
      <c r="BC171" s="426"/>
      <c r="BD171" s="426"/>
      <c r="BE171" s="426"/>
      <c r="BF171" s="426"/>
      <c r="BG171" s="426"/>
      <c r="BH171" s="426"/>
      <c r="BI171" s="426"/>
      <c r="BJ171" s="426"/>
      <c r="BK171" s="426"/>
      <c r="BL171" s="426"/>
      <c r="BM171" s="426"/>
      <c r="BN171" s="426"/>
      <c r="BO171" s="426"/>
      <c r="BP171" s="426"/>
      <c r="BQ171" s="426"/>
      <c r="BR171" s="426"/>
      <c r="BS171" s="426"/>
      <c r="BT171" s="426"/>
      <c r="BU171" s="426"/>
      <c r="BV171" s="426"/>
      <c r="BW171" s="426"/>
      <c r="BX171" s="426"/>
      <c r="BY171" s="426"/>
      <c r="BZ171" s="426"/>
      <c r="CA171" s="426"/>
      <c r="CB171" s="426"/>
      <c r="CC171" s="426"/>
      <c r="CD171" s="426"/>
      <c r="CE171" s="426"/>
      <c r="CF171" s="426"/>
      <c r="CG171" s="426"/>
      <c r="CH171" s="426"/>
      <c r="CI171" s="426"/>
      <c r="CJ171" s="426"/>
      <c r="CK171" s="426"/>
      <c r="CL171" s="426"/>
      <c r="CM171" s="426"/>
      <c r="CN171" s="426"/>
      <c r="CO171" s="426"/>
      <c r="CP171" s="426"/>
      <c r="CQ171" s="426"/>
      <c r="CR171" s="426"/>
      <c r="CS171" s="426"/>
      <c r="CT171" s="426"/>
      <c r="CU171" s="426"/>
      <c r="CV171" s="426"/>
      <c r="CW171" s="426"/>
      <c r="CX171" s="426"/>
      <c r="CY171" s="426"/>
      <c r="CZ171" s="426"/>
      <c r="DA171" s="426"/>
      <c r="DB171" s="426"/>
      <c r="DC171" s="426"/>
      <c r="DD171" s="426"/>
      <c r="DE171" s="426"/>
      <c r="DF171" s="426"/>
      <c r="DG171" s="426"/>
      <c r="DH171" s="426"/>
      <c r="DI171" s="426"/>
      <c r="DJ171" s="426"/>
      <c r="DK171" s="426"/>
      <c r="DL171" s="426"/>
      <c r="DM171" s="426"/>
      <c r="DN171" s="426"/>
      <c r="DO171" s="426"/>
      <c r="DP171" s="426"/>
      <c r="DQ171" s="426"/>
      <c r="DR171" s="426"/>
      <c r="DS171" s="426"/>
      <c r="DT171" s="426"/>
      <c r="DU171" s="426"/>
    </row>
    <row r="172" spans="1:125" s="428" customFormat="1" ht="24" customHeight="1" thickBot="1">
      <c r="A172" s="453" t="s">
        <v>822</v>
      </c>
      <c r="B172" s="325">
        <v>50000</v>
      </c>
      <c r="C172" s="452"/>
      <c r="D172" s="452"/>
      <c r="E172" s="452"/>
      <c r="F172" s="336"/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  <c r="U172" s="426"/>
      <c r="V172" s="426"/>
      <c r="W172" s="426"/>
      <c r="X172" s="426"/>
      <c r="Y172" s="426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6"/>
      <c r="AJ172" s="426"/>
      <c r="AK172" s="426"/>
      <c r="AL172" s="426"/>
      <c r="AM172" s="427"/>
      <c r="AP172" s="684"/>
      <c r="AQ172" s="426"/>
      <c r="AR172" s="426"/>
      <c r="AS172" s="426"/>
      <c r="AT172" s="426"/>
      <c r="AU172" s="426"/>
      <c r="AV172" s="426"/>
      <c r="AW172" s="426"/>
      <c r="AX172" s="426"/>
      <c r="AY172" s="426"/>
      <c r="AZ172" s="426"/>
      <c r="BA172" s="426"/>
      <c r="BB172" s="426"/>
      <c r="BC172" s="426"/>
      <c r="BD172" s="426"/>
      <c r="BE172" s="426"/>
      <c r="BF172" s="426"/>
      <c r="BG172" s="426"/>
      <c r="BH172" s="426"/>
      <c r="BI172" s="426"/>
      <c r="BJ172" s="426"/>
      <c r="BK172" s="426"/>
      <c r="BL172" s="426"/>
      <c r="BM172" s="426"/>
      <c r="BN172" s="426"/>
      <c r="BO172" s="426"/>
      <c r="BP172" s="426"/>
      <c r="BQ172" s="426"/>
      <c r="BR172" s="426"/>
      <c r="BS172" s="426"/>
      <c r="BT172" s="426"/>
      <c r="BU172" s="426"/>
      <c r="BV172" s="426"/>
      <c r="BW172" s="426"/>
      <c r="BX172" s="426"/>
      <c r="BY172" s="426"/>
      <c r="BZ172" s="426"/>
      <c r="CA172" s="426"/>
      <c r="CB172" s="426"/>
      <c r="CC172" s="426"/>
      <c r="CD172" s="426"/>
      <c r="CE172" s="426"/>
      <c r="CF172" s="426"/>
      <c r="CG172" s="426"/>
      <c r="CH172" s="426"/>
      <c r="CI172" s="426"/>
      <c r="CJ172" s="426"/>
      <c r="CK172" s="426"/>
      <c r="CL172" s="426"/>
      <c r="CM172" s="426"/>
      <c r="CN172" s="426"/>
      <c r="CO172" s="426"/>
      <c r="CP172" s="426"/>
      <c r="CQ172" s="426"/>
      <c r="CR172" s="426"/>
      <c r="CS172" s="426"/>
      <c r="CT172" s="426"/>
      <c r="CU172" s="426"/>
      <c r="CV172" s="426"/>
      <c r="CW172" s="426"/>
      <c r="CX172" s="426"/>
      <c r="CY172" s="426"/>
      <c r="CZ172" s="426"/>
      <c r="DA172" s="426"/>
      <c r="DB172" s="426"/>
      <c r="DC172" s="426"/>
      <c r="DD172" s="426"/>
      <c r="DE172" s="426"/>
      <c r="DF172" s="426"/>
      <c r="DG172" s="426"/>
      <c r="DH172" s="426"/>
      <c r="DI172" s="426"/>
      <c r="DJ172" s="426"/>
      <c r="DK172" s="426"/>
      <c r="DL172" s="426"/>
      <c r="DM172" s="426"/>
      <c r="DN172" s="426"/>
      <c r="DO172" s="426"/>
      <c r="DP172" s="426"/>
      <c r="DQ172" s="426"/>
      <c r="DR172" s="426"/>
      <c r="DS172" s="426"/>
      <c r="DT172" s="426"/>
      <c r="DU172" s="426"/>
    </row>
    <row r="173" spans="1:125" s="428" customFormat="1" ht="41.25" customHeight="1" thickBot="1">
      <c r="A173" s="453" t="s">
        <v>823</v>
      </c>
      <c r="B173" s="325">
        <v>543000</v>
      </c>
      <c r="C173" s="452"/>
      <c r="D173" s="452"/>
      <c r="E173" s="452"/>
      <c r="F173" s="33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26"/>
      <c r="AC173" s="426"/>
      <c r="AD173" s="426"/>
      <c r="AE173" s="426"/>
      <c r="AF173" s="426"/>
      <c r="AG173" s="426"/>
      <c r="AH173" s="426"/>
      <c r="AI173" s="426"/>
      <c r="AJ173" s="426"/>
      <c r="AK173" s="426"/>
      <c r="AL173" s="426"/>
      <c r="AM173" s="427"/>
      <c r="AP173" s="684"/>
      <c r="AQ173" s="426"/>
      <c r="AR173" s="426"/>
      <c r="AS173" s="426"/>
      <c r="AT173" s="426"/>
      <c r="AU173" s="426"/>
      <c r="AV173" s="426"/>
      <c r="AW173" s="426"/>
      <c r="AX173" s="426"/>
      <c r="AY173" s="426"/>
      <c r="AZ173" s="426"/>
      <c r="BA173" s="426"/>
      <c r="BB173" s="426"/>
      <c r="BC173" s="426"/>
      <c r="BD173" s="426"/>
      <c r="BE173" s="426"/>
      <c r="BF173" s="426"/>
      <c r="BG173" s="426"/>
      <c r="BH173" s="426"/>
      <c r="BI173" s="426"/>
      <c r="BJ173" s="426"/>
      <c r="BK173" s="426"/>
      <c r="BL173" s="426"/>
      <c r="BM173" s="426"/>
      <c r="BN173" s="426"/>
      <c r="BO173" s="426"/>
      <c r="BP173" s="426"/>
      <c r="BQ173" s="426"/>
      <c r="BR173" s="426"/>
      <c r="BS173" s="426"/>
      <c r="BT173" s="426"/>
      <c r="BU173" s="426"/>
      <c r="BV173" s="426"/>
      <c r="BW173" s="426"/>
      <c r="BX173" s="426"/>
      <c r="BY173" s="426"/>
      <c r="BZ173" s="426"/>
      <c r="CA173" s="426"/>
      <c r="CB173" s="426"/>
      <c r="CC173" s="426"/>
      <c r="CD173" s="426"/>
      <c r="CE173" s="426"/>
      <c r="CF173" s="426"/>
      <c r="CG173" s="426"/>
      <c r="CH173" s="426"/>
      <c r="CI173" s="426"/>
      <c r="CJ173" s="426"/>
      <c r="CK173" s="426"/>
      <c r="CL173" s="426"/>
      <c r="CM173" s="426"/>
      <c r="CN173" s="426"/>
      <c r="CO173" s="426"/>
      <c r="CP173" s="426"/>
      <c r="CQ173" s="426"/>
      <c r="CR173" s="426"/>
      <c r="CS173" s="426"/>
      <c r="CT173" s="426"/>
      <c r="CU173" s="426"/>
      <c r="CV173" s="426"/>
      <c r="CW173" s="426"/>
      <c r="CX173" s="426"/>
      <c r="CY173" s="426"/>
      <c r="CZ173" s="426"/>
      <c r="DA173" s="426"/>
      <c r="DB173" s="426"/>
      <c r="DC173" s="426"/>
      <c r="DD173" s="426"/>
      <c r="DE173" s="426"/>
      <c r="DF173" s="426"/>
      <c r="DG173" s="426"/>
      <c r="DH173" s="426"/>
      <c r="DI173" s="426"/>
      <c r="DJ173" s="426"/>
      <c r="DK173" s="426"/>
      <c r="DL173" s="426"/>
      <c r="DM173" s="426"/>
      <c r="DN173" s="426"/>
      <c r="DO173" s="426"/>
      <c r="DP173" s="426"/>
      <c r="DQ173" s="426"/>
      <c r="DR173" s="426"/>
      <c r="DS173" s="426"/>
      <c r="DT173" s="426"/>
      <c r="DU173" s="426"/>
    </row>
    <row r="174" spans="1:125" s="428" customFormat="1" ht="24.75" customHeight="1" thickBot="1">
      <c r="A174" s="453" t="s">
        <v>824</v>
      </c>
      <c r="B174" s="325">
        <v>22000</v>
      </c>
      <c r="C174" s="452"/>
      <c r="D174" s="452"/>
      <c r="E174" s="452"/>
      <c r="F174" s="33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26"/>
      <c r="AC174" s="426"/>
      <c r="AD174" s="426"/>
      <c r="AE174" s="426"/>
      <c r="AF174" s="426"/>
      <c r="AG174" s="426"/>
      <c r="AH174" s="426"/>
      <c r="AI174" s="426"/>
      <c r="AJ174" s="426"/>
      <c r="AK174" s="426"/>
      <c r="AL174" s="426"/>
      <c r="AM174" s="427"/>
      <c r="AP174" s="684"/>
      <c r="AQ174" s="426"/>
      <c r="AR174" s="426"/>
      <c r="AS174" s="426"/>
      <c r="AT174" s="426"/>
      <c r="AU174" s="426"/>
      <c r="AV174" s="426"/>
      <c r="AW174" s="426"/>
      <c r="AX174" s="426"/>
      <c r="AY174" s="426"/>
      <c r="AZ174" s="426"/>
      <c r="BA174" s="426"/>
      <c r="BB174" s="426"/>
      <c r="BC174" s="426"/>
      <c r="BD174" s="426"/>
      <c r="BE174" s="426"/>
      <c r="BF174" s="426"/>
      <c r="BG174" s="426"/>
      <c r="BH174" s="426"/>
      <c r="BI174" s="426"/>
      <c r="BJ174" s="426"/>
      <c r="BK174" s="426"/>
      <c r="BL174" s="426"/>
      <c r="BM174" s="426"/>
      <c r="BN174" s="426"/>
      <c r="BO174" s="426"/>
      <c r="BP174" s="426"/>
      <c r="BQ174" s="426"/>
      <c r="BR174" s="426"/>
      <c r="BS174" s="426"/>
      <c r="BT174" s="426"/>
      <c r="BU174" s="426"/>
      <c r="BV174" s="426"/>
      <c r="BW174" s="426"/>
      <c r="BX174" s="426"/>
      <c r="BY174" s="426"/>
      <c r="BZ174" s="426"/>
      <c r="CA174" s="426"/>
      <c r="CB174" s="426"/>
      <c r="CC174" s="426"/>
      <c r="CD174" s="426"/>
      <c r="CE174" s="426"/>
      <c r="CF174" s="426"/>
      <c r="CG174" s="426"/>
      <c r="CH174" s="426"/>
      <c r="CI174" s="426"/>
      <c r="CJ174" s="426"/>
      <c r="CK174" s="426"/>
      <c r="CL174" s="426"/>
      <c r="CM174" s="426"/>
      <c r="CN174" s="426"/>
      <c r="CO174" s="426"/>
      <c r="CP174" s="426"/>
      <c r="CQ174" s="426"/>
      <c r="CR174" s="426"/>
      <c r="CS174" s="426"/>
      <c r="CT174" s="426"/>
      <c r="CU174" s="426"/>
      <c r="CV174" s="426"/>
      <c r="CW174" s="426"/>
      <c r="CX174" s="426"/>
      <c r="CY174" s="426"/>
      <c r="CZ174" s="426"/>
      <c r="DA174" s="426"/>
      <c r="DB174" s="426"/>
      <c r="DC174" s="426"/>
      <c r="DD174" s="426"/>
      <c r="DE174" s="426"/>
      <c r="DF174" s="426"/>
      <c r="DG174" s="426"/>
      <c r="DH174" s="426"/>
      <c r="DI174" s="426"/>
      <c r="DJ174" s="426"/>
      <c r="DK174" s="426"/>
      <c r="DL174" s="426"/>
      <c r="DM174" s="426"/>
      <c r="DN174" s="426"/>
      <c r="DO174" s="426"/>
      <c r="DP174" s="426"/>
      <c r="DQ174" s="426"/>
      <c r="DR174" s="426"/>
      <c r="DS174" s="426"/>
      <c r="DT174" s="426"/>
      <c r="DU174" s="426"/>
    </row>
    <row r="175" spans="1:125" s="428" customFormat="1" ht="28.5" customHeight="1" thickBot="1">
      <c r="A175" s="453" t="s">
        <v>512</v>
      </c>
      <c r="B175" s="325">
        <v>1000</v>
      </c>
      <c r="C175" s="452"/>
      <c r="D175" s="452"/>
      <c r="E175" s="452"/>
      <c r="F175" s="33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  <c r="U175" s="426"/>
      <c r="V175" s="426"/>
      <c r="W175" s="426"/>
      <c r="X175" s="426"/>
      <c r="Y175" s="426"/>
      <c r="Z175" s="426"/>
      <c r="AA175" s="426"/>
      <c r="AB175" s="426"/>
      <c r="AC175" s="426"/>
      <c r="AD175" s="426"/>
      <c r="AE175" s="426"/>
      <c r="AF175" s="426"/>
      <c r="AG175" s="426"/>
      <c r="AH175" s="426"/>
      <c r="AI175" s="426"/>
      <c r="AJ175" s="426"/>
      <c r="AK175" s="426"/>
      <c r="AL175" s="426"/>
      <c r="AM175" s="427"/>
      <c r="AP175" s="684"/>
      <c r="AQ175" s="426"/>
      <c r="AR175" s="426"/>
      <c r="AS175" s="426"/>
      <c r="AT175" s="426"/>
      <c r="AU175" s="426"/>
      <c r="AV175" s="426"/>
      <c r="AW175" s="426"/>
      <c r="AX175" s="426"/>
      <c r="AY175" s="426"/>
      <c r="AZ175" s="426"/>
      <c r="BA175" s="426"/>
      <c r="BB175" s="426"/>
      <c r="BC175" s="426"/>
      <c r="BD175" s="426"/>
      <c r="BE175" s="426"/>
      <c r="BF175" s="426"/>
      <c r="BG175" s="426"/>
      <c r="BH175" s="426"/>
      <c r="BI175" s="426"/>
      <c r="BJ175" s="426"/>
      <c r="BK175" s="426"/>
      <c r="BL175" s="426"/>
      <c r="BM175" s="426"/>
      <c r="BN175" s="426"/>
      <c r="BO175" s="426"/>
      <c r="BP175" s="426"/>
      <c r="BQ175" s="426"/>
      <c r="BR175" s="426"/>
      <c r="BS175" s="426"/>
      <c r="BT175" s="426"/>
      <c r="BU175" s="426"/>
      <c r="BV175" s="426"/>
      <c r="BW175" s="426"/>
      <c r="BX175" s="426"/>
      <c r="BY175" s="426"/>
      <c r="BZ175" s="426"/>
      <c r="CA175" s="426"/>
      <c r="CB175" s="426"/>
      <c r="CC175" s="426"/>
      <c r="CD175" s="426"/>
      <c r="CE175" s="426"/>
      <c r="CF175" s="426"/>
      <c r="CG175" s="426"/>
      <c r="CH175" s="426"/>
      <c r="CI175" s="426"/>
      <c r="CJ175" s="426"/>
      <c r="CK175" s="426"/>
      <c r="CL175" s="426"/>
      <c r="CM175" s="426"/>
      <c r="CN175" s="426"/>
      <c r="CO175" s="426"/>
      <c r="CP175" s="426"/>
      <c r="CQ175" s="426"/>
      <c r="CR175" s="426"/>
      <c r="CS175" s="426"/>
      <c r="CT175" s="426"/>
      <c r="CU175" s="426"/>
      <c r="CV175" s="426"/>
      <c r="CW175" s="426"/>
      <c r="CX175" s="426"/>
      <c r="CY175" s="426"/>
      <c r="CZ175" s="426"/>
      <c r="DA175" s="426"/>
      <c r="DB175" s="426"/>
      <c r="DC175" s="426"/>
      <c r="DD175" s="426"/>
      <c r="DE175" s="426"/>
      <c r="DF175" s="426"/>
      <c r="DG175" s="426"/>
      <c r="DH175" s="426"/>
      <c r="DI175" s="426"/>
      <c r="DJ175" s="426"/>
      <c r="DK175" s="426"/>
      <c r="DL175" s="426"/>
      <c r="DM175" s="426"/>
      <c r="DN175" s="426"/>
      <c r="DO175" s="426"/>
      <c r="DP175" s="426"/>
      <c r="DQ175" s="426"/>
      <c r="DR175" s="426"/>
      <c r="DS175" s="426"/>
      <c r="DT175" s="426"/>
      <c r="DU175" s="426"/>
    </row>
    <row r="176" spans="1:125" s="428" customFormat="1" ht="24" customHeight="1" thickBot="1">
      <c r="A176" s="453" t="s">
        <v>513</v>
      </c>
      <c r="B176" s="325">
        <v>5000</v>
      </c>
      <c r="C176" s="452"/>
      <c r="D176" s="452"/>
      <c r="E176" s="452"/>
      <c r="F176" s="33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  <c r="U176" s="426"/>
      <c r="V176" s="426"/>
      <c r="W176" s="426"/>
      <c r="X176" s="426"/>
      <c r="Y176" s="426"/>
      <c r="Z176" s="426"/>
      <c r="AA176" s="426"/>
      <c r="AB176" s="426"/>
      <c r="AC176" s="426"/>
      <c r="AD176" s="426"/>
      <c r="AE176" s="426"/>
      <c r="AF176" s="426"/>
      <c r="AG176" s="426"/>
      <c r="AH176" s="426"/>
      <c r="AI176" s="426"/>
      <c r="AJ176" s="426"/>
      <c r="AK176" s="426"/>
      <c r="AL176" s="426"/>
      <c r="AM176" s="427"/>
      <c r="AP176" s="684"/>
      <c r="AQ176" s="426"/>
      <c r="AR176" s="426"/>
      <c r="AS176" s="426"/>
      <c r="AT176" s="426"/>
      <c r="AU176" s="426"/>
      <c r="AV176" s="426"/>
      <c r="AW176" s="426"/>
      <c r="AX176" s="426"/>
      <c r="AY176" s="426"/>
      <c r="AZ176" s="426"/>
      <c r="BA176" s="426"/>
      <c r="BB176" s="426"/>
      <c r="BC176" s="426"/>
      <c r="BD176" s="426"/>
      <c r="BE176" s="426"/>
      <c r="BF176" s="426"/>
      <c r="BG176" s="426"/>
      <c r="BH176" s="426"/>
      <c r="BI176" s="426"/>
      <c r="BJ176" s="426"/>
      <c r="BK176" s="426"/>
      <c r="BL176" s="426"/>
      <c r="BM176" s="426"/>
      <c r="BN176" s="426"/>
      <c r="BO176" s="426"/>
      <c r="BP176" s="426"/>
      <c r="BQ176" s="426"/>
      <c r="BR176" s="426"/>
      <c r="BS176" s="426"/>
      <c r="BT176" s="426"/>
      <c r="BU176" s="426"/>
      <c r="BV176" s="426"/>
      <c r="BW176" s="426"/>
      <c r="BX176" s="426"/>
      <c r="BY176" s="426"/>
      <c r="BZ176" s="426"/>
      <c r="CA176" s="426"/>
      <c r="CB176" s="426"/>
      <c r="CC176" s="426"/>
      <c r="CD176" s="426"/>
      <c r="CE176" s="426"/>
      <c r="CF176" s="426"/>
      <c r="CG176" s="426"/>
      <c r="CH176" s="426"/>
      <c r="CI176" s="426"/>
      <c r="CJ176" s="426"/>
      <c r="CK176" s="426"/>
      <c r="CL176" s="426"/>
      <c r="CM176" s="426"/>
      <c r="CN176" s="426"/>
      <c r="CO176" s="426"/>
      <c r="CP176" s="426"/>
      <c r="CQ176" s="426"/>
      <c r="CR176" s="426"/>
      <c r="CS176" s="426"/>
      <c r="CT176" s="426"/>
      <c r="CU176" s="426"/>
      <c r="CV176" s="426"/>
      <c r="CW176" s="426"/>
      <c r="CX176" s="426"/>
      <c r="CY176" s="426"/>
      <c r="CZ176" s="426"/>
      <c r="DA176" s="426"/>
      <c r="DB176" s="426"/>
      <c r="DC176" s="426"/>
      <c r="DD176" s="426"/>
      <c r="DE176" s="426"/>
      <c r="DF176" s="426"/>
      <c r="DG176" s="426"/>
      <c r="DH176" s="426"/>
      <c r="DI176" s="426"/>
      <c r="DJ176" s="426"/>
      <c r="DK176" s="426"/>
      <c r="DL176" s="426"/>
      <c r="DM176" s="426"/>
      <c r="DN176" s="426"/>
      <c r="DO176" s="426"/>
      <c r="DP176" s="426"/>
      <c r="DQ176" s="426"/>
      <c r="DR176" s="426"/>
      <c r="DS176" s="426"/>
      <c r="DT176" s="426"/>
      <c r="DU176" s="426"/>
    </row>
    <row r="177" spans="1:125" s="434" customFormat="1" ht="39.75" customHeight="1" thickBot="1">
      <c r="A177" s="626" t="s">
        <v>506</v>
      </c>
      <c r="B177" s="454"/>
      <c r="C177" s="452"/>
      <c r="D177" s="452">
        <v>4000000</v>
      </c>
      <c r="E177" s="452">
        <v>2015000</v>
      </c>
      <c r="F177" s="336">
        <f>E177/D177</f>
        <v>0.50375000000000003</v>
      </c>
      <c r="G177" s="432"/>
      <c r="H177" s="432"/>
      <c r="I177" s="432"/>
      <c r="J177" s="432"/>
      <c r="K177" s="432"/>
      <c r="L177" s="432"/>
      <c r="M177" s="432"/>
      <c r="N177" s="432"/>
      <c r="O177" s="432"/>
      <c r="P177" s="432"/>
      <c r="Q177" s="432"/>
      <c r="R177" s="432"/>
      <c r="S177" s="432"/>
      <c r="T177" s="432"/>
      <c r="U177" s="432"/>
      <c r="V177" s="432"/>
      <c r="W177" s="432"/>
      <c r="X177" s="432"/>
      <c r="Y177" s="432"/>
      <c r="Z177" s="432"/>
      <c r="AA177" s="432"/>
      <c r="AB177" s="432"/>
      <c r="AC177" s="432"/>
      <c r="AD177" s="432"/>
      <c r="AE177" s="432"/>
      <c r="AF177" s="432"/>
      <c r="AG177" s="432"/>
      <c r="AH177" s="432"/>
      <c r="AI177" s="432"/>
      <c r="AJ177" s="432"/>
      <c r="AK177" s="432"/>
      <c r="AL177" s="432"/>
      <c r="AM177" s="432"/>
      <c r="AN177" s="432"/>
      <c r="AO177" s="433"/>
    </row>
    <row r="178" spans="1:125" s="434" customFormat="1" ht="37.5" customHeight="1" thickBot="1">
      <c r="A178" s="626" t="s">
        <v>825</v>
      </c>
      <c r="B178" s="462"/>
      <c r="C178" s="452"/>
      <c r="D178" s="452">
        <v>50000</v>
      </c>
      <c r="E178" s="452">
        <v>50000</v>
      </c>
      <c r="F178" s="336">
        <f>E178/D178</f>
        <v>1</v>
      </c>
      <c r="G178" s="432"/>
      <c r="H178" s="432"/>
      <c r="I178" s="432"/>
      <c r="J178" s="432"/>
      <c r="K178" s="432"/>
      <c r="L178" s="432"/>
      <c r="M178" s="432"/>
      <c r="N178" s="432"/>
      <c r="O178" s="432"/>
      <c r="P178" s="432"/>
      <c r="Q178" s="432"/>
      <c r="R178" s="432"/>
      <c r="S178" s="432"/>
      <c r="T178" s="432"/>
      <c r="U178" s="432"/>
      <c r="V178" s="432"/>
      <c r="W178" s="432"/>
      <c r="X178" s="432"/>
      <c r="Y178" s="432"/>
      <c r="Z178" s="432"/>
      <c r="AA178" s="432"/>
      <c r="AB178" s="432"/>
      <c r="AC178" s="432"/>
      <c r="AD178" s="432"/>
      <c r="AE178" s="432"/>
      <c r="AF178" s="432"/>
      <c r="AG178" s="432"/>
      <c r="AH178" s="432"/>
      <c r="AI178" s="432"/>
      <c r="AJ178" s="432"/>
      <c r="AK178" s="432"/>
      <c r="AL178" s="432"/>
      <c r="AM178" s="432"/>
      <c r="AN178" s="432"/>
      <c r="AO178" s="432"/>
      <c r="AP178" s="432"/>
      <c r="AQ178" s="432"/>
      <c r="AR178" s="432"/>
      <c r="AS178" s="432"/>
      <c r="AT178" s="432"/>
      <c r="AU178" s="432"/>
      <c r="AV178" s="432"/>
      <c r="AW178" s="432"/>
      <c r="AX178" s="432"/>
      <c r="AY178" s="432"/>
      <c r="AZ178" s="432"/>
      <c r="BA178" s="432"/>
      <c r="BB178" s="432"/>
      <c r="BC178" s="432"/>
      <c r="BD178" s="432"/>
      <c r="BE178" s="432"/>
      <c r="BF178" s="432"/>
      <c r="BG178" s="432"/>
      <c r="BH178" s="432"/>
      <c r="BI178" s="432"/>
      <c r="BJ178" s="432"/>
      <c r="BK178" s="432"/>
      <c r="BL178" s="432"/>
      <c r="BM178" s="432"/>
      <c r="BN178" s="432"/>
      <c r="BO178" s="432"/>
      <c r="BP178" s="432"/>
      <c r="BQ178" s="432"/>
      <c r="BR178" s="432"/>
      <c r="BS178" s="432"/>
      <c r="BT178" s="432"/>
      <c r="BU178" s="432"/>
      <c r="BV178" s="432"/>
      <c r="BW178" s="432"/>
      <c r="BX178" s="432"/>
      <c r="BY178" s="432"/>
      <c r="BZ178" s="432"/>
      <c r="CA178" s="432"/>
      <c r="CB178" s="432"/>
      <c r="CC178" s="432"/>
      <c r="CD178" s="432"/>
      <c r="CE178" s="432"/>
      <c r="CF178" s="432"/>
      <c r="CG178" s="432"/>
      <c r="CH178" s="432"/>
      <c r="CI178" s="432"/>
      <c r="CJ178" s="432"/>
      <c r="CK178" s="432"/>
      <c r="CL178" s="432"/>
      <c r="CM178" s="432"/>
      <c r="CN178" s="432"/>
      <c r="CO178" s="432"/>
      <c r="CP178" s="432"/>
      <c r="CQ178" s="432"/>
      <c r="CR178" s="432"/>
      <c r="CS178" s="432"/>
      <c r="CT178" s="432"/>
      <c r="CU178" s="432"/>
      <c r="CV178" s="432"/>
      <c r="CW178" s="432"/>
      <c r="CX178" s="432"/>
      <c r="CY178" s="432"/>
      <c r="CZ178" s="432"/>
      <c r="DA178" s="432"/>
      <c r="DB178" s="432"/>
      <c r="DC178" s="432"/>
      <c r="DD178" s="432"/>
      <c r="DE178" s="432"/>
      <c r="DF178" s="432"/>
      <c r="DG178" s="432"/>
      <c r="DH178" s="432"/>
      <c r="DI178" s="432"/>
      <c r="DJ178" s="432"/>
      <c r="DK178" s="432"/>
      <c r="DL178" s="432"/>
      <c r="DM178" s="432"/>
      <c r="DN178" s="432"/>
      <c r="DO178" s="432"/>
      <c r="DP178" s="432"/>
      <c r="DQ178" s="432"/>
      <c r="DR178" s="432"/>
      <c r="DS178" s="432"/>
      <c r="DT178" s="432"/>
      <c r="DU178" s="432"/>
    </row>
    <row r="179" spans="1:125" s="428" customFormat="1" ht="37.5" customHeight="1" thickBot="1">
      <c r="A179" s="626" t="s">
        <v>816</v>
      </c>
      <c r="B179" s="325"/>
      <c r="C179" s="452"/>
      <c r="D179" s="452">
        <v>1999700</v>
      </c>
      <c r="E179" s="452">
        <v>1999700</v>
      </c>
      <c r="F179" s="336">
        <f>E179/D179</f>
        <v>1</v>
      </c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6"/>
      <c r="AX179" s="426"/>
      <c r="AY179" s="426"/>
      <c r="AZ179" s="426"/>
      <c r="BA179" s="426"/>
      <c r="BB179" s="426"/>
      <c r="BC179" s="426"/>
      <c r="BD179" s="426"/>
      <c r="BE179" s="426"/>
      <c r="BF179" s="426"/>
      <c r="BG179" s="426"/>
      <c r="BH179" s="426"/>
      <c r="BI179" s="426"/>
      <c r="BJ179" s="426"/>
      <c r="BK179" s="426"/>
      <c r="BL179" s="426"/>
      <c r="BM179" s="426"/>
      <c r="BN179" s="426"/>
      <c r="BO179" s="426"/>
      <c r="BP179" s="426"/>
      <c r="BQ179" s="426"/>
      <c r="BR179" s="426"/>
      <c r="BS179" s="426"/>
      <c r="BT179" s="426"/>
      <c r="BU179" s="426"/>
    </row>
    <row r="180" spans="1:125" s="428" customFormat="1" ht="21.75" customHeight="1" thickBot="1">
      <c r="A180" s="626" t="s">
        <v>492</v>
      </c>
      <c r="B180" s="325"/>
      <c r="C180" s="452"/>
      <c r="D180" s="452">
        <v>42300000</v>
      </c>
      <c r="E180" s="452">
        <v>42300000</v>
      </c>
      <c r="F180" s="336">
        <f>E180/D180</f>
        <v>1</v>
      </c>
      <c r="G180" s="426"/>
      <c r="H180" s="426"/>
      <c r="I180" s="426"/>
      <c r="J180" s="426"/>
      <c r="K180" s="426"/>
      <c r="L180" s="426"/>
      <c r="M180" s="426"/>
      <c r="N180" s="426"/>
      <c r="O180" s="426"/>
      <c r="P180" s="426"/>
      <c r="Q180" s="426"/>
      <c r="R180" s="426"/>
      <c r="S180" s="426"/>
      <c r="T180" s="426"/>
      <c r="U180" s="426"/>
      <c r="V180" s="426"/>
      <c r="W180" s="426"/>
      <c r="X180" s="426"/>
      <c r="Y180" s="426"/>
      <c r="Z180" s="426"/>
      <c r="AA180" s="426"/>
      <c r="AB180" s="426"/>
      <c r="AC180" s="426"/>
      <c r="AD180" s="426"/>
      <c r="AE180" s="426"/>
      <c r="AF180" s="426"/>
      <c r="AG180" s="426"/>
      <c r="AH180" s="426"/>
      <c r="AI180" s="426"/>
      <c r="AJ180" s="426"/>
      <c r="AK180" s="426"/>
      <c r="AL180" s="426"/>
      <c r="AM180" s="426"/>
      <c r="AN180" s="426"/>
      <c r="AO180" s="426"/>
      <c r="AP180" s="426"/>
      <c r="AQ180" s="426"/>
      <c r="AR180" s="426"/>
      <c r="AS180" s="426"/>
      <c r="AT180" s="426"/>
      <c r="AU180" s="426"/>
      <c r="AV180" s="426"/>
      <c r="AW180" s="426"/>
      <c r="AX180" s="426"/>
      <c r="AY180" s="426"/>
      <c r="AZ180" s="426"/>
      <c r="BA180" s="426"/>
      <c r="BB180" s="426"/>
      <c r="BC180" s="426"/>
      <c r="BD180" s="426"/>
      <c r="BE180" s="426"/>
      <c r="BF180" s="426"/>
      <c r="BG180" s="426"/>
      <c r="BH180" s="426"/>
      <c r="BI180" s="426"/>
      <c r="BJ180" s="426"/>
      <c r="BK180" s="426"/>
      <c r="BL180" s="426"/>
      <c r="BM180" s="426"/>
      <c r="BN180" s="426"/>
      <c r="BO180" s="426"/>
      <c r="BP180" s="426"/>
      <c r="BQ180" s="426"/>
      <c r="BR180" s="426"/>
      <c r="BS180" s="426"/>
      <c r="BT180" s="426"/>
      <c r="BU180" s="426"/>
    </row>
    <row r="181" spans="1:125" s="428" customFormat="1" ht="40.5" customHeight="1" thickBot="1">
      <c r="A181" s="689" t="s">
        <v>776</v>
      </c>
      <c r="B181" s="690"/>
      <c r="C181" s="688"/>
      <c r="D181" s="688">
        <v>2126894</v>
      </c>
      <c r="E181" s="688">
        <v>2126894</v>
      </c>
      <c r="F181" s="336">
        <f>E181/D181</f>
        <v>1</v>
      </c>
      <c r="G181" s="426"/>
      <c r="H181" s="426"/>
      <c r="I181" s="426"/>
      <c r="J181" s="426"/>
      <c r="K181" s="426"/>
      <c r="L181" s="426"/>
      <c r="M181" s="426"/>
      <c r="N181" s="426"/>
      <c r="O181" s="426"/>
      <c r="P181" s="426"/>
      <c r="Q181" s="426"/>
      <c r="R181" s="426"/>
      <c r="S181" s="426"/>
      <c r="T181" s="426"/>
      <c r="U181" s="426"/>
      <c r="V181" s="426"/>
      <c r="W181" s="426"/>
      <c r="X181" s="426"/>
      <c r="Y181" s="426"/>
      <c r="Z181" s="426"/>
      <c r="AA181" s="426"/>
      <c r="AB181" s="426"/>
      <c r="AC181" s="426"/>
      <c r="AD181" s="426"/>
      <c r="AE181" s="426"/>
      <c r="AF181" s="426"/>
      <c r="AG181" s="426"/>
      <c r="AH181" s="426"/>
      <c r="AI181" s="426"/>
      <c r="AJ181" s="426"/>
      <c r="AK181" s="426"/>
      <c r="AL181" s="426"/>
      <c r="AM181" s="426"/>
      <c r="AN181" s="426"/>
      <c r="AO181" s="426"/>
      <c r="AP181" s="426"/>
      <c r="AQ181" s="426"/>
      <c r="AR181" s="426"/>
      <c r="AS181" s="426"/>
      <c r="AT181" s="426"/>
      <c r="AU181" s="426"/>
      <c r="AV181" s="426"/>
      <c r="AW181" s="426"/>
      <c r="AX181" s="426"/>
      <c r="AY181" s="426"/>
      <c r="AZ181" s="426"/>
      <c r="BA181" s="426"/>
      <c r="BB181" s="426"/>
      <c r="BC181" s="426"/>
      <c r="BD181" s="426"/>
      <c r="BE181" s="426"/>
      <c r="BF181" s="426"/>
      <c r="BG181" s="426"/>
      <c r="BH181" s="426"/>
      <c r="BI181" s="426"/>
      <c r="BJ181" s="426"/>
      <c r="BK181" s="426"/>
      <c r="BL181" s="426"/>
      <c r="BM181" s="426"/>
      <c r="BN181" s="426"/>
      <c r="BO181" s="426"/>
      <c r="BP181" s="426"/>
      <c r="BQ181" s="426"/>
      <c r="BR181" s="426"/>
      <c r="BS181" s="426"/>
      <c r="BT181" s="426"/>
      <c r="BU181" s="426"/>
    </row>
    <row r="182" spans="1:125" s="434" customFormat="1" ht="35.25" customHeight="1" thickBot="1">
      <c r="A182" s="626" t="s">
        <v>525</v>
      </c>
      <c r="B182" s="462"/>
      <c r="C182" s="452">
        <v>5000000</v>
      </c>
      <c r="D182" s="452">
        <v>5000000</v>
      </c>
      <c r="E182" s="452">
        <v>0</v>
      </c>
      <c r="F182" s="336">
        <v>0</v>
      </c>
      <c r="G182" s="432"/>
      <c r="H182" s="432"/>
      <c r="I182" s="432"/>
      <c r="J182" s="432"/>
      <c r="K182" s="432"/>
      <c r="L182" s="432"/>
      <c r="M182" s="432"/>
      <c r="N182" s="432"/>
      <c r="O182" s="432"/>
      <c r="P182" s="432"/>
      <c r="Q182" s="432"/>
      <c r="R182" s="432"/>
      <c r="S182" s="432"/>
      <c r="T182" s="432"/>
      <c r="U182" s="432"/>
      <c r="V182" s="432"/>
      <c r="W182" s="432"/>
      <c r="X182" s="432"/>
      <c r="Y182" s="432"/>
      <c r="Z182" s="432"/>
      <c r="AA182" s="432"/>
      <c r="AB182" s="432"/>
      <c r="AC182" s="432"/>
      <c r="AD182" s="432"/>
      <c r="AE182" s="432"/>
      <c r="AF182" s="432"/>
      <c r="AG182" s="432"/>
      <c r="AH182" s="432"/>
      <c r="AI182" s="432"/>
      <c r="AJ182" s="432"/>
      <c r="AK182" s="432"/>
      <c r="AL182" s="432"/>
      <c r="AM182" s="432"/>
      <c r="AN182" s="432"/>
      <c r="AO182" s="433"/>
    </row>
    <row r="183" spans="1:125" s="450" customFormat="1" ht="35.25" customHeight="1" thickBot="1">
      <c r="A183" s="632" t="s">
        <v>850</v>
      </c>
      <c r="B183" s="462"/>
      <c r="C183" s="452"/>
      <c r="D183" s="452"/>
      <c r="E183" s="452">
        <v>340000</v>
      </c>
      <c r="F183" s="336">
        <v>0</v>
      </c>
      <c r="G183" s="432"/>
      <c r="H183" s="432"/>
      <c r="I183" s="432"/>
      <c r="J183" s="432"/>
      <c r="K183" s="432"/>
      <c r="L183" s="432"/>
      <c r="M183" s="432"/>
      <c r="N183" s="432"/>
      <c r="O183" s="432"/>
      <c r="P183" s="432"/>
      <c r="Q183" s="432"/>
      <c r="R183" s="432"/>
      <c r="S183" s="432"/>
      <c r="T183" s="432"/>
      <c r="U183" s="432"/>
      <c r="V183" s="432"/>
      <c r="W183" s="432"/>
      <c r="X183" s="432"/>
      <c r="Y183" s="432"/>
      <c r="Z183" s="432"/>
      <c r="AA183" s="432"/>
      <c r="AB183" s="432"/>
      <c r="AC183" s="432"/>
      <c r="AD183" s="432"/>
      <c r="AE183" s="432"/>
      <c r="AF183" s="432"/>
      <c r="AG183" s="432"/>
      <c r="AH183" s="432"/>
      <c r="AI183" s="432"/>
      <c r="AJ183" s="432"/>
      <c r="AK183" s="432"/>
      <c r="AL183" s="432"/>
      <c r="AM183" s="432"/>
      <c r="AN183" s="432"/>
      <c r="AO183" s="449"/>
    </row>
    <row r="184" spans="1:125" s="450" customFormat="1" ht="38.25" customHeight="1" thickBot="1">
      <c r="A184" s="626" t="s">
        <v>530</v>
      </c>
      <c r="B184" s="627"/>
      <c r="C184" s="452">
        <v>50000000</v>
      </c>
      <c r="D184" s="452">
        <f>50000000-3950435+2844905-35597755+21743477</f>
        <v>35040192</v>
      </c>
      <c r="E184" s="452"/>
      <c r="F184" s="336"/>
      <c r="G184" s="432"/>
      <c r="H184" s="432"/>
      <c r="I184" s="432"/>
      <c r="J184" s="432"/>
      <c r="K184" s="432"/>
      <c r="L184" s="432"/>
      <c r="M184" s="432"/>
      <c r="N184" s="432"/>
      <c r="O184" s="432"/>
      <c r="P184" s="432"/>
      <c r="Q184" s="432"/>
      <c r="R184" s="432"/>
      <c r="S184" s="432"/>
      <c r="T184" s="432"/>
      <c r="U184" s="432"/>
      <c r="V184" s="432"/>
      <c r="W184" s="432"/>
      <c r="X184" s="432"/>
      <c r="Y184" s="432"/>
      <c r="Z184" s="432"/>
      <c r="AA184" s="432"/>
      <c r="AB184" s="432"/>
      <c r="AC184" s="432"/>
      <c r="AD184" s="432"/>
      <c r="AE184" s="432"/>
      <c r="AF184" s="432"/>
      <c r="AG184" s="432"/>
      <c r="AH184" s="432"/>
      <c r="AI184" s="432"/>
      <c r="AJ184" s="432"/>
      <c r="AK184" s="432"/>
      <c r="AL184" s="432"/>
      <c r="AM184" s="432"/>
      <c r="AN184" s="432"/>
      <c r="AO184" s="449"/>
    </row>
    <row r="185" spans="1:125" s="450" customFormat="1" ht="38.25" customHeight="1" thickBot="1">
      <c r="A185" s="712" t="s">
        <v>531</v>
      </c>
      <c r="B185" s="713"/>
      <c r="C185" s="714">
        <v>231934000</v>
      </c>
      <c r="D185" s="714">
        <f>SUM(B186+B188+B189+B193+B194+B195+B196+B197+B199+B200)</f>
        <v>2241418763</v>
      </c>
      <c r="E185" s="714"/>
      <c r="F185" s="733"/>
      <c r="G185" s="432"/>
      <c r="H185" s="432"/>
      <c r="I185" s="432"/>
      <c r="J185" s="432"/>
      <c r="K185" s="432"/>
      <c r="L185" s="432"/>
      <c r="M185" s="432"/>
      <c r="N185" s="432"/>
      <c r="O185" s="432"/>
      <c r="P185" s="432"/>
      <c r="Q185" s="432"/>
      <c r="R185" s="432"/>
      <c r="S185" s="432"/>
      <c r="T185" s="432"/>
      <c r="U185" s="432"/>
      <c r="V185" s="432"/>
      <c r="W185" s="432"/>
      <c r="X185" s="432"/>
      <c r="Y185" s="432"/>
      <c r="Z185" s="432"/>
      <c r="AA185" s="432"/>
      <c r="AB185" s="432"/>
      <c r="AC185" s="432"/>
      <c r="AD185" s="432"/>
      <c r="AE185" s="432"/>
      <c r="AF185" s="432"/>
      <c r="AG185" s="432"/>
      <c r="AH185" s="432"/>
      <c r="AI185" s="432"/>
      <c r="AJ185" s="432"/>
      <c r="AK185" s="432"/>
      <c r="AL185" s="432"/>
      <c r="AM185" s="432"/>
      <c r="AN185" s="432"/>
      <c r="AO185" s="432"/>
      <c r="AP185" s="432"/>
      <c r="AQ185" s="432"/>
      <c r="AR185" s="432"/>
      <c r="AS185" s="432"/>
      <c r="AT185" s="432"/>
      <c r="AU185" s="432"/>
      <c r="AV185" s="432"/>
      <c r="AW185" s="432"/>
      <c r="AX185" s="432"/>
      <c r="AY185" s="432"/>
      <c r="AZ185" s="432"/>
      <c r="BA185" s="432"/>
      <c r="BB185" s="432"/>
      <c r="BC185" s="432"/>
      <c r="BD185" s="432"/>
      <c r="BE185" s="432"/>
      <c r="BF185" s="432"/>
      <c r="BG185" s="432"/>
      <c r="BH185" s="432"/>
      <c r="BI185" s="432"/>
      <c r="BJ185" s="432"/>
      <c r="BK185" s="432"/>
      <c r="BL185" s="432"/>
      <c r="BM185" s="432"/>
      <c r="BN185" s="432"/>
      <c r="BO185" s="432"/>
      <c r="BP185" s="432"/>
      <c r="BQ185" s="432"/>
      <c r="BR185" s="432"/>
      <c r="BS185" s="432"/>
      <c r="BT185" s="432"/>
      <c r="BU185" s="432"/>
    </row>
    <row r="186" spans="1:125" s="428" customFormat="1" ht="44.25" customHeight="1" thickBot="1">
      <c r="A186" s="626" t="s">
        <v>706</v>
      </c>
      <c r="B186" s="325">
        <f>3875000-73+8870741</f>
        <v>12745668</v>
      </c>
      <c r="C186" s="452"/>
      <c r="D186" s="452"/>
      <c r="E186" s="452"/>
      <c r="F186" s="336"/>
      <c r="G186" s="426"/>
      <c r="H186" s="426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6"/>
      <c r="T186" s="426"/>
      <c r="U186" s="426"/>
      <c r="V186" s="426"/>
      <c r="W186" s="426"/>
      <c r="X186" s="426"/>
      <c r="Y186" s="426"/>
      <c r="Z186" s="426"/>
      <c r="AA186" s="426"/>
      <c r="AB186" s="426"/>
      <c r="AC186" s="426"/>
      <c r="AD186" s="426"/>
      <c r="AE186" s="426"/>
      <c r="AF186" s="426"/>
      <c r="AG186" s="426"/>
      <c r="AH186" s="426"/>
      <c r="AI186" s="426"/>
      <c r="AJ186" s="426"/>
      <c r="AK186" s="426"/>
      <c r="AL186" s="426"/>
      <c r="AM186" s="426"/>
      <c r="AN186" s="426"/>
      <c r="AO186" s="426"/>
      <c r="AP186" s="426"/>
      <c r="AQ186" s="426"/>
      <c r="AR186" s="426"/>
      <c r="AS186" s="426"/>
      <c r="AT186" s="426"/>
      <c r="AU186" s="426"/>
      <c r="AV186" s="426"/>
      <c r="AW186" s="426"/>
      <c r="AX186" s="426"/>
      <c r="AY186" s="426"/>
      <c r="AZ186" s="426"/>
      <c r="BA186" s="426"/>
      <c r="BB186" s="426"/>
      <c r="BC186" s="426"/>
      <c r="BD186" s="426"/>
      <c r="BE186" s="426"/>
      <c r="BF186" s="426"/>
      <c r="BG186" s="426"/>
      <c r="BH186" s="426"/>
      <c r="BI186" s="426"/>
      <c r="BJ186" s="426"/>
      <c r="BK186" s="426"/>
      <c r="BL186" s="426"/>
      <c r="BM186" s="426"/>
      <c r="BN186" s="426"/>
      <c r="BO186" s="426"/>
      <c r="BP186" s="426"/>
      <c r="BQ186" s="426"/>
      <c r="BR186" s="426"/>
      <c r="BS186" s="426"/>
      <c r="BT186" s="426"/>
      <c r="BU186" s="426"/>
    </row>
    <row r="187" spans="1:125" s="434" customFormat="1" ht="41.25" customHeight="1" thickBot="1">
      <c r="A187" s="626" t="s">
        <v>532</v>
      </c>
      <c r="B187" s="462"/>
      <c r="C187" s="452"/>
      <c r="D187" s="452"/>
      <c r="E187" s="452"/>
      <c r="F187" s="336"/>
      <c r="G187" s="432"/>
      <c r="H187" s="432"/>
      <c r="I187" s="432"/>
      <c r="J187" s="432"/>
      <c r="K187" s="432"/>
      <c r="L187" s="432"/>
      <c r="M187" s="432"/>
      <c r="N187" s="432"/>
      <c r="O187" s="432"/>
      <c r="P187" s="432"/>
      <c r="Q187" s="432"/>
      <c r="R187" s="432"/>
      <c r="S187" s="432"/>
      <c r="T187" s="432"/>
      <c r="U187" s="432"/>
      <c r="V187" s="432"/>
      <c r="W187" s="432"/>
      <c r="X187" s="432"/>
      <c r="Y187" s="432"/>
      <c r="Z187" s="432"/>
      <c r="AA187" s="432"/>
      <c r="AB187" s="432"/>
      <c r="AC187" s="432"/>
      <c r="AD187" s="432"/>
      <c r="AE187" s="432"/>
      <c r="AF187" s="432"/>
      <c r="AG187" s="432"/>
      <c r="AH187" s="432"/>
      <c r="AI187" s="432"/>
      <c r="AJ187" s="432"/>
      <c r="AK187" s="432"/>
      <c r="AL187" s="432"/>
      <c r="AM187" s="432"/>
      <c r="AN187" s="432"/>
      <c r="AO187" s="432"/>
      <c r="AP187" s="432"/>
      <c r="AQ187" s="432"/>
      <c r="AR187" s="432"/>
      <c r="AS187" s="432"/>
      <c r="AT187" s="432"/>
      <c r="AU187" s="432"/>
      <c r="AV187" s="432"/>
      <c r="AW187" s="432"/>
      <c r="AX187" s="432"/>
      <c r="AY187" s="432"/>
      <c r="AZ187" s="432"/>
      <c r="BA187" s="432"/>
      <c r="BB187" s="432"/>
      <c r="BC187" s="432"/>
      <c r="BD187" s="432"/>
      <c r="BE187" s="432"/>
      <c r="BF187" s="432"/>
      <c r="BG187" s="432"/>
      <c r="BH187" s="432"/>
      <c r="BI187" s="432"/>
      <c r="BJ187" s="432"/>
      <c r="BK187" s="432"/>
      <c r="BL187" s="432"/>
      <c r="BM187" s="432"/>
      <c r="BN187" s="432"/>
      <c r="BO187" s="432"/>
      <c r="BP187" s="432"/>
      <c r="BQ187" s="432"/>
      <c r="BR187" s="432"/>
      <c r="BS187" s="432"/>
      <c r="BT187" s="432"/>
      <c r="BU187" s="432"/>
    </row>
    <row r="188" spans="1:125" s="428" customFormat="1" ht="59.25" customHeight="1" thickBot="1">
      <c r="A188" s="453" t="s">
        <v>533</v>
      </c>
      <c r="B188" s="325">
        <f>12155000-434</f>
        <v>12154566</v>
      </c>
      <c r="C188" s="452"/>
      <c r="D188" s="452"/>
      <c r="E188" s="452"/>
      <c r="F188" s="336"/>
      <c r="G188" s="426"/>
      <c r="H188" s="426"/>
      <c r="I188" s="426"/>
      <c r="J188" s="426"/>
      <c r="K188" s="426"/>
      <c r="L188" s="426"/>
      <c r="M188" s="426"/>
      <c r="N188" s="426"/>
      <c r="O188" s="426"/>
      <c r="P188" s="426"/>
      <c r="Q188" s="426"/>
      <c r="R188" s="426"/>
      <c r="S188" s="426"/>
      <c r="T188" s="426"/>
      <c r="U188" s="426"/>
      <c r="V188" s="426"/>
      <c r="W188" s="426"/>
      <c r="X188" s="426"/>
      <c r="Y188" s="426"/>
      <c r="Z188" s="426"/>
      <c r="AA188" s="426"/>
      <c r="AB188" s="426"/>
      <c r="AC188" s="426"/>
      <c r="AD188" s="426"/>
      <c r="AE188" s="426"/>
      <c r="AF188" s="426"/>
      <c r="AG188" s="426"/>
      <c r="AH188" s="426"/>
      <c r="AI188" s="426"/>
      <c r="AJ188" s="426"/>
      <c r="AK188" s="426"/>
      <c r="AL188" s="426"/>
      <c r="AM188" s="426"/>
      <c r="AN188" s="426"/>
      <c r="AO188" s="426"/>
      <c r="AP188" s="426"/>
      <c r="AQ188" s="426"/>
      <c r="AR188" s="426"/>
      <c r="AS188" s="426"/>
      <c r="AT188" s="426"/>
      <c r="AU188" s="426"/>
      <c r="AV188" s="426"/>
      <c r="AW188" s="426"/>
      <c r="AX188" s="426"/>
      <c r="AY188" s="426"/>
      <c r="AZ188" s="426"/>
      <c r="BA188" s="426"/>
      <c r="BB188" s="426"/>
      <c r="BC188" s="426"/>
      <c r="BD188" s="426"/>
      <c r="BE188" s="426"/>
      <c r="BF188" s="426"/>
      <c r="BG188" s="426"/>
      <c r="BH188" s="426"/>
      <c r="BI188" s="426"/>
      <c r="BJ188" s="426"/>
      <c r="BK188" s="426"/>
      <c r="BL188" s="426"/>
      <c r="BM188" s="426"/>
      <c r="BN188" s="426"/>
      <c r="BO188" s="426"/>
      <c r="BP188" s="426"/>
      <c r="BQ188" s="426"/>
      <c r="BR188" s="426"/>
      <c r="BS188" s="426"/>
      <c r="BT188" s="426"/>
      <c r="BU188" s="426"/>
    </row>
    <row r="189" spans="1:125" s="428" customFormat="1" ht="32.25" thickBot="1">
      <c r="A189" s="626" t="s">
        <v>534</v>
      </c>
      <c r="B189" s="325">
        <f>SUM(B191:B192)</f>
        <v>164375993</v>
      </c>
      <c r="C189" s="452"/>
      <c r="D189" s="452"/>
      <c r="E189" s="452"/>
      <c r="F189" s="336"/>
      <c r="G189" s="426"/>
      <c r="H189" s="426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26"/>
      <c r="AC189" s="426"/>
      <c r="AD189" s="426"/>
      <c r="AE189" s="426"/>
      <c r="AF189" s="426"/>
      <c r="AG189" s="426"/>
      <c r="AH189" s="426"/>
      <c r="AI189" s="426"/>
      <c r="AJ189" s="426"/>
      <c r="AK189" s="426"/>
      <c r="AL189" s="426"/>
      <c r="AM189" s="426"/>
      <c r="AN189" s="426"/>
      <c r="AO189" s="426"/>
      <c r="AP189" s="426"/>
      <c r="AQ189" s="426"/>
      <c r="AR189" s="426"/>
      <c r="AS189" s="426"/>
      <c r="AT189" s="426"/>
      <c r="AU189" s="426"/>
      <c r="AV189" s="426"/>
      <c r="AW189" s="426"/>
      <c r="AX189" s="426"/>
      <c r="AY189" s="426"/>
      <c r="AZ189" s="426"/>
      <c r="BA189" s="426"/>
      <c r="BB189" s="426"/>
      <c r="BC189" s="426"/>
      <c r="BD189" s="426"/>
      <c r="BE189" s="426"/>
      <c r="BF189" s="426"/>
      <c r="BG189" s="426"/>
      <c r="BH189" s="426"/>
      <c r="BI189" s="426"/>
      <c r="BJ189" s="426"/>
      <c r="BK189" s="426"/>
      <c r="BL189" s="426"/>
      <c r="BM189" s="426"/>
      <c r="BN189" s="426"/>
      <c r="BO189" s="426"/>
      <c r="BP189" s="426"/>
      <c r="BQ189" s="426"/>
      <c r="BR189" s="426"/>
      <c r="BS189" s="426"/>
      <c r="BT189" s="426"/>
      <c r="BU189" s="426"/>
    </row>
    <row r="190" spans="1:125" s="428" customFormat="1" ht="22.5" customHeight="1" thickBot="1">
      <c r="A190" s="453" t="s">
        <v>433</v>
      </c>
      <c r="B190" s="325"/>
      <c r="C190" s="452"/>
      <c r="D190" s="452"/>
      <c r="E190" s="452"/>
      <c r="F190" s="336"/>
      <c r="G190" s="426"/>
      <c r="H190" s="426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  <c r="U190" s="426"/>
      <c r="V190" s="426"/>
      <c r="W190" s="426"/>
      <c r="X190" s="426"/>
      <c r="Y190" s="426"/>
      <c r="Z190" s="426"/>
      <c r="AA190" s="426"/>
      <c r="AB190" s="426"/>
      <c r="AC190" s="426"/>
      <c r="AD190" s="426"/>
      <c r="AE190" s="426"/>
      <c r="AF190" s="426"/>
      <c r="AG190" s="426"/>
      <c r="AH190" s="426"/>
      <c r="AI190" s="426"/>
      <c r="AJ190" s="426"/>
      <c r="AK190" s="426"/>
      <c r="AL190" s="426"/>
      <c r="AM190" s="426"/>
      <c r="AN190" s="426"/>
      <c r="AO190" s="426"/>
      <c r="AP190" s="426"/>
      <c r="AQ190" s="426"/>
      <c r="AR190" s="426"/>
      <c r="AS190" s="426"/>
      <c r="AT190" s="426"/>
      <c r="AU190" s="426"/>
      <c r="AV190" s="426"/>
      <c r="AW190" s="426"/>
      <c r="AX190" s="426"/>
      <c r="AY190" s="426"/>
      <c r="AZ190" s="426"/>
      <c r="BA190" s="426"/>
      <c r="BB190" s="426"/>
      <c r="BC190" s="426"/>
      <c r="BD190" s="426"/>
      <c r="BE190" s="426"/>
      <c r="BF190" s="426"/>
      <c r="BG190" s="426"/>
      <c r="BH190" s="426"/>
      <c r="BI190" s="426"/>
      <c r="BJ190" s="426"/>
      <c r="BK190" s="426"/>
      <c r="BL190" s="426"/>
      <c r="BM190" s="426"/>
      <c r="BN190" s="426"/>
      <c r="BO190" s="426"/>
      <c r="BP190" s="426"/>
      <c r="BQ190" s="426"/>
      <c r="BR190" s="426"/>
      <c r="BS190" s="426"/>
      <c r="BT190" s="426"/>
      <c r="BU190" s="426"/>
    </row>
    <row r="191" spans="1:125" s="428" customFormat="1" ht="22.5" customHeight="1" thickBot="1">
      <c r="A191" s="453" t="s">
        <v>707</v>
      </c>
      <c r="B191" s="325">
        <v>49950000</v>
      </c>
      <c r="C191" s="452"/>
      <c r="D191" s="452"/>
      <c r="E191" s="452"/>
      <c r="F191" s="336"/>
      <c r="G191" s="426"/>
      <c r="H191" s="426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  <c r="U191" s="426"/>
      <c r="V191" s="426"/>
      <c r="W191" s="426"/>
      <c r="X191" s="426"/>
      <c r="Y191" s="426"/>
      <c r="Z191" s="426"/>
      <c r="AA191" s="426"/>
      <c r="AB191" s="426"/>
      <c r="AC191" s="426"/>
      <c r="AD191" s="426"/>
      <c r="AE191" s="426"/>
      <c r="AF191" s="426"/>
      <c r="AG191" s="426"/>
      <c r="AH191" s="426"/>
      <c r="AI191" s="426"/>
      <c r="AJ191" s="426"/>
      <c r="AK191" s="426"/>
      <c r="AL191" s="426"/>
      <c r="AM191" s="426"/>
      <c r="AN191" s="426"/>
      <c r="AO191" s="426"/>
      <c r="AP191" s="426"/>
      <c r="AQ191" s="426"/>
      <c r="AR191" s="426"/>
      <c r="AS191" s="426"/>
      <c r="AT191" s="426"/>
      <c r="AU191" s="426"/>
      <c r="AV191" s="426"/>
      <c r="AW191" s="426"/>
      <c r="AX191" s="426"/>
      <c r="AY191" s="426"/>
      <c r="AZ191" s="426"/>
      <c r="BA191" s="426"/>
      <c r="BB191" s="426"/>
      <c r="BC191" s="426"/>
      <c r="BD191" s="426"/>
      <c r="BE191" s="426"/>
      <c r="BF191" s="426"/>
      <c r="BG191" s="426"/>
      <c r="BH191" s="426"/>
      <c r="BI191" s="426"/>
      <c r="BJ191" s="426"/>
      <c r="BK191" s="426"/>
      <c r="BL191" s="426"/>
      <c r="BM191" s="426"/>
      <c r="BN191" s="426"/>
      <c r="BO191" s="426"/>
      <c r="BP191" s="426"/>
      <c r="BQ191" s="426"/>
      <c r="BR191" s="426"/>
      <c r="BS191" s="426"/>
      <c r="BT191" s="426"/>
      <c r="BU191" s="426"/>
    </row>
    <row r="192" spans="1:125" s="428" customFormat="1" ht="37.5" customHeight="1" thickBot="1">
      <c r="A192" s="453" t="s">
        <v>832</v>
      </c>
      <c r="B192" s="325">
        <f>165954000-328-460419-2103086-25757662-20625194+2583543-5164861</f>
        <v>114425993</v>
      </c>
      <c r="C192" s="452"/>
      <c r="D192" s="452"/>
      <c r="E192" s="452"/>
      <c r="F192" s="336"/>
      <c r="G192" s="426"/>
      <c r="H192" s="426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  <c r="U192" s="426"/>
      <c r="V192" s="426"/>
      <c r="W192" s="426"/>
      <c r="X192" s="426"/>
      <c r="Y192" s="426"/>
      <c r="Z192" s="426"/>
      <c r="AA192" s="426"/>
      <c r="AB192" s="426"/>
      <c r="AC192" s="426"/>
      <c r="AD192" s="426"/>
      <c r="AE192" s="426"/>
      <c r="AF192" s="426"/>
      <c r="AG192" s="426"/>
      <c r="AH192" s="426"/>
      <c r="AI192" s="426"/>
      <c r="AJ192" s="426"/>
      <c r="AK192" s="426"/>
      <c r="AL192" s="426"/>
      <c r="AM192" s="426"/>
      <c r="AN192" s="426"/>
      <c r="AO192" s="426"/>
      <c r="AP192" s="426"/>
      <c r="AQ192" s="426"/>
      <c r="AR192" s="426"/>
      <c r="AS192" s="426"/>
      <c r="AT192" s="426"/>
      <c r="AU192" s="426"/>
      <c r="AV192" s="426"/>
      <c r="AW192" s="426"/>
      <c r="AX192" s="426"/>
      <c r="AY192" s="426"/>
      <c r="AZ192" s="426"/>
      <c r="BA192" s="426"/>
      <c r="BB192" s="426"/>
      <c r="BC192" s="426"/>
      <c r="BD192" s="426"/>
      <c r="BE192" s="426"/>
      <c r="BF192" s="426"/>
      <c r="BG192" s="426"/>
      <c r="BH192" s="426"/>
      <c r="BI192" s="426"/>
      <c r="BJ192" s="426"/>
      <c r="BK192" s="426"/>
      <c r="BL192" s="426"/>
      <c r="BM192" s="426"/>
      <c r="BN192" s="426"/>
      <c r="BO192" s="426"/>
      <c r="BP192" s="426"/>
      <c r="BQ192" s="426"/>
      <c r="BR192" s="426"/>
      <c r="BS192" s="426"/>
      <c r="BT192" s="426"/>
      <c r="BU192" s="426"/>
    </row>
    <row r="193" spans="1:125" s="450" customFormat="1" ht="37.5" customHeight="1" thickBot="1">
      <c r="A193" s="626" t="s">
        <v>709</v>
      </c>
      <c r="B193" s="325">
        <v>119456054</v>
      </c>
      <c r="C193" s="452"/>
      <c r="D193" s="452"/>
      <c r="E193" s="452"/>
      <c r="F193" s="336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32"/>
      <c r="S193" s="432"/>
      <c r="T193" s="432"/>
      <c r="U193" s="432"/>
      <c r="V193" s="432"/>
      <c r="W193" s="432"/>
      <c r="X193" s="432"/>
      <c r="Y193" s="432"/>
      <c r="Z193" s="432"/>
      <c r="AA193" s="432"/>
      <c r="AB193" s="432"/>
      <c r="AC193" s="432"/>
      <c r="AD193" s="432"/>
      <c r="AE193" s="432"/>
      <c r="AF193" s="432"/>
      <c r="AG193" s="432"/>
      <c r="AH193" s="432"/>
      <c r="AI193" s="432"/>
      <c r="AJ193" s="432"/>
      <c r="AK193" s="432"/>
      <c r="AL193" s="432"/>
      <c r="AM193" s="432"/>
      <c r="AN193" s="432"/>
      <c r="AO193" s="432"/>
      <c r="AP193" s="432"/>
      <c r="AQ193" s="432"/>
      <c r="AR193" s="432"/>
      <c r="AS193" s="432"/>
      <c r="AT193" s="432"/>
      <c r="AU193" s="432"/>
      <c r="AV193" s="432"/>
      <c r="AW193" s="432"/>
      <c r="AX193" s="432"/>
      <c r="AY193" s="432"/>
      <c r="AZ193" s="432"/>
      <c r="BA193" s="432"/>
      <c r="BB193" s="432"/>
      <c r="BC193" s="432"/>
      <c r="BD193" s="432"/>
      <c r="BE193" s="432"/>
      <c r="BF193" s="432"/>
      <c r="BG193" s="432"/>
      <c r="BH193" s="432"/>
      <c r="BI193" s="432"/>
      <c r="BJ193" s="432"/>
      <c r="BK193" s="432"/>
      <c r="BL193" s="432"/>
      <c r="BM193" s="432"/>
      <c r="BN193" s="432"/>
      <c r="BO193" s="432"/>
      <c r="BP193" s="432"/>
      <c r="BQ193" s="432"/>
      <c r="BR193" s="432"/>
      <c r="BS193" s="432"/>
      <c r="BT193" s="432"/>
      <c r="BU193" s="432"/>
    </row>
    <row r="194" spans="1:125" s="450" customFormat="1" ht="64.5" customHeight="1" thickBot="1">
      <c r="A194" s="626" t="s">
        <v>710</v>
      </c>
      <c r="B194" s="325">
        <v>28337952</v>
      </c>
      <c r="C194" s="452"/>
      <c r="D194" s="452"/>
      <c r="E194" s="452"/>
      <c r="F194" s="336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32"/>
      <c r="S194" s="432"/>
      <c r="T194" s="432"/>
      <c r="U194" s="432"/>
      <c r="V194" s="432"/>
      <c r="W194" s="432"/>
      <c r="X194" s="432"/>
      <c r="Y194" s="432"/>
      <c r="Z194" s="432"/>
      <c r="AA194" s="432"/>
      <c r="AB194" s="432"/>
      <c r="AC194" s="432"/>
      <c r="AD194" s="432"/>
      <c r="AE194" s="432"/>
      <c r="AF194" s="432"/>
      <c r="AG194" s="432"/>
      <c r="AH194" s="432"/>
      <c r="AI194" s="432"/>
      <c r="AJ194" s="432"/>
      <c r="AK194" s="432"/>
      <c r="AL194" s="432"/>
      <c r="AM194" s="432"/>
      <c r="AN194" s="432"/>
      <c r="AO194" s="432"/>
      <c r="AP194" s="432"/>
      <c r="AQ194" s="432"/>
      <c r="AR194" s="432"/>
      <c r="AS194" s="432"/>
      <c r="AT194" s="432"/>
      <c r="AU194" s="432"/>
      <c r="AV194" s="432"/>
      <c r="AW194" s="432"/>
      <c r="AX194" s="432"/>
      <c r="AY194" s="432"/>
      <c r="AZ194" s="432"/>
      <c r="BA194" s="432"/>
      <c r="BB194" s="432"/>
      <c r="BC194" s="432"/>
      <c r="BD194" s="432"/>
      <c r="BE194" s="432"/>
      <c r="BF194" s="432"/>
      <c r="BG194" s="432"/>
      <c r="BH194" s="432"/>
      <c r="BI194" s="432"/>
      <c r="BJ194" s="432"/>
      <c r="BK194" s="432"/>
      <c r="BL194" s="432"/>
      <c r="BM194" s="432"/>
      <c r="BN194" s="432"/>
      <c r="BO194" s="432"/>
      <c r="BP194" s="432"/>
      <c r="BQ194" s="432"/>
      <c r="BR194" s="432"/>
      <c r="BS194" s="432"/>
      <c r="BT194" s="432"/>
      <c r="BU194" s="432"/>
    </row>
    <row r="195" spans="1:125" s="450" customFormat="1" ht="37.5" customHeight="1" thickBot="1">
      <c r="A195" s="689" t="s">
        <v>686</v>
      </c>
      <c r="B195" s="690">
        <f>468035127-2476500</f>
        <v>465558627</v>
      </c>
      <c r="C195" s="688"/>
      <c r="D195" s="688"/>
      <c r="E195" s="688"/>
      <c r="F195" s="731"/>
      <c r="G195" s="432"/>
      <c r="H195" s="432"/>
      <c r="I195" s="432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2"/>
      <c r="AC195" s="432"/>
      <c r="AD195" s="432"/>
      <c r="AE195" s="432"/>
      <c r="AF195" s="432"/>
      <c r="AG195" s="432"/>
      <c r="AH195" s="432"/>
      <c r="AI195" s="432"/>
      <c r="AJ195" s="432"/>
      <c r="AK195" s="432"/>
      <c r="AL195" s="432"/>
      <c r="AM195" s="432"/>
      <c r="AN195" s="432"/>
      <c r="AO195" s="432"/>
      <c r="AP195" s="432"/>
      <c r="AQ195" s="432"/>
      <c r="AR195" s="432"/>
      <c r="AS195" s="432"/>
      <c r="AT195" s="432"/>
      <c r="AU195" s="432"/>
      <c r="AV195" s="432"/>
      <c r="AW195" s="432"/>
      <c r="AX195" s="432"/>
      <c r="AY195" s="432"/>
      <c r="AZ195" s="432"/>
      <c r="BA195" s="432"/>
      <c r="BB195" s="432"/>
      <c r="BC195" s="432"/>
      <c r="BD195" s="432"/>
      <c r="BE195" s="432"/>
      <c r="BF195" s="432"/>
      <c r="BG195" s="432"/>
      <c r="BH195" s="432"/>
      <c r="BI195" s="432"/>
      <c r="BJ195" s="432"/>
      <c r="BK195" s="432"/>
      <c r="BL195" s="432"/>
      <c r="BM195" s="432"/>
      <c r="BN195" s="432"/>
      <c r="BO195" s="432"/>
      <c r="BP195" s="432"/>
      <c r="BQ195" s="432"/>
      <c r="BR195" s="432"/>
      <c r="BS195" s="432"/>
      <c r="BT195" s="432"/>
      <c r="BU195" s="432"/>
    </row>
    <row r="196" spans="1:125" s="434" customFormat="1" ht="41.25" customHeight="1" thickBot="1">
      <c r="A196" s="626" t="s">
        <v>711</v>
      </c>
      <c r="B196" s="457">
        <f>189089200-1821600</f>
        <v>187267600</v>
      </c>
      <c r="C196" s="452"/>
      <c r="D196" s="468"/>
      <c r="E196" s="468"/>
      <c r="F196" s="337"/>
      <c r="G196" s="432"/>
      <c r="H196" s="432"/>
      <c r="I196" s="432"/>
      <c r="J196" s="432"/>
      <c r="K196" s="432"/>
      <c r="L196" s="432"/>
      <c r="M196" s="432"/>
      <c r="N196" s="432"/>
      <c r="O196" s="432"/>
      <c r="P196" s="432"/>
      <c r="Q196" s="432"/>
      <c r="R196" s="432"/>
      <c r="S196" s="432"/>
      <c r="T196" s="432"/>
      <c r="U196" s="432"/>
      <c r="V196" s="432"/>
      <c r="W196" s="432"/>
      <c r="X196" s="432"/>
      <c r="Y196" s="432"/>
      <c r="Z196" s="432"/>
      <c r="AA196" s="432"/>
      <c r="AB196" s="432"/>
      <c r="AC196" s="432"/>
      <c r="AD196" s="432"/>
      <c r="AE196" s="432"/>
      <c r="AF196" s="432"/>
      <c r="AG196" s="432"/>
      <c r="AH196" s="432"/>
      <c r="AI196" s="432"/>
      <c r="AJ196" s="432"/>
      <c r="AK196" s="432"/>
      <c r="AL196" s="432"/>
      <c r="AM196" s="432"/>
      <c r="AN196" s="432"/>
      <c r="AO196" s="432"/>
      <c r="AP196" s="432"/>
      <c r="AQ196" s="432"/>
      <c r="AR196" s="432"/>
      <c r="AS196" s="432"/>
      <c r="AT196" s="432"/>
      <c r="AU196" s="432"/>
      <c r="AV196" s="432"/>
      <c r="AW196" s="432"/>
      <c r="AX196" s="432"/>
      <c r="AY196" s="432"/>
      <c r="AZ196" s="432"/>
      <c r="BA196" s="432"/>
      <c r="BB196" s="432"/>
      <c r="BC196" s="432"/>
      <c r="BD196" s="432"/>
      <c r="BE196" s="432"/>
      <c r="BF196" s="432"/>
      <c r="BG196" s="432"/>
      <c r="BH196" s="432"/>
      <c r="BI196" s="432"/>
      <c r="BJ196" s="432"/>
      <c r="BK196" s="432"/>
      <c r="BL196" s="432"/>
      <c r="BM196" s="432"/>
      <c r="BN196" s="432"/>
      <c r="BO196" s="432"/>
      <c r="BP196" s="432"/>
      <c r="BQ196" s="432"/>
      <c r="BR196" s="432"/>
      <c r="BS196" s="432"/>
      <c r="BT196" s="432"/>
      <c r="BU196" s="432"/>
    </row>
    <row r="197" spans="1:125" s="434" customFormat="1" ht="41.25" customHeight="1" thickBot="1">
      <c r="A197" s="479" t="s">
        <v>712</v>
      </c>
      <c r="B197" s="715">
        <f>236298633-5759393</f>
        <v>230539240</v>
      </c>
      <c r="C197" s="452"/>
      <c r="D197" s="468"/>
      <c r="E197" s="468"/>
      <c r="F197" s="337"/>
      <c r="G197" s="432"/>
      <c r="H197" s="432"/>
      <c r="I197" s="432"/>
      <c r="J197" s="432"/>
      <c r="K197" s="432"/>
      <c r="L197" s="432"/>
      <c r="M197" s="432"/>
      <c r="N197" s="432"/>
      <c r="O197" s="432"/>
      <c r="P197" s="432"/>
      <c r="Q197" s="432"/>
      <c r="R197" s="432"/>
      <c r="S197" s="432"/>
      <c r="T197" s="432"/>
      <c r="U197" s="432"/>
      <c r="V197" s="432"/>
      <c r="W197" s="432"/>
      <c r="X197" s="432"/>
      <c r="Y197" s="432"/>
      <c r="Z197" s="432"/>
      <c r="AA197" s="432"/>
      <c r="AB197" s="432"/>
      <c r="AC197" s="432"/>
      <c r="AD197" s="432"/>
      <c r="AE197" s="432"/>
      <c r="AF197" s="432"/>
      <c r="AG197" s="432"/>
      <c r="AH197" s="432"/>
      <c r="AI197" s="432"/>
      <c r="AJ197" s="432"/>
      <c r="AK197" s="432"/>
      <c r="AL197" s="432"/>
      <c r="AM197" s="432"/>
      <c r="AN197" s="432"/>
      <c r="AO197" s="432"/>
      <c r="AP197" s="432"/>
      <c r="AQ197" s="432"/>
      <c r="AR197" s="432"/>
      <c r="AS197" s="432"/>
      <c r="AT197" s="432"/>
      <c r="AU197" s="432"/>
      <c r="AV197" s="432"/>
      <c r="AW197" s="432"/>
      <c r="AX197" s="432"/>
      <c r="AY197" s="432"/>
      <c r="AZ197" s="432"/>
      <c r="BA197" s="432"/>
      <c r="BB197" s="432"/>
      <c r="BC197" s="432"/>
      <c r="BD197" s="432"/>
      <c r="BE197" s="432"/>
      <c r="BF197" s="432"/>
      <c r="BG197" s="432"/>
      <c r="BH197" s="432"/>
      <c r="BI197" s="432"/>
      <c r="BJ197" s="432"/>
      <c r="BK197" s="432"/>
      <c r="BL197" s="432"/>
      <c r="BM197" s="432"/>
      <c r="BN197" s="432"/>
      <c r="BO197" s="432"/>
      <c r="BP197" s="432"/>
      <c r="BQ197" s="432"/>
      <c r="BR197" s="432"/>
      <c r="BS197" s="432"/>
      <c r="BT197" s="432"/>
      <c r="BU197" s="432"/>
    </row>
    <row r="198" spans="1:125" s="295" customFormat="1" ht="66.75" customHeight="1" thickBot="1">
      <c r="A198" s="672" t="s">
        <v>463</v>
      </c>
      <c r="B198" s="686"/>
      <c r="C198" s="674" t="s">
        <v>350</v>
      </c>
      <c r="D198" s="687" t="s">
        <v>351</v>
      </c>
      <c r="E198" s="674" t="s">
        <v>288</v>
      </c>
      <c r="F198" s="727" t="s">
        <v>289</v>
      </c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  <c r="AA198" s="293"/>
      <c r="AB198" s="293"/>
      <c r="AC198" s="293"/>
      <c r="AD198" s="293"/>
      <c r="AE198" s="293"/>
      <c r="AF198" s="293"/>
      <c r="AG198" s="293"/>
      <c r="AH198" s="293"/>
      <c r="AI198" s="293"/>
      <c r="AJ198" s="293"/>
      <c r="AK198" s="293"/>
      <c r="AL198" s="293"/>
      <c r="AM198" s="293"/>
      <c r="AN198" s="293"/>
      <c r="AO198" s="294"/>
    </row>
    <row r="199" spans="1:125" s="434" customFormat="1" ht="41.25" customHeight="1" thickBot="1">
      <c r="A199" s="479" t="s">
        <v>713</v>
      </c>
      <c r="B199" s="715">
        <f>195200000-13123000</f>
        <v>182077000</v>
      </c>
      <c r="C199" s="452"/>
      <c r="D199" s="468"/>
      <c r="E199" s="468"/>
      <c r="F199" s="337"/>
      <c r="G199" s="432"/>
      <c r="H199" s="432"/>
      <c r="I199" s="432"/>
      <c r="J199" s="432"/>
      <c r="K199" s="432"/>
      <c r="L199" s="432"/>
      <c r="M199" s="432"/>
      <c r="N199" s="432"/>
      <c r="O199" s="432"/>
      <c r="P199" s="432"/>
      <c r="Q199" s="432"/>
      <c r="R199" s="432"/>
      <c r="S199" s="432"/>
      <c r="T199" s="432"/>
      <c r="U199" s="432"/>
      <c r="V199" s="432"/>
      <c r="W199" s="432"/>
      <c r="X199" s="432"/>
      <c r="Y199" s="432"/>
      <c r="Z199" s="432"/>
      <c r="AA199" s="432"/>
      <c r="AB199" s="432"/>
      <c r="AC199" s="432"/>
      <c r="AD199" s="432"/>
      <c r="AE199" s="432"/>
      <c r="AF199" s="432"/>
      <c r="AG199" s="432"/>
      <c r="AH199" s="432"/>
      <c r="AI199" s="432"/>
      <c r="AJ199" s="432"/>
      <c r="AK199" s="432"/>
      <c r="AL199" s="432"/>
      <c r="AM199" s="432"/>
      <c r="AN199" s="432"/>
      <c r="AO199" s="432"/>
      <c r="AP199" s="432"/>
      <c r="AQ199" s="432"/>
      <c r="AR199" s="432"/>
      <c r="AS199" s="432"/>
      <c r="AT199" s="432"/>
      <c r="AU199" s="432"/>
      <c r="AV199" s="432"/>
      <c r="AW199" s="432"/>
      <c r="AX199" s="432"/>
      <c r="AY199" s="432"/>
      <c r="AZ199" s="432"/>
      <c r="BA199" s="432"/>
      <c r="BB199" s="432"/>
      <c r="BC199" s="432"/>
      <c r="BD199" s="432"/>
      <c r="BE199" s="432"/>
      <c r="BF199" s="432"/>
      <c r="BG199" s="432"/>
      <c r="BH199" s="432"/>
      <c r="BI199" s="432"/>
      <c r="BJ199" s="432"/>
      <c r="BK199" s="432"/>
      <c r="BL199" s="432"/>
      <c r="BM199" s="432"/>
      <c r="BN199" s="432"/>
      <c r="BO199" s="432"/>
      <c r="BP199" s="432"/>
      <c r="BQ199" s="432"/>
      <c r="BR199" s="432"/>
      <c r="BS199" s="432"/>
      <c r="BT199" s="432"/>
      <c r="BU199" s="432"/>
    </row>
    <row r="200" spans="1:125" s="434" customFormat="1" ht="52.5" customHeight="1" thickBot="1">
      <c r="A200" s="716" t="s">
        <v>690</v>
      </c>
      <c r="B200" s="715">
        <v>838906063</v>
      </c>
      <c r="C200" s="452"/>
      <c r="D200" s="452"/>
      <c r="E200" s="452"/>
      <c r="F200" s="336"/>
      <c r="G200" s="432"/>
      <c r="H200" s="432"/>
      <c r="I200" s="432"/>
      <c r="J200" s="432"/>
      <c r="K200" s="432"/>
      <c r="L200" s="432"/>
      <c r="M200" s="432"/>
      <c r="N200" s="432"/>
      <c r="O200" s="432"/>
      <c r="P200" s="432"/>
      <c r="Q200" s="432"/>
      <c r="R200" s="432"/>
      <c r="S200" s="432"/>
      <c r="T200" s="432"/>
      <c r="U200" s="432"/>
      <c r="V200" s="432"/>
      <c r="W200" s="432"/>
      <c r="X200" s="432"/>
      <c r="Y200" s="432"/>
      <c r="Z200" s="432"/>
      <c r="AA200" s="432"/>
      <c r="AB200" s="432"/>
      <c r="AC200" s="432"/>
      <c r="AD200" s="432"/>
      <c r="AE200" s="432"/>
      <c r="AF200" s="432"/>
      <c r="AG200" s="432"/>
      <c r="AH200" s="432"/>
      <c r="AI200" s="432"/>
      <c r="AJ200" s="432"/>
      <c r="AK200" s="432"/>
      <c r="AL200" s="432"/>
      <c r="AM200" s="432"/>
      <c r="AN200" s="432"/>
      <c r="AO200" s="432"/>
      <c r="AP200" s="432"/>
      <c r="AQ200" s="432"/>
      <c r="AR200" s="432"/>
      <c r="AS200" s="432"/>
      <c r="AT200" s="432"/>
      <c r="AU200" s="432"/>
      <c r="AV200" s="432"/>
      <c r="AW200" s="432"/>
      <c r="AX200" s="432"/>
      <c r="AY200" s="432"/>
      <c r="AZ200" s="432"/>
      <c r="BA200" s="432"/>
      <c r="BB200" s="432"/>
      <c r="BC200" s="432"/>
      <c r="BD200" s="432"/>
      <c r="BE200" s="432"/>
      <c r="BF200" s="432"/>
      <c r="BG200" s="432"/>
      <c r="BH200" s="432"/>
      <c r="BI200" s="432"/>
      <c r="BJ200" s="432"/>
      <c r="BK200" s="432"/>
      <c r="BL200" s="432"/>
      <c r="BM200" s="432"/>
      <c r="BN200" s="432"/>
      <c r="BO200" s="432"/>
      <c r="BP200" s="432"/>
      <c r="BQ200" s="432"/>
      <c r="BR200" s="432"/>
      <c r="BS200" s="432"/>
      <c r="BT200" s="432"/>
      <c r="BU200" s="432"/>
    </row>
    <row r="201" spans="1:125" s="299" customFormat="1" ht="31.5" customHeight="1" thickBot="1">
      <c r="A201" s="680" t="s">
        <v>547</v>
      </c>
      <c r="B201" s="710"/>
      <c r="C201" s="678">
        <f>SUM(C154:C199)</f>
        <v>998451000</v>
      </c>
      <c r="D201" s="678">
        <f>SUM(D154:D195)</f>
        <v>3267051849</v>
      </c>
      <c r="E201" s="678">
        <f>SUM(E154:E195)</f>
        <v>976741367</v>
      </c>
      <c r="F201" s="729">
        <f>E201/D201</f>
        <v>0.2989672071776171</v>
      </c>
      <c r="G201" s="441"/>
      <c r="H201" s="441"/>
      <c r="I201" s="441"/>
      <c r="J201" s="441"/>
      <c r="K201" s="441"/>
      <c r="L201" s="441"/>
      <c r="M201" s="441"/>
      <c r="N201" s="441"/>
      <c r="O201" s="441"/>
      <c r="P201" s="441"/>
      <c r="Q201" s="441"/>
      <c r="R201" s="441"/>
      <c r="S201" s="441"/>
      <c r="T201" s="441"/>
      <c r="U201" s="441"/>
      <c r="V201" s="441"/>
      <c r="W201" s="441"/>
      <c r="X201" s="441"/>
      <c r="Y201" s="441"/>
      <c r="Z201" s="441"/>
      <c r="AA201" s="441"/>
      <c r="AB201" s="441"/>
      <c r="AC201" s="441"/>
      <c r="AD201" s="441"/>
      <c r="AE201" s="441"/>
      <c r="AF201" s="441"/>
      <c r="AG201" s="441"/>
      <c r="AH201" s="441"/>
      <c r="AI201" s="441"/>
      <c r="AJ201" s="441"/>
      <c r="AK201" s="441"/>
      <c r="AL201" s="441"/>
      <c r="AM201" s="441"/>
      <c r="AN201" s="441"/>
      <c r="AO201" s="298"/>
    </row>
    <row r="202" spans="1:125" s="299" customFormat="1" ht="31.5" customHeight="1" thickBot="1">
      <c r="A202" s="321"/>
      <c r="B202" s="322"/>
      <c r="C202" s="323"/>
      <c r="D202" s="683"/>
      <c r="E202" s="683"/>
      <c r="F202" s="730"/>
      <c r="G202" s="441"/>
      <c r="H202" s="441"/>
      <c r="I202" s="441"/>
      <c r="J202" s="441"/>
      <c r="K202" s="441"/>
      <c r="L202" s="441"/>
      <c r="M202" s="441"/>
      <c r="N202" s="441"/>
      <c r="O202" s="441"/>
      <c r="P202" s="441"/>
      <c r="Q202" s="441"/>
      <c r="R202" s="441"/>
      <c r="S202" s="441"/>
      <c r="T202" s="441"/>
      <c r="U202" s="441"/>
      <c r="V202" s="441"/>
      <c r="W202" s="441"/>
      <c r="X202" s="441"/>
      <c r="Y202" s="441"/>
      <c r="Z202" s="441"/>
      <c r="AA202" s="441"/>
      <c r="AB202" s="441"/>
      <c r="AC202" s="441"/>
      <c r="AD202" s="441"/>
      <c r="AE202" s="441"/>
      <c r="AF202" s="441"/>
      <c r="AG202" s="441"/>
      <c r="AH202" s="441"/>
      <c r="AI202" s="441"/>
      <c r="AJ202" s="441"/>
      <c r="AK202" s="441"/>
      <c r="AL202" s="441"/>
      <c r="AM202" s="441"/>
      <c r="AN202" s="441"/>
      <c r="AO202" s="298"/>
    </row>
    <row r="203" spans="1:125" s="295" customFormat="1" ht="33" customHeight="1" thickBot="1">
      <c r="A203" s="675" t="s">
        <v>548</v>
      </c>
      <c r="B203" s="717"/>
      <c r="C203" s="682"/>
      <c r="D203" s="682"/>
      <c r="E203" s="682"/>
      <c r="F203" s="729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4"/>
    </row>
    <row r="204" spans="1:125" s="434" customFormat="1" ht="30" customHeight="1" thickBot="1">
      <c r="A204" s="626" t="s">
        <v>770</v>
      </c>
      <c r="B204" s="462"/>
      <c r="C204" s="452">
        <v>3000000</v>
      </c>
      <c r="D204" s="452">
        <v>3000000</v>
      </c>
      <c r="E204" s="452">
        <v>0</v>
      </c>
      <c r="F204" s="336">
        <v>0</v>
      </c>
      <c r="G204" s="432"/>
      <c r="H204" s="432"/>
      <c r="I204" s="432"/>
      <c r="J204" s="432"/>
      <c r="K204" s="432"/>
      <c r="L204" s="432"/>
      <c r="M204" s="432"/>
      <c r="N204" s="432"/>
      <c r="O204" s="432"/>
      <c r="P204" s="432"/>
      <c r="Q204" s="432"/>
      <c r="R204" s="432"/>
      <c r="S204" s="432"/>
      <c r="T204" s="432"/>
      <c r="U204" s="432"/>
      <c r="V204" s="432"/>
      <c r="W204" s="432"/>
      <c r="X204" s="432"/>
      <c r="Y204" s="432"/>
      <c r="Z204" s="432"/>
      <c r="AA204" s="432"/>
      <c r="AB204" s="432"/>
      <c r="AC204" s="432"/>
      <c r="AD204" s="432"/>
      <c r="AE204" s="432"/>
      <c r="AF204" s="432"/>
      <c r="AG204" s="432"/>
      <c r="AH204" s="432"/>
      <c r="AI204" s="432"/>
      <c r="AJ204" s="432"/>
      <c r="AK204" s="432"/>
      <c r="AL204" s="432"/>
      <c r="AM204" s="449"/>
      <c r="AN204" s="450"/>
      <c r="AO204" s="450"/>
      <c r="AP204" s="718"/>
      <c r="AQ204" s="432"/>
      <c r="AR204" s="432"/>
      <c r="AS204" s="432"/>
      <c r="AT204" s="432"/>
      <c r="AU204" s="432"/>
      <c r="AV204" s="432"/>
      <c r="AW204" s="432"/>
      <c r="AX204" s="432"/>
      <c r="AY204" s="432"/>
      <c r="AZ204" s="432"/>
      <c r="BA204" s="432"/>
      <c r="BB204" s="432"/>
      <c r="BC204" s="432"/>
      <c r="BD204" s="432"/>
      <c r="BE204" s="432"/>
      <c r="BF204" s="432"/>
      <c r="BG204" s="432"/>
      <c r="BH204" s="432"/>
      <c r="BI204" s="432"/>
      <c r="BJ204" s="432"/>
      <c r="BK204" s="432"/>
      <c r="BL204" s="432"/>
      <c r="BM204" s="432"/>
      <c r="BN204" s="432"/>
      <c r="BO204" s="432"/>
      <c r="BP204" s="432"/>
      <c r="BQ204" s="432"/>
      <c r="BR204" s="432"/>
      <c r="BS204" s="432"/>
      <c r="BT204" s="432"/>
      <c r="BU204" s="432"/>
      <c r="BV204" s="432"/>
      <c r="BW204" s="432"/>
      <c r="BX204" s="432"/>
      <c r="BY204" s="432"/>
      <c r="BZ204" s="432"/>
      <c r="CA204" s="432"/>
      <c r="CB204" s="432"/>
      <c r="CC204" s="432"/>
      <c r="CD204" s="432"/>
      <c r="CE204" s="432"/>
      <c r="CF204" s="432"/>
      <c r="CG204" s="432"/>
      <c r="CH204" s="432"/>
      <c r="CI204" s="432"/>
      <c r="CJ204" s="432"/>
      <c r="CK204" s="432"/>
      <c r="CL204" s="432"/>
      <c r="CM204" s="432"/>
      <c r="CN204" s="432"/>
      <c r="CO204" s="432"/>
      <c r="CP204" s="432"/>
      <c r="CQ204" s="432"/>
      <c r="CR204" s="432"/>
      <c r="CS204" s="432"/>
      <c r="CT204" s="432"/>
      <c r="CU204" s="432"/>
      <c r="CV204" s="432"/>
      <c r="CW204" s="432"/>
      <c r="CX204" s="432"/>
      <c r="CY204" s="432"/>
      <c r="CZ204" s="432"/>
      <c r="DA204" s="432"/>
      <c r="DB204" s="432"/>
      <c r="DC204" s="432"/>
      <c r="DD204" s="432"/>
      <c r="DE204" s="432"/>
      <c r="DF204" s="432"/>
      <c r="DG204" s="432"/>
      <c r="DH204" s="432"/>
      <c r="DI204" s="432"/>
      <c r="DJ204" s="432"/>
      <c r="DK204" s="432"/>
      <c r="DL204" s="432"/>
      <c r="DM204" s="432"/>
      <c r="DN204" s="432"/>
      <c r="DO204" s="432"/>
      <c r="DP204" s="432"/>
      <c r="DQ204" s="432"/>
      <c r="DR204" s="432"/>
      <c r="DS204" s="432"/>
      <c r="DT204" s="432"/>
      <c r="DU204" s="432"/>
    </row>
    <row r="205" spans="1:125" s="699" customFormat="1" ht="28.5" customHeight="1">
      <c r="A205" s="626" t="s">
        <v>495</v>
      </c>
      <c r="B205" s="694"/>
      <c r="C205" s="452">
        <v>16096000</v>
      </c>
      <c r="D205" s="452">
        <v>12001000</v>
      </c>
      <c r="E205" s="452">
        <f>198500+75060</f>
        <v>273560</v>
      </c>
      <c r="F205" s="336">
        <f>E205/D205</f>
        <v>2.2794767102741437E-2</v>
      </c>
      <c r="G205" s="426"/>
      <c r="H205" s="426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6"/>
      <c r="T205" s="426"/>
      <c r="U205" s="426"/>
      <c r="V205" s="426"/>
      <c r="W205" s="426"/>
      <c r="X205" s="426"/>
      <c r="Y205" s="426"/>
      <c r="Z205" s="426"/>
      <c r="AA205" s="426"/>
      <c r="AB205" s="426"/>
      <c r="AC205" s="426"/>
      <c r="AD205" s="426"/>
      <c r="AE205" s="426"/>
      <c r="AF205" s="426"/>
      <c r="AG205" s="426"/>
      <c r="AH205" s="426"/>
      <c r="AI205" s="426"/>
      <c r="AJ205" s="426"/>
      <c r="AK205" s="426"/>
      <c r="AL205" s="426"/>
      <c r="AM205" s="695"/>
      <c r="AN205" s="696"/>
      <c r="AO205" s="696"/>
      <c r="AP205" s="697"/>
      <c r="AQ205" s="426"/>
      <c r="AR205" s="426"/>
      <c r="AS205" s="426"/>
      <c r="AT205" s="426"/>
      <c r="AU205" s="426"/>
      <c r="AV205" s="426"/>
      <c r="AW205" s="426"/>
      <c r="AX205" s="698"/>
      <c r="AY205" s="698"/>
      <c r="AZ205" s="698"/>
      <c r="BA205" s="698"/>
      <c r="BB205" s="698"/>
      <c r="BC205" s="698"/>
      <c r="BD205" s="698"/>
      <c r="BE205" s="698"/>
      <c r="BF205" s="698"/>
      <c r="BG205" s="698"/>
      <c r="BH205" s="698"/>
      <c r="BI205" s="698"/>
      <c r="BJ205" s="698"/>
      <c r="BK205" s="698"/>
      <c r="BL205" s="698"/>
      <c r="BM205" s="698"/>
      <c r="BN205" s="698"/>
      <c r="BO205" s="698"/>
      <c r="BP205" s="698"/>
      <c r="BQ205" s="698"/>
      <c r="BR205" s="698"/>
      <c r="BS205" s="698"/>
      <c r="BT205" s="698"/>
      <c r="BU205" s="698"/>
      <c r="BV205" s="698"/>
      <c r="BW205" s="698"/>
      <c r="BX205" s="698"/>
      <c r="BY205" s="698"/>
      <c r="BZ205" s="698"/>
      <c r="CA205" s="698"/>
      <c r="CB205" s="698"/>
      <c r="CC205" s="698"/>
      <c r="CD205" s="698"/>
      <c r="CE205" s="698"/>
      <c r="CF205" s="698"/>
      <c r="CG205" s="698"/>
      <c r="CH205" s="698"/>
      <c r="CI205" s="698"/>
      <c r="CJ205" s="698"/>
      <c r="CK205" s="698"/>
      <c r="CL205" s="698"/>
      <c r="CM205" s="698"/>
      <c r="CN205" s="698"/>
      <c r="CO205" s="698"/>
      <c r="CP205" s="698"/>
      <c r="CQ205" s="698"/>
      <c r="CR205" s="698"/>
      <c r="CS205" s="698"/>
      <c r="CT205" s="698"/>
      <c r="CU205" s="698"/>
      <c r="CV205" s="698"/>
      <c r="CW205" s="698"/>
      <c r="CX205" s="698"/>
      <c r="CY205" s="698"/>
      <c r="CZ205" s="698"/>
      <c r="DA205" s="698"/>
      <c r="DB205" s="698"/>
      <c r="DC205" s="698"/>
      <c r="DD205" s="698"/>
      <c r="DE205" s="698"/>
      <c r="DF205" s="698"/>
      <c r="DG205" s="698"/>
      <c r="DH205" s="698"/>
      <c r="DI205" s="698"/>
      <c r="DJ205" s="698"/>
      <c r="DK205" s="698"/>
      <c r="DL205" s="698"/>
      <c r="DM205" s="698"/>
      <c r="DN205" s="698"/>
      <c r="DO205" s="698"/>
      <c r="DP205" s="698"/>
      <c r="DQ205" s="698"/>
      <c r="DR205" s="698"/>
      <c r="DS205" s="698"/>
      <c r="DT205" s="698"/>
      <c r="DU205" s="698"/>
    </row>
    <row r="206" spans="1:125" s="699" customFormat="1" ht="34.5" customHeight="1">
      <c r="A206" s="453" t="s">
        <v>777</v>
      </c>
      <c r="B206" s="325"/>
      <c r="C206" s="456"/>
      <c r="D206" s="456"/>
      <c r="E206" s="456"/>
      <c r="F206" s="338"/>
      <c r="G206" s="426"/>
      <c r="H206" s="426"/>
      <c r="I206" s="426"/>
      <c r="J206" s="426"/>
      <c r="K206" s="426"/>
      <c r="L206" s="426"/>
      <c r="M206" s="426"/>
      <c r="N206" s="426"/>
      <c r="O206" s="426"/>
      <c r="P206" s="426"/>
      <c r="Q206" s="426"/>
      <c r="R206" s="426"/>
      <c r="S206" s="426"/>
      <c r="T206" s="426"/>
      <c r="U206" s="426"/>
      <c r="V206" s="426"/>
      <c r="W206" s="426"/>
      <c r="X206" s="426"/>
      <c r="Y206" s="426"/>
      <c r="Z206" s="426"/>
      <c r="AA206" s="426"/>
      <c r="AB206" s="426"/>
      <c r="AC206" s="426"/>
      <c r="AD206" s="426"/>
      <c r="AE206" s="426"/>
      <c r="AF206" s="426"/>
      <c r="AG206" s="426"/>
      <c r="AH206" s="426"/>
      <c r="AI206" s="426"/>
      <c r="AJ206" s="426"/>
      <c r="AK206" s="426"/>
      <c r="AL206" s="426"/>
      <c r="AM206" s="695"/>
      <c r="AN206" s="696"/>
      <c r="AO206" s="696"/>
      <c r="AP206" s="697"/>
      <c r="AQ206" s="426"/>
      <c r="AR206" s="426"/>
      <c r="AS206" s="426"/>
      <c r="AT206" s="426"/>
      <c r="AU206" s="426"/>
      <c r="AV206" s="426"/>
      <c r="AW206" s="426"/>
      <c r="AX206" s="698"/>
      <c r="AY206" s="698"/>
      <c r="AZ206" s="698"/>
      <c r="BA206" s="698"/>
      <c r="BB206" s="698"/>
      <c r="BC206" s="698"/>
      <c r="BD206" s="698"/>
      <c r="BE206" s="698"/>
      <c r="BF206" s="698"/>
      <c r="BG206" s="698"/>
      <c r="BH206" s="698"/>
      <c r="BI206" s="698"/>
      <c r="BJ206" s="698"/>
      <c r="BK206" s="698"/>
      <c r="BL206" s="698"/>
      <c r="BM206" s="698"/>
      <c r="BN206" s="698"/>
      <c r="BO206" s="698"/>
      <c r="BP206" s="698"/>
      <c r="BQ206" s="698"/>
      <c r="BR206" s="698"/>
      <c r="BS206" s="698"/>
      <c r="BT206" s="698"/>
      <c r="BU206" s="698"/>
      <c r="BV206" s="698"/>
      <c r="BW206" s="698"/>
      <c r="BX206" s="698"/>
      <c r="BY206" s="698"/>
      <c r="BZ206" s="698"/>
      <c r="CA206" s="698"/>
      <c r="CB206" s="698"/>
      <c r="CC206" s="698"/>
      <c r="CD206" s="698"/>
      <c r="CE206" s="698"/>
      <c r="CF206" s="698"/>
      <c r="CG206" s="698"/>
      <c r="CH206" s="698"/>
      <c r="CI206" s="698"/>
      <c r="CJ206" s="698"/>
      <c r="CK206" s="698"/>
      <c r="CL206" s="698"/>
      <c r="CM206" s="698"/>
      <c r="CN206" s="698"/>
      <c r="CO206" s="698"/>
      <c r="CP206" s="698"/>
      <c r="CQ206" s="698"/>
      <c r="CR206" s="698"/>
      <c r="CS206" s="698"/>
      <c r="CT206" s="698"/>
      <c r="CU206" s="698"/>
      <c r="CV206" s="698"/>
      <c r="CW206" s="698"/>
      <c r="CX206" s="698"/>
      <c r="CY206" s="698"/>
      <c r="CZ206" s="698"/>
      <c r="DA206" s="698"/>
      <c r="DB206" s="698"/>
      <c r="DC206" s="698"/>
      <c r="DD206" s="698"/>
      <c r="DE206" s="698"/>
      <c r="DF206" s="698"/>
      <c r="DG206" s="698"/>
      <c r="DH206" s="698"/>
      <c r="DI206" s="698"/>
      <c r="DJ206" s="698"/>
      <c r="DK206" s="698"/>
      <c r="DL206" s="698"/>
      <c r="DM206" s="698"/>
      <c r="DN206" s="698"/>
      <c r="DO206" s="698"/>
      <c r="DP206" s="698"/>
      <c r="DQ206" s="698"/>
      <c r="DR206" s="698"/>
      <c r="DS206" s="698"/>
      <c r="DT206" s="698"/>
      <c r="DU206" s="698"/>
    </row>
    <row r="207" spans="1:125" s="699" customFormat="1" ht="34.5" customHeight="1">
      <c r="A207" s="453" t="s">
        <v>840</v>
      </c>
      <c r="B207" s="325">
        <v>198500</v>
      </c>
      <c r="C207" s="456"/>
      <c r="D207" s="456"/>
      <c r="E207" s="456"/>
      <c r="F207" s="338"/>
      <c r="G207" s="426"/>
      <c r="H207" s="426"/>
      <c r="I207" s="426"/>
      <c r="J207" s="426"/>
      <c r="K207" s="426"/>
      <c r="L207" s="426"/>
      <c r="M207" s="426"/>
      <c r="N207" s="426"/>
      <c r="O207" s="426"/>
      <c r="P207" s="426"/>
      <c r="Q207" s="426"/>
      <c r="R207" s="426"/>
      <c r="S207" s="426"/>
      <c r="T207" s="426"/>
      <c r="U207" s="426"/>
      <c r="V207" s="426"/>
      <c r="W207" s="426"/>
      <c r="X207" s="426"/>
      <c r="Y207" s="426"/>
      <c r="Z207" s="426"/>
      <c r="AA207" s="426"/>
      <c r="AB207" s="426"/>
      <c r="AC207" s="426"/>
      <c r="AD207" s="426"/>
      <c r="AE207" s="426"/>
      <c r="AF207" s="426"/>
      <c r="AG207" s="426"/>
      <c r="AH207" s="426"/>
      <c r="AI207" s="426"/>
      <c r="AJ207" s="426"/>
      <c r="AK207" s="426"/>
      <c r="AL207" s="426"/>
      <c r="AM207" s="695"/>
      <c r="AN207" s="696"/>
      <c r="AO207" s="696"/>
      <c r="AP207" s="697"/>
      <c r="AQ207" s="426"/>
      <c r="AR207" s="426"/>
      <c r="AS207" s="426"/>
      <c r="AT207" s="426"/>
      <c r="AU207" s="426"/>
      <c r="AV207" s="426"/>
      <c r="AW207" s="426"/>
      <c r="AX207" s="698"/>
      <c r="AY207" s="698"/>
      <c r="AZ207" s="698"/>
      <c r="BA207" s="698"/>
      <c r="BB207" s="698"/>
      <c r="BC207" s="698"/>
      <c r="BD207" s="698"/>
      <c r="BE207" s="698"/>
      <c r="BF207" s="698"/>
      <c r="BG207" s="698"/>
      <c r="BH207" s="698"/>
      <c r="BI207" s="698"/>
      <c r="BJ207" s="698"/>
      <c r="BK207" s="698"/>
      <c r="BL207" s="698"/>
      <c r="BM207" s="698"/>
      <c r="BN207" s="698"/>
      <c r="BO207" s="698"/>
      <c r="BP207" s="698"/>
      <c r="BQ207" s="698"/>
      <c r="BR207" s="698"/>
      <c r="BS207" s="698"/>
      <c r="BT207" s="698"/>
      <c r="BU207" s="698"/>
      <c r="BV207" s="698"/>
      <c r="BW207" s="698"/>
      <c r="BX207" s="698"/>
      <c r="BY207" s="698"/>
      <c r="BZ207" s="698"/>
      <c r="CA207" s="698"/>
      <c r="CB207" s="698"/>
      <c r="CC207" s="698"/>
      <c r="CD207" s="698"/>
      <c r="CE207" s="698"/>
      <c r="CF207" s="698"/>
      <c r="CG207" s="698"/>
      <c r="CH207" s="698"/>
      <c r="CI207" s="698"/>
      <c r="CJ207" s="698"/>
      <c r="CK207" s="698"/>
      <c r="CL207" s="698"/>
      <c r="CM207" s="698"/>
      <c r="CN207" s="698"/>
      <c r="CO207" s="698"/>
      <c r="CP207" s="698"/>
      <c r="CQ207" s="698"/>
      <c r="CR207" s="698"/>
      <c r="CS207" s="698"/>
      <c r="CT207" s="698"/>
      <c r="CU207" s="698"/>
      <c r="CV207" s="698"/>
      <c r="CW207" s="698"/>
      <c r="CX207" s="698"/>
      <c r="CY207" s="698"/>
      <c r="CZ207" s="698"/>
      <c r="DA207" s="698"/>
      <c r="DB207" s="698"/>
      <c r="DC207" s="698"/>
      <c r="DD207" s="698"/>
      <c r="DE207" s="698"/>
      <c r="DF207" s="698"/>
      <c r="DG207" s="698"/>
      <c r="DH207" s="698"/>
      <c r="DI207" s="698"/>
      <c r="DJ207" s="698"/>
      <c r="DK207" s="698"/>
      <c r="DL207" s="698"/>
      <c r="DM207" s="698"/>
      <c r="DN207" s="698"/>
      <c r="DO207" s="698"/>
      <c r="DP207" s="698"/>
      <c r="DQ207" s="698"/>
      <c r="DR207" s="698"/>
      <c r="DS207" s="698"/>
      <c r="DT207" s="698"/>
      <c r="DU207" s="698"/>
    </row>
    <row r="208" spans="1:125" s="699" customFormat="1" ht="34.5" customHeight="1">
      <c r="A208" s="453" t="s">
        <v>779</v>
      </c>
      <c r="B208" s="325"/>
      <c r="C208" s="456"/>
      <c r="D208" s="456"/>
      <c r="E208" s="456"/>
      <c r="F208" s="338"/>
      <c r="G208" s="426"/>
      <c r="H208" s="426"/>
      <c r="I208" s="426"/>
      <c r="J208" s="426"/>
      <c r="K208" s="426"/>
      <c r="L208" s="426"/>
      <c r="M208" s="426"/>
      <c r="N208" s="426"/>
      <c r="O208" s="426"/>
      <c r="P208" s="426"/>
      <c r="Q208" s="426"/>
      <c r="R208" s="426"/>
      <c r="S208" s="426"/>
      <c r="T208" s="426"/>
      <c r="U208" s="426"/>
      <c r="V208" s="426"/>
      <c r="W208" s="426"/>
      <c r="X208" s="426"/>
      <c r="Y208" s="426"/>
      <c r="Z208" s="426"/>
      <c r="AA208" s="426"/>
      <c r="AB208" s="426"/>
      <c r="AC208" s="426"/>
      <c r="AD208" s="426"/>
      <c r="AE208" s="426"/>
      <c r="AF208" s="426"/>
      <c r="AG208" s="426"/>
      <c r="AH208" s="426"/>
      <c r="AI208" s="426"/>
      <c r="AJ208" s="426"/>
      <c r="AK208" s="426"/>
      <c r="AL208" s="426"/>
      <c r="AM208" s="695"/>
      <c r="AN208" s="696"/>
      <c r="AO208" s="696"/>
      <c r="AP208" s="697"/>
      <c r="AQ208" s="300"/>
      <c r="AR208" s="426"/>
      <c r="AS208" s="426"/>
      <c r="AT208" s="426"/>
      <c r="AU208" s="426"/>
      <c r="AV208" s="426"/>
      <c r="AW208" s="426"/>
      <c r="AX208" s="698"/>
      <c r="AY208" s="698"/>
      <c r="AZ208" s="698"/>
      <c r="BA208" s="698"/>
      <c r="BB208" s="698"/>
      <c r="BC208" s="698"/>
      <c r="BD208" s="698"/>
      <c r="BE208" s="698"/>
      <c r="BF208" s="698"/>
      <c r="BG208" s="698"/>
      <c r="BH208" s="698"/>
      <c r="BI208" s="698"/>
      <c r="BJ208" s="698"/>
      <c r="BK208" s="698"/>
      <c r="BL208" s="698"/>
      <c r="BM208" s="698"/>
      <c r="BN208" s="698"/>
      <c r="BO208" s="698"/>
      <c r="BP208" s="698"/>
      <c r="BQ208" s="698"/>
      <c r="BR208" s="698"/>
      <c r="BS208" s="698"/>
      <c r="BT208" s="698"/>
      <c r="BU208" s="698"/>
      <c r="BV208" s="698"/>
      <c r="BW208" s="698"/>
      <c r="BX208" s="698"/>
      <c r="BY208" s="698"/>
      <c r="BZ208" s="698"/>
      <c r="CA208" s="698"/>
      <c r="CB208" s="698"/>
      <c r="CC208" s="698"/>
      <c r="CD208" s="698"/>
      <c r="CE208" s="698"/>
      <c r="CF208" s="698"/>
      <c r="CG208" s="698"/>
      <c r="CH208" s="698"/>
      <c r="CI208" s="698"/>
      <c r="CJ208" s="698"/>
      <c r="CK208" s="698"/>
      <c r="CL208" s="698"/>
      <c r="CM208" s="698"/>
      <c r="CN208" s="698"/>
      <c r="CO208" s="698"/>
      <c r="CP208" s="698"/>
      <c r="CQ208" s="698"/>
      <c r="CR208" s="698"/>
      <c r="CS208" s="698"/>
      <c r="CT208" s="698"/>
      <c r="CU208" s="698"/>
      <c r="CV208" s="698"/>
      <c r="CW208" s="698"/>
      <c r="CX208" s="698"/>
      <c r="CY208" s="698"/>
      <c r="CZ208" s="698"/>
      <c r="DA208" s="698"/>
      <c r="DB208" s="698"/>
      <c r="DC208" s="698"/>
      <c r="DD208" s="698"/>
      <c r="DE208" s="698"/>
      <c r="DF208" s="698"/>
      <c r="DG208" s="698"/>
      <c r="DH208" s="698"/>
      <c r="DI208" s="698"/>
      <c r="DJ208" s="698"/>
      <c r="DK208" s="698"/>
      <c r="DL208" s="698"/>
      <c r="DM208" s="698"/>
      <c r="DN208" s="698"/>
      <c r="DO208" s="698"/>
      <c r="DP208" s="698"/>
      <c r="DQ208" s="698"/>
      <c r="DR208" s="698"/>
      <c r="DS208" s="698"/>
      <c r="DT208" s="698"/>
      <c r="DU208" s="698"/>
    </row>
    <row r="209" spans="1:125" s="699" customFormat="1" ht="31.5" customHeight="1">
      <c r="A209" s="453" t="s">
        <v>784</v>
      </c>
      <c r="B209" s="325"/>
      <c r="C209" s="456"/>
      <c r="D209" s="455"/>
      <c r="E209" s="455"/>
      <c r="F209" s="339"/>
      <c r="G209" s="426"/>
      <c r="H209" s="426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426"/>
      <c r="T209" s="426"/>
      <c r="U209" s="426"/>
      <c r="V209" s="426"/>
      <c r="W209" s="426"/>
      <c r="X209" s="426"/>
      <c r="Y209" s="426"/>
      <c r="Z209" s="426"/>
      <c r="AA209" s="426"/>
      <c r="AB209" s="426"/>
      <c r="AC209" s="426"/>
      <c r="AD209" s="426"/>
      <c r="AE209" s="426"/>
      <c r="AF209" s="426"/>
      <c r="AG209" s="426"/>
      <c r="AH209" s="426"/>
      <c r="AI209" s="426"/>
      <c r="AJ209" s="426"/>
      <c r="AK209" s="426"/>
      <c r="AL209" s="426"/>
      <c r="AM209" s="426"/>
      <c r="AN209" s="426"/>
      <c r="AO209" s="426"/>
      <c r="AP209" s="426"/>
      <c r="AQ209" s="426"/>
      <c r="AR209" s="426"/>
      <c r="AS209" s="426"/>
      <c r="AT209" s="426"/>
      <c r="AU209" s="426"/>
      <c r="AV209" s="426"/>
      <c r="AW209" s="426"/>
      <c r="AX209" s="426"/>
      <c r="AY209" s="426"/>
      <c r="AZ209" s="426"/>
      <c r="BA209" s="426"/>
      <c r="BB209" s="426"/>
      <c r="BC209" s="426"/>
      <c r="BD209" s="426"/>
      <c r="BE209" s="426"/>
      <c r="BF209" s="426"/>
      <c r="BG209" s="426"/>
      <c r="BH209" s="426"/>
      <c r="BI209" s="426"/>
      <c r="BJ209" s="426"/>
      <c r="BK209" s="426"/>
      <c r="BL209" s="426"/>
      <c r="BM209" s="698"/>
      <c r="BN209" s="698"/>
      <c r="BO209" s="698"/>
      <c r="BP209" s="698"/>
      <c r="BQ209" s="698"/>
      <c r="BR209" s="698"/>
      <c r="BS209" s="698"/>
      <c r="BT209" s="698"/>
      <c r="BU209" s="698"/>
    </row>
    <row r="210" spans="1:125" s="699" customFormat="1" ht="31.5" customHeight="1">
      <c r="A210" s="453" t="s">
        <v>785</v>
      </c>
      <c r="B210" s="325"/>
      <c r="C210" s="456"/>
      <c r="D210" s="455"/>
      <c r="E210" s="455"/>
      <c r="F210" s="339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  <c r="U210" s="426"/>
      <c r="V210" s="426"/>
      <c r="W210" s="426"/>
      <c r="X210" s="426"/>
      <c r="Y210" s="426"/>
      <c r="Z210" s="426"/>
      <c r="AA210" s="426"/>
      <c r="AB210" s="426"/>
      <c r="AC210" s="426"/>
      <c r="AD210" s="426"/>
      <c r="AE210" s="426"/>
      <c r="AF210" s="426"/>
      <c r="AG210" s="426"/>
      <c r="AH210" s="426"/>
      <c r="AI210" s="426"/>
      <c r="AJ210" s="426"/>
      <c r="AK210" s="426"/>
      <c r="AL210" s="426"/>
      <c r="AM210" s="426"/>
      <c r="AN210" s="426"/>
      <c r="AO210" s="426"/>
      <c r="AP210" s="426"/>
      <c r="AQ210" s="426"/>
      <c r="AR210" s="426"/>
      <c r="AS210" s="426"/>
      <c r="AT210" s="426"/>
      <c r="AU210" s="426"/>
      <c r="AV210" s="426"/>
      <c r="AW210" s="426"/>
      <c r="AX210" s="426"/>
      <c r="AY210" s="426"/>
      <c r="AZ210" s="426"/>
      <c r="BA210" s="426"/>
      <c r="BB210" s="426"/>
      <c r="BC210" s="426"/>
      <c r="BD210" s="426"/>
      <c r="BE210" s="426"/>
      <c r="BF210" s="426"/>
      <c r="BG210" s="426"/>
      <c r="BH210" s="426"/>
      <c r="BI210" s="426"/>
      <c r="BJ210" s="426"/>
      <c r="BK210" s="426"/>
      <c r="BL210" s="426"/>
      <c r="BM210" s="698"/>
      <c r="BN210" s="698"/>
      <c r="BO210" s="698"/>
      <c r="BP210" s="698"/>
      <c r="BQ210" s="698"/>
      <c r="BR210" s="698"/>
      <c r="BS210" s="698"/>
      <c r="BT210" s="698"/>
      <c r="BU210" s="698"/>
    </row>
    <row r="211" spans="1:125" s="699" customFormat="1" ht="32.25" customHeight="1" thickBot="1">
      <c r="A211" s="453" t="s">
        <v>848</v>
      </c>
      <c r="B211" s="325">
        <v>75060</v>
      </c>
      <c r="C211" s="456"/>
      <c r="D211" s="455"/>
      <c r="E211" s="455"/>
      <c r="F211" s="339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  <c r="AD211" s="426"/>
      <c r="AE211" s="426"/>
      <c r="AF211" s="426"/>
      <c r="AG211" s="426"/>
      <c r="AH211" s="426"/>
      <c r="AI211" s="426"/>
      <c r="AJ211" s="426"/>
      <c r="AK211" s="426"/>
      <c r="AL211" s="426"/>
      <c r="AM211" s="426"/>
      <c r="AN211" s="426"/>
      <c r="AO211" s="426"/>
      <c r="AP211" s="426"/>
      <c r="AQ211" s="426"/>
      <c r="AR211" s="426"/>
      <c r="AS211" s="426"/>
      <c r="AT211" s="426"/>
      <c r="AU211" s="426"/>
      <c r="AV211" s="426"/>
      <c r="AW211" s="426"/>
      <c r="AX211" s="426"/>
      <c r="AY211" s="426"/>
      <c r="AZ211" s="426"/>
      <c r="BA211" s="426"/>
      <c r="BB211" s="426"/>
      <c r="BC211" s="426"/>
      <c r="BD211" s="426"/>
      <c r="BE211" s="426"/>
      <c r="BF211" s="426"/>
      <c r="BG211" s="426"/>
      <c r="BH211" s="426"/>
      <c r="BI211" s="426"/>
      <c r="BJ211" s="426"/>
      <c r="BK211" s="426"/>
      <c r="BL211" s="426"/>
      <c r="BM211" s="698"/>
      <c r="BN211" s="698"/>
      <c r="BO211" s="698"/>
      <c r="BP211" s="698"/>
      <c r="BQ211" s="698"/>
      <c r="BR211" s="698"/>
      <c r="BS211" s="698"/>
      <c r="BT211" s="698"/>
      <c r="BU211" s="698"/>
    </row>
    <row r="212" spans="1:125" s="466" customFormat="1" ht="55.5" customHeight="1" thickBot="1">
      <c r="A212" s="887" t="s">
        <v>790</v>
      </c>
      <c r="B212" s="888"/>
      <c r="C212" s="467"/>
      <c r="D212" s="467"/>
      <c r="E212" s="467">
        <v>2378553</v>
      </c>
      <c r="F212" s="336">
        <v>0</v>
      </c>
      <c r="G212" s="444"/>
      <c r="H212" s="444"/>
      <c r="I212" s="444"/>
      <c r="J212" s="444"/>
      <c r="K212" s="444"/>
      <c r="L212" s="444"/>
      <c r="M212" s="444"/>
      <c r="N212" s="444"/>
      <c r="O212" s="444"/>
      <c r="P212" s="444"/>
      <c r="Q212" s="444"/>
      <c r="R212" s="444"/>
      <c r="S212" s="444"/>
      <c r="T212" s="444"/>
      <c r="U212" s="444"/>
      <c r="V212" s="444"/>
      <c r="W212" s="444"/>
      <c r="X212" s="444"/>
      <c r="Y212" s="444"/>
      <c r="Z212" s="444"/>
      <c r="AA212" s="444"/>
      <c r="AB212" s="444"/>
      <c r="AC212" s="444"/>
      <c r="AD212" s="444"/>
      <c r="AE212" s="444"/>
      <c r="AF212" s="444"/>
      <c r="AG212" s="444"/>
      <c r="AH212" s="444"/>
      <c r="AI212" s="444"/>
      <c r="AJ212" s="444"/>
      <c r="AK212" s="444"/>
      <c r="AL212" s="444"/>
      <c r="AM212" s="465"/>
      <c r="AP212" s="721"/>
      <c r="AQ212" s="444"/>
      <c r="AR212" s="444"/>
      <c r="AS212" s="444"/>
      <c r="AT212" s="444"/>
      <c r="AU212" s="444"/>
      <c r="AV212" s="444"/>
      <c r="AW212" s="444"/>
      <c r="AX212" s="444"/>
      <c r="AY212" s="444"/>
      <c r="AZ212" s="444"/>
      <c r="BA212" s="444"/>
      <c r="BB212" s="444"/>
      <c r="BC212" s="444"/>
      <c r="BD212" s="444"/>
      <c r="BE212" s="444"/>
      <c r="BF212" s="444"/>
      <c r="BG212" s="444"/>
      <c r="BH212" s="444"/>
      <c r="BI212" s="444"/>
      <c r="BJ212" s="444"/>
      <c r="BK212" s="444"/>
      <c r="BL212" s="444"/>
      <c r="BM212" s="444"/>
      <c r="BN212" s="444"/>
      <c r="BO212" s="444"/>
      <c r="BP212" s="444"/>
      <c r="BQ212" s="444"/>
      <c r="BR212" s="444"/>
      <c r="BS212" s="444"/>
      <c r="BT212" s="444"/>
      <c r="BU212" s="444"/>
      <c r="BV212" s="444"/>
      <c r="BW212" s="444"/>
      <c r="BX212" s="444"/>
      <c r="BY212" s="444"/>
      <c r="BZ212" s="444"/>
      <c r="CA212" s="444"/>
      <c r="CB212" s="444"/>
      <c r="CC212" s="444"/>
      <c r="CD212" s="444"/>
      <c r="CE212" s="444"/>
      <c r="CF212" s="444"/>
      <c r="CG212" s="444"/>
      <c r="CH212" s="444"/>
      <c r="CI212" s="444"/>
      <c r="CJ212" s="444"/>
      <c r="CK212" s="444"/>
      <c r="CL212" s="444"/>
      <c r="CM212" s="444"/>
      <c r="CN212" s="444"/>
      <c r="CO212" s="444"/>
      <c r="CP212" s="444"/>
      <c r="CQ212" s="444"/>
      <c r="CR212" s="444"/>
      <c r="CS212" s="444"/>
      <c r="CT212" s="444"/>
      <c r="CU212" s="444"/>
      <c r="CV212" s="444"/>
      <c r="CW212" s="444"/>
      <c r="CX212" s="444"/>
      <c r="CY212" s="444"/>
      <c r="CZ212" s="444"/>
      <c r="DA212" s="444"/>
      <c r="DB212" s="444"/>
      <c r="DC212" s="444"/>
      <c r="DD212" s="444"/>
      <c r="DE212" s="444"/>
      <c r="DF212" s="444"/>
      <c r="DG212" s="444"/>
      <c r="DH212" s="444"/>
      <c r="DI212" s="444"/>
      <c r="DJ212" s="444"/>
      <c r="DK212" s="444"/>
      <c r="DL212" s="444"/>
      <c r="DM212" s="444"/>
      <c r="DN212" s="444"/>
      <c r="DO212" s="444"/>
      <c r="DP212" s="444"/>
      <c r="DQ212" s="444"/>
      <c r="DR212" s="444"/>
      <c r="DS212" s="444"/>
      <c r="DT212" s="444"/>
      <c r="DU212" s="444"/>
    </row>
    <row r="213" spans="1:125" s="466" customFormat="1" ht="53.25" customHeight="1" thickBot="1">
      <c r="A213" s="885" t="s">
        <v>789</v>
      </c>
      <c r="B213" s="886"/>
      <c r="C213" s="467">
        <v>32942000</v>
      </c>
      <c r="D213" s="467">
        <f>SUM(B214:B215)</f>
        <v>30189067</v>
      </c>
      <c r="E213" s="467">
        <v>29542910</v>
      </c>
      <c r="F213" s="336">
        <f>E213/D213</f>
        <v>0.97859632429183718</v>
      </c>
      <c r="G213" s="444"/>
      <c r="H213" s="444"/>
      <c r="I213" s="444"/>
      <c r="J213" s="444"/>
      <c r="K213" s="444"/>
      <c r="L213" s="444"/>
      <c r="M213" s="444"/>
      <c r="N213" s="444"/>
      <c r="O213" s="444"/>
      <c r="P213" s="444"/>
      <c r="Q213" s="444"/>
      <c r="R213" s="444"/>
      <c r="S213" s="444"/>
      <c r="T213" s="444"/>
      <c r="U213" s="444"/>
      <c r="V213" s="444"/>
      <c r="W213" s="444"/>
      <c r="X213" s="444"/>
      <c r="Y213" s="444"/>
      <c r="Z213" s="444"/>
      <c r="AA213" s="444"/>
      <c r="AB213" s="444"/>
      <c r="AC213" s="444"/>
      <c r="AD213" s="444"/>
      <c r="AE213" s="444"/>
      <c r="AF213" s="444"/>
      <c r="AG213" s="444"/>
      <c r="AH213" s="444"/>
      <c r="AI213" s="444"/>
      <c r="AJ213" s="444"/>
      <c r="AK213" s="444"/>
      <c r="AL213" s="444"/>
      <c r="AM213" s="701"/>
      <c r="AN213" s="702"/>
      <c r="AO213" s="702"/>
      <c r="AP213" s="703"/>
      <c r="AQ213" s="444"/>
      <c r="AR213" s="444"/>
      <c r="AS213" s="444"/>
      <c r="AT213" s="444"/>
      <c r="AU213" s="444"/>
      <c r="AV213" s="444"/>
      <c r="AW213" s="444"/>
      <c r="AX213" s="444"/>
      <c r="AY213" s="444"/>
      <c r="AZ213" s="444"/>
      <c r="BA213" s="444"/>
      <c r="BB213" s="444"/>
      <c r="BC213" s="444"/>
      <c r="BD213" s="444"/>
      <c r="BE213" s="444"/>
      <c r="BF213" s="444"/>
      <c r="BG213" s="444"/>
      <c r="BH213" s="444"/>
      <c r="BI213" s="444"/>
      <c r="BJ213" s="444"/>
      <c r="BK213" s="444"/>
      <c r="BL213" s="444"/>
      <c r="BM213" s="444"/>
      <c r="BN213" s="444"/>
      <c r="BO213" s="444"/>
      <c r="BP213" s="444"/>
      <c r="BQ213" s="444"/>
      <c r="BR213" s="444"/>
      <c r="BS213" s="444"/>
      <c r="BT213" s="444"/>
      <c r="BU213" s="444"/>
      <c r="BV213" s="444"/>
      <c r="BW213" s="444"/>
      <c r="BX213" s="444"/>
      <c r="BY213" s="444"/>
      <c r="BZ213" s="444"/>
      <c r="CA213" s="444"/>
      <c r="CB213" s="444"/>
      <c r="CC213" s="444"/>
      <c r="CD213" s="444"/>
      <c r="CE213" s="444"/>
      <c r="CF213" s="444"/>
      <c r="CG213" s="444"/>
      <c r="CH213" s="444"/>
      <c r="CI213" s="444"/>
      <c r="CJ213" s="444"/>
      <c r="CK213" s="444"/>
      <c r="CL213" s="444"/>
      <c r="CM213" s="444"/>
      <c r="CN213" s="444"/>
      <c r="CO213" s="444"/>
      <c r="CP213" s="444"/>
      <c r="CQ213" s="444"/>
      <c r="CR213" s="444"/>
      <c r="CS213" s="444"/>
      <c r="CT213" s="444"/>
      <c r="CU213" s="444"/>
      <c r="CV213" s="444"/>
      <c r="CW213" s="444"/>
      <c r="CX213" s="444"/>
      <c r="CY213" s="444"/>
      <c r="CZ213" s="444"/>
      <c r="DA213" s="444"/>
      <c r="DB213" s="444"/>
      <c r="DC213" s="444"/>
      <c r="DD213" s="444"/>
      <c r="DE213" s="444"/>
      <c r="DF213" s="444"/>
      <c r="DG213" s="444"/>
      <c r="DH213" s="444"/>
      <c r="DI213" s="444"/>
      <c r="DJ213" s="444"/>
      <c r="DK213" s="444"/>
      <c r="DL213" s="444"/>
      <c r="DM213" s="444"/>
      <c r="DN213" s="444"/>
      <c r="DO213" s="444"/>
      <c r="DP213" s="444"/>
      <c r="DQ213" s="444"/>
      <c r="DR213" s="444"/>
      <c r="DS213" s="444"/>
      <c r="DT213" s="444"/>
      <c r="DU213" s="444"/>
    </row>
    <row r="214" spans="1:125" s="434" customFormat="1" ht="27" customHeight="1" thickBot="1">
      <c r="A214" s="453" t="s">
        <v>496</v>
      </c>
      <c r="B214" s="457">
        <f>28000000-1-2752932</f>
        <v>25247067</v>
      </c>
      <c r="C214" s="452"/>
      <c r="D214" s="452"/>
      <c r="E214" s="452"/>
      <c r="F214" s="336"/>
      <c r="G214" s="432"/>
      <c r="H214" s="432"/>
      <c r="I214" s="432"/>
      <c r="J214" s="432"/>
      <c r="K214" s="432"/>
      <c r="L214" s="432"/>
      <c r="M214" s="432"/>
      <c r="N214" s="432"/>
      <c r="O214" s="432"/>
      <c r="P214" s="432"/>
      <c r="Q214" s="432"/>
      <c r="R214" s="432"/>
      <c r="S214" s="432"/>
      <c r="T214" s="432"/>
      <c r="U214" s="432"/>
      <c r="V214" s="432"/>
      <c r="W214" s="432"/>
      <c r="X214" s="432"/>
      <c r="Y214" s="432"/>
      <c r="Z214" s="432"/>
      <c r="AA214" s="432"/>
      <c r="AB214" s="432"/>
      <c r="AC214" s="432"/>
      <c r="AD214" s="432"/>
      <c r="AE214" s="432"/>
      <c r="AF214" s="432"/>
      <c r="AG214" s="432"/>
      <c r="AH214" s="432"/>
      <c r="AI214" s="432"/>
      <c r="AJ214" s="432"/>
      <c r="AK214" s="432"/>
      <c r="AL214" s="432"/>
      <c r="AM214" s="704"/>
      <c r="AN214" s="705"/>
      <c r="AO214" s="705"/>
      <c r="AP214" s="706"/>
      <c r="AQ214" s="432"/>
      <c r="AR214" s="432"/>
      <c r="AS214" s="432"/>
      <c r="AT214" s="432"/>
      <c r="AU214" s="432"/>
      <c r="AV214" s="432"/>
      <c r="AW214" s="432"/>
      <c r="AX214" s="432"/>
      <c r="AY214" s="432"/>
      <c r="AZ214" s="432"/>
      <c r="BA214" s="432"/>
      <c r="BB214" s="432"/>
      <c r="BC214" s="432"/>
      <c r="BD214" s="432"/>
      <c r="BE214" s="432"/>
      <c r="BF214" s="432"/>
      <c r="BG214" s="432"/>
      <c r="BH214" s="432"/>
      <c r="BI214" s="432"/>
      <c r="BJ214" s="432"/>
      <c r="BK214" s="432"/>
      <c r="BL214" s="432"/>
      <c r="BM214" s="432"/>
      <c r="BN214" s="432"/>
      <c r="BO214" s="432"/>
      <c r="BP214" s="432"/>
      <c r="BQ214" s="432"/>
      <c r="BR214" s="432"/>
      <c r="BS214" s="432"/>
      <c r="BT214" s="432"/>
      <c r="BU214" s="432"/>
      <c r="BV214" s="432"/>
      <c r="BW214" s="432"/>
      <c r="BX214" s="432"/>
      <c r="BY214" s="432"/>
      <c r="BZ214" s="432"/>
      <c r="CA214" s="432"/>
      <c r="CB214" s="432"/>
      <c r="CC214" s="432"/>
      <c r="CD214" s="432"/>
      <c r="CE214" s="432"/>
      <c r="CF214" s="432"/>
      <c r="CG214" s="432"/>
      <c r="CH214" s="432"/>
      <c r="CI214" s="432"/>
      <c r="CJ214" s="432"/>
      <c r="CK214" s="432"/>
      <c r="CL214" s="432"/>
      <c r="CM214" s="432"/>
      <c r="CN214" s="432"/>
      <c r="CO214" s="432"/>
      <c r="CP214" s="432"/>
      <c r="CQ214" s="432"/>
      <c r="CR214" s="432"/>
      <c r="CS214" s="432"/>
      <c r="CT214" s="432"/>
      <c r="CU214" s="432"/>
      <c r="CV214" s="432"/>
      <c r="CW214" s="432"/>
      <c r="CX214" s="432"/>
      <c r="CY214" s="432"/>
      <c r="CZ214" s="432"/>
      <c r="DA214" s="432"/>
      <c r="DB214" s="432"/>
      <c r="DC214" s="432"/>
      <c r="DD214" s="432"/>
      <c r="DE214" s="432"/>
      <c r="DF214" s="432"/>
      <c r="DG214" s="432"/>
      <c r="DH214" s="432"/>
      <c r="DI214" s="432"/>
      <c r="DJ214" s="432"/>
      <c r="DK214" s="432"/>
      <c r="DL214" s="432"/>
      <c r="DM214" s="432"/>
      <c r="DN214" s="432"/>
      <c r="DO214" s="432"/>
      <c r="DP214" s="432"/>
      <c r="DQ214" s="432"/>
      <c r="DR214" s="432"/>
      <c r="DS214" s="432"/>
      <c r="DT214" s="432"/>
      <c r="DU214" s="432"/>
    </row>
    <row r="215" spans="1:125" s="434" customFormat="1" ht="27" customHeight="1" thickBot="1">
      <c r="A215" s="453" t="s">
        <v>497</v>
      </c>
      <c r="B215" s="457">
        <f>4942000-4942000+4942000</f>
        <v>4942000</v>
      </c>
      <c r="C215" s="452"/>
      <c r="D215" s="452"/>
      <c r="E215" s="452"/>
      <c r="F215" s="336"/>
      <c r="G215" s="432"/>
      <c r="H215" s="432"/>
      <c r="I215" s="432"/>
      <c r="J215" s="432"/>
      <c r="K215" s="432"/>
      <c r="L215" s="432"/>
      <c r="M215" s="432"/>
      <c r="N215" s="432"/>
      <c r="O215" s="432"/>
      <c r="P215" s="432"/>
      <c r="Q215" s="432"/>
      <c r="R215" s="432"/>
      <c r="S215" s="432"/>
      <c r="T215" s="432"/>
      <c r="U215" s="432"/>
      <c r="V215" s="432"/>
      <c r="W215" s="432"/>
      <c r="X215" s="432"/>
      <c r="Y215" s="432"/>
      <c r="Z215" s="432"/>
      <c r="AA215" s="432"/>
      <c r="AB215" s="432"/>
      <c r="AC215" s="432"/>
      <c r="AD215" s="432"/>
      <c r="AE215" s="432"/>
      <c r="AF215" s="432"/>
      <c r="AG215" s="432"/>
      <c r="AH215" s="432"/>
      <c r="AI215" s="432"/>
      <c r="AJ215" s="432"/>
      <c r="AK215" s="432"/>
      <c r="AL215" s="432"/>
      <c r="AM215" s="704"/>
      <c r="AN215" s="705"/>
      <c r="AO215" s="705"/>
      <c r="AP215" s="706"/>
      <c r="AQ215" s="432"/>
      <c r="AR215" s="432"/>
      <c r="AS215" s="432"/>
      <c r="AT215" s="432"/>
      <c r="AU215" s="432"/>
      <c r="AV215" s="432"/>
      <c r="AW215" s="432"/>
      <c r="AX215" s="432"/>
      <c r="AY215" s="432"/>
      <c r="AZ215" s="432"/>
      <c r="BA215" s="432"/>
      <c r="BB215" s="432"/>
      <c r="BC215" s="432"/>
      <c r="BD215" s="432"/>
      <c r="BE215" s="432"/>
      <c r="BF215" s="432"/>
      <c r="BG215" s="432"/>
      <c r="BH215" s="432"/>
      <c r="BI215" s="432"/>
      <c r="BJ215" s="432"/>
      <c r="BK215" s="432"/>
      <c r="BL215" s="432"/>
      <c r="BM215" s="432"/>
      <c r="BN215" s="432"/>
      <c r="BO215" s="432"/>
      <c r="BP215" s="432"/>
      <c r="BQ215" s="432"/>
      <c r="BR215" s="432"/>
      <c r="BS215" s="432"/>
      <c r="BT215" s="432"/>
      <c r="BU215" s="432"/>
      <c r="BV215" s="432"/>
      <c r="BW215" s="432"/>
      <c r="BX215" s="432"/>
      <c r="BY215" s="432"/>
      <c r="BZ215" s="432"/>
      <c r="CA215" s="432"/>
      <c r="CB215" s="432"/>
      <c r="CC215" s="432"/>
      <c r="CD215" s="432"/>
      <c r="CE215" s="432"/>
      <c r="CF215" s="432"/>
      <c r="CG215" s="432"/>
      <c r="CH215" s="432"/>
      <c r="CI215" s="432"/>
      <c r="CJ215" s="432"/>
      <c r="CK215" s="432"/>
      <c r="CL215" s="432"/>
      <c r="CM215" s="432"/>
      <c r="CN215" s="432"/>
      <c r="CO215" s="432"/>
      <c r="CP215" s="432"/>
      <c r="CQ215" s="432"/>
      <c r="CR215" s="432"/>
      <c r="CS215" s="432"/>
      <c r="CT215" s="432"/>
      <c r="CU215" s="432"/>
      <c r="CV215" s="432"/>
      <c r="CW215" s="432"/>
      <c r="CX215" s="432"/>
      <c r="CY215" s="432"/>
      <c r="CZ215" s="432"/>
      <c r="DA215" s="432"/>
      <c r="DB215" s="432"/>
      <c r="DC215" s="432"/>
      <c r="DD215" s="432"/>
      <c r="DE215" s="432"/>
      <c r="DF215" s="432"/>
      <c r="DG215" s="432"/>
      <c r="DH215" s="432"/>
      <c r="DI215" s="432"/>
      <c r="DJ215" s="432"/>
      <c r="DK215" s="432"/>
      <c r="DL215" s="432"/>
      <c r="DM215" s="432"/>
      <c r="DN215" s="432"/>
      <c r="DO215" s="432"/>
      <c r="DP215" s="432"/>
      <c r="DQ215" s="432"/>
      <c r="DR215" s="432"/>
      <c r="DS215" s="432"/>
      <c r="DT215" s="432"/>
      <c r="DU215" s="432"/>
    </row>
    <row r="216" spans="1:125" s="434" customFormat="1" ht="63.75" customHeight="1" thickBot="1">
      <c r="A216" s="626" t="s">
        <v>793</v>
      </c>
      <c r="B216" s="463"/>
      <c r="C216" s="452">
        <v>27169000</v>
      </c>
      <c r="D216" s="452">
        <f>27169000+4064110-1562500+3098827</f>
        <v>32769437</v>
      </c>
      <c r="E216" s="452">
        <v>32804451</v>
      </c>
      <c r="F216" s="336">
        <f>E216/D216</f>
        <v>1.0010684956229183</v>
      </c>
      <c r="G216" s="432"/>
      <c r="H216" s="432"/>
      <c r="I216" s="432"/>
      <c r="J216" s="432"/>
      <c r="K216" s="432"/>
      <c r="L216" s="432"/>
      <c r="M216" s="432"/>
      <c r="N216" s="432"/>
      <c r="O216" s="432"/>
      <c r="P216" s="432"/>
      <c r="Q216" s="432"/>
      <c r="R216" s="432"/>
      <c r="S216" s="432"/>
      <c r="T216" s="432"/>
      <c r="U216" s="432"/>
      <c r="V216" s="432"/>
      <c r="W216" s="432"/>
      <c r="X216" s="432"/>
      <c r="Y216" s="432"/>
      <c r="Z216" s="432"/>
      <c r="AA216" s="432"/>
      <c r="AB216" s="432"/>
      <c r="AC216" s="432"/>
      <c r="AD216" s="432"/>
      <c r="AE216" s="432"/>
      <c r="AF216" s="432"/>
      <c r="AG216" s="432"/>
      <c r="AH216" s="432"/>
      <c r="AI216" s="432"/>
      <c r="AJ216" s="432"/>
      <c r="AK216" s="432"/>
      <c r="AL216" s="432"/>
      <c r="AM216" s="707"/>
      <c r="AN216" s="656"/>
      <c r="AO216" s="656"/>
      <c r="AP216" s="708"/>
      <c r="AQ216" s="432"/>
      <c r="AR216" s="432"/>
      <c r="AS216" s="432"/>
      <c r="AT216" s="432"/>
      <c r="AU216" s="432"/>
      <c r="AV216" s="432"/>
      <c r="AW216" s="432"/>
      <c r="AX216" s="432"/>
      <c r="AY216" s="432"/>
      <c r="AZ216" s="432"/>
      <c r="BA216" s="432"/>
      <c r="BB216" s="432"/>
      <c r="BC216" s="432"/>
      <c r="BD216" s="432"/>
      <c r="BE216" s="432"/>
      <c r="BF216" s="432"/>
      <c r="BG216" s="432"/>
      <c r="BH216" s="432"/>
      <c r="BI216" s="432"/>
      <c r="BJ216" s="432"/>
      <c r="BK216" s="432"/>
      <c r="BL216" s="432"/>
      <c r="BM216" s="432"/>
      <c r="BN216" s="432"/>
      <c r="BO216" s="432"/>
      <c r="BP216" s="432"/>
      <c r="BQ216" s="432"/>
      <c r="BR216" s="432"/>
      <c r="BS216" s="432"/>
      <c r="BT216" s="432"/>
      <c r="BU216" s="432"/>
      <c r="BV216" s="432"/>
      <c r="BW216" s="432"/>
      <c r="BX216" s="432"/>
      <c r="BY216" s="432"/>
      <c r="BZ216" s="432"/>
      <c r="CA216" s="432"/>
      <c r="CB216" s="432"/>
      <c r="CC216" s="432"/>
      <c r="CD216" s="432"/>
      <c r="CE216" s="432"/>
      <c r="CF216" s="432"/>
      <c r="CG216" s="432"/>
      <c r="CH216" s="432"/>
      <c r="CI216" s="432"/>
      <c r="CJ216" s="432"/>
      <c r="CK216" s="432"/>
      <c r="CL216" s="432"/>
      <c r="CM216" s="432"/>
      <c r="CN216" s="432"/>
      <c r="CO216" s="432"/>
      <c r="CP216" s="432"/>
      <c r="CQ216" s="432"/>
      <c r="CR216" s="432"/>
      <c r="CS216" s="432"/>
      <c r="CT216" s="432"/>
      <c r="CU216" s="432"/>
      <c r="CV216" s="432"/>
      <c r="CW216" s="432"/>
      <c r="CX216" s="432"/>
      <c r="CY216" s="432"/>
      <c r="CZ216" s="432"/>
      <c r="DA216" s="432"/>
      <c r="DB216" s="432"/>
      <c r="DC216" s="432"/>
      <c r="DD216" s="432"/>
      <c r="DE216" s="432"/>
      <c r="DF216" s="432"/>
      <c r="DG216" s="432"/>
      <c r="DH216" s="432"/>
      <c r="DI216" s="432"/>
      <c r="DJ216" s="432"/>
      <c r="DK216" s="432"/>
      <c r="DL216" s="432"/>
      <c r="DM216" s="432"/>
      <c r="DN216" s="432"/>
      <c r="DO216" s="432"/>
      <c r="DP216" s="432"/>
      <c r="DQ216" s="432"/>
      <c r="DR216" s="432"/>
      <c r="DS216" s="432"/>
      <c r="DT216" s="432"/>
      <c r="DU216" s="432"/>
    </row>
    <row r="217" spans="1:125" s="448" customFormat="1" ht="23.25" customHeight="1" thickBot="1">
      <c r="A217" s="626" t="s">
        <v>502</v>
      </c>
      <c r="B217" s="462"/>
      <c r="C217" s="452">
        <v>10000000</v>
      </c>
      <c r="D217" s="452">
        <f>SUM(B218)</f>
        <v>0</v>
      </c>
      <c r="E217" s="452">
        <v>0</v>
      </c>
      <c r="F217" s="336">
        <v>0</v>
      </c>
      <c r="G217" s="446"/>
      <c r="H217" s="446"/>
      <c r="I217" s="446"/>
      <c r="J217" s="446"/>
      <c r="K217" s="446"/>
      <c r="L217" s="446"/>
      <c r="M217" s="446"/>
      <c r="N217" s="446"/>
      <c r="O217" s="446"/>
      <c r="P217" s="446"/>
      <c r="Q217" s="446"/>
      <c r="R217" s="446"/>
      <c r="S217" s="446"/>
      <c r="T217" s="446"/>
      <c r="U217" s="446"/>
      <c r="V217" s="446"/>
      <c r="W217" s="446"/>
      <c r="X217" s="446"/>
      <c r="Y217" s="446"/>
      <c r="Z217" s="446"/>
      <c r="AA217" s="446"/>
      <c r="AB217" s="446"/>
      <c r="AC217" s="446"/>
      <c r="AD217" s="446"/>
      <c r="AE217" s="446"/>
      <c r="AF217" s="446"/>
      <c r="AG217" s="446"/>
      <c r="AH217" s="446"/>
      <c r="AI217" s="446"/>
      <c r="AJ217" s="446"/>
      <c r="AK217" s="446"/>
      <c r="AL217" s="446"/>
      <c r="AM217" s="446"/>
      <c r="AN217" s="446"/>
      <c r="AO217" s="447"/>
    </row>
    <row r="218" spans="1:125" s="448" customFormat="1" ht="23.25" customHeight="1" thickBot="1">
      <c r="A218" s="453" t="s">
        <v>841</v>
      </c>
      <c r="B218" s="325">
        <f>10000000+10000000-17684000-2316000</f>
        <v>0</v>
      </c>
      <c r="C218" s="456"/>
      <c r="D218" s="456"/>
      <c r="E218" s="456"/>
      <c r="F218" s="338"/>
      <c r="G218" s="446"/>
      <c r="H218" s="446"/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  <c r="S218" s="446"/>
      <c r="T218" s="446"/>
      <c r="U218" s="446"/>
      <c r="V218" s="446"/>
      <c r="W218" s="446"/>
      <c r="X218" s="446"/>
      <c r="Y218" s="446"/>
      <c r="Z218" s="446"/>
      <c r="AA218" s="446"/>
      <c r="AB218" s="446"/>
      <c r="AC218" s="446"/>
      <c r="AD218" s="446"/>
      <c r="AE218" s="446"/>
      <c r="AF218" s="446"/>
      <c r="AG218" s="446"/>
      <c r="AH218" s="446"/>
      <c r="AI218" s="446"/>
      <c r="AJ218" s="446"/>
      <c r="AK218" s="446"/>
      <c r="AL218" s="446"/>
      <c r="AM218" s="446"/>
      <c r="AN218" s="446"/>
      <c r="AO218" s="447"/>
    </row>
    <row r="219" spans="1:125" s="428" customFormat="1" ht="29.25" customHeight="1" thickBot="1">
      <c r="A219" s="626" t="s">
        <v>465</v>
      </c>
      <c r="B219" s="325"/>
      <c r="C219" s="452"/>
      <c r="D219" s="452">
        <f>SUM(B220:B222)</f>
        <v>20414196</v>
      </c>
      <c r="E219" s="452">
        <f>11874170+1583359</f>
        <v>13457529</v>
      </c>
      <c r="F219" s="336">
        <f>E219/D219</f>
        <v>0.65922405173341136</v>
      </c>
      <c r="G219" s="426"/>
      <c r="H219" s="426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  <c r="U219" s="426"/>
      <c r="V219" s="426"/>
      <c r="W219" s="426"/>
      <c r="X219" s="426"/>
      <c r="Y219" s="426"/>
      <c r="Z219" s="426"/>
      <c r="AA219" s="426"/>
      <c r="AB219" s="426"/>
      <c r="AC219" s="426"/>
      <c r="AD219" s="426"/>
      <c r="AE219" s="426"/>
      <c r="AF219" s="426"/>
      <c r="AG219" s="426"/>
      <c r="AH219" s="426"/>
      <c r="AI219" s="426"/>
      <c r="AJ219" s="426"/>
      <c r="AK219" s="426"/>
      <c r="AL219" s="426"/>
      <c r="AM219" s="426"/>
      <c r="AN219" s="426"/>
      <c r="AO219" s="426"/>
      <c r="AP219" s="426"/>
      <c r="AQ219" s="426"/>
      <c r="AR219" s="426"/>
      <c r="AS219" s="426"/>
      <c r="AT219" s="426"/>
      <c r="AU219" s="426"/>
      <c r="AV219" s="426"/>
      <c r="AW219" s="426"/>
      <c r="AX219" s="426"/>
      <c r="AY219" s="426"/>
      <c r="AZ219" s="426"/>
      <c r="BA219" s="426"/>
      <c r="BB219" s="426"/>
      <c r="BC219" s="426"/>
      <c r="BD219" s="426"/>
      <c r="BE219" s="426"/>
      <c r="BF219" s="426"/>
      <c r="BG219" s="426"/>
      <c r="BH219" s="426"/>
      <c r="BI219" s="426"/>
      <c r="BJ219" s="426"/>
      <c r="BK219" s="426"/>
      <c r="BL219" s="426"/>
      <c r="BM219" s="426"/>
      <c r="BN219" s="426"/>
      <c r="BO219" s="426"/>
      <c r="BP219" s="426"/>
      <c r="BQ219" s="426"/>
      <c r="BR219" s="426"/>
      <c r="BS219" s="426"/>
      <c r="BT219" s="426"/>
      <c r="BU219" s="426"/>
    </row>
    <row r="220" spans="1:125" s="428" customFormat="1" ht="29.25" customHeight="1" thickBot="1">
      <c r="A220" s="453" t="s">
        <v>842</v>
      </c>
      <c r="B220" s="325">
        <v>15080196</v>
      </c>
      <c r="C220" s="456"/>
      <c r="D220" s="456"/>
      <c r="E220" s="456"/>
      <c r="F220" s="338"/>
      <c r="G220" s="426"/>
      <c r="H220" s="426"/>
      <c r="I220" s="426"/>
      <c r="J220" s="426"/>
      <c r="K220" s="426"/>
      <c r="L220" s="426"/>
      <c r="M220" s="426"/>
      <c r="N220" s="426"/>
      <c r="O220" s="426"/>
      <c r="P220" s="426"/>
      <c r="Q220" s="426"/>
      <c r="R220" s="426"/>
      <c r="S220" s="426"/>
      <c r="T220" s="426"/>
      <c r="U220" s="426"/>
      <c r="V220" s="426"/>
      <c r="W220" s="426"/>
      <c r="X220" s="426"/>
      <c r="Y220" s="426"/>
      <c r="Z220" s="426"/>
      <c r="AA220" s="426"/>
      <c r="AB220" s="426"/>
      <c r="AC220" s="426"/>
      <c r="AD220" s="426"/>
      <c r="AE220" s="426"/>
      <c r="AF220" s="426"/>
      <c r="AG220" s="426"/>
      <c r="AH220" s="426"/>
      <c r="AI220" s="426"/>
      <c r="AJ220" s="426"/>
      <c r="AK220" s="426"/>
      <c r="AL220" s="426"/>
      <c r="AM220" s="426"/>
      <c r="AN220" s="426"/>
      <c r="AO220" s="426"/>
      <c r="AP220" s="426"/>
      <c r="AQ220" s="426"/>
      <c r="AR220" s="426"/>
      <c r="AS220" s="426"/>
      <c r="AT220" s="426"/>
      <c r="AU220" s="426"/>
      <c r="AV220" s="426"/>
      <c r="AW220" s="426"/>
      <c r="AX220" s="426"/>
      <c r="AY220" s="426"/>
      <c r="AZ220" s="426"/>
      <c r="BA220" s="426"/>
      <c r="BB220" s="426"/>
      <c r="BC220" s="426"/>
      <c r="BD220" s="426"/>
      <c r="BE220" s="426"/>
      <c r="BF220" s="426"/>
      <c r="BG220" s="426"/>
      <c r="BH220" s="426"/>
      <c r="BI220" s="426"/>
      <c r="BJ220" s="426"/>
      <c r="BK220" s="426"/>
      <c r="BL220" s="426"/>
      <c r="BM220" s="426"/>
      <c r="BN220" s="426"/>
      <c r="BO220" s="426"/>
      <c r="BP220" s="426"/>
      <c r="BQ220" s="426"/>
      <c r="BR220" s="426"/>
      <c r="BS220" s="426"/>
      <c r="BT220" s="426"/>
      <c r="BU220" s="426"/>
    </row>
    <row r="221" spans="1:125" s="428" customFormat="1" ht="21" customHeight="1" thickBot="1">
      <c r="A221" s="453" t="s">
        <v>748</v>
      </c>
      <c r="B221" s="685">
        <f>2540000</f>
        <v>2540000</v>
      </c>
      <c r="C221" s="452"/>
      <c r="D221" s="468"/>
      <c r="E221" s="468"/>
      <c r="F221" s="337"/>
      <c r="G221" s="426"/>
      <c r="H221" s="426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  <c r="U221" s="426"/>
      <c r="V221" s="426"/>
      <c r="W221" s="426"/>
      <c r="X221" s="426"/>
      <c r="Y221" s="426"/>
      <c r="Z221" s="426"/>
      <c r="AA221" s="426"/>
      <c r="AB221" s="426"/>
      <c r="AC221" s="426"/>
      <c r="AD221" s="426"/>
      <c r="AE221" s="426"/>
      <c r="AF221" s="426"/>
      <c r="AG221" s="426"/>
      <c r="AH221" s="426"/>
      <c r="AI221" s="426"/>
      <c r="AJ221" s="426"/>
      <c r="AK221" s="426"/>
      <c r="AL221" s="426"/>
      <c r="AM221" s="426"/>
      <c r="AN221" s="426"/>
      <c r="AO221" s="427"/>
      <c r="AP221" s="684"/>
      <c r="AQ221" s="426"/>
      <c r="AR221" s="426"/>
      <c r="AS221" s="426"/>
      <c r="AT221" s="426"/>
      <c r="AU221" s="426"/>
      <c r="AV221" s="426"/>
      <c r="AW221" s="426"/>
      <c r="AX221" s="426"/>
      <c r="AY221" s="426"/>
      <c r="AZ221" s="426"/>
      <c r="BA221" s="426"/>
      <c r="BB221" s="426"/>
      <c r="BC221" s="426"/>
      <c r="BD221" s="426"/>
      <c r="BE221" s="426"/>
      <c r="BF221" s="426"/>
      <c r="BG221" s="426"/>
      <c r="BH221" s="426"/>
      <c r="BI221" s="426"/>
      <c r="BJ221" s="426"/>
      <c r="BK221" s="426"/>
      <c r="BL221" s="426"/>
      <c r="BM221" s="426"/>
      <c r="BN221" s="426"/>
      <c r="BO221" s="426"/>
      <c r="BP221" s="426"/>
      <c r="BQ221" s="426"/>
      <c r="BR221" s="426"/>
      <c r="BS221" s="426"/>
      <c r="BT221" s="426"/>
      <c r="BU221" s="426"/>
      <c r="BV221" s="426"/>
      <c r="BW221" s="426"/>
      <c r="BX221" s="426"/>
      <c r="BY221" s="426"/>
      <c r="BZ221" s="426"/>
      <c r="CA221" s="426"/>
      <c r="CB221" s="426"/>
      <c r="CC221" s="426"/>
      <c r="CD221" s="426"/>
      <c r="CE221" s="426"/>
      <c r="CF221" s="426"/>
      <c r="CG221" s="426"/>
      <c r="CH221" s="426"/>
      <c r="CI221" s="426"/>
      <c r="CJ221" s="426"/>
      <c r="CK221" s="426"/>
      <c r="CL221" s="426"/>
      <c r="CM221" s="426"/>
      <c r="CN221" s="426"/>
      <c r="CO221" s="426"/>
      <c r="CP221" s="426"/>
      <c r="CQ221" s="426"/>
      <c r="CR221" s="426"/>
      <c r="CS221" s="426"/>
      <c r="CT221" s="426"/>
      <c r="CU221" s="426"/>
      <c r="CV221" s="426"/>
      <c r="CW221" s="426"/>
      <c r="CX221" s="426"/>
      <c r="CY221" s="426"/>
      <c r="CZ221" s="426"/>
      <c r="DA221" s="426"/>
      <c r="DB221" s="426"/>
      <c r="DC221" s="426"/>
      <c r="DD221" s="426"/>
      <c r="DE221" s="426"/>
      <c r="DF221" s="426"/>
      <c r="DG221" s="426"/>
      <c r="DH221" s="426"/>
      <c r="DI221" s="426"/>
      <c r="DJ221" s="426"/>
      <c r="DK221" s="426"/>
      <c r="DL221" s="426"/>
      <c r="DM221" s="426"/>
      <c r="DN221" s="426"/>
      <c r="DO221" s="426"/>
      <c r="DP221" s="426"/>
      <c r="DQ221" s="426"/>
      <c r="DR221" s="426"/>
      <c r="DS221" s="426"/>
      <c r="DT221" s="426"/>
      <c r="DU221" s="426"/>
    </row>
    <row r="222" spans="1:125" s="428" customFormat="1" ht="27.75" customHeight="1" thickBot="1">
      <c r="A222" s="453" t="s">
        <v>843</v>
      </c>
      <c r="B222" s="685">
        <v>2794000</v>
      </c>
      <c r="C222" s="452"/>
      <c r="D222" s="452"/>
      <c r="E222" s="452"/>
      <c r="F222" s="336"/>
      <c r="G222" s="426"/>
      <c r="H222" s="426"/>
      <c r="I222" s="426"/>
      <c r="J222" s="426"/>
      <c r="K222" s="426"/>
      <c r="L222" s="426"/>
      <c r="M222" s="426"/>
      <c r="N222" s="426"/>
      <c r="O222" s="426"/>
      <c r="P222" s="426"/>
      <c r="Q222" s="426"/>
      <c r="R222" s="426"/>
      <c r="S222" s="426"/>
      <c r="T222" s="426"/>
      <c r="U222" s="426"/>
      <c r="V222" s="426"/>
      <c r="W222" s="426"/>
      <c r="X222" s="426"/>
      <c r="Y222" s="426"/>
      <c r="Z222" s="426"/>
      <c r="AA222" s="426"/>
      <c r="AB222" s="426"/>
      <c r="AC222" s="426"/>
      <c r="AD222" s="426"/>
      <c r="AE222" s="426"/>
      <c r="AF222" s="426"/>
      <c r="AG222" s="426"/>
      <c r="AH222" s="426"/>
      <c r="AI222" s="426"/>
      <c r="AJ222" s="426"/>
      <c r="AK222" s="426"/>
      <c r="AL222" s="426"/>
      <c r="AM222" s="426"/>
      <c r="AN222" s="426"/>
      <c r="AO222" s="426"/>
      <c r="AP222" s="426"/>
      <c r="AQ222" s="426"/>
      <c r="AR222" s="426"/>
      <c r="AS222" s="426"/>
      <c r="AT222" s="426"/>
      <c r="AU222" s="426"/>
      <c r="AV222" s="426"/>
      <c r="AW222" s="426"/>
      <c r="AX222" s="426"/>
      <c r="AY222" s="426"/>
      <c r="AZ222" s="426"/>
      <c r="BA222" s="426"/>
      <c r="BB222" s="426"/>
      <c r="BC222" s="426"/>
      <c r="BD222" s="426"/>
      <c r="BE222" s="426"/>
      <c r="BF222" s="426"/>
      <c r="BG222" s="426"/>
      <c r="BH222" s="426"/>
      <c r="BI222" s="426"/>
      <c r="BJ222" s="426"/>
      <c r="BK222" s="426"/>
      <c r="BL222" s="426"/>
      <c r="BM222" s="426"/>
      <c r="BN222" s="426"/>
      <c r="BO222" s="426"/>
      <c r="BP222" s="426"/>
      <c r="BQ222" s="426"/>
      <c r="BR222" s="426"/>
      <c r="BS222" s="426"/>
      <c r="BT222" s="426"/>
      <c r="BU222" s="426"/>
    </row>
    <row r="223" spans="1:125" s="434" customFormat="1" ht="55.5" customHeight="1" thickBot="1">
      <c r="A223" s="479" t="s">
        <v>794</v>
      </c>
      <c r="B223" s="700"/>
      <c r="C223" s="452"/>
      <c r="D223" s="452">
        <f>305978125-3810000</f>
        <v>302168125</v>
      </c>
      <c r="E223" s="452">
        <v>9993462</v>
      </c>
      <c r="F223" s="336">
        <f>E223/D223</f>
        <v>3.3072522126547925E-2</v>
      </c>
      <c r="G223" s="432"/>
      <c r="H223" s="432"/>
      <c r="I223" s="432"/>
      <c r="J223" s="432"/>
      <c r="K223" s="432"/>
      <c r="L223" s="432"/>
      <c r="M223" s="432"/>
      <c r="N223" s="432"/>
      <c r="O223" s="432"/>
      <c r="P223" s="432"/>
      <c r="Q223" s="432"/>
      <c r="R223" s="432"/>
      <c r="S223" s="432"/>
      <c r="T223" s="432"/>
      <c r="U223" s="432"/>
      <c r="V223" s="432"/>
      <c r="W223" s="432"/>
      <c r="X223" s="432"/>
      <c r="Y223" s="432"/>
      <c r="Z223" s="432"/>
      <c r="AA223" s="432"/>
      <c r="AB223" s="432"/>
      <c r="AC223" s="432"/>
      <c r="AD223" s="432"/>
      <c r="AE223" s="432"/>
      <c r="AF223" s="432"/>
      <c r="AG223" s="432"/>
      <c r="AH223" s="432"/>
      <c r="AI223" s="432"/>
      <c r="AJ223" s="432"/>
      <c r="AK223" s="432"/>
      <c r="AL223" s="432"/>
      <c r="AM223" s="432"/>
      <c r="AN223" s="432"/>
      <c r="AO223" s="432"/>
      <c r="AP223" s="432"/>
      <c r="AQ223" s="432"/>
      <c r="AR223" s="432"/>
      <c r="AS223" s="432"/>
      <c r="AT223" s="432"/>
      <c r="AU223" s="432"/>
      <c r="AV223" s="432"/>
      <c r="AW223" s="432"/>
      <c r="AX223" s="432"/>
      <c r="AY223" s="432"/>
      <c r="AZ223" s="432"/>
      <c r="BA223" s="432"/>
      <c r="BB223" s="432"/>
      <c r="BC223" s="432"/>
      <c r="BD223" s="432"/>
      <c r="BE223" s="432"/>
      <c r="BF223" s="432"/>
      <c r="BG223" s="432"/>
      <c r="BH223" s="432"/>
      <c r="BI223" s="432"/>
      <c r="BJ223" s="432"/>
      <c r="BK223" s="432"/>
      <c r="BL223" s="432"/>
      <c r="BM223" s="432"/>
      <c r="BN223" s="432"/>
      <c r="BO223" s="432"/>
      <c r="BP223" s="432"/>
      <c r="BQ223" s="432"/>
      <c r="BR223" s="432"/>
      <c r="BS223" s="432"/>
      <c r="BT223" s="432"/>
      <c r="BU223" s="432"/>
    </row>
    <row r="224" spans="1:125" s="434" customFormat="1" ht="38.25" customHeight="1" thickBot="1">
      <c r="A224" s="479" t="s">
        <v>795</v>
      </c>
      <c r="B224" s="700"/>
      <c r="C224" s="452"/>
      <c r="D224" s="452">
        <v>4230000</v>
      </c>
      <c r="E224" s="452">
        <v>1410001</v>
      </c>
      <c r="F224" s="336">
        <f>E224/D224</f>
        <v>0.33333356973995271</v>
      </c>
      <c r="G224" s="432"/>
      <c r="H224" s="432"/>
      <c r="I224" s="432"/>
      <c r="J224" s="432"/>
      <c r="K224" s="432"/>
      <c r="L224" s="432"/>
      <c r="M224" s="432"/>
      <c r="N224" s="432"/>
      <c r="O224" s="432"/>
      <c r="P224" s="432"/>
      <c r="Q224" s="432"/>
      <c r="R224" s="432"/>
      <c r="S224" s="432"/>
      <c r="T224" s="432"/>
      <c r="U224" s="432"/>
      <c r="V224" s="432"/>
      <c r="W224" s="432"/>
      <c r="X224" s="432"/>
      <c r="Y224" s="432"/>
      <c r="Z224" s="432"/>
      <c r="AA224" s="432"/>
      <c r="AB224" s="432"/>
      <c r="AC224" s="432"/>
      <c r="AD224" s="432"/>
      <c r="AE224" s="432"/>
      <c r="AF224" s="432"/>
      <c r="AG224" s="432"/>
      <c r="AH224" s="432"/>
      <c r="AI224" s="432"/>
      <c r="AJ224" s="432"/>
      <c r="AK224" s="432"/>
      <c r="AL224" s="432"/>
      <c r="AM224" s="432"/>
      <c r="AN224" s="432"/>
      <c r="AO224" s="432"/>
      <c r="AP224" s="432"/>
      <c r="AQ224" s="432"/>
      <c r="AR224" s="432"/>
      <c r="AS224" s="432"/>
      <c r="AT224" s="432"/>
      <c r="AU224" s="432"/>
      <c r="AV224" s="432"/>
      <c r="AW224" s="432"/>
      <c r="AX224" s="432"/>
      <c r="AY224" s="432"/>
      <c r="AZ224" s="432"/>
      <c r="BA224" s="432"/>
      <c r="BB224" s="432"/>
      <c r="BC224" s="432"/>
      <c r="BD224" s="432"/>
      <c r="BE224" s="432"/>
      <c r="BF224" s="432"/>
      <c r="BG224" s="432"/>
      <c r="BH224" s="432"/>
      <c r="BI224" s="432"/>
      <c r="BJ224" s="432"/>
      <c r="BK224" s="432"/>
      <c r="BL224" s="432"/>
      <c r="BM224" s="432"/>
      <c r="BN224" s="432"/>
      <c r="BO224" s="432"/>
      <c r="BP224" s="432"/>
      <c r="BQ224" s="432"/>
      <c r="BR224" s="432"/>
      <c r="BS224" s="432"/>
      <c r="BT224" s="432"/>
      <c r="BU224" s="432"/>
    </row>
    <row r="225" spans="1:125" s="434" customFormat="1" ht="38.25" customHeight="1" thickBot="1">
      <c r="A225" s="479" t="s">
        <v>796</v>
      </c>
      <c r="B225" s="700"/>
      <c r="C225" s="452"/>
      <c r="D225" s="452">
        <v>23876000</v>
      </c>
      <c r="E225" s="452">
        <v>945000</v>
      </c>
      <c r="F225" s="336">
        <f>E225/D225</f>
        <v>3.9579494052605128E-2</v>
      </c>
      <c r="G225" s="432"/>
      <c r="H225" s="432"/>
      <c r="I225" s="432"/>
      <c r="J225" s="432"/>
      <c r="K225" s="432"/>
      <c r="L225" s="432"/>
      <c r="M225" s="432"/>
      <c r="N225" s="432"/>
      <c r="O225" s="432"/>
      <c r="P225" s="432"/>
      <c r="Q225" s="432"/>
      <c r="R225" s="432"/>
      <c r="S225" s="432"/>
      <c r="T225" s="432"/>
      <c r="U225" s="432"/>
      <c r="V225" s="432"/>
      <c r="W225" s="432"/>
      <c r="X225" s="432"/>
      <c r="Y225" s="432"/>
      <c r="Z225" s="432"/>
      <c r="AA225" s="432"/>
      <c r="AB225" s="432"/>
      <c r="AC225" s="432"/>
      <c r="AD225" s="432"/>
      <c r="AE225" s="432"/>
      <c r="AF225" s="432"/>
      <c r="AG225" s="432"/>
      <c r="AH225" s="432"/>
      <c r="AI225" s="432"/>
      <c r="AJ225" s="432"/>
      <c r="AK225" s="432"/>
      <c r="AL225" s="432"/>
      <c r="AM225" s="432"/>
      <c r="AN225" s="432"/>
      <c r="AO225" s="432"/>
      <c r="AP225" s="432"/>
      <c r="AQ225" s="432"/>
      <c r="AR225" s="432"/>
      <c r="AS225" s="432"/>
      <c r="AT225" s="432"/>
      <c r="AU225" s="432"/>
      <c r="AV225" s="432"/>
      <c r="AW225" s="432"/>
      <c r="AX225" s="432"/>
      <c r="AY225" s="432"/>
      <c r="AZ225" s="432"/>
      <c r="BA225" s="432"/>
      <c r="BB225" s="432"/>
      <c r="BC225" s="432"/>
      <c r="BD225" s="432"/>
      <c r="BE225" s="432"/>
      <c r="BF225" s="432"/>
      <c r="BG225" s="432"/>
      <c r="BH225" s="432"/>
      <c r="BI225" s="432"/>
      <c r="BJ225" s="432"/>
      <c r="BK225" s="432"/>
      <c r="BL225" s="432"/>
      <c r="BM225" s="432"/>
      <c r="BN225" s="432"/>
      <c r="BO225" s="432"/>
      <c r="BP225" s="432"/>
      <c r="BQ225" s="432"/>
      <c r="BR225" s="432"/>
      <c r="BS225" s="432"/>
      <c r="BT225" s="432"/>
      <c r="BU225" s="432"/>
    </row>
    <row r="226" spans="1:125" s="434" customFormat="1" ht="52.5" customHeight="1" thickBot="1">
      <c r="A226" s="479" t="s">
        <v>797</v>
      </c>
      <c r="B226" s="700"/>
      <c r="C226" s="452"/>
      <c r="D226" s="452">
        <v>3000000</v>
      </c>
      <c r="E226" s="452">
        <v>2943900</v>
      </c>
      <c r="F226" s="336">
        <f>E226/D226</f>
        <v>0.98129999999999995</v>
      </c>
      <c r="G226" s="432"/>
      <c r="H226" s="432"/>
      <c r="I226" s="432"/>
      <c r="J226" s="432"/>
      <c r="K226" s="432"/>
      <c r="L226" s="432"/>
      <c r="M226" s="432"/>
      <c r="N226" s="432"/>
      <c r="O226" s="432"/>
      <c r="P226" s="432"/>
      <c r="Q226" s="432"/>
      <c r="R226" s="432"/>
      <c r="S226" s="432"/>
      <c r="T226" s="432"/>
      <c r="U226" s="432"/>
      <c r="V226" s="432"/>
      <c r="W226" s="432"/>
      <c r="X226" s="432"/>
      <c r="Y226" s="432"/>
      <c r="Z226" s="432"/>
      <c r="AA226" s="432"/>
      <c r="AB226" s="432"/>
      <c r="AC226" s="432"/>
      <c r="AD226" s="432"/>
      <c r="AE226" s="432"/>
      <c r="AF226" s="432"/>
      <c r="AG226" s="432"/>
      <c r="AH226" s="432"/>
      <c r="AI226" s="432"/>
      <c r="AJ226" s="432"/>
      <c r="AK226" s="432"/>
      <c r="AL226" s="432"/>
      <c r="AM226" s="432"/>
      <c r="AN226" s="432"/>
      <c r="AO226" s="432"/>
      <c r="AP226" s="432"/>
      <c r="AQ226" s="432"/>
      <c r="AR226" s="432"/>
      <c r="AS226" s="432"/>
      <c r="AT226" s="432"/>
      <c r="AU226" s="432"/>
      <c r="AV226" s="432"/>
      <c r="AW226" s="432"/>
      <c r="AX226" s="432"/>
      <c r="AY226" s="432"/>
      <c r="AZ226" s="432"/>
      <c r="BA226" s="432"/>
      <c r="BB226" s="432"/>
      <c r="BC226" s="432"/>
      <c r="BD226" s="432"/>
      <c r="BE226" s="432"/>
      <c r="BF226" s="432"/>
      <c r="BG226" s="432"/>
      <c r="BH226" s="432"/>
      <c r="BI226" s="432"/>
      <c r="BJ226" s="432"/>
      <c r="BK226" s="432"/>
      <c r="BL226" s="432"/>
      <c r="BM226" s="432"/>
      <c r="BN226" s="432"/>
      <c r="BO226" s="432"/>
      <c r="BP226" s="432"/>
      <c r="BQ226" s="432"/>
      <c r="BR226" s="432"/>
      <c r="BS226" s="432"/>
      <c r="BT226" s="432"/>
      <c r="BU226" s="432"/>
    </row>
    <row r="227" spans="1:125" s="434" customFormat="1" ht="34.5" customHeight="1" thickBot="1">
      <c r="A227" s="479" t="s">
        <v>799</v>
      </c>
      <c r="B227" s="700"/>
      <c r="C227" s="452"/>
      <c r="D227" s="468">
        <v>6000000</v>
      </c>
      <c r="E227" s="468">
        <v>0</v>
      </c>
      <c r="F227" s="337">
        <v>0</v>
      </c>
      <c r="G227" s="432"/>
      <c r="H227" s="432"/>
      <c r="I227" s="432"/>
      <c r="J227" s="432"/>
      <c r="K227" s="432"/>
      <c r="L227" s="432"/>
      <c r="M227" s="432"/>
      <c r="N227" s="432"/>
      <c r="O227" s="432"/>
      <c r="P227" s="432"/>
      <c r="Q227" s="432"/>
      <c r="R227" s="432"/>
      <c r="S227" s="432"/>
      <c r="T227" s="432"/>
      <c r="U227" s="432"/>
      <c r="V227" s="432"/>
      <c r="W227" s="432"/>
      <c r="X227" s="432"/>
      <c r="Y227" s="432"/>
      <c r="Z227" s="432"/>
      <c r="AA227" s="432"/>
      <c r="AB227" s="432"/>
      <c r="AC227" s="432"/>
      <c r="AD227" s="432"/>
      <c r="AE227" s="432"/>
      <c r="AF227" s="432"/>
      <c r="AG227" s="432"/>
      <c r="AH227" s="432"/>
      <c r="AI227" s="432"/>
      <c r="AJ227" s="432"/>
      <c r="AK227" s="432"/>
      <c r="AL227" s="432"/>
      <c r="AM227" s="432"/>
      <c r="AN227" s="432"/>
      <c r="AO227" s="432"/>
      <c r="AP227" s="432"/>
      <c r="AQ227" s="432"/>
      <c r="AR227" s="432"/>
      <c r="AS227" s="432"/>
      <c r="AT227" s="432"/>
      <c r="AU227" s="432"/>
      <c r="AV227" s="432"/>
      <c r="AW227" s="432"/>
      <c r="AX227" s="432"/>
      <c r="AY227" s="432"/>
      <c r="AZ227" s="432"/>
      <c r="BA227" s="432"/>
      <c r="BB227" s="432"/>
      <c r="BC227" s="432"/>
      <c r="BD227" s="432"/>
      <c r="BE227" s="432"/>
      <c r="BF227" s="432"/>
      <c r="BG227" s="432"/>
      <c r="BH227" s="432"/>
      <c r="BI227" s="432"/>
      <c r="BJ227" s="432"/>
      <c r="BK227" s="432"/>
      <c r="BL227" s="432"/>
      <c r="BM227" s="432"/>
      <c r="BN227" s="432"/>
      <c r="BO227" s="432"/>
      <c r="BP227" s="432"/>
      <c r="BQ227" s="432"/>
      <c r="BR227" s="432"/>
      <c r="BS227" s="432"/>
      <c r="BT227" s="432"/>
      <c r="BU227" s="432"/>
    </row>
    <row r="228" spans="1:125" s="434" customFormat="1" ht="32.25" customHeight="1" thickBot="1">
      <c r="A228" s="479" t="s">
        <v>803</v>
      </c>
      <c r="B228" s="700"/>
      <c r="C228" s="452"/>
      <c r="D228" s="468">
        <v>2897368</v>
      </c>
      <c r="E228" s="468">
        <v>2897368</v>
      </c>
      <c r="F228" s="336">
        <f t="shared" ref="F228" si="8">E228/D228</f>
        <v>1</v>
      </c>
      <c r="G228" s="432"/>
      <c r="H228" s="432"/>
      <c r="I228" s="432"/>
      <c r="J228" s="432"/>
      <c r="K228" s="432"/>
      <c r="L228" s="432"/>
      <c r="M228" s="432"/>
      <c r="N228" s="432"/>
      <c r="O228" s="432"/>
      <c r="P228" s="432"/>
      <c r="Q228" s="432"/>
      <c r="R228" s="432"/>
      <c r="S228" s="432"/>
      <c r="T228" s="432"/>
      <c r="U228" s="432"/>
      <c r="V228" s="432"/>
      <c r="W228" s="432"/>
      <c r="X228" s="432"/>
      <c r="Y228" s="432"/>
      <c r="Z228" s="432"/>
      <c r="AA228" s="432"/>
      <c r="AB228" s="432"/>
      <c r="AC228" s="432"/>
      <c r="AD228" s="432"/>
      <c r="AE228" s="432"/>
      <c r="AF228" s="432"/>
      <c r="AG228" s="432"/>
      <c r="AH228" s="432"/>
      <c r="AI228" s="432"/>
      <c r="AJ228" s="432"/>
      <c r="AK228" s="432"/>
      <c r="AL228" s="432"/>
      <c r="AM228" s="432"/>
      <c r="AN228" s="432"/>
      <c r="AO228" s="432"/>
      <c r="AP228" s="432"/>
      <c r="AQ228" s="432"/>
      <c r="AR228" s="432"/>
      <c r="AS228" s="432"/>
      <c r="AT228" s="432"/>
      <c r="AU228" s="432"/>
      <c r="AV228" s="432"/>
      <c r="AW228" s="432"/>
      <c r="AX228" s="432"/>
      <c r="AY228" s="432"/>
      <c r="AZ228" s="432"/>
      <c r="BA228" s="432"/>
      <c r="BB228" s="432"/>
      <c r="BC228" s="432"/>
      <c r="BD228" s="432"/>
      <c r="BE228" s="432"/>
      <c r="BF228" s="432"/>
      <c r="BG228" s="432"/>
      <c r="BH228" s="432"/>
      <c r="BI228" s="432"/>
      <c r="BJ228" s="432"/>
      <c r="BK228" s="432"/>
      <c r="BL228" s="432"/>
      <c r="BM228" s="432"/>
      <c r="BN228" s="432"/>
      <c r="BO228" s="432"/>
      <c r="BP228" s="432"/>
      <c r="BQ228" s="432"/>
      <c r="BR228" s="432"/>
      <c r="BS228" s="432"/>
      <c r="BT228" s="432"/>
      <c r="BU228" s="432"/>
    </row>
    <row r="229" spans="1:125" s="434" customFormat="1" ht="36.75" customHeight="1" thickBot="1">
      <c r="A229" s="479" t="s">
        <v>798</v>
      </c>
      <c r="B229" s="700"/>
      <c r="C229" s="452"/>
      <c r="D229" s="468">
        <v>3850000</v>
      </c>
      <c r="E229" s="468">
        <v>0</v>
      </c>
      <c r="F229" s="336">
        <v>0</v>
      </c>
      <c r="G229" s="432"/>
      <c r="H229" s="432"/>
      <c r="I229" s="432"/>
      <c r="J229" s="432"/>
      <c r="K229" s="432"/>
      <c r="L229" s="432"/>
      <c r="M229" s="432"/>
      <c r="N229" s="432"/>
      <c r="O229" s="432"/>
      <c r="P229" s="432"/>
      <c r="Q229" s="432"/>
      <c r="R229" s="432"/>
      <c r="S229" s="432"/>
      <c r="T229" s="432"/>
      <c r="U229" s="432"/>
      <c r="V229" s="432"/>
      <c r="W229" s="432"/>
      <c r="X229" s="432"/>
      <c r="Y229" s="432"/>
      <c r="Z229" s="432"/>
      <c r="AA229" s="432"/>
      <c r="AB229" s="432"/>
      <c r="AC229" s="432"/>
      <c r="AD229" s="432"/>
      <c r="AE229" s="432"/>
      <c r="AF229" s="432"/>
      <c r="AG229" s="432"/>
      <c r="AH229" s="432"/>
      <c r="AI229" s="432"/>
      <c r="AJ229" s="432"/>
      <c r="AK229" s="432"/>
      <c r="AL229" s="432"/>
      <c r="AM229" s="432"/>
      <c r="AN229" s="432"/>
      <c r="AO229" s="432"/>
      <c r="AP229" s="432"/>
      <c r="AQ229" s="432"/>
      <c r="AR229" s="432"/>
      <c r="AS229" s="432"/>
      <c r="AT229" s="432"/>
      <c r="AU229" s="432"/>
      <c r="AV229" s="432"/>
      <c r="AW229" s="432"/>
      <c r="AX229" s="432"/>
      <c r="AY229" s="432"/>
      <c r="AZ229" s="432"/>
      <c r="BA229" s="432"/>
      <c r="BB229" s="432"/>
      <c r="BC229" s="432"/>
      <c r="BD229" s="432"/>
      <c r="BE229" s="432"/>
      <c r="BF229" s="432"/>
      <c r="BG229" s="432"/>
      <c r="BH229" s="432"/>
      <c r="BI229" s="432"/>
      <c r="BJ229" s="432"/>
      <c r="BK229" s="432"/>
      <c r="BL229" s="432"/>
      <c r="BM229" s="432"/>
      <c r="BN229" s="432"/>
      <c r="BO229" s="432"/>
      <c r="BP229" s="432"/>
      <c r="BQ229" s="432"/>
      <c r="BR229" s="432"/>
      <c r="BS229" s="432"/>
      <c r="BT229" s="432"/>
      <c r="BU229" s="432"/>
    </row>
    <row r="230" spans="1:125" s="434" customFormat="1" ht="35.25" customHeight="1" thickBot="1">
      <c r="A230" s="626" t="s">
        <v>829</v>
      </c>
      <c r="B230" s="627"/>
      <c r="C230" s="452"/>
      <c r="D230" s="452">
        <v>10000000</v>
      </c>
      <c r="E230" s="452">
        <v>10620000</v>
      </c>
      <c r="F230" s="336">
        <f>E230/D230</f>
        <v>1.0620000000000001</v>
      </c>
      <c r="G230" s="432"/>
      <c r="H230" s="432"/>
      <c r="I230" s="432"/>
      <c r="J230" s="432"/>
      <c r="K230" s="432"/>
      <c r="L230" s="432"/>
      <c r="M230" s="432"/>
      <c r="N230" s="432"/>
      <c r="O230" s="432"/>
      <c r="P230" s="432"/>
      <c r="Q230" s="432"/>
      <c r="R230" s="432"/>
      <c r="S230" s="432"/>
      <c r="T230" s="432"/>
      <c r="U230" s="432"/>
      <c r="V230" s="432"/>
      <c r="W230" s="432"/>
      <c r="X230" s="432"/>
      <c r="Y230" s="432"/>
      <c r="Z230" s="432"/>
      <c r="AA230" s="432"/>
      <c r="AB230" s="432"/>
      <c r="AC230" s="432"/>
      <c r="AD230" s="432"/>
      <c r="AE230" s="432"/>
      <c r="AF230" s="432"/>
      <c r="AG230" s="432"/>
      <c r="AH230" s="432"/>
      <c r="AI230" s="432"/>
      <c r="AJ230" s="432"/>
      <c r="AK230" s="432"/>
      <c r="AL230" s="432"/>
      <c r="AM230" s="432"/>
      <c r="AN230" s="432"/>
      <c r="AO230" s="432"/>
      <c r="AP230" s="432"/>
      <c r="AQ230" s="432"/>
      <c r="AR230" s="432"/>
      <c r="AS230" s="432"/>
      <c r="AT230" s="432"/>
      <c r="AU230" s="432"/>
      <c r="AV230" s="432"/>
      <c r="AW230" s="432"/>
      <c r="AX230" s="432"/>
      <c r="AY230" s="432"/>
      <c r="AZ230" s="432"/>
      <c r="BA230" s="432"/>
      <c r="BB230" s="432"/>
      <c r="BC230" s="432"/>
      <c r="BD230" s="432"/>
      <c r="BE230" s="432"/>
      <c r="BF230" s="432"/>
      <c r="BG230" s="432"/>
      <c r="BH230" s="432"/>
      <c r="BI230" s="432"/>
      <c r="BJ230" s="432"/>
      <c r="BK230" s="432"/>
      <c r="BL230" s="432"/>
      <c r="BM230" s="432"/>
      <c r="BN230" s="432"/>
      <c r="BO230" s="432"/>
      <c r="BP230" s="432"/>
      <c r="BQ230" s="432"/>
      <c r="BR230" s="432"/>
      <c r="BS230" s="432"/>
      <c r="BT230" s="432"/>
      <c r="BU230" s="432"/>
    </row>
    <row r="231" spans="1:125" s="434" customFormat="1" ht="26.25" customHeight="1" thickBot="1">
      <c r="A231" s="626" t="s">
        <v>498</v>
      </c>
      <c r="B231" s="463"/>
      <c r="C231" s="452"/>
      <c r="D231" s="719">
        <v>27400000</v>
      </c>
      <c r="E231" s="719">
        <v>27400000</v>
      </c>
      <c r="F231" s="336">
        <f>E231/D231</f>
        <v>1</v>
      </c>
      <c r="G231" s="432"/>
      <c r="H231" s="432"/>
      <c r="I231" s="432"/>
      <c r="J231" s="432"/>
      <c r="K231" s="432"/>
      <c r="L231" s="432"/>
      <c r="M231" s="432"/>
      <c r="N231" s="432"/>
      <c r="O231" s="432"/>
      <c r="P231" s="432"/>
      <c r="Q231" s="432"/>
      <c r="R231" s="432"/>
      <c r="S231" s="432"/>
      <c r="T231" s="432"/>
      <c r="U231" s="432"/>
      <c r="V231" s="432"/>
      <c r="W231" s="432"/>
      <c r="X231" s="432"/>
      <c r="Y231" s="432"/>
      <c r="Z231" s="432"/>
      <c r="AA231" s="432"/>
      <c r="AB231" s="432"/>
      <c r="AC231" s="432"/>
      <c r="AD231" s="432"/>
      <c r="AE231" s="432"/>
      <c r="AF231" s="432"/>
      <c r="AG231" s="432"/>
      <c r="AH231" s="432"/>
      <c r="AI231" s="432"/>
      <c r="AJ231" s="432"/>
      <c r="AK231" s="432"/>
      <c r="AL231" s="432"/>
      <c r="AM231" s="432"/>
      <c r="AN231" s="433"/>
    </row>
    <row r="232" spans="1:125" s="434" customFormat="1" ht="26.25" customHeight="1" thickBot="1">
      <c r="A232" s="453" t="s">
        <v>500</v>
      </c>
      <c r="B232" s="457">
        <v>27400000</v>
      </c>
      <c r="C232" s="452"/>
      <c r="D232" s="720"/>
      <c r="E232" s="720"/>
      <c r="F232" s="734"/>
      <c r="G232" s="432"/>
      <c r="H232" s="432"/>
      <c r="I232" s="432"/>
      <c r="J232" s="432"/>
      <c r="K232" s="432"/>
      <c r="L232" s="432"/>
      <c r="M232" s="432"/>
      <c r="N232" s="432"/>
      <c r="O232" s="432"/>
      <c r="P232" s="432"/>
      <c r="Q232" s="432"/>
      <c r="R232" s="432"/>
      <c r="S232" s="432"/>
      <c r="T232" s="432"/>
      <c r="U232" s="432"/>
      <c r="V232" s="432"/>
      <c r="W232" s="432"/>
      <c r="X232" s="432"/>
      <c r="Y232" s="432"/>
      <c r="Z232" s="432"/>
      <c r="AA232" s="432"/>
      <c r="AB232" s="432"/>
      <c r="AC232" s="432"/>
      <c r="AD232" s="432"/>
      <c r="AE232" s="432"/>
      <c r="AF232" s="432"/>
      <c r="AG232" s="432"/>
      <c r="AH232" s="432"/>
      <c r="AI232" s="432"/>
      <c r="AJ232" s="432"/>
      <c r="AK232" s="432"/>
      <c r="AL232" s="432"/>
      <c r="AM232" s="432"/>
      <c r="AN232" s="433"/>
    </row>
    <row r="233" spans="1:125" s="434" customFormat="1" ht="32.25" customHeight="1" thickBot="1">
      <c r="A233" s="885" t="s">
        <v>828</v>
      </c>
      <c r="B233" s="886"/>
      <c r="C233" s="452"/>
      <c r="D233" s="452">
        <v>200000</v>
      </c>
      <c r="E233" s="452">
        <v>200000</v>
      </c>
      <c r="F233" s="336">
        <f t="shared" ref="F233:F236" si="9">E233/D233</f>
        <v>1</v>
      </c>
      <c r="G233" s="432"/>
      <c r="H233" s="432"/>
      <c r="I233" s="432"/>
      <c r="J233" s="432"/>
      <c r="K233" s="432"/>
      <c r="L233" s="432"/>
      <c r="M233" s="432"/>
      <c r="N233" s="432"/>
      <c r="O233" s="432"/>
      <c r="P233" s="432"/>
      <c r="Q233" s="432"/>
      <c r="R233" s="432"/>
      <c r="S233" s="432"/>
      <c r="T233" s="432"/>
      <c r="U233" s="432"/>
      <c r="V233" s="432"/>
      <c r="W233" s="432"/>
      <c r="X233" s="432"/>
      <c r="Y233" s="432"/>
      <c r="Z233" s="432"/>
      <c r="AA233" s="432"/>
      <c r="AB233" s="432"/>
      <c r="AC233" s="432"/>
      <c r="AD233" s="432"/>
      <c r="AE233" s="432"/>
      <c r="AF233" s="432"/>
      <c r="AG233" s="432"/>
      <c r="AH233" s="432"/>
      <c r="AI233" s="432"/>
      <c r="AJ233" s="432"/>
      <c r="AK233" s="432"/>
      <c r="AL233" s="432"/>
      <c r="AM233" s="433"/>
      <c r="AP233" s="679"/>
      <c r="AQ233" s="432"/>
      <c r="AR233" s="432"/>
      <c r="AS233" s="432"/>
      <c r="AT233" s="432"/>
      <c r="AU233" s="432"/>
      <c r="AV233" s="432"/>
      <c r="AW233" s="432"/>
      <c r="AX233" s="432"/>
      <c r="AY233" s="432"/>
      <c r="AZ233" s="432"/>
      <c r="BA233" s="432"/>
      <c r="BB233" s="432"/>
      <c r="BC233" s="432"/>
      <c r="BD233" s="432"/>
      <c r="BE233" s="432"/>
      <c r="BF233" s="432"/>
      <c r="BG233" s="432"/>
      <c r="BH233" s="432"/>
      <c r="BI233" s="432"/>
      <c r="BJ233" s="432"/>
      <c r="BK233" s="432"/>
      <c r="BL233" s="432"/>
      <c r="BM233" s="432"/>
      <c r="BN233" s="432"/>
      <c r="BO233" s="432"/>
      <c r="BP233" s="432"/>
      <c r="BQ233" s="432"/>
      <c r="BR233" s="432"/>
      <c r="BS233" s="432"/>
      <c r="BT233" s="432"/>
      <c r="BU233" s="432"/>
      <c r="BV233" s="432"/>
      <c r="BW233" s="432"/>
      <c r="BX233" s="432"/>
      <c r="BY233" s="432"/>
      <c r="BZ233" s="432"/>
      <c r="CA233" s="432"/>
      <c r="CB233" s="432"/>
      <c r="CC233" s="432"/>
      <c r="CD233" s="432"/>
      <c r="CE233" s="432"/>
      <c r="CF233" s="432"/>
      <c r="CG233" s="432"/>
      <c r="CH233" s="432"/>
      <c r="CI233" s="432"/>
      <c r="CJ233" s="432"/>
      <c r="CK233" s="432"/>
      <c r="CL233" s="432"/>
      <c r="CM233" s="432"/>
      <c r="CN233" s="432"/>
      <c r="CO233" s="432"/>
      <c r="CP233" s="432"/>
      <c r="CQ233" s="432"/>
      <c r="CR233" s="432"/>
      <c r="CS233" s="432"/>
      <c r="CT233" s="432"/>
      <c r="CU233" s="432"/>
      <c r="CV233" s="432"/>
      <c r="CW233" s="432"/>
      <c r="CX233" s="432"/>
      <c r="CY233" s="432"/>
      <c r="CZ233" s="432"/>
      <c r="DA233" s="432"/>
      <c r="DB233" s="432"/>
      <c r="DC233" s="432"/>
      <c r="DD233" s="432"/>
      <c r="DE233" s="432"/>
      <c r="DF233" s="432"/>
      <c r="DG233" s="432"/>
      <c r="DH233" s="432"/>
      <c r="DI233" s="432"/>
      <c r="DJ233" s="432"/>
      <c r="DK233" s="432"/>
      <c r="DL233" s="432"/>
      <c r="DM233" s="432"/>
      <c r="DN233" s="432"/>
      <c r="DO233" s="432"/>
      <c r="DP233" s="432"/>
      <c r="DQ233" s="432"/>
      <c r="DR233" s="432"/>
      <c r="DS233" s="432"/>
      <c r="DT233" s="432"/>
      <c r="DU233" s="432"/>
    </row>
    <row r="234" spans="1:125" s="434" customFormat="1" ht="42" customHeight="1" thickBot="1">
      <c r="A234" s="626" t="s">
        <v>774</v>
      </c>
      <c r="B234" s="462"/>
      <c r="C234" s="452"/>
      <c r="D234" s="452">
        <f>11124118-2583543</f>
        <v>8540575</v>
      </c>
      <c r="E234" s="452">
        <v>8540575</v>
      </c>
      <c r="F234" s="336">
        <f t="shared" si="9"/>
        <v>1</v>
      </c>
      <c r="G234" s="432"/>
      <c r="H234" s="432"/>
      <c r="I234" s="432"/>
      <c r="J234" s="432"/>
      <c r="K234" s="432"/>
      <c r="L234" s="432"/>
      <c r="M234" s="432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2"/>
      <c r="AB234" s="432"/>
      <c r="AC234" s="432"/>
      <c r="AD234" s="432"/>
      <c r="AE234" s="432"/>
      <c r="AF234" s="432"/>
      <c r="AG234" s="432"/>
      <c r="AH234" s="432"/>
      <c r="AI234" s="432"/>
      <c r="AJ234" s="432"/>
      <c r="AK234" s="432"/>
      <c r="AL234" s="432"/>
      <c r="AM234" s="432"/>
      <c r="AN234" s="432"/>
      <c r="AO234" s="432"/>
      <c r="AP234" s="432"/>
      <c r="AQ234" s="432"/>
      <c r="AR234" s="432"/>
      <c r="AS234" s="432"/>
      <c r="AT234" s="432"/>
      <c r="AU234" s="432"/>
      <c r="AV234" s="432"/>
      <c r="AW234" s="432"/>
      <c r="AX234" s="432"/>
      <c r="AY234" s="432"/>
      <c r="AZ234" s="432"/>
      <c r="BA234" s="432"/>
      <c r="BB234" s="432"/>
      <c r="BC234" s="432"/>
      <c r="BD234" s="432"/>
      <c r="BE234" s="432"/>
      <c r="BF234" s="432"/>
      <c r="BG234" s="432"/>
      <c r="BH234" s="432"/>
      <c r="BI234" s="432"/>
      <c r="BJ234" s="432"/>
      <c r="BK234" s="432"/>
      <c r="BL234" s="432"/>
      <c r="BM234" s="432"/>
      <c r="BN234" s="432"/>
      <c r="BO234" s="432"/>
      <c r="BP234" s="432"/>
      <c r="BQ234" s="432"/>
      <c r="BR234" s="432"/>
      <c r="BS234" s="432"/>
      <c r="BT234" s="432"/>
      <c r="BU234" s="432"/>
    </row>
    <row r="235" spans="1:125" s="434" customFormat="1" ht="43.5" customHeight="1" thickBot="1">
      <c r="A235" s="479" t="s">
        <v>805</v>
      </c>
      <c r="B235" s="700"/>
      <c r="C235" s="452"/>
      <c r="D235" s="468">
        <v>3000000</v>
      </c>
      <c r="E235" s="468">
        <v>3000000</v>
      </c>
      <c r="F235" s="336">
        <f t="shared" si="9"/>
        <v>1</v>
      </c>
      <c r="G235" s="432"/>
      <c r="H235" s="432"/>
      <c r="I235" s="432"/>
      <c r="J235" s="432"/>
      <c r="K235" s="432"/>
      <c r="L235" s="432"/>
      <c r="M235" s="432"/>
      <c r="N235" s="432"/>
      <c r="O235" s="432"/>
      <c r="P235" s="432"/>
      <c r="Q235" s="432"/>
      <c r="R235" s="432"/>
      <c r="S235" s="432"/>
      <c r="T235" s="432"/>
      <c r="U235" s="432"/>
      <c r="V235" s="432"/>
      <c r="W235" s="432"/>
      <c r="X235" s="432"/>
      <c r="Y235" s="432"/>
      <c r="Z235" s="432"/>
      <c r="AA235" s="432"/>
      <c r="AB235" s="432"/>
      <c r="AC235" s="432"/>
      <c r="AD235" s="432"/>
      <c r="AE235" s="432"/>
      <c r="AF235" s="432"/>
      <c r="AG235" s="432"/>
      <c r="AH235" s="432"/>
      <c r="AI235" s="432"/>
      <c r="AJ235" s="432"/>
      <c r="AK235" s="432"/>
      <c r="AL235" s="432"/>
      <c r="AM235" s="432"/>
      <c r="AN235" s="432"/>
      <c r="AO235" s="432"/>
      <c r="AP235" s="432"/>
      <c r="AQ235" s="432"/>
      <c r="AR235" s="432"/>
      <c r="AS235" s="432"/>
      <c r="AT235" s="432"/>
      <c r="AU235" s="432"/>
      <c r="AV235" s="432"/>
      <c r="AW235" s="432"/>
      <c r="AX235" s="432"/>
      <c r="AY235" s="432"/>
      <c r="AZ235" s="432"/>
      <c r="BA235" s="432"/>
      <c r="BB235" s="432"/>
      <c r="BC235" s="432"/>
      <c r="BD235" s="432"/>
      <c r="BE235" s="432"/>
      <c r="BF235" s="432"/>
      <c r="BG235" s="432"/>
      <c r="BH235" s="432"/>
      <c r="BI235" s="432"/>
      <c r="BJ235" s="432"/>
      <c r="BK235" s="432"/>
      <c r="BL235" s="432"/>
      <c r="BM235" s="432"/>
      <c r="BN235" s="432"/>
      <c r="BO235" s="432"/>
      <c r="BP235" s="432"/>
      <c r="BQ235" s="432"/>
      <c r="BR235" s="432"/>
      <c r="BS235" s="432"/>
      <c r="BT235" s="432"/>
      <c r="BU235" s="432"/>
    </row>
    <row r="236" spans="1:125" s="434" customFormat="1" ht="43.5" customHeight="1" thickBot="1">
      <c r="A236" s="479" t="s">
        <v>806</v>
      </c>
      <c r="B236" s="700"/>
      <c r="C236" s="452"/>
      <c r="D236" s="468">
        <v>3000000</v>
      </c>
      <c r="E236" s="468">
        <v>3000000</v>
      </c>
      <c r="F236" s="336">
        <f t="shared" si="9"/>
        <v>1</v>
      </c>
      <c r="G236" s="432"/>
      <c r="H236" s="432"/>
      <c r="I236" s="432"/>
      <c r="J236" s="432"/>
      <c r="K236" s="432"/>
      <c r="L236" s="432"/>
      <c r="M236" s="432"/>
      <c r="N236" s="432"/>
      <c r="O236" s="432"/>
      <c r="P236" s="432"/>
      <c r="Q236" s="432"/>
      <c r="R236" s="432"/>
      <c r="S236" s="432"/>
      <c r="T236" s="432"/>
      <c r="U236" s="432"/>
      <c r="V236" s="432"/>
      <c r="W236" s="432"/>
      <c r="X236" s="432"/>
      <c r="Y236" s="432"/>
      <c r="Z236" s="432"/>
      <c r="AA236" s="432"/>
      <c r="AB236" s="432"/>
      <c r="AC236" s="432"/>
      <c r="AD236" s="432"/>
      <c r="AE236" s="432"/>
      <c r="AF236" s="432"/>
      <c r="AG236" s="432"/>
      <c r="AH236" s="432"/>
      <c r="AI236" s="432"/>
      <c r="AJ236" s="432"/>
      <c r="AK236" s="432"/>
      <c r="AL236" s="432"/>
      <c r="AM236" s="432"/>
      <c r="AN236" s="432"/>
      <c r="AO236" s="432"/>
      <c r="AP236" s="432"/>
      <c r="AQ236" s="432"/>
      <c r="AR236" s="432"/>
      <c r="AS236" s="432"/>
      <c r="AT236" s="432"/>
      <c r="AU236" s="432"/>
      <c r="AV236" s="432"/>
      <c r="AW236" s="432"/>
      <c r="AX236" s="432"/>
      <c r="AY236" s="432"/>
      <c r="AZ236" s="432"/>
      <c r="BA236" s="432"/>
      <c r="BB236" s="432"/>
      <c r="BC236" s="432"/>
      <c r="BD236" s="432"/>
      <c r="BE236" s="432"/>
      <c r="BF236" s="432"/>
      <c r="BG236" s="432"/>
      <c r="BH236" s="432"/>
      <c r="BI236" s="432"/>
      <c r="BJ236" s="432"/>
      <c r="BK236" s="432"/>
      <c r="BL236" s="432"/>
      <c r="BM236" s="432"/>
      <c r="BN236" s="432"/>
      <c r="BO236" s="432"/>
      <c r="BP236" s="432"/>
      <c r="BQ236" s="432"/>
      <c r="BR236" s="432"/>
      <c r="BS236" s="432"/>
      <c r="BT236" s="432"/>
      <c r="BU236" s="432"/>
    </row>
    <row r="237" spans="1:125" s="434" customFormat="1" ht="56.25" customHeight="1" thickBot="1">
      <c r="A237" s="626" t="s">
        <v>772</v>
      </c>
      <c r="B237" s="462"/>
      <c r="C237" s="452"/>
      <c r="D237" s="452">
        <v>9000000</v>
      </c>
      <c r="E237" s="452">
        <v>2159999</v>
      </c>
      <c r="F237" s="336">
        <f>E237/D237</f>
        <v>0.2399998888888889</v>
      </c>
      <c r="G237" s="432"/>
      <c r="H237" s="432"/>
      <c r="I237" s="432"/>
      <c r="J237" s="432"/>
      <c r="K237" s="432"/>
      <c r="L237" s="432"/>
      <c r="M237" s="432"/>
      <c r="N237" s="432"/>
      <c r="O237" s="432"/>
      <c r="P237" s="432"/>
      <c r="Q237" s="432"/>
      <c r="R237" s="432"/>
      <c r="S237" s="432"/>
      <c r="T237" s="432"/>
      <c r="U237" s="432"/>
      <c r="V237" s="432"/>
      <c r="W237" s="432"/>
      <c r="X237" s="432"/>
      <c r="Y237" s="432"/>
      <c r="Z237" s="432"/>
      <c r="AA237" s="432"/>
      <c r="AB237" s="432"/>
      <c r="AC237" s="432"/>
      <c r="AD237" s="432"/>
      <c r="AE237" s="432"/>
      <c r="AF237" s="432"/>
      <c r="AG237" s="432"/>
      <c r="AH237" s="432"/>
      <c r="AI237" s="432"/>
      <c r="AJ237" s="432"/>
      <c r="AK237" s="432"/>
      <c r="AL237" s="432"/>
      <c r="AM237" s="432"/>
      <c r="AN237" s="432"/>
      <c r="AO237" s="432"/>
      <c r="AP237" s="432"/>
      <c r="AQ237" s="432"/>
      <c r="AR237" s="432"/>
      <c r="AS237" s="432"/>
      <c r="AT237" s="432"/>
      <c r="AU237" s="432"/>
      <c r="AV237" s="432"/>
      <c r="AW237" s="432"/>
      <c r="AX237" s="432"/>
      <c r="AY237" s="432"/>
      <c r="AZ237" s="432"/>
      <c r="BA237" s="432"/>
      <c r="BB237" s="432"/>
      <c r="BC237" s="432"/>
      <c r="BD237" s="432"/>
      <c r="BE237" s="432"/>
      <c r="BF237" s="432"/>
      <c r="BG237" s="432"/>
      <c r="BH237" s="432"/>
      <c r="BI237" s="432"/>
      <c r="BJ237" s="432"/>
      <c r="BK237" s="432"/>
      <c r="BL237" s="432"/>
      <c r="BM237" s="432"/>
      <c r="BN237" s="432"/>
      <c r="BO237" s="432"/>
      <c r="BP237" s="432"/>
      <c r="BQ237" s="432"/>
      <c r="BR237" s="432"/>
      <c r="BS237" s="432"/>
      <c r="BT237" s="432"/>
      <c r="BU237" s="432"/>
    </row>
    <row r="238" spans="1:125" s="299" customFormat="1" ht="31.5" customHeight="1" thickBot="1">
      <c r="A238" s="680" t="s">
        <v>549</v>
      </c>
      <c r="B238" s="681"/>
      <c r="C238" s="682">
        <f>SUM(C204:C218)</f>
        <v>89207000</v>
      </c>
      <c r="D238" s="682">
        <f>SUM(D204:D237)</f>
        <v>505535768</v>
      </c>
      <c r="E238" s="682">
        <f>SUM(E204:E237)</f>
        <v>151567308</v>
      </c>
      <c r="F238" s="729">
        <f>E238/D238</f>
        <v>0.29981520120649502</v>
      </c>
      <c r="G238" s="441"/>
      <c r="H238" s="441"/>
      <c r="I238" s="441"/>
      <c r="J238" s="441"/>
      <c r="K238" s="441"/>
      <c r="L238" s="441"/>
      <c r="M238" s="441"/>
      <c r="N238" s="441"/>
      <c r="O238" s="441"/>
      <c r="P238" s="441"/>
      <c r="Q238" s="441"/>
      <c r="R238" s="441"/>
      <c r="S238" s="441"/>
      <c r="T238" s="441"/>
      <c r="U238" s="441"/>
      <c r="V238" s="441"/>
      <c r="W238" s="441"/>
      <c r="X238" s="441"/>
      <c r="Y238" s="441"/>
      <c r="Z238" s="441"/>
      <c r="AA238" s="441"/>
      <c r="AB238" s="441"/>
      <c r="AC238" s="441"/>
      <c r="AD238" s="441"/>
      <c r="AE238" s="441"/>
      <c r="AF238" s="441"/>
      <c r="AG238" s="441"/>
      <c r="AH238" s="441"/>
      <c r="AI238" s="441"/>
      <c r="AJ238" s="441"/>
      <c r="AK238" s="441"/>
      <c r="AL238" s="441"/>
      <c r="AM238" s="441"/>
      <c r="AN238" s="441"/>
      <c r="AO238" s="298"/>
    </row>
    <row r="239" spans="1:125" s="299" customFormat="1" ht="31.5" customHeight="1" thickBot="1">
      <c r="A239" s="321"/>
      <c r="B239" s="322"/>
      <c r="C239" s="324"/>
      <c r="D239" s="683"/>
      <c r="E239" s="683"/>
      <c r="F239" s="730"/>
      <c r="G239" s="441"/>
      <c r="H239" s="441"/>
      <c r="I239" s="441"/>
      <c r="J239" s="441"/>
      <c r="K239" s="441"/>
      <c r="L239" s="441"/>
      <c r="M239" s="441"/>
      <c r="N239" s="441"/>
      <c r="O239" s="441"/>
      <c r="P239" s="441"/>
      <c r="Q239" s="441"/>
      <c r="R239" s="441"/>
      <c r="S239" s="441"/>
      <c r="T239" s="441"/>
      <c r="U239" s="441"/>
      <c r="V239" s="441"/>
      <c r="W239" s="441"/>
      <c r="X239" s="441"/>
      <c r="Y239" s="441"/>
      <c r="Z239" s="441"/>
      <c r="AA239" s="441"/>
      <c r="AB239" s="441"/>
      <c r="AC239" s="441"/>
      <c r="AD239" s="441"/>
      <c r="AE239" s="441"/>
      <c r="AF239" s="441"/>
      <c r="AG239" s="441"/>
      <c r="AH239" s="441"/>
      <c r="AI239" s="441"/>
      <c r="AJ239" s="441"/>
      <c r="AK239" s="441"/>
      <c r="AL239" s="441"/>
      <c r="AM239" s="441"/>
      <c r="AN239" s="441"/>
      <c r="AO239" s="298"/>
    </row>
    <row r="240" spans="1:125" s="295" customFormat="1" ht="66.75" customHeight="1" thickBot="1">
      <c r="A240" s="672" t="s">
        <v>463</v>
      </c>
      <c r="B240" s="686"/>
      <c r="C240" s="674" t="s">
        <v>350</v>
      </c>
      <c r="D240" s="687" t="s">
        <v>351</v>
      </c>
      <c r="E240" s="674" t="s">
        <v>288</v>
      </c>
      <c r="F240" s="727" t="s">
        <v>289</v>
      </c>
      <c r="G240" s="293"/>
      <c r="H240" s="293"/>
      <c r="I240" s="293"/>
      <c r="J240" s="293"/>
      <c r="K240" s="293"/>
      <c r="L240" s="293"/>
      <c r="M240" s="293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  <c r="AA240" s="293"/>
      <c r="AB240" s="293"/>
      <c r="AC240" s="293"/>
      <c r="AD240" s="293"/>
      <c r="AE240" s="293"/>
      <c r="AF240" s="293"/>
      <c r="AG240" s="293"/>
      <c r="AH240" s="293"/>
      <c r="AI240" s="293"/>
      <c r="AJ240" s="293"/>
      <c r="AK240" s="293"/>
      <c r="AL240" s="293"/>
      <c r="AM240" s="293"/>
      <c r="AN240" s="293"/>
      <c r="AO240" s="294"/>
    </row>
    <row r="241" spans="1:125" s="295" customFormat="1" ht="33" customHeight="1" thickBot="1">
      <c r="A241" s="675" t="s">
        <v>550</v>
      </c>
      <c r="B241" s="676"/>
      <c r="C241" s="678"/>
      <c r="D241" s="678"/>
      <c r="E241" s="678"/>
      <c r="F241" s="728"/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  <c r="AA241" s="293"/>
      <c r="AB241" s="293"/>
      <c r="AC241" s="293"/>
      <c r="AD241" s="293"/>
      <c r="AE241" s="293"/>
      <c r="AF241" s="293"/>
      <c r="AG241" s="293"/>
      <c r="AH241" s="293"/>
      <c r="AI241" s="293"/>
      <c r="AJ241" s="293"/>
      <c r="AK241" s="293"/>
      <c r="AL241" s="293"/>
      <c r="AM241" s="293"/>
      <c r="AN241" s="293"/>
      <c r="AO241" s="294"/>
    </row>
    <row r="242" spans="1:125" s="466" customFormat="1" ht="55.5" customHeight="1" thickBot="1">
      <c r="A242" s="887" t="s">
        <v>790</v>
      </c>
      <c r="B242" s="888"/>
      <c r="C242" s="467">
        <v>24406000</v>
      </c>
      <c r="D242" s="467">
        <f>SUM(B243:B244)</f>
        <v>23693055</v>
      </c>
      <c r="E242" s="467">
        <v>20519941</v>
      </c>
      <c r="F242" s="336">
        <f t="shared" ref="F242" si="10">E242/D242</f>
        <v>0.86607408795531016</v>
      </c>
      <c r="G242" s="444"/>
      <c r="H242" s="444"/>
      <c r="I242" s="444"/>
      <c r="J242" s="444"/>
      <c r="K242" s="444"/>
      <c r="L242" s="444"/>
      <c r="M242" s="444"/>
      <c r="N242" s="444"/>
      <c r="O242" s="444"/>
      <c r="P242" s="444"/>
      <c r="Q242" s="444"/>
      <c r="R242" s="444"/>
      <c r="S242" s="444"/>
      <c r="T242" s="444"/>
      <c r="U242" s="444"/>
      <c r="V242" s="444"/>
      <c r="W242" s="444"/>
      <c r="X242" s="444"/>
      <c r="Y242" s="444"/>
      <c r="Z242" s="444"/>
      <c r="AA242" s="444"/>
      <c r="AB242" s="444"/>
      <c r="AC242" s="444"/>
      <c r="AD242" s="444"/>
      <c r="AE242" s="444"/>
      <c r="AF242" s="444"/>
      <c r="AG242" s="444"/>
      <c r="AH242" s="444"/>
      <c r="AI242" s="444"/>
      <c r="AJ242" s="444"/>
      <c r="AK242" s="444"/>
      <c r="AL242" s="444"/>
      <c r="AM242" s="465"/>
      <c r="AP242" s="721"/>
      <c r="AQ242" s="444"/>
      <c r="AR242" s="444"/>
      <c r="AS242" s="444"/>
      <c r="AT242" s="444"/>
      <c r="AU242" s="444"/>
      <c r="AV242" s="444"/>
      <c r="AW242" s="444"/>
      <c r="AX242" s="444"/>
      <c r="AY242" s="444"/>
      <c r="AZ242" s="444"/>
      <c r="BA242" s="444"/>
      <c r="BB242" s="444"/>
      <c r="BC242" s="444"/>
      <c r="BD242" s="444"/>
      <c r="BE242" s="444"/>
      <c r="BF242" s="444"/>
      <c r="BG242" s="444"/>
      <c r="BH242" s="444"/>
      <c r="BI242" s="444"/>
      <c r="BJ242" s="444"/>
      <c r="BK242" s="444"/>
      <c r="BL242" s="444"/>
      <c r="BM242" s="444"/>
      <c r="BN242" s="444"/>
      <c r="BO242" s="444"/>
      <c r="BP242" s="444"/>
      <c r="BQ242" s="444"/>
      <c r="BR242" s="444"/>
      <c r="BS242" s="444"/>
      <c r="BT242" s="444"/>
      <c r="BU242" s="444"/>
      <c r="BV242" s="444"/>
      <c r="BW242" s="444"/>
      <c r="BX242" s="444"/>
      <c r="BY242" s="444"/>
      <c r="BZ242" s="444"/>
      <c r="CA242" s="444"/>
      <c r="CB242" s="444"/>
      <c r="CC242" s="444"/>
      <c r="CD242" s="444"/>
      <c r="CE242" s="444"/>
      <c r="CF242" s="444"/>
      <c r="CG242" s="444"/>
      <c r="CH242" s="444"/>
      <c r="CI242" s="444"/>
      <c r="CJ242" s="444"/>
      <c r="CK242" s="444"/>
      <c r="CL242" s="444"/>
      <c r="CM242" s="444"/>
      <c r="CN242" s="444"/>
      <c r="CO242" s="444"/>
      <c r="CP242" s="444"/>
      <c r="CQ242" s="444"/>
      <c r="CR242" s="444"/>
      <c r="CS242" s="444"/>
      <c r="CT242" s="444"/>
      <c r="CU242" s="444"/>
      <c r="CV242" s="444"/>
      <c r="CW242" s="444"/>
      <c r="CX242" s="444"/>
      <c r="CY242" s="444"/>
      <c r="CZ242" s="444"/>
      <c r="DA242" s="444"/>
      <c r="DB242" s="444"/>
      <c r="DC242" s="444"/>
      <c r="DD242" s="444"/>
      <c r="DE242" s="444"/>
      <c r="DF242" s="444"/>
      <c r="DG242" s="444"/>
      <c r="DH242" s="444"/>
      <c r="DI242" s="444"/>
      <c r="DJ242" s="444"/>
      <c r="DK242" s="444"/>
      <c r="DL242" s="444"/>
      <c r="DM242" s="444"/>
      <c r="DN242" s="444"/>
      <c r="DO242" s="444"/>
      <c r="DP242" s="444"/>
      <c r="DQ242" s="444"/>
      <c r="DR242" s="444"/>
      <c r="DS242" s="444"/>
      <c r="DT242" s="444"/>
      <c r="DU242" s="444"/>
    </row>
    <row r="243" spans="1:125" s="434" customFormat="1" ht="24" customHeight="1" thickBot="1">
      <c r="A243" s="453" t="s">
        <v>496</v>
      </c>
      <c r="B243" s="457">
        <f>20606000-337-712608</f>
        <v>19893055</v>
      </c>
      <c r="C243" s="452"/>
      <c r="D243" s="452"/>
      <c r="E243" s="452"/>
      <c r="F243" s="336"/>
      <c r="G243" s="432"/>
      <c r="H243" s="432"/>
      <c r="I243" s="432"/>
      <c r="J243" s="432"/>
      <c r="K243" s="432"/>
      <c r="L243" s="432"/>
      <c r="M243" s="432"/>
      <c r="N243" s="432"/>
      <c r="O243" s="432"/>
      <c r="P243" s="432"/>
      <c r="Q243" s="432"/>
      <c r="R243" s="432"/>
      <c r="S243" s="432"/>
      <c r="T243" s="432"/>
      <c r="U243" s="432"/>
      <c r="V243" s="432"/>
      <c r="W243" s="432"/>
      <c r="X243" s="432"/>
      <c r="Y243" s="432"/>
      <c r="Z243" s="432"/>
      <c r="AA243" s="432"/>
      <c r="AB243" s="432"/>
      <c r="AC243" s="432"/>
      <c r="AD243" s="432"/>
      <c r="AE243" s="432"/>
      <c r="AF243" s="432"/>
      <c r="AG243" s="432"/>
      <c r="AH243" s="432"/>
      <c r="AI243" s="432"/>
      <c r="AJ243" s="432"/>
      <c r="AK243" s="432"/>
      <c r="AL243" s="432"/>
      <c r="AM243" s="433"/>
      <c r="AP243" s="679"/>
      <c r="AQ243" s="432"/>
      <c r="AR243" s="432"/>
      <c r="AS243" s="432"/>
      <c r="AT243" s="432"/>
      <c r="AU243" s="432"/>
      <c r="AV243" s="432"/>
      <c r="AW243" s="432"/>
      <c r="AX243" s="432"/>
      <c r="AY243" s="432"/>
      <c r="AZ243" s="432"/>
      <c r="BA243" s="432"/>
      <c r="BB243" s="432"/>
      <c r="BC243" s="432"/>
      <c r="BD243" s="432"/>
      <c r="BE243" s="432"/>
      <c r="BF243" s="432"/>
      <c r="BG243" s="432"/>
      <c r="BH243" s="432"/>
      <c r="BI243" s="432"/>
      <c r="BJ243" s="432"/>
      <c r="BK243" s="432"/>
      <c r="BL243" s="432"/>
      <c r="BM243" s="432"/>
      <c r="BN243" s="432"/>
      <c r="BO243" s="432"/>
      <c r="BP243" s="432"/>
      <c r="BQ243" s="432"/>
      <c r="BR243" s="432"/>
      <c r="BS243" s="432"/>
      <c r="BT243" s="432"/>
      <c r="BU243" s="432"/>
      <c r="BV243" s="432"/>
      <c r="BW243" s="432"/>
      <c r="BX243" s="432"/>
      <c r="BY243" s="432"/>
      <c r="BZ243" s="432"/>
      <c r="CA243" s="432"/>
      <c r="CB243" s="432"/>
      <c r="CC243" s="432"/>
      <c r="CD243" s="432"/>
      <c r="CE243" s="432"/>
      <c r="CF243" s="432"/>
      <c r="CG243" s="432"/>
      <c r="CH243" s="432"/>
      <c r="CI243" s="432"/>
      <c r="CJ243" s="432"/>
      <c r="CK243" s="432"/>
      <c r="CL243" s="432"/>
      <c r="CM243" s="432"/>
      <c r="CN243" s="432"/>
      <c r="CO243" s="432"/>
      <c r="CP243" s="432"/>
      <c r="CQ243" s="432"/>
      <c r="CR243" s="432"/>
      <c r="CS243" s="432"/>
      <c r="CT243" s="432"/>
      <c r="CU243" s="432"/>
      <c r="CV243" s="432"/>
      <c r="CW243" s="432"/>
      <c r="CX243" s="432"/>
      <c r="CY243" s="432"/>
      <c r="CZ243" s="432"/>
      <c r="DA243" s="432"/>
      <c r="DB243" s="432"/>
      <c r="DC243" s="432"/>
      <c r="DD243" s="432"/>
      <c r="DE243" s="432"/>
      <c r="DF243" s="432"/>
      <c r="DG243" s="432"/>
      <c r="DH243" s="432"/>
      <c r="DI243" s="432"/>
      <c r="DJ243" s="432"/>
      <c r="DK243" s="432"/>
      <c r="DL243" s="432"/>
      <c r="DM243" s="432"/>
      <c r="DN243" s="432"/>
      <c r="DO243" s="432"/>
      <c r="DP243" s="432"/>
      <c r="DQ243" s="432"/>
      <c r="DR243" s="432"/>
      <c r="DS243" s="432"/>
      <c r="DT243" s="432"/>
      <c r="DU243" s="432"/>
    </row>
    <row r="244" spans="1:125" s="434" customFormat="1" ht="24" customHeight="1" thickBot="1">
      <c r="A244" s="453" t="s">
        <v>497</v>
      </c>
      <c r="B244" s="457">
        <f>3800000-3800000+3800000</f>
        <v>3800000</v>
      </c>
      <c r="C244" s="452"/>
      <c r="D244" s="452"/>
      <c r="E244" s="452"/>
      <c r="F244" s="336"/>
      <c r="G244" s="432"/>
      <c r="H244" s="432"/>
      <c r="I244" s="432"/>
      <c r="J244" s="432"/>
      <c r="K244" s="432"/>
      <c r="L244" s="432"/>
      <c r="M244" s="432"/>
      <c r="N244" s="432"/>
      <c r="O244" s="432"/>
      <c r="P244" s="432"/>
      <c r="Q244" s="432"/>
      <c r="R244" s="432"/>
      <c r="S244" s="432"/>
      <c r="T244" s="432"/>
      <c r="U244" s="432"/>
      <c r="V244" s="432"/>
      <c r="W244" s="432"/>
      <c r="X244" s="432"/>
      <c r="Y244" s="432"/>
      <c r="Z244" s="432"/>
      <c r="AA244" s="432"/>
      <c r="AB244" s="432"/>
      <c r="AC244" s="432"/>
      <c r="AD244" s="432"/>
      <c r="AE244" s="432"/>
      <c r="AF244" s="432"/>
      <c r="AG244" s="432"/>
      <c r="AH244" s="432"/>
      <c r="AI244" s="432"/>
      <c r="AJ244" s="432"/>
      <c r="AK244" s="432"/>
      <c r="AL244" s="432"/>
      <c r="AM244" s="433"/>
      <c r="AP244" s="679"/>
      <c r="AQ244" s="432"/>
      <c r="AR244" s="432"/>
      <c r="AS244" s="432"/>
      <c r="AT244" s="432"/>
      <c r="AU244" s="432"/>
      <c r="AV244" s="432"/>
      <c r="AW244" s="432"/>
      <c r="AX244" s="432"/>
      <c r="AY244" s="432"/>
      <c r="AZ244" s="432"/>
      <c r="BA244" s="432"/>
      <c r="BB244" s="432"/>
      <c r="BC244" s="432"/>
      <c r="BD244" s="432"/>
      <c r="BE244" s="432"/>
      <c r="BF244" s="432"/>
      <c r="BG244" s="432"/>
      <c r="BH244" s="432"/>
      <c r="BI244" s="432"/>
      <c r="BJ244" s="432"/>
      <c r="BK244" s="432"/>
      <c r="BL244" s="432"/>
      <c r="BM244" s="432"/>
      <c r="BN244" s="432"/>
      <c r="BO244" s="432"/>
      <c r="BP244" s="432"/>
      <c r="BQ244" s="432"/>
      <c r="BR244" s="432"/>
      <c r="BS244" s="432"/>
      <c r="BT244" s="432"/>
      <c r="BU244" s="432"/>
      <c r="BV244" s="432"/>
      <c r="BW244" s="432"/>
      <c r="BX244" s="432"/>
      <c r="BY244" s="432"/>
      <c r="BZ244" s="432"/>
      <c r="CA244" s="432"/>
      <c r="CB244" s="432"/>
      <c r="CC244" s="432"/>
      <c r="CD244" s="432"/>
      <c r="CE244" s="432"/>
      <c r="CF244" s="432"/>
      <c r="CG244" s="432"/>
      <c r="CH244" s="432"/>
      <c r="CI244" s="432"/>
      <c r="CJ244" s="432"/>
      <c r="CK244" s="432"/>
      <c r="CL244" s="432"/>
      <c r="CM244" s="432"/>
      <c r="CN244" s="432"/>
      <c r="CO244" s="432"/>
      <c r="CP244" s="432"/>
      <c r="CQ244" s="432"/>
      <c r="CR244" s="432"/>
      <c r="CS244" s="432"/>
      <c r="CT244" s="432"/>
      <c r="CU244" s="432"/>
      <c r="CV244" s="432"/>
      <c r="CW244" s="432"/>
      <c r="CX244" s="432"/>
      <c r="CY244" s="432"/>
      <c r="CZ244" s="432"/>
      <c r="DA244" s="432"/>
      <c r="DB244" s="432"/>
      <c r="DC244" s="432"/>
      <c r="DD244" s="432"/>
      <c r="DE244" s="432"/>
      <c r="DF244" s="432"/>
      <c r="DG244" s="432"/>
      <c r="DH244" s="432"/>
      <c r="DI244" s="432"/>
      <c r="DJ244" s="432"/>
      <c r="DK244" s="432"/>
      <c r="DL244" s="432"/>
      <c r="DM244" s="432"/>
      <c r="DN244" s="432"/>
      <c r="DO244" s="432"/>
      <c r="DP244" s="432"/>
      <c r="DQ244" s="432"/>
      <c r="DR244" s="432"/>
      <c r="DS244" s="432"/>
      <c r="DT244" s="432"/>
      <c r="DU244" s="432"/>
    </row>
    <row r="245" spans="1:125" s="434" customFormat="1" ht="72.75" customHeight="1" thickBot="1">
      <c r="A245" s="885" t="s">
        <v>844</v>
      </c>
      <c r="B245" s="886"/>
      <c r="C245" s="452">
        <v>2000000</v>
      </c>
      <c r="D245" s="452">
        <f>2000000+6096000</f>
        <v>8096000</v>
      </c>
      <c r="E245" s="452">
        <v>8096000</v>
      </c>
      <c r="F245" s="732">
        <f>E245/D245</f>
        <v>1</v>
      </c>
      <c r="G245" s="432"/>
      <c r="H245" s="432"/>
      <c r="I245" s="432"/>
      <c r="J245" s="432"/>
      <c r="K245" s="432"/>
      <c r="L245" s="432"/>
      <c r="M245" s="432"/>
      <c r="N245" s="432"/>
      <c r="O245" s="432"/>
      <c r="P245" s="432"/>
      <c r="Q245" s="432"/>
      <c r="R245" s="432"/>
      <c r="S245" s="432"/>
      <c r="T245" s="432"/>
      <c r="U245" s="432"/>
      <c r="V245" s="432"/>
      <c r="W245" s="432"/>
      <c r="X245" s="432"/>
      <c r="Y245" s="432"/>
      <c r="Z245" s="432"/>
      <c r="AA245" s="432"/>
      <c r="AB245" s="432"/>
      <c r="AC245" s="432"/>
      <c r="AD245" s="432"/>
      <c r="AE245" s="432"/>
      <c r="AF245" s="432"/>
      <c r="AG245" s="432"/>
      <c r="AH245" s="432"/>
      <c r="AI245" s="432"/>
      <c r="AJ245" s="432"/>
      <c r="AK245" s="432"/>
      <c r="AL245" s="432"/>
      <c r="AM245" s="433"/>
      <c r="AP245" s="679"/>
      <c r="AQ245" s="432"/>
      <c r="AR245" s="432"/>
      <c r="AS245" s="432"/>
      <c r="AT245" s="432"/>
      <c r="AU245" s="432"/>
      <c r="AV245" s="432"/>
      <c r="AW245" s="432"/>
      <c r="AX245" s="432"/>
      <c r="AY245" s="432"/>
      <c r="AZ245" s="432"/>
      <c r="BA245" s="432"/>
      <c r="BB245" s="432"/>
      <c r="BC245" s="432"/>
      <c r="BD245" s="432"/>
      <c r="BE245" s="432"/>
      <c r="BF245" s="432"/>
      <c r="BG245" s="432"/>
      <c r="BH245" s="432"/>
      <c r="BI245" s="432"/>
      <c r="BJ245" s="432"/>
      <c r="BK245" s="432"/>
      <c r="BL245" s="432"/>
      <c r="BM245" s="432"/>
      <c r="BN245" s="432"/>
      <c r="BO245" s="432"/>
      <c r="BP245" s="432"/>
      <c r="BQ245" s="432"/>
      <c r="BR245" s="432"/>
      <c r="BS245" s="432"/>
      <c r="BT245" s="432"/>
      <c r="BU245" s="432"/>
      <c r="BV245" s="432"/>
      <c r="BW245" s="432"/>
      <c r="BX245" s="432"/>
      <c r="BY245" s="432"/>
      <c r="BZ245" s="432"/>
      <c r="CA245" s="432"/>
      <c r="CB245" s="432"/>
      <c r="CC245" s="432"/>
      <c r="CD245" s="432"/>
      <c r="CE245" s="432"/>
      <c r="CF245" s="432"/>
      <c r="CG245" s="432"/>
      <c r="CH245" s="432"/>
      <c r="CI245" s="432"/>
      <c r="CJ245" s="432"/>
      <c r="CK245" s="432"/>
      <c r="CL245" s="432"/>
      <c r="CM245" s="432"/>
      <c r="CN245" s="432"/>
      <c r="CO245" s="432"/>
      <c r="CP245" s="432"/>
      <c r="CQ245" s="432"/>
      <c r="CR245" s="432"/>
      <c r="CS245" s="432"/>
      <c r="CT245" s="432"/>
      <c r="CU245" s="432"/>
      <c r="CV245" s="432"/>
      <c r="CW245" s="432"/>
      <c r="CX245" s="432"/>
      <c r="CY245" s="432"/>
      <c r="CZ245" s="432"/>
      <c r="DA245" s="432"/>
      <c r="DB245" s="432"/>
      <c r="DC245" s="432"/>
      <c r="DD245" s="432"/>
      <c r="DE245" s="432"/>
      <c r="DF245" s="432"/>
      <c r="DG245" s="432"/>
      <c r="DH245" s="432"/>
      <c r="DI245" s="432"/>
      <c r="DJ245" s="432"/>
      <c r="DK245" s="432"/>
      <c r="DL245" s="432"/>
      <c r="DM245" s="432"/>
      <c r="DN245" s="432"/>
      <c r="DO245" s="432"/>
      <c r="DP245" s="432"/>
      <c r="DQ245" s="432"/>
      <c r="DR245" s="432"/>
      <c r="DS245" s="432"/>
      <c r="DT245" s="432"/>
      <c r="DU245" s="432"/>
    </row>
    <row r="246" spans="1:125" s="699" customFormat="1" ht="28.5" customHeight="1">
      <c r="A246" s="626" t="s">
        <v>495</v>
      </c>
      <c r="B246" s="694"/>
      <c r="C246" s="452"/>
      <c r="D246" s="452">
        <v>2540000</v>
      </c>
      <c r="E246" s="452">
        <f>2540000</f>
        <v>2540000</v>
      </c>
      <c r="F246" s="732">
        <f>E246/D246</f>
        <v>1</v>
      </c>
      <c r="G246" s="426"/>
      <c r="H246" s="426"/>
      <c r="I246" s="426"/>
      <c r="J246" s="426"/>
      <c r="K246" s="426"/>
      <c r="L246" s="426"/>
      <c r="M246" s="426"/>
      <c r="N246" s="426"/>
      <c r="O246" s="426"/>
      <c r="P246" s="426"/>
      <c r="Q246" s="426"/>
      <c r="R246" s="426"/>
      <c r="S246" s="426"/>
      <c r="T246" s="426"/>
      <c r="U246" s="426"/>
      <c r="V246" s="426"/>
      <c r="W246" s="426"/>
      <c r="X246" s="426"/>
      <c r="Y246" s="426"/>
      <c r="Z246" s="426"/>
      <c r="AA246" s="426"/>
      <c r="AB246" s="426"/>
      <c r="AC246" s="426"/>
      <c r="AD246" s="426"/>
      <c r="AE246" s="426"/>
      <c r="AF246" s="426"/>
      <c r="AG246" s="426"/>
      <c r="AH246" s="426"/>
      <c r="AI246" s="426"/>
      <c r="AJ246" s="426"/>
      <c r="AK246" s="426"/>
      <c r="AL246" s="426"/>
      <c r="AM246" s="695"/>
      <c r="AN246" s="696"/>
      <c r="AO246" s="696"/>
      <c r="AP246" s="697"/>
      <c r="AQ246" s="426"/>
      <c r="AR246" s="426"/>
      <c r="AS246" s="426"/>
      <c r="AT246" s="426"/>
      <c r="AU246" s="426"/>
      <c r="AV246" s="426"/>
      <c r="AW246" s="426"/>
      <c r="AX246" s="698"/>
      <c r="AY246" s="698"/>
      <c r="AZ246" s="698"/>
      <c r="BA246" s="698"/>
      <c r="BB246" s="698"/>
      <c r="BC246" s="698"/>
      <c r="BD246" s="698"/>
      <c r="BE246" s="698"/>
      <c r="BF246" s="698"/>
      <c r="BG246" s="698"/>
      <c r="BH246" s="698"/>
      <c r="BI246" s="698"/>
      <c r="BJ246" s="698"/>
      <c r="BK246" s="698"/>
      <c r="BL246" s="698"/>
      <c r="BM246" s="698"/>
      <c r="BN246" s="698"/>
      <c r="BO246" s="698"/>
      <c r="BP246" s="698"/>
      <c r="BQ246" s="698"/>
      <c r="BR246" s="698"/>
      <c r="BS246" s="698"/>
      <c r="BT246" s="698"/>
      <c r="BU246" s="698"/>
      <c r="BV246" s="698"/>
      <c r="BW246" s="698"/>
      <c r="BX246" s="698"/>
      <c r="BY246" s="698"/>
      <c r="BZ246" s="698"/>
      <c r="CA246" s="698"/>
      <c r="CB246" s="698"/>
      <c r="CC246" s="698"/>
      <c r="CD246" s="698"/>
      <c r="CE246" s="698"/>
      <c r="CF246" s="698"/>
      <c r="CG246" s="698"/>
      <c r="CH246" s="698"/>
      <c r="CI246" s="698"/>
      <c r="CJ246" s="698"/>
      <c r="CK246" s="698"/>
      <c r="CL246" s="698"/>
      <c r="CM246" s="698"/>
      <c r="CN246" s="698"/>
      <c r="CO246" s="698"/>
      <c r="CP246" s="698"/>
      <c r="CQ246" s="698"/>
      <c r="CR246" s="698"/>
      <c r="CS246" s="698"/>
      <c r="CT246" s="698"/>
      <c r="CU246" s="698"/>
      <c r="CV246" s="698"/>
      <c r="CW246" s="698"/>
      <c r="CX246" s="698"/>
      <c r="CY246" s="698"/>
      <c r="CZ246" s="698"/>
      <c r="DA246" s="698"/>
      <c r="DB246" s="698"/>
      <c r="DC246" s="698"/>
      <c r="DD246" s="698"/>
      <c r="DE246" s="698"/>
      <c r="DF246" s="698"/>
      <c r="DG246" s="698"/>
      <c r="DH246" s="698"/>
      <c r="DI246" s="698"/>
      <c r="DJ246" s="698"/>
      <c r="DK246" s="698"/>
      <c r="DL246" s="698"/>
      <c r="DM246" s="698"/>
      <c r="DN246" s="698"/>
      <c r="DO246" s="698"/>
      <c r="DP246" s="698"/>
      <c r="DQ246" s="698"/>
      <c r="DR246" s="698"/>
      <c r="DS246" s="698"/>
      <c r="DT246" s="698"/>
      <c r="DU246" s="698"/>
    </row>
    <row r="247" spans="1:125" s="699" customFormat="1" ht="34.5" customHeight="1">
      <c r="A247" s="453" t="s">
        <v>840</v>
      </c>
      <c r="B247" s="325">
        <f>2540000</f>
        <v>2540000</v>
      </c>
      <c r="C247" s="456"/>
      <c r="D247" s="456"/>
      <c r="E247" s="456"/>
      <c r="F247" s="338"/>
      <c r="G247" s="426"/>
      <c r="H247" s="426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  <c r="U247" s="426"/>
      <c r="V247" s="426"/>
      <c r="W247" s="426"/>
      <c r="X247" s="426"/>
      <c r="Y247" s="426"/>
      <c r="Z247" s="426"/>
      <c r="AA247" s="426"/>
      <c r="AB247" s="426"/>
      <c r="AC247" s="426"/>
      <c r="AD247" s="426"/>
      <c r="AE247" s="426"/>
      <c r="AF247" s="426"/>
      <c r="AG247" s="426"/>
      <c r="AH247" s="426"/>
      <c r="AI247" s="426"/>
      <c r="AJ247" s="426"/>
      <c r="AK247" s="426"/>
      <c r="AL247" s="426"/>
      <c r="AM247" s="695"/>
      <c r="AN247" s="696"/>
      <c r="AO247" s="696"/>
      <c r="AP247" s="697"/>
      <c r="AQ247" s="426"/>
      <c r="AR247" s="426"/>
      <c r="AS247" s="426"/>
      <c r="AT247" s="426"/>
      <c r="AU247" s="426"/>
      <c r="AV247" s="426"/>
      <c r="AW247" s="426"/>
      <c r="AX247" s="698"/>
      <c r="AY247" s="698"/>
      <c r="AZ247" s="698"/>
      <c r="BA247" s="698"/>
      <c r="BB247" s="698"/>
      <c r="BC247" s="698"/>
      <c r="BD247" s="698"/>
      <c r="BE247" s="698"/>
      <c r="BF247" s="698"/>
      <c r="BG247" s="698"/>
      <c r="BH247" s="698"/>
      <c r="BI247" s="698"/>
      <c r="BJ247" s="698"/>
      <c r="BK247" s="698"/>
      <c r="BL247" s="698"/>
      <c r="BM247" s="698"/>
      <c r="BN247" s="698"/>
      <c r="BO247" s="698"/>
      <c r="BP247" s="698"/>
      <c r="BQ247" s="698"/>
      <c r="BR247" s="698"/>
      <c r="BS247" s="698"/>
      <c r="BT247" s="698"/>
      <c r="BU247" s="698"/>
      <c r="BV247" s="698"/>
      <c r="BW247" s="698"/>
      <c r="BX247" s="698"/>
      <c r="BY247" s="698"/>
      <c r="BZ247" s="698"/>
      <c r="CA247" s="698"/>
      <c r="CB247" s="698"/>
      <c r="CC247" s="698"/>
      <c r="CD247" s="698"/>
      <c r="CE247" s="698"/>
      <c r="CF247" s="698"/>
      <c r="CG247" s="698"/>
      <c r="CH247" s="698"/>
      <c r="CI247" s="698"/>
      <c r="CJ247" s="698"/>
      <c r="CK247" s="698"/>
      <c r="CL247" s="698"/>
      <c r="CM247" s="698"/>
      <c r="CN247" s="698"/>
      <c r="CO247" s="698"/>
      <c r="CP247" s="698"/>
      <c r="CQ247" s="698"/>
      <c r="CR247" s="698"/>
      <c r="CS247" s="698"/>
      <c r="CT247" s="698"/>
      <c r="CU247" s="698"/>
      <c r="CV247" s="698"/>
      <c r="CW247" s="698"/>
      <c r="CX247" s="698"/>
      <c r="CY247" s="698"/>
      <c r="CZ247" s="698"/>
      <c r="DA247" s="698"/>
      <c r="DB247" s="698"/>
      <c r="DC247" s="698"/>
      <c r="DD247" s="698"/>
      <c r="DE247" s="698"/>
      <c r="DF247" s="698"/>
      <c r="DG247" s="698"/>
      <c r="DH247" s="698"/>
      <c r="DI247" s="698"/>
      <c r="DJ247" s="698"/>
      <c r="DK247" s="698"/>
      <c r="DL247" s="698"/>
      <c r="DM247" s="698"/>
      <c r="DN247" s="698"/>
      <c r="DO247" s="698"/>
      <c r="DP247" s="698"/>
      <c r="DQ247" s="698"/>
      <c r="DR247" s="698"/>
      <c r="DS247" s="698"/>
      <c r="DT247" s="698"/>
      <c r="DU247" s="698"/>
    </row>
    <row r="248" spans="1:125" s="699" customFormat="1" ht="34.5" customHeight="1" thickBot="1">
      <c r="A248" s="453" t="s">
        <v>779</v>
      </c>
      <c r="B248" s="325">
        <f>6190000-6190000</f>
        <v>0</v>
      </c>
      <c r="C248" s="456"/>
      <c r="D248" s="456"/>
      <c r="E248" s="456"/>
      <c r="F248" s="338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  <c r="U248" s="426"/>
      <c r="V248" s="426"/>
      <c r="W248" s="426"/>
      <c r="X248" s="426"/>
      <c r="Y248" s="426"/>
      <c r="Z248" s="426"/>
      <c r="AA248" s="426"/>
      <c r="AB248" s="426"/>
      <c r="AC248" s="426"/>
      <c r="AD248" s="426"/>
      <c r="AE248" s="426"/>
      <c r="AF248" s="426"/>
      <c r="AG248" s="426"/>
      <c r="AH248" s="426"/>
      <c r="AI248" s="426"/>
      <c r="AJ248" s="426"/>
      <c r="AK248" s="426"/>
      <c r="AL248" s="426"/>
      <c r="AM248" s="695"/>
      <c r="AN248" s="696"/>
      <c r="AO248" s="696"/>
      <c r="AP248" s="697"/>
      <c r="AQ248" s="300"/>
      <c r="AR248" s="426"/>
      <c r="AS248" s="426"/>
      <c r="AT248" s="426"/>
      <c r="AU248" s="426"/>
      <c r="AV248" s="426"/>
      <c r="AW248" s="426"/>
      <c r="AX248" s="698"/>
      <c r="AY248" s="698"/>
      <c r="AZ248" s="698"/>
      <c r="BA248" s="698"/>
      <c r="BB248" s="698"/>
      <c r="BC248" s="698"/>
      <c r="BD248" s="698"/>
      <c r="BE248" s="698"/>
      <c r="BF248" s="698"/>
      <c r="BG248" s="698"/>
      <c r="BH248" s="698"/>
      <c r="BI248" s="698"/>
      <c r="BJ248" s="698"/>
      <c r="BK248" s="698"/>
      <c r="BL248" s="698"/>
      <c r="BM248" s="698"/>
      <c r="BN248" s="698"/>
      <c r="BO248" s="698"/>
      <c r="BP248" s="698"/>
      <c r="BQ248" s="698"/>
      <c r="BR248" s="698"/>
      <c r="BS248" s="698"/>
      <c r="BT248" s="698"/>
      <c r="BU248" s="698"/>
      <c r="BV248" s="698"/>
      <c r="BW248" s="698"/>
      <c r="BX248" s="698"/>
      <c r="BY248" s="698"/>
      <c r="BZ248" s="698"/>
      <c r="CA248" s="698"/>
      <c r="CB248" s="698"/>
      <c r="CC248" s="698"/>
      <c r="CD248" s="698"/>
      <c r="CE248" s="698"/>
      <c r="CF248" s="698"/>
      <c r="CG248" s="698"/>
      <c r="CH248" s="698"/>
      <c r="CI248" s="698"/>
      <c r="CJ248" s="698"/>
      <c r="CK248" s="698"/>
      <c r="CL248" s="698"/>
      <c r="CM248" s="698"/>
      <c r="CN248" s="698"/>
      <c r="CO248" s="698"/>
      <c r="CP248" s="698"/>
      <c r="CQ248" s="698"/>
      <c r="CR248" s="698"/>
      <c r="CS248" s="698"/>
      <c r="CT248" s="698"/>
      <c r="CU248" s="698"/>
      <c r="CV248" s="698"/>
      <c r="CW248" s="698"/>
      <c r="CX248" s="698"/>
      <c r="CY248" s="698"/>
      <c r="CZ248" s="698"/>
      <c r="DA248" s="698"/>
      <c r="DB248" s="698"/>
      <c r="DC248" s="698"/>
      <c r="DD248" s="698"/>
      <c r="DE248" s="698"/>
      <c r="DF248" s="698"/>
      <c r="DG248" s="698"/>
      <c r="DH248" s="698"/>
      <c r="DI248" s="698"/>
      <c r="DJ248" s="698"/>
      <c r="DK248" s="698"/>
      <c r="DL248" s="698"/>
      <c r="DM248" s="698"/>
      <c r="DN248" s="698"/>
      <c r="DO248" s="698"/>
      <c r="DP248" s="698"/>
      <c r="DQ248" s="698"/>
      <c r="DR248" s="698"/>
      <c r="DS248" s="698"/>
      <c r="DT248" s="698"/>
      <c r="DU248" s="698"/>
    </row>
    <row r="249" spans="1:125" s="434" customFormat="1" ht="42" customHeight="1" thickBot="1">
      <c r="A249" s="626" t="s">
        <v>774</v>
      </c>
      <c r="B249" s="462"/>
      <c r="C249" s="452"/>
      <c r="D249" s="452">
        <f>460419+2103086+14633544+5164861</f>
        <v>22361910</v>
      </c>
      <c r="E249" s="452">
        <v>22361910</v>
      </c>
      <c r="F249" s="337">
        <f>E249/D249</f>
        <v>1</v>
      </c>
      <c r="G249" s="432"/>
      <c r="H249" s="432"/>
      <c r="I249" s="432"/>
      <c r="J249" s="432"/>
      <c r="K249" s="432"/>
      <c r="L249" s="432"/>
      <c r="M249" s="432"/>
      <c r="N249" s="432"/>
      <c r="O249" s="432"/>
      <c r="P249" s="432"/>
      <c r="Q249" s="432"/>
      <c r="R249" s="432"/>
      <c r="S249" s="432"/>
      <c r="T249" s="432"/>
      <c r="U249" s="432"/>
      <c r="V249" s="432"/>
      <c r="W249" s="432"/>
      <c r="X249" s="432"/>
      <c r="Y249" s="432"/>
      <c r="Z249" s="432"/>
      <c r="AA249" s="432"/>
      <c r="AB249" s="432"/>
      <c r="AC249" s="432"/>
      <c r="AD249" s="432"/>
      <c r="AE249" s="432"/>
      <c r="AF249" s="432"/>
      <c r="AG249" s="432"/>
      <c r="AH249" s="432"/>
      <c r="AI249" s="432"/>
      <c r="AJ249" s="432"/>
      <c r="AK249" s="432"/>
      <c r="AL249" s="432"/>
      <c r="AM249" s="432"/>
      <c r="AN249" s="432"/>
      <c r="AO249" s="432"/>
      <c r="AP249" s="432"/>
      <c r="AQ249" s="432"/>
      <c r="AR249" s="432"/>
      <c r="AS249" s="432"/>
      <c r="AT249" s="432"/>
      <c r="AU249" s="432"/>
      <c r="AV249" s="432"/>
      <c r="AW249" s="432"/>
      <c r="AX249" s="432"/>
      <c r="AY249" s="432"/>
      <c r="AZ249" s="432"/>
      <c r="BA249" s="432"/>
      <c r="BB249" s="432"/>
      <c r="BC249" s="432"/>
      <c r="BD249" s="432"/>
      <c r="BE249" s="432"/>
      <c r="BF249" s="432"/>
      <c r="BG249" s="432"/>
      <c r="BH249" s="432"/>
      <c r="BI249" s="432"/>
      <c r="BJ249" s="432"/>
      <c r="BK249" s="432"/>
      <c r="BL249" s="432"/>
      <c r="BM249" s="432"/>
      <c r="BN249" s="432"/>
      <c r="BO249" s="432"/>
      <c r="BP249" s="432"/>
      <c r="BQ249" s="432"/>
      <c r="BR249" s="432"/>
      <c r="BS249" s="432"/>
      <c r="BT249" s="432"/>
      <c r="BU249" s="432"/>
    </row>
    <row r="250" spans="1:125" s="434" customFormat="1" ht="36.75" customHeight="1" thickBot="1">
      <c r="A250" s="479" t="s">
        <v>798</v>
      </c>
      <c r="B250" s="700"/>
      <c r="C250" s="452"/>
      <c r="D250" s="468">
        <v>6890880</v>
      </c>
      <c r="E250" s="468">
        <v>3505200</v>
      </c>
      <c r="F250" s="337">
        <f>E250/D250</f>
        <v>0.50867233212594032</v>
      </c>
      <c r="G250" s="432"/>
      <c r="H250" s="432"/>
      <c r="I250" s="432"/>
      <c r="J250" s="432"/>
      <c r="K250" s="432"/>
      <c r="L250" s="432"/>
      <c r="M250" s="432"/>
      <c r="N250" s="432"/>
      <c r="O250" s="432"/>
      <c r="P250" s="432"/>
      <c r="Q250" s="432"/>
      <c r="R250" s="432"/>
      <c r="S250" s="432"/>
      <c r="T250" s="432"/>
      <c r="U250" s="432"/>
      <c r="V250" s="432"/>
      <c r="W250" s="432"/>
      <c r="X250" s="432"/>
      <c r="Y250" s="432"/>
      <c r="Z250" s="432"/>
      <c r="AA250" s="432"/>
      <c r="AB250" s="432"/>
      <c r="AC250" s="432"/>
      <c r="AD250" s="432"/>
      <c r="AE250" s="432"/>
      <c r="AF250" s="432"/>
      <c r="AG250" s="432"/>
      <c r="AH250" s="432"/>
      <c r="AI250" s="432"/>
      <c r="AJ250" s="432"/>
      <c r="AK250" s="432"/>
      <c r="AL250" s="432"/>
      <c r="AM250" s="432"/>
      <c r="AN250" s="432"/>
      <c r="AO250" s="432"/>
      <c r="AP250" s="432"/>
      <c r="AQ250" s="432"/>
      <c r="AR250" s="432"/>
      <c r="AS250" s="432"/>
      <c r="AT250" s="432"/>
      <c r="AU250" s="432"/>
      <c r="AV250" s="432"/>
      <c r="AW250" s="432"/>
      <c r="AX250" s="432"/>
      <c r="AY250" s="432"/>
      <c r="AZ250" s="432"/>
      <c r="BA250" s="432"/>
      <c r="BB250" s="432"/>
      <c r="BC250" s="432"/>
      <c r="BD250" s="432"/>
      <c r="BE250" s="432"/>
      <c r="BF250" s="432"/>
      <c r="BG250" s="432"/>
      <c r="BH250" s="432"/>
      <c r="BI250" s="432"/>
      <c r="BJ250" s="432"/>
      <c r="BK250" s="432"/>
      <c r="BL250" s="432"/>
      <c r="BM250" s="432"/>
      <c r="BN250" s="432"/>
      <c r="BO250" s="432"/>
      <c r="BP250" s="432"/>
      <c r="BQ250" s="432"/>
      <c r="BR250" s="432"/>
      <c r="BS250" s="432"/>
      <c r="BT250" s="432"/>
      <c r="BU250" s="432"/>
    </row>
    <row r="251" spans="1:125" s="434" customFormat="1" ht="30.75" customHeight="1" thickBot="1">
      <c r="A251" s="479" t="s">
        <v>804</v>
      </c>
      <c r="B251" s="700"/>
      <c r="C251" s="452"/>
      <c r="D251" s="468">
        <v>18534579</v>
      </c>
      <c r="E251" s="468">
        <v>0</v>
      </c>
      <c r="F251" s="337">
        <v>0</v>
      </c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2"/>
      <c r="U251" s="432"/>
      <c r="V251" s="432"/>
      <c r="W251" s="432"/>
      <c r="X251" s="432"/>
      <c r="Y251" s="432"/>
      <c r="Z251" s="432"/>
      <c r="AA251" s="432"/>
      <c r="AB251" s="432"/>
      <c r="AC251" s="432"/>
      <c r="AD251" s="432"/>
      <c r="AE251" s="432"/>
      <c r="AF251" s="432"/>
      <c r="AG251" s="432"/>
      <c r="AH251" s="432"/>
      <c r="AI251" s="432"/>
      <c r="AJ251" s="432"/>
      <c r="AK251" s="432"/>
      <c r="AL251" s="432"/>
      <c r="AM251" s="432"/>
      <c r="AN251" s="432"/>
      <c r="AO251" s="432"/>
      <c r="AP251" s="432"/>
      <c r="AQ251" s="432"/>
      <c r="AR251" s="432"/>
      <c r="AS251" s="432"/>
      <c r="AT251" s="432"/>
      <c r="AU251" s="432"/>
      <c r="AV251" s="432"/>
      <c r="AW251" s="432"/>
      <c r="AX251" s="432"/>
      <c r="AY251" s="432"/>
      <c r="AZ251" s="432"/>
      <c r="BA251" s="432"/>
      <c r="BB251" s="432"/>
      <c r="BC251" s="432"/>
      <c r="BD251" s="432"/>
      <c r="BE251" s="432"/>
      <c r="BF251" s="432"/>
      <c r="BG251" s="432"/>
      <c r="BH251" s="432"/>
      <c r="BI251" s="432"/>
      <c r="BJ251" s="432"/>
      <c r="BK251" s="432"/>
      <c r="BL251" s="432"/>
      <c r="BM251" s="432"/>
      <c r="BN251" s="432"/>
      <c r="BO251" s="432"/>
      <c r="BP251" s="432"/>
      <c r="BQ251" s="432"/>
      <c r="BR251" s="432"/>
      <c r="BS251" s="432"/>
      <c r="BT251" s="432"/>
      <c r="BU251" s="432"/>
    </row>
    <row r="252" spans="1:125" s="434" customFormat="1" ht="43.5" customHeight="1" thickBot="1">
      <c r="A252" s="479" t="s">
        <v>800</v>
      </c>
      <c r="B252" s="700"/>
      <c r="C252" s="452"/>
      <c r="D252" s="468">
        <f>3302000</f>
        <v>3302000</v>
      </c>
      <c r="E252" s="468">
        <v>3302000</v>
      </c>
      <c r="F252" s="337">
        <f>E252/D252</f>
        <v>1</v>
      </c>
      <c r="G252" s="432"/>
      <c r="H252" s="432"/>
      <c r="I252" s="432"/>
      <c r="J252" s="432"/>
      <c r="K252" s="432"/>
      <c r="L252" s="432"/>
      <c r="M252" s="432"/>
      <c r="N252" s="432"/>
      <c r="O252" s="432"/>
      <c r="P252" s="432"/>
      <c r="Q252" s="432"/>
      <c r="R252" s="432"/>
      <c r="S252" s="432"/>
      <c r="T252" s="432"/>
      <c r="U252" s="432"/>
      <c r="V252" s="432"/>
      <c r="W252" s="432"/>
      <c r="X252" s="432"/>
      <c r="Y252" s="432"/>
      <c r="Z252" s="432"/>
      <c r="AA252" s="432"/>
      <c r="AB252" s="432"/>
      <c r="AC252" s="432"/>
      <c r="AD252" s="432"/>
      <c r="AE252" s="432"/>
      <c r="AF252" s="432"/>
      <c r="AG252" s="432"/>
      <c r="AH252" s="432"/>
      <c r="AI252" s="432"/>
      <c r="AJ252" s="432"/>
      <c r="AK252" s="432"/>
      <c r="AL252" s="432"/>
      <c r="AM252" s="432"/>
      <c r="AN252" s="432"/>
      <c r="AO252" s="432"/>
      <c r="AP252" s="432"/>
      <c r="AQ252" s="432"/>
      <c r="AR252" s="432"/>
      <c r="AS252" s="432"/>
      <c r="AT252" s="432"/>
      <c r="AU252" s="432"/>
      <c r="AV252" s="432"/>
      <c r="AW252" s="432"/>
      <c r="AX252" s="432"/>
      <c r="AY252" s="432"/>
      <c r="AZ252" s="432"/>
      <c r="BA252" s="432"/>
      <c r="BB252" s="432"/>
      <c r="BC252" s="432"/>
      <c r="BD252" s="432"/>
      <c r="BE252" s="432"/>
      <c r="BF252" s="432"/>
      <c r="BG252" s="432"/>
      <c r="BH252" s="432"/>
      <c r="BI252" s="432"/>
      <c r="BJ252" s="432"/>
      <c r="BK252" s="432"/>
      <c r="BL252" s="432"/>
      <c r="BM252" s="432"/>
      <c r="BN252" s="432"/>
      <c r="BO252" s="432"/>
      <c r="BP252" s="432"/>
      <c r="BQ252" s="432"/>
      <c r="BR252" s="432"/>
      <c r="BS252" s="432"/>
      <c r="BT252" s="432"/>
      <c r="BU252" s="432"/>
    </row>
    <row r="253" spans="1:125" s="434" customFormat="1" ht="43.5" customHeight="1" thickBot="1">
      <c r="A253" s="479" t="s">
        <v>801</v>
      </c>
      <c r="B253" s="700"/>
      <c r="C253" s="452"/>
      <c r="D253" s="468">
        <f>6190000</f>
        <v>6190000</v>
      </c>
      <c r="E253" s="468">
        <v>0</v>
      </c>
      <c r="F253" s="337">
        <v>0</v>
      </c>
      <c r="G253" s="432"/>
      <c r="H253" s="432"/>
      <c r="I253" s="432"/>
      <c r="J253" s="432"/>
      <c r="K253" s="432"/>
      <c r="L253" s="432"/>
      <c r="M253" s="432"/>
      <c r="N253" s="432"/>
      <c r="O253" s="432"/>
      <c r="P253" s="432"/>
      <c r="Q253" s="432"/>
      <c r="R253" s="432"/>
      <c r="S253" s="432"/>
      <c r="T253" s="432"/>
      <c r="U253" s="432"/>
      <c r="V253" s="432"/>
      <c r="W253" s="432"/>
      <c r="X253" s="432"/>
      <c r="Y253" s="432"/>
      <c r="Z253" s="432"/>
      <c r="AA253" s="432"/>
      <c r="AB253" s="432"/>
      <c r="AC253" s="432"/>
      <c r="AD253" s="432"/>
      <c r="AE253" s="432"/>
      <c r="AF253" s="432"/>
      <c r="AG253" s="432"/>
      <c r="AH253" s="432"/>
      <c r="AI253" s="432"/>
      <c r="AJ253" s="432"/>
      <c r="AK253" s="432"/>
      <c r="AL253" s="432"/>
      <c r="AM253" s="432"/>
      <c r="AN253" s="432"/>
      <c r="AO253" s="432"/>
      <c r="AP253" s="432"/>
      <c r="AQ253" s="432"/>
      <c r="AR253" s="432"/>
      <c r="AS253" s="432"/>
      <c r="AT253" s="432"/>
      <c r="AU253" s="432"/>
      <c r="AV253" s="432"/>
      <c r="AW253" s="432"/>
      <c r="AX253" s="432"/>
      <c r="AY253" s="432"/>
      <c r="AZ253" s="432"/>
      <c r="BA253" s="432"/>
      <c r="BB253" s="432"/>
      <c r="BC253" s="432"/>
      <c r="BD253" s="432"/>
      <c r="BE253" s="432"/>
      <c r="BF253" s="432"/>
      <c r="BG253" s="432"/>
      <c r="BH253" s="432"/>
      <c r="BI253" s="432"/>
      <c r="BJ253" s="432"/>
      <c r="BK253" s="432"/>
      <c r="BL253" s="432"/>
      <c r="BM253" s="432"/>
      <c r="BN253" s="432"/>
      <c r="BO253" s="432"/>
      <c r="BP253" s="432"/>
      <c r="BQ253" s="432"/>
      <c r="BR253" s="432"/>
      <c r="BS253" s="432"/>
      <c r="BT253" s="432"/>
      <c r="BU253" s="432"/>
    </row>
    <row r="254" spans="1:125" s="434" customFormat="1" ht="26.25" customHeight="1" thickBot="1">
      <c r="A254" s="626" t="s">
        <v>498</v>
      </c>
      <c r="B254" s="463"/>
      <c r="C254" s="452">
        <v>10300000</v>
      </c>
      <c r="D254" s="452">
        <f>SUM(B255)</f>
        <v>18410236</v>
      </c>
      <c r="E254" s="452">
        <v>18410235</v>
      </c>
      <c r="F254" s="337">
        <f>E254/D254</f>
        <v>0.99999994568239103</v>
      </c>
      <c r="G254" s="432"/>
      <c r="H254" s="432"/>
      <c r="I254" s="432"/>
      <c r="J254" s="432"/>
      <c r="K254" s="432"/>
      <c r="L254" s="432"/>
      <c r="M254" s="432"/>
      <c r="N254" s="432"/>
      <c r="O254" s="432"/>
      <c r="P254" s="432"/>
      <c r="Q254" s="432"/>
      <c r="R254" s="432"/>
      <c r="S254" s="432"/>
      <c r="T254" s="432"/>
      <c r="U254" s="432"/>
      <c r="V254" s="432"/>
      <c r="W254" s="432"/>
      <c r="X254" s="432"/>
      <c r="Y254" s="432"/>
      <c r="Z254" s="432"/>
      <c r="AA254" s="432"/>
      <c r="AB254" s="432"/>
      <c r="AC254" s="432"/>
      <c r="AD254" s="432"/>
      <c r="AE254" s="432"/>
      <c r="AF254" s="432"/>
      <c r="AG254" s="432"/>
      <c r="AH254" s="432"/>
      <c r="AI254" s="432"/>
      <c r="AJ254" s="432"/>
      <c r="AK254" s="432"/>
      <c r="AL254" s="432"/>
      <c r="AM254" s="432"/>
      <c r="AN254" s="433"/>
    </row>
    <row r="255" spans="1:125" s="434" customFormat="1" ht="26.25" customHeight="1" thickBot="1">
      <c r="A255" s="453" t="s">
        <v>499</v>
      </c>
      <c r="B255" s="457">
        <f>10300000+8110236</f>
        <v>18410236</v>
      </c>
      <c r="C255" s="452"/>
      <c r="D255" s="452"/>
      <c r="E255" s="452"/>
      <c r="F255" s="336"/>
      <c r="G255" s="432"/>
      <c r="H255" s="432"/>
      <c r="I255" s="432"/>
      <c r="J255" s="432"/>
      <c r="K255" s="432"/>
      <c r="L255" s="432"/>
      <c r="M255" s="432"/>
      <c r="N255" s="432"/>
      <c r="O255" s="432"/>
      <c r="P255" s="432"/>
      <c r="Q255" s="432"/>
      <c r="R255" s="432"/>
      <c r="S255" s="432"/>
      <c r="T255" s="432"/>
      <c r="U255" s="432"/>
      <c r="V255" s="432"/>
      <c r="W255" s="432"/>
      <c r="X255" s="432"/>
      <c r="Y255" s="432"/>
      <c r="Z255" s="432"/>
      <c r="AA255" s="432"/>
      <c r="AB255" s="432"/>
      <c r="AC255" s="432"/>
      <c r="AD255" s="432"/>
      <c r="AE255" s="432"/>
      <c r="AF255" s="432"/>
      <c r="AG255" s="432"/>
      <c r="AH255" s="432"/>
      <c r="AI255" s="432"/>
      <c r="AJ255" s="432"/>
      <c r="AK255" s="432"/>
      <c r="AL255" s="432"/>
      <c r="AM255" s="432"/>
      <c r="AN255" s="433"/>
    </row>
    <row r="256" spans="1:125" s="299" customFormat="1" ht="31.5" customHeight="1" thickBot="1">
      <c r="A256" s="680" t="s">
        <v>551</v>
      </c>
      <c r="B256" s="681"/>
      <c r="C256" s="682">
        <f>SUM(C242:C255)</f>
        <v>36706000</v>
      </c>
      <c r="D256" s="682">
        <f>SUM(D242:D255)</f>
        <v>110018660</v>
      </c>
      <c r="E256" s="682">
        <f t="shared" ref="E256" si="11">SUM(E242:E255)</f>
        <v>78735286</v>
      </c>
      <c r="F256" s="729">
        <f>E256/D256</f>
        <v>0.71565392634304037</v>
      </c>
      <c r="G256" s="441"/>
      <c r="H256" s="441"/>
      <c r="I256" s="441"/>
      <c r="J256" s="441"/>
      <c r="K256" s="441"/>
      <c r="L256" s="441"/>
      <c r="M256" s="441"/>
      <c r="N256" s="441"/>
      <c r="O256" s="441"/>
      <c r="P256" s="441"/>
      <c r="Q256" s="441"/>
      <c r="R256" s="441"/>
      <c r="S256" s="441"/>
      <c r="T256" s="441"/>
      <c r="U256" s="441"/>
      <c r="V256" s="441"/>
      <c r="W256" s="441"/>
      <c r="X256" s="441"/>
      <c r="Y256" s="441"/>
      <c r="Z256" s="441"/>
      <c r="AA256" s="441"/>
      <c r="AB256" s="441"/>
      <c r="AC256" s="441"/>
      <c r="AD256" s="441"/>
      <c r="AE256" s="441"/>
      <c r="AF256" s="441"/>
      <c r="AG256" s="441"/>
      <c r="AH256" s="441"/>
      <c r="AI256" s="441"/>
      <c r="AJ256" s="441"/>
      <c r="AK256" s="441"/>
      <c r="AL256" s="441"/>
      <c r="AM256" s="441"/>
      <c r="AN256" s="441"/>
      <c r="AO256" s="298"/>
    </row>
    <row r="257" spans="1:125" s="299" customFormat="1" ht="31.5" customHeight="1" thickBot="1">
      <c r="A257" s="321"/>
      <c r="B257" s="322"/>
      <c r="C257" s="324"/>
      <c r="D257" s="683"/>
      <c r="E257" s="683"/>
      <c r="F257" s="730"/>
      <c r="G257" s="441"/>
      <c r="H257" s="441"/>
      <c r="I257" s="441"/>
      <c r="J257" s="441"/>
      <c r="K257" s="441"/>
      <c r="L257" s="441"/>
      <c r="M257" s="441"/>
      <c r="N257" s="441"/>
      <c r="O257" s="441"/>
      <c r="P257" s="441"/>
      <c r="Q257" s="441"/>
      <c r="R257" s="441"/>
      <c r="S257" s="441"/>
      <c r="T257" s="441"/>
      <c r="U257" s="441"/>
      <c r="V257" s="441"/>
      <c r="W257" s="441"/>
      <c r="X257" s="441"/>
      <c r="Y257" s="441"/>
      <c r="Z257" s="441"/>
      <c r="AA257" s="441"/>
      <c r="AB257" s="441"/>
      <c r="AC257" s="441"/>
      <c r="AD257" s="441"/>
      <c r="AE257" s="441"/>
      <c r="AF257" s="441"/>
      <c r="AG257" s="441"/>
      <c r="AH257" s="441"/>
      <c r="AI257" s="441"/>
      <c r="AJ257" s="441"/>
      <c r="AK257" s="441"/>
      <c r="AL257" s="441"/>
      <c r="AM257" s="441"/>
      <c r="AN257" s="441"/>
      <c r="AO257" s="298"/>
    </row>
    <row r="258" spans="1:125" s="295" customFormat="1" ht="33" customHeight="1" thickBot="1">
      <c r="A258" s="675" t="s">
        <v>552</v>
      </c>
      <c r="B258" s="676"/>
      <c r="C258" s="678"/>
      <c r="D258" s="678"/>
      <c r="E258" s="678"/>
      <c r="F258" s="728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3"/>
      <c r="AO258" s="294"/>
    </row>
    <row r="259" spans="1:125" s="434" customFormat="1" ht="26.25" customHeight="1" thickBot="1">
      <c r="A259" s="626" t="s">
        <v>498</v>
      </c>
      <c r="B259" s="463"/>
      <c r="C259" s="452">
        <v>27400000</v>
      </c>
      <c r="D259" s="683">
        <f>SUM(B260)</f>
        <v>0</v>
      </c>
      <c r="E259" s="683">
        <v>0</v>
      </c>
      <c r="F259" s="730">
        <v>0</v>
      </c>
      <c r="G259" s="432"/>
      <c r="H259" s="432"/>
      <c r="I259" s="432"/>
      <c r="J259" s="432"/>
      <c r="K259" s="432"/>
      <c r="L259" s="432"/>
      <c r="M259" s="432"/>
      <c r="N259" s="432"/>
      <c r="O259" s="432"/>
      <c r="P259" s="432"/>
      <c r="Q259" s="432"/>
      <c r="R259" s="432"/>
      <c r="S259" s="432"/>
      <c r="T259" s="432"/>
      <c r="U259" s="432"/>
      <c r="V259" s="432"/>
      <c r="W259" s="432"/>
      <c r="X259" s="432"/>
      <c r="Y259" s="432"/>
      <c r="Z259" s="432"/>
      <c r="AA259" s="432"/>
      <c r="AB259" s="432"/>
      <c r="AC259" s="432"/>
      <c r="AD259" s="432"/>
      <c r="AE259" s="432"/>
      <c r="AF259" s="432"/>
      <c r="AG259" s="432"/>
      <c r="AH259" s="432"/>
      <c r="AI259" s="432"/>
      <c r="AJ259" s="432"/>
      <c r="AK259" s="432"/>
      <c r="AL259" s="432"/>
      <c r="AM259" s="432"/>
      <c r="AN259" s="433"/>
    </row>
    <row r="260" spans="1:125" s="434" customFormat="1" ht="26.25" customHeight="1" thickBot="1">
      <c r="A260" s="453" t="s">
        <v>500</v>
      </c>
      <c r="B260" s="457">
        <f>27400000-27400000</f>
        <v>0</v>
      </c>
      <c r="C260" s="452"/>
      <c r="D260" s="720"/>
      <c r="E260" s="720"/>
      <c r="F260" s="734"/>
      <c r="G260" s="432"/>
      <c r="H260" s="432"/>
      <c r="I260" s="432"/>
      <c r="J260" s="432"/>
      <c r="K260" s="432"/>
      <c r="L260" s="432"/>
      <c r="M260" s="432"/>
      <c r="N260" s="432"/>
      <c r="O260" s="432"/>
      <c r="P260" s="432"/>
      <c r="Q260" s="432"/>
      <c r="R260" s="432"/>
      <c r="S260" s="432"/>
      <c r="T260" s="432"/>
      <c r="U260" s="432"/>
      <c r="V260" s="432"/>
      <c r="W260" s="432"/>
      <c r="X260" s="432"/>
      <c r="Y260" s="432"/>
      <c r="Z260" s="432"/>
      <c r="AA260" s="432"/>
      <c r="AB260" s="432"/>
      <c r="AC260" s="432"/>
      <c r="AD260" s="432"/>
      <c r="AE260" s="432"/>
      <c r="AF260" s="432"/>
      <c r="AG260" s="432"/>
      <c r="AH260" s="432"/>
      <c r="AI260" s="432"/>
      <c r="AJ260" s="432"/>
      <c r="AK260" s="432"/>
      <c r="AL260" s="432"/>
      <c r="AM260" s="432"/>
      <c r="AN260" s="433"/>
    </row>
    <row r="261" spans="1:125" s="448" customFormat="1" ht="23.25" customHeight="1" thickBot="1">
      <c r="A261" s="626" t="s">
        <v>502</v>
      </c>
      <c r="B261" s="462"/>
      <c r="C261" s="452"/>
      <c r="D261" s="452">
        <v>33400000</v>
      </c>
      <c r="E261" s="452">
        <v>28000000</v>
      </c>
      <c r="F261" s="337">
        <f>E261/D261</f>
        <v>0.83832335329341312</v>
      </c>
      <c r="G261" s="446"/>
      <c r="H261" s="446"/>
      <c r="I261" s="446"/>
      <c r="J261" s="446"/>
      <c r="K261" s="446"/>
      <c r="L261" s="446"/>
      <c r="M261" s="446"/>
      <c r="N261" s="446"/>
      <c r="O261" s="446"/>
      <c r="P261" s="446"/>
      <c r="Q261" s="446"/>
      <c r="R261" s="446"/>
      <c r="S261" s="446"/>
      <c r="T261" s="446"/>
      <c r="U261" s="446"/>
      <c r="V261" s="446"/>
      <c r="W261" s="446"/>
      <c r="X261" s="446"/>
      <c r="Y261" s="446"/>
      <c r="Z261" s="446"/>
      <c r="AA261" s="446"/>
      <c r="AB261" s="446"/>
      <c r="AC261" s="446"/>
      <c r="AD261" s="446"/>
      <c r="AE261" s="446"/>
      <c r="AF261" s="446"/>
      <c r="AG261" s="446"/>
      <c r="AH261" s="446"/>
      <c r="AI261" s="446"/>
      <c r="AJ261" s="446"/>
      <c r="AK261" s="446"/>
      <c r="AL261" s="446"/>
      <c r="AM261" s="446"/>
      <c r="AN261" s="446"/>
      <c r="AO261" s="447"/>
    </row>
    <row r="262" spans="1:125" s="448" customFormat="1" ht="23.25" customHeight="1" thickBot="1">
      <c r="A262" s="453" t="s">
        <v>845</v>
      </c>
      <c r="B262" s="325">
        <v>33400000</v>
      </c>
      <c r="C262" s="456"/>
      <c r="D262" s="456"/>
      <c r="E262" s="456"/>
      <c r="F262" s="338"/>
      <c r="G262" s="446"/>
      <c r="H262" s="446"/>
      <c r="I262" s="446"/>
      <c r="J262" s="446"/>
      <c r="K262" s="446"/>
      <c r="L262" s="446"/>
      <c r="M262" s="446"/>
      <c r="N262" s="446"/>
      <c r="O262" s="446"/>
      <c r="P262" s="446"/>
      <c r="Q262" s="446"/>
      <c r="R262" s="446"/>
      <c r="S262" s="446"/>
      <c r="T262" s="446"/>
      <c r="U262" s="446"/>
      <c r="V262" s="446"/>
      <c r="W262" s="446"/>
      <c r="X262" s="446"/>
      <c r="Y262" s="446"/>
      <c r="Z262" s="446"/>
      <c r="AA262" s="446"/>
      <c r="AB262" s="446"/>
      <c r="AC262" s="446"/>
      <c r="AD262" s="446"/>
      <c r="AE262" s="446"/>
      <c r="AF262" s="446"/>
      <c r="AG262" s="446"/>
      <c r="AH262" s="446"/>
      <c r="AI262" s="446"/>
      <c r="AJ262" s="446"/>
      <c r="AK262" s="446"/>
      <c r="AL262" s="446"/>
      <c r="AM262" s="446"/>
      <c r="AN262" s="446"/>
      <c r="AO262" s="447"/>
    </row>
    <row r="263" spans="1:125" s="434" customFormat="1" ht="28.5" customHeight="1" thickBot="1">
      <c r="A263" s="626" t="s">
        <v>773</v>
      </c>
      <c r="B263" s="462"/>
      <c r="C263" s="452"/>
      <c r="D263" s="452">
        <v>37500</v>
      </c>
      <c r="E263" s="452">
        <v>37500</v>
      </c>
      <c r="F263" s="337">
        <f t="shared" ref="F263:F264" si="12">E263/D263</f>
        <v>1</v>
      </c>
      <c r="G263" s="432"/>
      <c r="H263" s="432"/>
      <c r="I263" s="432"/>
      <c r="J263" s="432"/>
      <c r="K263" s="432"/>
      <c r="L263" s="432"/>
      <c r="M263" s="432"/>
      <c r="N263" s="432"/>
      <c r="O263" s="432"/>
      <c r="P263" s="432"/>
      <c r="Q263" s="432"/>
      <c r="R263" s="432"/>
      <c r="S263" s="432"/>
      <c r="T263" s="432"/>
      <c r="U263" s="432"/>
      <c r="V263" s="432"/>
      <c r="W263" s="432"/>
      <c r="X263" s="432"/>
      <c r="Y263" s="432"/>
      <c r="Z263" s="432"/>
      <c r="AA263" s="432"/>
      <c r="AB263" s="432"/>
      <c r="AC263" s="432"/>
      <c r="AD263" s="432"/>
      <c r="AE263" s="432"/>
      <c r="AF263" s="432"/>
      <c r="AG263" s="432"/>
      <c r="AH263" s="432"/>
      <c r="AI263" s="432"/>
      <c r="AJ263" s="432"/>
      <c r="AK263" s="432"/>
      <c r="AL263" s="432"/>
      <c r="AM263" s="432"/>
      <c r="AN263" s="432"/>
      <c r="AO263" s="432"/>
      <c r="AP263" s="432"/>
      <c r="AQ263" s="432"/>
      <c r="AR263" s="432"/>
      <c r="AS263" s="432"/>
      <c r="AT263" s="432"/>
      <c r="AU263" s="432"/>
      <c r="AV263" s="432"/>
      <c r="AW263" s="432"/>
      <c r="AX263" s="432"/>
      <c r="AY263" s="432"/>
      <c r="AZ263" s="432"/>
      <c r="BA263" s="432"/>
      <c r="BB263" s="432"/>
      <c r="BC263" s="432"/>
      <c r="BD263" s="432"/>
      <c r="BE263" s="432"/>
      <c r="BF263" s="432"/>
      <c r="BG263" s="432"/>
      <c r="BH263" s="432"/>
      <c r="BI263" s="432"/>
      <c r="BJ263" s="432"/>
      <c r="BK263" s="432"/>
      <c r="BL263" s="432"/>
      <c r="BM263" s="432"/>
      <c r="BN263" s="432"/>
      <c r="BO263" s="432"/>
      <c r="BP263" s="432"/>
      <c r="BQ263" s="432"/>
      <c r="BR263" s="432"/>
      <c r="BS263" s="432"/>
      <c r="BT263" s="432"/>
      <c r="BU263" s="432"/>
    </row>
    <row r="264" spans="1:125" s="434" customFormat="1" ht="44.25" customHeight="1" thickBot="1">
      <c r="A264" s="626" t="s">
        <v>771</v>
      </c>
      <c r="B264" s="462"/>
      <c r="C264" s="452"/>
      <c r="D264" s="452">
        <v>3000000</v>
      </c>
      <c r="E264" s="452">
        <v>3000000</v>
      </c>
      <c r="F264" s="337">
        <f t="shared" si="12"/>
        <v>1</v>
      </c>
      <c r="G264" s="432"/>
      <c r="H264" s="432"/>
      <c r="I264" s="432"/>
      <c r="J264" s="432"/>
      <c r="K264" s="432"/>
      <c r="L264" s="432"/>
      <c r="M264" s="432"/>
      <c r="N264" s="432"/>
      <c r="O264" s="432"/>
      <c r="P264" s="432"/>
      <c r="Q264" s="432"/>
      <c r="R264" s="432"/>
      <c r="S264" s="432"/>
      <c r="T264" s="432"/>
      <c r="U264" s="432"/>
      <c r="V264" s="432"/>
      <c r="W264" s="432"/>
      <c r="X264" s="432"/>
      <c r="Y264" s="432"/>
      <c r="Z264" s="432"/>
      <c r="AA264" s="432"/>
      <c r="AB264" s="432"/>
      <c r="AC264" s="432"/>
      <c r="AD264" s="432"/>
      <c r="AE264" s="432"/>
      <c r="AF264" s="432"/>
      <c r="AG264" s="432"/>
      <c r="AH264" s="432"/>
      <c r="AI264" s="432"/>
      <c r="AJ264" s="432"/>
      <c r="AK264" s="432"/>
      <c r="AL264" s="432"/>
      <c r="AM264" s="432"/>
      <c r="AN264" s="432"/>
      <c r="AO264" s="432"/>
      <c r="AP264" s="432"/>
      <c r="AQ264" s="432"/>
      <c r="AR264" s="432"/>
      <c r="AS264" s="432"/>
      <c r="AT264" s="432"/>
      <c r="AU264" s="432"/>
      <c r="AV264" s="432"/>
      <c r="AW264" s="432"/>
      <c r="AX264" s="432"/>
      <c r="AY264" s="432"/>
      <c r="AZ264" s="432"/>
      <c r="BA264" s="432"/>
      <c r="BB264" s="432"/>
      <c r="BC264" s="432"/>
      <c r="BD264" s="432"/>
      <c r="BE264" s="432"/>
      <c r="BF264" s="432"/>
      <c r="BG264" s="432"/>
      <c r="BH264" s="432"/>
      <c r="BI264" s="432"/>
      <c r="BJ264" s="432"/>
      <c r="BK264" s="432"/>
      <c r="BL264" s="432"/>
      <c r="BM264" s="432"/>
      <c r="BN264" s="432"/>
      <c r="BO264" s="432"/>
      <c r="BP264" s="432"/>
      <c r="BQ264" s="432"/>
      <c r="BR264" s="432"/>
      <c r="BS264" s="432"/>
      <c r="BT264" s="432"/>
      <c r="BU264" s="432"/>
    </row>
    <row r="265" spans="1:125" s="299" customFormat="1" ht="31.5" customHeight="1" thickBot="1">
      <c r="A265" s="680" t="s">
        <v>553</v>
      </c>
      <c r="B265" s="681"/>
      <c r="C265" s="682">
        <f>SUM(C259:C264)</f>
        <v>27400000</v>
      </c>
      <c r="D265" s="682">
        <f>SUM(D259:D264)</f>
        <v>36437500</v>
      </c>
      <c r="E265" s="682">
        <f t="shared" ref="E265" si="13">SUM(E259:E264)</f>
        <v>31037500</v>
      </c>
      <c r="F265" s="729">
        <f>E265/D265</f>
        <v>0.85180102915951972</v>
      </c>
      <c r="G265" s="441"/>
      <c r="H265" s="441"/>
      <c r="I265" s="441"/>
      <c r="J265" s="441"/>
      <c r="K265" s="441"/>
      <c r="L265" s="441"/>
      <c r="M265" s="441"/>
      <c r="N265" s="441"/>
      <c r="O265" s="441"/>
      <c r="P265" s="441"/>
      <c r="Q265" s="441"/>
      <c r="R265" s="441"/>
      <c r="S265" s="441"/>
      <c r="T265" s="441"/>
      <c r="U265" s="441"/>
      <c r="V265" s="441"/>
      <c r="W265" s="441"/>
      <c r="X265" s="441"/>
      <c r="Y265" s="441"/>
      <c r="Z265" s="441"/>
      <c r="AA265" s="441"/>
      <c r="AB265" s="441"/>
      <c r="AC265" s="441"/>
      <c r="AD265" s="441"/>
      <c r="AE265" s="441"/>
      <c r="AF265" s="441"/>
      <c r="AG265" s="441"/>
      <c r="AH265" s="441"/>
      <c r="AI265" s="441"/>
      <c r="AJ265" s="441"/>
      <c r="AK265" s="441"/>
      <c r="AL265" s="441"/>
      <c r="AM265" s="441"/>
      <c r="AN265" s="441"/>
      <c r="AO265" s="298"/>
    </row>
    <row r="266" spans="1:125" s="299" customFormat="1" ht="31.5" customHeight="1" thickBot="1">
      <c r="A266" s="321"/>
      <c r="B266" s="322"/>
      <c r="C266" s="323"/>
      <c r="D266" s="683"/>
      <c r="E266" s="683"/>
      <c r="F266" s="730"/>
      <c r="G266" s="441"/>
      <c r="H266" s="441"/>
      <c r="I266" s="441"/>
      <c r="J266" s="441"/>
      <c r="K266" s="441"/>
      <c r="L266" s="441"/>
      <c r="M266" s="441"/>
      <c r="N266" s="441"/>
      <c r="O266" s="441"/>
      <c r="P266" s="441"/>
      <c r="Q266" s="441"/>
      <c r="R266" s="441"/>
      <c r="S266" s="441"/>
      <c r="T266" s="441"/>
      <c r="U266" s="441"/>
      <c r="V266" s="441"/>
      <c r="W266" s="441"/>
      <c r="X266" s="441"/>
      <c r="Y266" s="441"/>
      <c r="Z266" s="441"/>
      <c r="AA266" s="441"/>
      <c r="AB266" s="441"/>
      <c r="AC266" s="441"/>
      <c r="AD266" s="441"/>
      <c r="AE266" s="441"/>
      <c r="AF266" s="441"/>
      <c r="AG266" s="441"/>
      <c r="AH266" s="441"/>
      <c r="AI266" s="441"/>
      <c r="AJ266" s="441"/>
      <c r="AK266" s="441"/>
      <c r="AL266" s="441"/>
      <c r="AM266" s="441"/>
      <c r="AN266" s="441"/>
      <c r="AO266" s="298"/>
    </row>
    <row r="267" spans="1:125" s="295" customFormat="1" ht="33" customHeight="1" thickBot="1">
      <c r="A267" s="675" t="s">
        <v>554</v>
      </c>
      <c r="B267" s="676"/>
      <c r="C267" s="678"/>
      <c r="D267" s="678"/>
      <c r="E267" s="678"/>
      <c r="F267" s="728"/>
      <c r="G267" s="293"/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3"/>
      <c r="AN267" s="293"/>
      <c r="AO267" s="294"/>
    </row>
    <row r="268" spans="1:125" s="450" customFormat="1" ht="38.25" customHeight="1" thickBot="1">
      <c r="A268" s="479" t="s">
        <v>846</v>
      </c>
      <c r="B268" s="722"/>
      <c r="C268" s="477">
        <v>52044000</v>
      </c>
      <c r="D268" s="477">
        <f>52044000-52044000+52044365</f>
        <v>52044365</v>
      </c>
      <c r="E268" s="477">
        <v>52044365</v>
      </c>
      <c r="F268" s="735">
        <f>E268/D268</f>
        <v>1</v>
      </c>
      <c r="G268" s="432"/>
      <c r="H268" s="432"/>
      <c r="I268" s="432"/>
      <c r="J268" s="432"/>
      <c r="K268" s="432"/>
      <c r="L268" s="432"/>
      <c r="M268" s="432"/>
      <c r="N268" s="432"/>
      <c r="O268" s="432"/>
      <c r="P268" s="432"/>
      <c r="Q268" s="432"/>
      <c r="R268" s="432"/>
      <c r="S268" s="432"/>
      <c r="T268" s="432"/>
      <c r="U268" s="432"/>
      <c r="V268" s="432"/>
      <c r="W268" s="432"/>
      <c r="X268" s="432"/>
      <c r="Y268" s="432"/>
      <c r="Z268" s="432"/>
      <c r="AA268" s="432"/>
      <c r="AB268" s="432"/>
      <c r="AC268" s="432"/>
      <c r="AD268" s="432"/>
      <c r="AE268" s="432"/>
      <c r="AF268" s="432"/>
      <c r="AG268" s="432"/>
      <c r="AH268" s="432"/>
      <c r="AI268" s="432"/>
      <c r="AJ268" s="432"/>
      <c r="AK268" s="432"/>
      <c r="AL268" s="432"/>
      <c r="AM268" s="449"/>
      <c r="AP268" s="718"/>
      <c r="AQ268" s="432"/>
      <c r="AR268" s="432"/>
      <c r="AS268" s="432"/>
      <c r="AT268" s="432"/>
      <c r="AU268" s="432"/>
      <c r="AV268" s="432"/>
      <c r="AW268" s="432"/>
      <c r="AX268" s="432"/>
      <c r="AY268" s="432"/>
      <c r="AZ268" s="432"/>
      <c r="BA268" s="432"/>
      <c r="BB268" s="432"/>
      <c r="BC268" s="432"/>
      <c r="BD268" s="432"/>
      <c r="BE268" s="432"/>
      <c r="BF268" s="432"/>
      <c r="BG268" s="432"/>
      <c r="BH268" s="432"/>
      <c r="BI268" s="432"/>
      <c r="BJ268" s="432"/>
      <c r="BK268" s="432"/>
      <c r="BL268" s="432"/>
      <c r="BM268" s="432"/>
      <c r="BN268" s="432"/>
      <c r="BO268" s="432"/>
      <c r="BP268" s="432"/>
      <c r="BQ268" s="432"/>
      <c r="BR268" s="432"/>
      <c r="BS268" s="432"/>
      <c r="BT268" s="432"/>
      <c r="BU268" s="432"/>
      <c r="BV268" s="432"/>
      <c r="BW268" s="432"/>
      <c r="BX268" s="432"/>
      <c r="BY268" s="432"/>
      <c r="BZ268" s="432"/>
      <c r="CA268" s="432"/>
      <c r="CB268" s="432"/>
      <c r="CC268" s="432"/>
      <c r="CD268" s="432"/>
      <c r="CE268" s="432"/>
      <c r="CF268" s="432"/>
      <c r="CG268" s="432"/>
      <c r="CH268" s="432"/>
      <c r="CI268" s="432"/>
      <c r="CJ268" s="432"/>
      <c r="CK268" s="432"/>
      <c r="CL268" s="432"/>
      <c r="CM268" s="432"/>
      <c r="CN268" s="432"/>
      <c r="CO268" s="432"/>
      <c r="CP268" s="432"/>
      <c r="CQ268" s="432"/>
      <c r="CR268" s="432"/>
      <c r="CS268" s="432"/>
      <c r="CT268" s="432"/>
      <c r="CU268" s="432"/>
      <c r="CV268" s="432"/>
      <c r="CW268" s="432"/>
      <c r="CX268" s="432"/>
      <c r="CY268" s="432"/>
      <c r="CZ268" s="432"/>
      <c r="DA268" s="432"/>
      <c r="DB268" s="432"/>
      <c r="DC268" s="432"/>
      <c r="DD268" s="432"/>
      <c r="DE268" s="432"/>
      <c r="DF268" s="432"/>
      <c r="DG268" s="432"/>
      <c r="DH268" s="432"/>
      <c r="DI268" s="432"/>
      <c r="DJ268" s="432"/>
      <c r="DK268" s="432"/>
      <c r="DL268" s="432"/>
      <c r="DM268" s="432"/>
      <c r="DN268" s="432"/>
      <c r="DO268" s="432"/>
      <c r="DP268" s="432"/>
      <c r="DQ268" s="432"/>
      <c r="DR268" s="432"/>
      <c r="DS268" s="432"/>
      <c r="DT268" s="432"/>
      <c r="DU268" s="432"/>
    </row>
    <row r="269" spans="1:125" s="434" customFormat="1" ht="47.25" customHeight="1" thickBot="1">
      <c r="A269" s="479" t="s">
        <v>529</v>
      </c>
      <c r="B269" s="723"/>
      <c r="C269" s="478">
        <v>1233052000</v>
      </c>
      <c r="D269" s="478">
        <f>1233052000+27758638+56045407-10556460</f>
        <v>1306299585</v>
      </c>
      <c r="E269" s="478">
        <v>1306299585</v>
      </c>
      <c r="F269" s="735">
        <f>E269/D269</f>
        <v>1</v>
      </c>
      <c r="G269" s="432"/>
      <c r="H269" s="432"/>
      <c r="I269" s="432"/>
      <c r="J269" s="432"/>
      <c r="K269" s="432"/>
      <c r="L269" s="432"/>
      <c r="M269" s="432"/>
      <c r="N269" s="432"/>
      <c r="O269" s="432"/>
      <c r="P269" s="432"/>
      <c r="Q269" s="432"/>
      <c r="R269" s="432"/>
      <c r="S269" s="432"/>
      <c r="T269" s="432"/>
      <c r="U269" s="432"/>
      <c r="V269" s="432"/>
      <c r="W269" s="432"/>
      <c r="X269" s="432"/>
      <c r="Y269" s="432"/>
      <c r="Z269" s="432"/>
      <c r="AA269" s="432"/>
      <c r="AB269" s="432"/>
      <c r="AC269" s="432"/>
      <c r="AD269" s="432"/>
      <c r="AE269" s="432"/>
      <c r="AF269" s="432"/>
      <c r="AG269" s="432"/>
      <c r="AH269" s="432"/>
      <c r="AI269" s="432"/>
      <c r="AJ269" s="432"/>
      <c r="AK269" s="432"/>
      <c r="AL269" s="432"/>
      <c r="AM269" s="432"/>
      <c r="AN269" s="432"/>
      <c r="AO269" s="433"/>
    </row>
    <row r="270" spans="1:125" s="299" customFormat="1" ht="31.5" customHeight="1" thickBot="1">
      <c r="A270" s="680" t="s">
        <v>555</v>
      </c>
      <c r="B270" s="681"/>
      <c r="C270" s="682">
        <f>SUM(C268:C269)</f>
        <v>1285096000</v>
      </c>
      <c r="D270" s="682">
        <f>SUM(D268:D269)</f>
        <v>1358343950</v>
      </c>
      <c r="E270" s="682">
        <f t="shared" ref="E270" si="14">SUM(E268:E269)</f>
        <v>1358343950</v>
      </c>
      <c r="F270" s="729">
        <f>E270/D270</f>
        <v>1</v>
      </c>
      <c r="G270" s="441"/>
      <c r="H270" s="441"/>
      <c r="I270" s="441"/>
      <c r="J270" s="441"/>
      <c r="K270" s="441"/>
      <c r="L270" s="441"/>
      <c r="M270" s="441"/>
      <c r="N270" s="441"/>
      <c r="O270" s="441"/>
      <c r="P270" s="441"/>
      <c r="Q270" s="441"/>
      <c r="R270" s="441"/>
      <c r="S270" s="441"/>
      <c r="T270" s="441"/>
      <c r="U270" s="441"/>
      <c r="V270" s="441"/>
      <c r="W270" s="441"/>
      <c r="X270" s="441"/>
      <c r="Y270" s="441"/>
      <c r="Z270" s="441"/>
      <c r="AA270" s="441"/>
      <c r="AB270" s="441"/>
      <c r="AC270" s="441"/>
      <c r="AD270" s="441"/>
      <c r="AE270" s="441"/>
      <c r="AF270" s="441"/>
      <c r="AG270" s="441"/>
      <c r="AH270" s="441"/>
      <c r="AI270" s="441"/>
      <c r="AJ270" s="441"/>
      <c r="AK270" s="441"/>
      <c r="AL270" s="441"/>
      <c r="AM270" s="441"/>
      <c r="AN270" s="441"/>
      <c r="AO270" s="298"/>
    </row>
    <row r="271" spans="1:125" thickBot="1">
      <c r="A271" s="326"/>
      <c r="B271" s="327"/>
      <c r="C271" s="328"/>
      <c r="D271" s="329"/>
      <c r="E271" s="329"/>
      <c r="F271" s="340"/>
      <c r="AO271" s="330"/>
      <c r="AP271" s="331"/>
    </row>
    <row r="272" spans="1:125" s="299" customFormat="1" ht="31.5" customHeight="1" thickBot="1">
      <c r="A272" s="680" t="s">
        <v>556</v>
      </c>
      <c r="B272" s="710"/>
      <c r="C272" s="678">
        <f>SUM(C23+C41+C136+C150+C201+C238+C256+C265+C270)</f>
        <v>2833338000</v>
      </c>
      <c r="D272" s="678">
        <f>SUM(D23+D41+D136+D150+D201+D238+D256+D265+D270)</f>
        <v>5770442040</v>
      </c>
      <c r="E272" s="678">
        <f>SUM(E23+E41+E136+E150+E201+E238+E256+E265+E270)</f>
        <v>2995326919</v>
      </c>
      <c r="F272" s="729">
        <f>E272/D272</f>
        <v>0.51908101636525583</v>
      </c>
      <c r="G272" s="441"/>
      <c r="H272" s="441"/>
      <c r="I272" s="441"/>
      <c r="J272" s="441"/>
      <c r="K272" s="441"/>
      <c r="L272" s="441"/>
      <c r="M272" s="441"/>
      <c r="N272" s="441"/>
      <c r="O272" s="441"/>
      <c r="P272" s="441"/>
      <c r="Q272" s="441"/>
      <c r="R272" s="441"/>
      <c r="S272" s="441"/>
      <c r="T272" s="441"/>
      <c r="U272" s="441"/>
      <c r="V272" s="441"/>
      <c r="W272" s="441"/>
      <c r="X272" s="441"/>
      <c r="Y272" s="441"/>
      <c r="Z272" s="441"/>
      <c r="AA272" s="441"/>
      <c r="AB272" s="441"/>
      <c r="AC272" s="441"/>
      <c r="AD272" s="441"/>
      <c r="AE272" s="441"/>
      <c r="AF272" s="441"/>
      <c r="AG272" s="441"/>
      <c r="AH272" s="441"/>
      <c r="AI272" s="441"/>
      <c r="AJ272" s="441"/>
      <c r="AK272" s="441"/>
      <c r="AL272" s="441"/>
      <c r="AM272" s="441"/>
      <c r="AN272" s="441"/>
      <c r="AO272" s="298"/>
    </row>
    <row r="273" spans="1:42" thickBot="1">
      <c r="A273" s="332"/>
      <c r="B273" s="332"/>
      <c r="C273" s="317"/>
      <c r="D273" s="300"/>
      <c r="E273" s="300"/>
      <c r="F273" s="736"/>
      <c r="AO273" s="330"/>
      <c r="AP273" s="331"/>
    </row>
    <row r="274" spans="1:42" thickBot="1">
      <c r="A274" s="332"/>
      <c r="B274" s="332"/>
      <c r="C274" s="317"/>
      <c r="D274" s="300"/>
      <c r="E274" s="300"/>
      <c r="F274" s="736"/>
      <c r="AO274" s="330"/>
      <c r="AP274" s="331"/>
    </row>
    <row r="275" spans="1:42" thickBot="1">
      <c r="A275" s="332"/>
      <c r="B275" s="332"/>
      <c r="C275" s="317"/>
      <c r="D275" s="300"/>
      <c r="E275" s="300"/>
      <c r="F275" s="736"/>
      <c r="AO275" s="330"/>
      <c r="AP275" s="331"/>
    </row>
    <row r="276" spans="1:42" thickBot="1">
      <c r="A276" s="332"/>
      <c r="B276" s="332"/>
      <c r="C276" s="317"/>
      <c r="D276" s="300"/>
      <c r="E276" s="300"/>
      <c r="F276" s="736"/>
      <c r="AO276" s="330"/>
      <c r="AP276" s="331"/>
    </row>
    <row r="277" spans="1:42" thickBot="1">
      <c r="A277" s="332"/>
      <c r="B277" s="332"/>
      <c r="C277" s="317"/>
      <c r="D277" s="300"/>
      <c r="E277" s="300"/>
      <c r="F277" s="736"/>
      <c r="AO277" s="330"/>
      <c r="AP277" s="331"/>
    </row>
    <row r="278" spans="1:42" thickBot="1">
      <c r="A278" s="332"/>
      <c r="B278" s="332"/>
      <c r="C278" s="317"/>
      <c r="D278" s="300"/>
      <c r="E278" s="300"/>
      <c r="F278" s="736"/>
      <c r="AO278" s="330"/>
      <c r="AP278" s="331"/>
    </row>
    <row r="279" spans="1:42" thickBot="1">
      <c r="A279" s="332"/>
      <c r="B279" s="332"/>
      <c r="C279" s="317"/>
      <c r="D279" s="300"/>
      <c r="E279" s="300"/>
      <c r="F279" s="736"/>
      <c r="AO279" s="330"/>
      <c r="AP279" s="331"/>
    </row>
    <row r="280" spans="1:42" thickBot="1">
      <c r="A280" s="332"/>
      <c r="B280" s="332"/>
      <c r="C280" s="317"/>
      <c r="D280" s="300"/>
      <c r="E280" s="300"/>
      <c r="F280" s="736"/>
      <c r="AO280" s="330"/>
      <c r="AP280" s="331"/>
    </row>
    <row r="281" spans="1:42" thickBot="1">
      <c r="A281" s="332"/>
      <c r="B281" s="332"/>
      <c r="C281" s="317"/>
      <c r="D281" s="300"/>
      <c r="E281" s="300"/>
      <c r="F281" s="736"/>
      <c r="AO281" s="330"/>
      <c r="AP281" s="331"/>
    </row>
    <row r="282" spans="1:42" thickBot="1">
      <c r="A282" s="332"/>
      <c r="B282" s="332"/>
      <c r="C282" s="317"/>
      <c r="D282" s="300"/>
      <c r="E282" s="300"/>
      <c r="F282" s="736"/>
      <c r="AO282" s="330"/>
      <c r="AP282" s="331"/>
    </row>
    <row r="283" spans="1:42" thickBot="1">
      <c r="A283" s="332"/>
      <c r="B283" s="332"/>
      <c r="C283" s="317"/>
      <c r="D283" s="300"/>
      <c r="E283" s="300"/>
      <c r="F283" s="736"/>
      <c r="AO283" s="330"/>
      <c r="AP283" s="331"/>
    </row>
    <row r="284" spans="1:42" thickBot="1">
      <c r="A284" s="332"/>
      <c r="B284" s="332"/>
      <c r="C284" s="317"/>
      <c r="D284" s="300"/>
      <c r="E284" s="300"/>
      <c r="F284" s="736"/>
      <c r="AO284" s="330"/>
      <c r="AP284" s="331"/>
    </row>
    <row r="285" spans="1:42" thickBot="1">
      <c r="A285" s="332"/>
      <c r="B285" s="332"/>
      <c r="C285" s="317"/>
      <c r="D285" s="300"/>
      <c r="E285" s="300"/>
      <c r="F285" s="736"/>
      <c r="AO285" s="330"/>
      <c r="AP285" s="331"/>
    </row>
    <row r="286" spans="1:42" thickBot="1">
      <c r="A286" s="332"/>
      <c r="B286" s="332"/>
      <c r="C286" s="317"/>
      <c r="D286" s="300"/>
      <c r="E286" s="300"/>
      <c r="F286" s="736"/>
      <c r="AO286" s="330"/>
      <c r="AP286" s="331"/>
    </row>
    <row r="287" spans="1:42" thickBot="1">
      <c r="A287" s="332"/>
      <c r="B287" s="332"/>
      <c r="C287" s="317"/>
      <c r="D287" s="300"/>
      <c r="E287" s="300"/>
      <c r="F287" s="736"/>
      <c r="AO287" s="330"/>
      <c r="AP287" s="331"/>
    </row>
    <row r="288" spans="1:42" thickBot="1">
      <c r="A288" s="332"/>
      <c r="B288" s="332"/>
      <c r="C288" s="317"/>
      <c r="D288" s="300"/>
      <c r="E288" s="300"/>
      <c r="F288" s="736"/>
      <c r="AO288" s="330"/>
      <c r="AP288" s="331"/>
    </row>
    <row r="289" spans="1:42" thickBot="1">
      <c r="A289" s="332"/>
      <c r="B289" s="332"/>
      <c r="C289" s="317"/>
      <c r="D289" s="300"/>
      <c r="E289" s="300"/>
      <c r="F289" s="736"/>
      <c r="AO289" s="330"/>
      <c r="AP289" s="331"/>
    </row>
    <row r="290" spans="1:42" thickBot="1">
      <c r="A290" s="332"/>
      <c r="B290" s="332"/>
      <c r="C290" s="317"/>
      <c r="D290" s="300"/>
      <c r="E290" s="300"/>
      <c r="F290" s="736"/>
      <c r="AO290" s="330"/>
      <c r="AP290" s="331"/>
    </row>
    <row r="291" spans="1:42" thickBot="1">
      <c r="A291" s="332"/>
      <c r="B291" s="332"/>
      <c r="C291" s="317"/>
      <c r="D291" s="300"/>
      <c r="E291" s="300"/>
      <c r="F291" s="736"/>
      <c r="AO291" s="330"/>
      <c r="AP291" s="331"/>
    </row>
    <row r="292" spans="1:42" thickBot="1">
      <c r="A292" s="332"/>
      <c r="B292" s="332"/>
      <c r="C292" s="317"/>
      <c r="D292" s="300"/>
      <c r="E292" s="300"/>
      <c r="F292" s="736"/>
      <c r="AO292" s="330"/>
      <c r="AP292" s="331"/>
    </row>
    <row r="293" spans="1:42" thickBot="1">
      <c r="A293" s="332"/>
      <c r="B293" s="332"/>
      <c r="C293" s="317"/>
      <c r="D293" s="300"/>
      <c r="E293" s="300"/>
      <c r="F293" s="736"/>
      <c r="AO293" s="330"/>
      <c r="AP293" s="331"/>
    </row>
    <row r="294" spans="1:42" thickBot="1">
      <c r="A294" s="332"/>
      <c r="B294" s="332"/>
      <c r="C294" s="317"/>
      <c r="D294" s="300"/>
      <c r="E294" s="300"/>
      <c r="F294" s="736"/>
      <c r="AO294" s="330"/>
      <c r="AP294" s="331"/>
    </row>
    <row r="295" spans="1:42" thickBot="1">
      <c r="A295" s="332"/>
      <c r="B295" s="332"/>
      <c r="C295" s="317"/>
      <c r="D295" s="300"/>
      <c r="E295" s="300"/>
      <c r="F295" s="736"/>
      <c r="AO295" s="330"/>
      <c r="AP295" s="331"/>
    </row>
    <row r="296" spans="1:42" thickBot="1">
      <c r="A296" s="332"/>
      <c r="B296" s="332"/>
      <c r="C296" s="317"/>
      <c r="D296" s="300"/>
      <c r="E296" s="300"/>
      <c r="F296" s="736"/>
      <c r="AO296" s="330"/>
      <c r="AP296" s="331"/>
    </row>
    <row r="297" spans="1:42" thickBot="1">
      <c r="A297" s="332"/>
      <c r="B297" s="332"/>
      <c r="C297" s="317"/>
      <c r="D297" s="300"/>
      <c r="E297" s="300"/>
      <c r="F297" s="736"/>
      <c r="AO297" s="330"/>
      <c r="AP297" s="331"/>
    </row>
    <row r="298" spans="1:42" thickBot="1">
      <c r="A298" s="332"/>
      <c r="B298" s="332"/>
      <c r="C298" s="317"/>
      <c r="D298" s="300"/>
      <c r="E298" s="300"/>
      <c r="F298" s="736"/>
      <c r="AO298" s="330"/>
      <c r="AP298" s="331"/>
    </row>
    <row r="299" spans="1:42" thickBot="1">
      <c r="A299" s="332"/>
      <c r="B299" s="332"/>
      <c r="C299" s="317"/>
      <c r="D299" s="300"/>
      <c r="E299" s="300"/>
      <c r="F299" s="736"/>
      <c r="AO299" s="330"/>
      <c r="AP299" s="331"/>
    </row>
    <row r="300" spans="1:42" thickBot="1">
      <c r="A300" s="332"/>
      <c r="B300" s="332"/>
      <c r="C300" s="317"/>
      <c r="D300" s="300"/>
      <c r="E300" s="300"/>
      <c r="F300" s="736"/>
      <c r="AO300" s="330"/>
      <c r="AP300" s="331"/>
    </row>
    <row r="301" spans="1:42" thickBot="1">
      <c r="A301" s="332"/>
      <c r="B301" s="332"/>
      <c r="C301" s="317"/>
      <c r="D301" s="319"/>
      <c r="E301" s="319"/>
      <c r="F301" s="725"/>
      <c r="AO301" s="330"/>
      <c r="AP301" s="331"/>
    </row>
    <row r="302" spans="1:42" thickBot="1">
      <c r="A302" s="332"/>
      <c r="B302" s="332"/>
      <c r="C302" s="317"/>
      <c r="D302" s="319"/>
      <c r="E302" s="319"/>
      <c r="F302" s="725"/>
      <c r="AO302" s="330"/>
      <c r="AP302" s="331"/>
    </row>
    <row r="303" spans="1:42" thickBot="1">
      <c r="A303" s="332"/>
      <c r="B303" s="332"/>
      <c r="C303" s="317"/>
      <c r="D303" s="319"/>
      <c r="E303" s="319"/>
      <c r="F303" s="725"/>
      <c r="AO303" s="330"/>
      <c r="AP303" s="331"/>
    </row>
    <row r="304" spans="1:42" thickBot="1">
      <c r="A304" s="332"/>
      <c r="B304" s="332"/>
      <c r="C304" s="317"/>
      <c r="D304" s="319"/>
      <c r="E304" s="319"/>
      <c r="F304" s="725"/>
      <c r="AO304" s="330"/>
      <c r="AP304" s="331"/>
    </row>
    <row r="305" spans="1:42" thickBot="1">
      <c r="A305" s="332"/>
      <c r="B305" s="332"/>
      <c r="C305" s="317"/>
      <c r="D305" s="319"/>
      <c r="E305" s="319"/>
      <c r="F305" s="725"/>
      <c r="AO305" s="330"/>
      <c r="AP305" s="331"/>
    </row>
    <row r="306" spans="1:42" thickBot="1">
      <c r="A306" s="332"/>
      <c r="B306" s="332"/>
      <c r="C306" s="317"/>
      <c r="D306" s="319"/>
      <c r="E306" s="319"/>
      <c r="F306" s="725"/>
      <c r="AO306" s="330"/>
      <c r="AP306" s="331"/>
    </row>
    <row r="307" spans="1:42" thickBot="1">
      <c r="A307" s="332"/>
      <c r="B307" s="332"/>
      <c r="C307" s="317"/>
      <c r="D307" s="319"/>
      <c r="E307" s="319"/>
      <c r="F307" s="725"/>
      <c r="AO307" s="330"/>
      <c r="AP307" s="331"/>
    </row>
    <row r="308" spans="1:42" thickBot="1">
      <c r="A308" s="332"/>
      <c r="B308" s="332"/>
      <c r="C308" s="317"/>
      <c r="D308" s="319"/>
      <c r="E308" s="319"/>
      <c r="F308" s="725"/>
      <c r="AO308" s="330"/>
      <c r="AP308" s="331"/>
    </row>
    <row r="309" spans="1:42" thickBot="1">
      <c r="A309" s="332"/>
      <c r="B309" s="332"/>
      <c r="C309" s="317"/>
      <c r="D309" s="319"/>
      <c r="E309" s="319"/>
      <c r="F309" s="725"/>
      <c r="AO309" s="330"/>
      <c r="AP309" s="331"/>
    </row>
    <row r="310" spans="1:42" thickBot="1">
      <c r="A310" s="332"/>
      <c r="B310" s="332"/>
      <c r="C310" s="317"/>
      <c r="D310" s="319"/>
      <c r="E310" s="319"/>
      <c r="F310" s="725"/>
      <c r="AO310" s="330"/>
      <c r="AP310" s="331"/>
    </row>
    <row r="311" spans="1:42" thickBot="1">
      <c r="A311" s="332"/>
      <c r="B311" s="332"/>
      <c r="C311" s="317"/>
      <c r="D311" s="319"/>
      <c r="E311" s="319"/>
      <c r="F311" s="725"/>
      <c r="AO311" s="330"/>
      <c r="AP311" s="331"/>
    </row>
    <row r="312" spans="1:42" thickBot="1">
      <c r="A312" s="332"/>
      <c r="B312" s="332"/>
      <c r="C312" s="317"/>
      <c r="D312" s="319"/>
      <c r="E312" s="319"/>
      <c r="F312" s="725"/>
      <c r="AO312" s="330"/>
      <c r="AP312" s="331"/>
    </row>
    <row r="313" spans="1:42" thickBot="1">
      <c r="A313" s="332"/>
      <c r="B313" s="332"/>
      <c r="C313" s="317"/>
      <c r="D313" s="319"/>
      <c r="E313" s="319"/>
      <c r="F313" s="725"/>
      <c r="AO313" s="330"/>
      <c r="AP313" s="331"/>
    </row>
    <row r="314" spans="1:42" thickBot="1">
      <c r="A314" s="332"/>
      <c r="B314" s="332"/>
      <c r="C314" s="317"/>
      <c r="D314" s="319"/>
      <c r="E314" s="319"/>
      <c r="F314" s="725"/>
      <c r="AO314" s="330"/>
      <c r="AP314" s="331"/>
    </row>
    <row r="315" spans="1:42" thickBot="1">
      <c r="A315" s="332"/>
      <c r="B315" s="332"/>
      <c r="C315" s="317"/>
      <c r="D315" s="319"/>
      <c r="E315" s="319"/>
      <c r="F315" s="725"/>
      <c r="AO315" s="330"/>
      <c r="AP315" s="331"/>
    </row>
    <row r="316" spans="1:42" thickBot="1">
      <c r="A316" s="332"/>
      <c r="B316" s="332"/>
      <c r="C316" s="317"/>
      <c r="D316" s="319"/>
      <c r="E316" s="319"/>
      <c r="F316" s="725"/>
      <c r="AO316" s="330"/>
      <c r="AP316" s="331"/>
    </row>
    <row r="317" spans="1:42" thickBot="1">
      <c r="A317" s="332"/>
      <c r="B317" s="332"/>
      <c r="C317" s="317"/>
      <c r="D317" s="319"/>
      <c r="E317" s="319"/>
      <c r="F317" s="725"/>
      <c r="AO317" s="330"/>
      <c r="AP317" s="331"/>
    </row>
    <row r="318" spans="1:42" thickBot="1">
      <c r="A318" s="332"/>
      <c r="B318" s="332"/>
      <c r="C318" s="317"/>
      <c r="D318" s="319"/>
      <c r="E318" s="319"/>
      <c r="F318" s="725"/>
      <c r="AO318" s="330"/>
      <c r="AP318" s="331"/>
    </row>
    <row r="319" spans="1:42" thickBot="1">
      <c r="A319" s="332"/>
      <c r="B319" s="332"/>
      <c r="C319" s="317"/>
      <c r="D319" s="319"/>
      <c r="E319" s="319"/>
      <c r="F319" s="725"/>
      <c r="AO319" s="330"/>
      <c r="AP319" s="331"/>
    </row>
    <row r="320" spans="1:42" thickBot="1">
      <c r="A320" s="332"/>
      <c r="B320" s="332"/>
      <c r="C320" s="317"/>
      <c r="D320" s="319"/>
      <c r="E320" s="319"/>
      <c r="F320" s="725"/>
      <c r="AO320" s="330"/>
      <c r="AP320" s="331"/>
    </row>
    <row r="321" spans="1:42" thickBot="1">
      <c r="A321" s="332"/>
      <c r="B321" s="332"/>
      <c r="C321" s="317"/>
      <c r="D321" s="319"/>
      <c r="E321" s="319"/>
      <c r="F321" s="725"/>
      <c r="AO321" s="330"/>
      <c r="AP321" s="331"/>
    </row>
    <row r="322" spans="1:42" thickBot="1">
      <c r="A322" s="332"/>
      <c r="B322" s="332"/>
      <c r="C322" s="317"/>
      <c r="D322" s="319"/>
      <c r="E322" s="319"/>
      <c r="F322" s="725"/>
      <c r="AO322" s="330"/>
      <c r="AP322" s="331"/>
    </row>
    <row r="323" spans="1:42" thickBot="1">
      <c r="A323" s="332"/>
      <c r="B323" s="332"/>
      <c r="C323" s="317"/>
      <c r="D323" s="319"/>
      <c r="E323" s="319"/>
      <c r="F323" s="725"/>
      <c r="AO323" s="330"/>
      <c r="AP323" s="331"/>
    </row>
    <row r="324" spans="1:42" thickBot="1">
      <c r="A324" s="332"/>
      <c r="B324" s="332"/>
      <c r="C324" s="317"/>
      <c r="D324" s="319"/>
      <c r="E324" s="319"/>
      <c r="F324" s="725"/>
      <c r="AO324" s="330"/>
      <c r="AP324" s="331"/>
    </row>
    <row r="325" spans="1:42" thickBot="1">
      <c r="A325" s="332"/>
      <c r="B325" s="332"/>
      <c r="C325" s="317"/>
      <c r="D325" s="319"/>
      <c r="E325" s="319"/>
      <c r="F325" s="725"/>
      <c r="AO325" s="330"/>
      <c r="AP325" s="331"/>
    </row>
    <row r="326" spans="1:42" thickBot="1">
      <c r="A326" s="332"/>
      <c r="B326" s="332"/>
      <c r="C326" s="317"/>
      <c r="D326" s="319"/>
      <c r="E326" s="319"/>
      <c r="F326" s="725"/>
      <c r="AO326" s="330"/>
      <c r="AP326" s="331"/>
    </row>
    <row r="327" spans="1:42" thickBot="1">
      <c r="A327" s="332"/>
      <c r="B327" s="332"/>
      <c r="C327" s="317"/>
      <c r="D327" s="319"/>
      <c r="E327" s="319"/>
      <c r="F327" s="725"/>
      <c r="AO327" s="330"/>
      <c r="AP327" s="331"/>
    </row>
    <row r="328" spans="1:42" thickBot="1">
      <c r="A328" s="332"/>
      <c r="B328" s="332"/>
      <c r="C328" s="317"/>
      <c r="D328" s="319"/>
      <c r="E328" s="319"/>
      <c r="F328" s="725"/>
      <c r="AO328" s="330"/>
      <c r="AP328" s="331"/>
    </row>
    <row r="329" spans="1:42" thickBot="1">
      <c r="A329" s="332"/>
      <c r="B329" s="332"/>
      <c r="C329" s="317"/>
      <c r="D329" s="319"/>
      <c r="E329" s="319"/>
      <c r="F329" s="725"/>
      <c r="AO329" s="330"/>
      <c r="AP329" s="331"/>
    </row>
    <row r="330" spans="1:42" thickBot="1">
      <c r="A330" s="332"/>
      <c r="B330" s="332"/>
      <c r="C330" s="317"/>
      <c r="D330" s="319"/>
      <c r="E330" s="319"/>
      <c r="F330" s="725"/>
      <c r="AO330" s="330"/>
      <c r="AP330" s="331"/>
    </row>
    <row r="331" spans="1:42" thickBot="1">
      <c r="A331" s="332"/>
      <c r="B331" s="332"/>
      <c r="C331" s="317"/>
      <c r="D331" s="319"/>
      <c r="E331" s="319"/>
      <c r="F331" s="725"/>
      <c r="AO331" s="330"/>
      <c r="AP331" s="331"/>
    </row>
    <row r="332" spans="1:42" thickBot="1">
      <c r="A332" s="332"/>
      <c r="B332" s="332"/>
      <c r="C332" s="317"/>
      <c r="D332" s="319"/>
      <c r="E332" s="319"/>
      <c r="F332" s="725"/>
      <c r="AO332" s="330"/>
      <c r="AP332" s="331"/>
    </row>
    <row r="333" spans="1:42" thickBot="1">
      <c r="A333" s="332"/>
      <c r="B333" s="332"/>
      <c r="C333" s="317"/>
      <c r="D333" s="319"/>
      <c r="E333" s="319"/>
      <c r="F333" s="725"/>
      <c r="AO333" s="330"/>
      <c r="AP333" s="331"/>
    </row>
    <row r="334" spans="1:42" thickBot="1">
      <c r="A334" s="332"/>
      <c r="B334" s="332"/>
      <c r="C334" s="317"/>
      <c r="D334" s="319"/>
      <c r="E334" s="319"/>
      <c r="F334" s="725"/>
      <c r="AO334" s="330"/>
      <c r="AP334" s="331"/>
    </row>
    <row r="335" spans="1:42" thickBot="1">
      <c r="A335" s="332"/>
      <c r="B335" s="332"/>
      <c r="C335" s="317"/>
      <c r="D335" s="319"/>
      <c r="E335" s="319"/>
      <c r="F335" s="725"/>
      <c r="AO335" s="330"/>
      <c r="AP335" s="331"/>
    </row>
    <row r="336" spans="1:42" thickBot="1">
      <c r="A336" s="332"/>
      <c r="B336" s="332"/>
      <c r="C336" s="317"/>
      <c r="D336" s="319"/>
      <c r="E336" s="319"/>
      <c r="F336" s="725"/>
      <c r="AO336" s="330"/>
      <c r="AP336" s="331"/>
    </row>
    <row r="337" spans="1:42" thickBot="1">
      <c r="A337" s="332"/>
      <c r="B337" s="332"/>
      <c r="C337" s="317"/>
      <c r="D337" s="319"/>
      <c r="E337" s="319"/>
      <c r="F337" s="725"/>
      <c r="AO337" s="330"/>
      <c r="AP337" s="331"/>
    </row>
    <row r="338" spans="1:42" thickBot="1">
      <c r="A338" s="332"/>
      <c r="B338" s="332"/>
      <c r="C338" s="317"/>
      <c r="D338" s="319"/>
      <c r="E338" s="319"/>
      <c r="F338" s="725"/>
      <c r="AO338" s="330"/>
      <c r="AP338" s="331"/>
    </row>
    <row r="339" spans="1:42" thickBot="1">
      <c r="A339" s="332"/>
      <c r="B339" s="332"/>
      <c r="C339" s="317"/>
      <c r="D339" s="319"/>
      <c r="E339" s="319"/>
      <c r="F339" s="725"/>
      <c r="AO339" s="330"/>
      <c r="AP339" s="331"/>
    </row>
    <row r="340" spans="1:42" thickBot="1">
      <c r="A340" s="332"/>
      <c r="B340" s="332"/>
      <c r="C340" s="317"/>
      <c r="D340" s="319"/>
      <c r="E340" s="319"/>
      <c r="F340" s="725"/>
      <c r="AO340" s="330"/>
      <c r="AP340" s="331"/>
    </row>
    <row r="341" spans="1:42" thickBot="1">
      <c r="A341" s="332"/>
      <c r="B341" s="332"/>
      <c r="C341" s="317"/>
      <c r="D341" s="319"/>
      <c r="E341" s="319"/>
      <c r="F341" s="725"/>
      <c r="AO341" s="330"/>
      <c r="AP341" s="331"/>
    </row>
    <row r="342" spans="1:42" thickBot="1">
      <c r="A342" s="332"/>
      <c r="B342" s="332"/>
      <c r="C342" s="317"/>
      <c r="D342" s="319"/>
      <c r="E342" s="319"/>
      <c r="F342" s="725"/>
      <c r="AO342" s="330"/>
      <c r="AP342" s="331"/>
    </row>
    <row r="343" spans="1:42" thickBot="1">
      <c r="A343" s="332"/>
      <c r="B343" s="332"/>
      <c r="C343" s="317"/>
      <c r="D343" s="319"/>
      <c r="E343" s="319"/>
      <c r="F343" s="725"/>
      <c r="AO343" s="330"/>
      <c r="AP343" s="331"/>
    </row>
    <row r="344" spans="1:42" thickBot="1">
      <c r="A344" s="332"/>
      <c r="B344" s="332"/>
      <c r="C344" s="317"/>
      <c r="D344" s="319"/>
      <c r="E344" s="319"/>
      <c r="F344" s="725"/>
      <c r="AO344" s="330"/>
      <c r="AP344" s="331"/>
    </row>
    <row r="345" spans="1:42" thickBot="1">
      <c r="A345" s="332"/>
      <c r="B345" s="332"/>
      <c r="C345" s="317"/>
      <c r="D345" s="319"/>
      <c r="E345" s="319"/>
      <c r="F345" s="725"/>
      <c r="AO345" s="330"/>
      <c r="AP345" s="331"/>
    </row>
    <row r="346" spans="1:42" thickBot="1">
      <c r="A346" s="332"/>
      <c r="B346" s="332"/>
      <c r="C346" s="317"/>
      <c r="D346" s="319"/>
      <c r="E346" s="319"/>
      <c r="F346" s="725"/>
      <c r="AO346" s="330"/>
      <c r="AP346" s="331"/>
    </row>
    <row r="347" spans="1:42" thickBot="1">
      <c r="A347" s="332"/>
      <c r="B347" s="332"/>
      <c r="C347" s="317"/>
      <c r="D347" s="319"/>
      <c r="E347" s="319"/>
      <c r="F347" s="725"/>
      <c r="AO347" s="330"/>
      <c r="AP347" s="331"/>
    </row>
    <row r="348" spans="1:42" thickBot="1">
      <c r="A348" s="332"/>
      <c r="B348" s="332"/>
      <c r="C348" s="317"/>
      <c r="D348" s="319"/>
      <c r="E348" s="319"/>
      <c r="F348" s="725"/>
      <c r="AO348" s="330"/>
      <c r="AP348" s="331"/>
    </row>
    <row r="349" spans="1:42" thickBot="1">
      <c r="A349" s="332"/>
      <c r="B349" s="332"/>
      <c r="C349" s="317"/>
      <c r="D349" s="319"/>
      <c r="E349" s="319"/>
      <c r="F349" s="725"/>
      <c r="AO349" s="330"/>
      <c r="AP349" s="331"/>
    </row>
    <row r="350" spans="1:42" thickBot="1">
      <c r="A350" s="332"/>
      <c r="B350" s="332"/>
      <c r="C350" s="317"/>
      <c r="D350" s="319"/>
      <c r="E350" s="319"/>
      <c r="F350" s="725"/>
      <c r="AO350" s="330"/>
      <c r="AP350" s="331"/>
    </row>
    <row r="351" spans="1:42" thickBot="1">
      <c r="A351" s="332"/>
      <c r="B351" s="332"/>
      <c r="C351" s="317"/>
      <c r="D351" s="319"/>
      <c r="E351" s="319"/>
      <c r="F351" s="725"/>
      <c r="AO351" s="330"/>
      <c r="AP351" s="331"/>
    </row>
    <row r="352" spans="1:42" thickBot="1">
      <c r="A352" s="332"/>
      <c r="B352" s="332"/>
      <c r="C352" s="317"/>
      <c r="D352" s="319"/>
      <c r="E352" s="319"/>
      <c r="F352" s="725"/>
      <c r="AO352" s="330"/>
      <c r="AP352" s="331"/>
    </row>
    <row r="353" spans="1:42" thickBot="1">
      <c r="A353" s="332"/>
      <c r="B353" s="332"/>
      <c r="C353" s="317"/>
      <c r="D353" s="319"/>
      <c r="E353" s="319"/>
      <c r="F353" s="725"/>
      <c r="AO353" s="330"/>
      <c r="AP353" s="331"/>
    </row>
    <row r="354" spans="1:42" thickBot="1">
      <c r="A354" s="332"/>
      <c r="B354" s="332"/>
      <c r="C354" s="317"/>
      <c r="D354" s="319"/>
      <c r="E354" s="319"/>
      <c r="F354" s="725"/>
      <c r="AO354" s="330"/>
      <c r="AP354" s="331"/>
    </row>
    <row r="355" spans="1:42" thickBot="1">
      <c r="A355" s="332"/>
      <c r="B355" s="332"/>
      <c r="C355" s="317"/>
      <c r="D355" s="319"/>
      <c r="E355" s="319"/>
      <c r="F355" s="725"/>
      <c r="AO355" s="330"/>
      <c r="AP355" s="331"/>
    </row>
    <row r="356" spans="1:42" thickBot="1">
      <c r="A356" s="332"/>
      <c r="B356" s="332"/>
      <c r="C356" s="317"/>
      <c r="D356" s="319"/>
      <c r="E356" s="319"/>
      <c r="F356" s="725"/>
      <c r="AO356" s="330"/>
      <c r="AP356" s="331"/>
    </row>
    <row r="357" spans="1:42" thickBot="1">
      <c r="A357" s="332"/>
      <c r="B357" s="332"/>
      <c r="C357" s="317"/>
      <c r="D357" s="319"/>
      <c r="E357" s="319"/>
      <c r="F357" s="725"/>
      <c r="AO357" s="330"/>
      <c r="AP357" s="331"/>
    </row>
    <row r="358" spans="1:42" thickBot="1">
      <c r="A358" s="332"/>
      <c r="B358" s="332"/>
      <c r="C358" s="317"/>
      <c r="D358" s="319"/>
      <c r="E358" s="319"/>
      <c r="F358" s="725"/>
      <c r="AO358" s="330"/>
      <c r="AP358" s="331"/>
    </row>
    <row r="359" spans="1:42" thickBot="1">
      <c r="A359" s="332"/>
      <c r="B359" s="332"/>
      <c r="C359" s="317"/>
      <c r="D359" s="319"/>
      <c r="E359" s="319"/>
      <c r="F359" s="725"/>
      <c r="AO359" s="330"/>
      <c r="AP359" s="331"/>
    </row>
    <row r="360" spans="1:42" thickBot="1">
      <c r="A360" s="332"/>
      <c r="B360" s="332"/>
      <c r="C360" s="317"/>
      <c r="D360" s="319"/>
      <c r="E360" s="319"/>
      <c r="F360" s="725"/>
      <c r="AO360" s="330"/>
      <c r="AP360" s="331"/>
    </row>
    <row r="361" spans="1:42" thickBot="1">
      <c r="A361" s="332"/>
      <c r="B361" s="332"/>
      <c r="C361" s="317"/>
      <c r="D361" s="319"/>
      <c r="E361" s="319"/>
      <c r="F361" s="725"/>
      <c r="AO361" s="330"/>
      <c r="AP361" s="331"/>
    </row>
    <row r="362" spans="1:42" thickBot="1">
      <c r="A362" s="332"/>
      <c r="B362" s="332"/>
      <c r="C362" s="317"/>
      <c r="D362" s="319"/>
      <c r="E362" s="319"/>
      <c r="F362" s="725"/>
      <c r="AO362" s="330"/>
      <c r="AP362" s="331"/>
    </row>
    <row r="363" spans="1:42" thickBot="1">
      <c r="A363" s="332"/>
      <c r="B363" s="332"/>
      <c r="C363" s="317"/>
      <c r="D363" s="319"/>
      <c r="E363" s="319"/>
      <c r="F363" s="725"/>
      <c r="AO363" s="330"/>
      <c r="AP363" s="331"/>
    </row>
    <row r="364" spans="1:42" thickBot="1">
      <c r="A364" s="332"/>
      <c r="B364" s="332"/>
      <c r="C364" s="317"/>
      <c r="D364" s="319"/>
      <c r="E364" s="319"/>
      <c r="F364" s="725"/>
      <c r="AO364" s="330"/>
      <c r="AP364" s="331"/>
    </row>
    <row r="365" spans="1:42" thickBot="1">
      <c r="A365" s="332"/>
      <c r="B365" s="332"/>
      <c r="C365" s="317"/>
      <c r="D365" s="319"/>
      <c r="E365" s="319"/>
      <c r="F365" s="725"/>
      <c r="AO365" s="330"/>
      <c r="AP365" s="331"/>
    </row>
    <row r="366" spans="1:42" thickBot="1">
      <c r="A366" s="332"/>
      <c r="B366" s="332"/>
      <c r="C366" s="317"/>
      <c r="D366" s="319"/>
      <c r="E366" s="319"/>
      <c r="F366" s="725"/>
      <c r="AO366" s="330"/>
      <c r="AP366" s="331"/>
    </row>
    <row r="367" spans="1:42" thickBot="1">
      <c r="A367" s="332"/>
      <c r="B367" s="332"/>
      <c r="C367" s="317"/>
      <c r="D367" s="319"/>
      <c r="E367" s="319"/>
      <c r="F367" s="725"/>
      <c r="AO367" s="330"/>
      <c r="AP367" s="331"/>
    </row>
    <row r="368" spans="1:42" thickBot="1">
      <c r="A368" s="332"/>
      <c r="B368" s="332"/>
      <c r="C368" s="317"/>
      <c r="D368" s="319"/>
      <c r="E368" s="319"/>
      <c r="F368" s="725"/>
      <c r="AO368" s="330"/>
      <c r="AP368" s="331"/>
    </row>
    <row r="369" spans="1:42" thickBot="1">
      <c r="A369" s="332"/>
      <c r="B369" s="332"/>
      <c r="C369" s="317"/>
      <c r="D369" s="319"/>
      <c r="E369" s="319"/>
      <c r="F369" s="725"/>
      <c r="AO369" s="330"/>
      <c r="AP369" s="331"/>
    </row>
    <row r="370" spans="1:42" thickBot="1">
      <c r="A370" s="332"/>
      <c r="B370" s="332"/>
      <c r="C370" s="317"/>
      <c r="D370" s="319"/>
      <c r="E370" s="319"/>
      <c r="F370" s="725"/>
      <c r="AO370" s="330"/>
      <c r="AP370" s="331"/>
    </row>
    <row r="371" spans="1:42" thickBot="1">
      <c r="A371" s="332"/>
      <c r="B371" s="332"/>
      <c r="C371" s="317"/>
      <c r="D371" s="319"/>
      <c r="E371" s="319"/>
      <c r="F371" s="725"/>
      <c r="AO371" s="330"/>
      <c r="AP371" s="331"/>
    </row>
    <row r="372" spans="1:42" thickBot="1">
      <c r="A372" s="332"/>
      <c r="B372" s="332"/>
      <c r="C372" s="317"/>
      <c r="D372" s="319"/>
      <c r="E372" s="319"/>
      <c r="F372" s="725"/>
      <c r="AO372" s="330"/>
      <c r="AP372" s="331"/>
    </row>
    <row r="373" spans="1:42" thickBot="1">
      <c r="A373" s="332"/>
      <c r="B373" s="332"/>
      <c r="C373" s="317"/>
      <c r="D373" s="319"/>
      <c r="E373" s="319"/>
      <c r="F373" s="725"/>
      <c r="AO373" s="330"/>
      <c r="AP373" s="331"/>
    </row>
    <row r="374" spans="1:42" thickBot="1">
      <c r="A374" s="332"/>
      <c r="B374" s="332"/>
      <c r="C374" s="317"/>
      <c r="D374" s="319"/>
      <c r="E374" s="319"/>
      <c r="F374" s="725"/>
      <c r="AO374" s="330"/>
      <c r="AP374" s="331"/>
    </row>
    <row r="375" spans="1:42" thickBot="1">
      <c r="A375" s="332"/>
      <c r="B375" s="332"/>
      <c r="C375" s="317"/>
      <c r="D375" s="319"/>
      <c r="E375" s="319"/>
      <c r="F375" s="725"/>
      <c r="AO375" s="330"/>
      <c r="AP375" s="331"/>
    </row>
    <row r="376" spans="1:42" thickBot="1">
      <c r="A376" s="332"/>
      <c r="B376" s="332"/>
      <c r="C376" s="317"/>
      <c r="D376" s="319"/>
      <c r="E376" s="319"/>
      <c r="F376" s="725"/>
      <c r="AO376" s="330"/>
      <c r="AP376" s="331"/>
    </row>
    <row r="377" spans="1:42" thickBot="1">
      <c r="A377" s="332"/>
      <c r="B377" s="332"/>
      <c r="C377" s="317"/>
      <c r="D377" s="319"/>
      <c r="E377" s="319"/>
      <c r="F377" s="725"/>
      <c r="AO377" s="330"/>
      <c r="AP377" s="331"/>
    </row>
    <row r="378" spans="1:42" thickBot="1">
      <c r="A378" s="332"/>
      <c r="B378" s="332"/>
      <c r="C378" s="317"/>
      <c r="D378" s="319"/>
      <c r="E378" s="319"/>
      <c r="F378" s="725"/>
      <c r="AO378" s="330"/>
      <c r="AP378" s="331"/>
    </row>
    <row r="379" spans="1:42" thickBot="1">
      <c r="A379" s="332"/>
      <c r="B379" s="332"/>
      <c r="C379" s="317"/>
      <c r="D379" s="319"/>
      <c r="E379" s="319"/>
      <c r="F379" s="725"/>
      <c r="AO379" s="330"/>
      <c r="AP379" s="331"/>
    </row>
    <row r="380" spans="1:42" thickBot="1">
      <c r="A380" s="332"/>
      <c r="B380" s="332"/>
      <c r="C380" s="317"/>
      <c r="D380" s="317"/>
      <c r="E380" s="317"/>
      <c r="F380" s="724"/>
    </row>
    <row r="381" spans="1:42" thickBot="1">
      <c r="A381" s="332"/>
      <c r="B381" s="332"/>
      <c r="C381" s="317"/>
      <c r="D381" s="317"/>
      <c r="E381" s="317"/>
      <c r="F381" s="724"/>
    </row>
    <row r="382" spans="1:42" thickBot="1">
      <c r="A382" s="332"/>
      <c r="B382" s="332"/>
      <c r="C382" s="317"/>
      <c r="D382" s="317"/>
      <c r="E382" s="317"/>
      <c r="F382" s="724"/>
    </row>
    <row r="383" spans="1:42" thickBot="1">
      <c r="A383" s="332"/>
      <c r="B383" s="332"/>
      <c r="C383" s="317"/>
      <c r="D383" s="317"/>
      <c r="E383" s="317"/>
      <c r="F383" s="724"/>
    </row>
    <row r="384" spans="1:42" thickBot="1">
      <c r="A384" s="332"/>
      <c r="B384" s="332"/>
      <c r="C384" s="317"/>
      <c r="D384" s="317"/>
      <c r="E384" s="317"/>
      <c r="F384" s="724"/>
    </row>
    <row r="385" spans="1:6" thickBot="1">
      <c r="A385" s="332"/>
      <c r="B385" s="332"/>
      <c r="C385" s="317"/>
      <c r="D385" s="317"/>
      <c r="E385" s="317"/>
      <c r="F385" s="724"/>
    </row>
    <row r="386" spans="1:6" thickBot="1">
      <c r="A386" s="332"/>
      <c r="B386" s="332"/>
      <c r="C386" s="317"/>
      <c r="D386" s="317"/>
      <c r="E386" s="317"/>
      <c r="F386" s="724"/>
    </row>
    <row r="387" spans="1:6" thickBot="1">
      <c r="A387" s="332"/>
      <c r="B387" s="332"/>
      <c r="C387" s="317"/>
      <c r="D387" s="317"/>
      <c r="E387" s="317"/>
      <c r="F387" s="724"/>
    </row>
    <row r="388" spans="1:6" thickBot="1">
      <c r="A388" s="332"/>
      <c r="B388" s="332"/>
      <c r="C388" s="317"/>
      <c r="D388" s="317"/>
      <c r="E388" s="317"/>
      <c r="F388" s="724"/>
    </row>
    <row r="389" spans="1:6" thickBot="1">
      <c r="A389" s="332"/>
      <c r="B389" s="332"/>
      <c r="C389" s="317"/>
      <c r="D389" s="317"/>
      <c r="E389" s="317"/>
      <c r="F389" s="724"/>
    </row>
    <row r="390" spans="1:6" thickBot="1">
      <c r="A390" s="332"/>
      <c r="B390" s="332"/>
      <c r="C390" s="317"/>
      <c r="D390" s="317"/>
      <c r="E390" s="317"/>
      <c r="F390" s="724"/>
    </row>
    <row r="391" spans="1:6" thickBot="1">
      <c r="A391" s="332"/>
      <c r="B391" s="332"/>
      <c r="C391" s="317"/>
      <c r="D391" s="317"/>
      <c r="E391" s="317"/>
      <c r="F391" s="724"/>
    </row>
    <row r="392" spans="1:6" thickBot="1">
      <c r="A392" s="332"/>
      <c r="B392" s="332"/>
      <c r="C392" s="317"/>
      <c r="D392" s="317"/>
      <c r="E392" s="317"/>
      <c r="F392" s="724"/>
    </row>
    <row r="393" spans="1:6" thickBot="1">
      <c r="A393" s="332"/>
      <c r="B393" s="332"/>
      <c r="C393" s="317"/>
      <c r="D393" s="317"/>
      <c r="E393" s="317"/>
      <c r="F393" s="724"/>
    </row>
    <row r="394" spans="1:6" thickBot="1">
      <c r="A394" s="332"/>
      <c r="B394" s="332"/>
      <c r="C394" s="317"/>
      <c r="D394" s="317"/>
      <c r="E394" s="317"/>
      <c r="F394" s="724"/>
    </row>
    <row r="395" spans="1:6" thickBot="1">
      <c r="A395" s="332"/>
      <c r="B395" s="332"/>
      <c r="C395" s="317"/>
      <c r="D395" s="317"/>
      <c r="E395" s="317"/>
      <c r="F395" s="724"/>
    </row>
    <row r="396" spans="1:6" thickBot="1">
      <c r="A396" s="332"/>
      <c r="B396" s="332"/>
      <c r="C396" s="317"/>
      <c r="D396" s="317"/>
      <c r="E396" s="317"/>
      <c r="F396" s="724"/>
    </row>
    <row r="397" spans="1:6" thickBot="1">
      <c r="A397" s="332"/>
      <c r="B397" s="332"/>
      <c r="C397" s="317"/>
      <c r="D397" s="317"/>
      <c r="E397" s="317"/>
      <c r="F397" s="724"/>
    </row>
    <row r="398" spans="1:6" thickBot="1">
      <c r="A398" s="332"/>
      <c r="B398" s="332"/>
      <c r="C398" s="317"/>
      <c r="D398" s="317"/>
      <c r="E398" s="317"/>
      <c r="F398" s="724"/>
    </row>
    <row r="399" spans="1:6" thickBot="1">
      <c r="A399" s="332"/>
      <c r="B399" s="332"/>
      <c r="C399" s="317"/>
      <c r="D399" s="317"/>
      <c r="E399" s="317"/>
      <c r="F399" s="724"/>
    </row>
    <row r="400" spans="1:6" thickBot="1">
      <c r="A400" s="332"/>
      <c r="B400" s="332"/>
      <c r="C400" s="317"/>
      <c r="D400" s="317"/>
      <c r="E400" s="317"/>
      <c r="F400" s="724"/>
    </row>
    <row r="401" spans="1:6" thickBot="1">
      <c r="A401" s="332"/>
      <c r="B401" s="332"/>
      <c r="C401" s="317"/>
      <c r="D401" s="317"/>
      <c r="E401" s="317"/>
      <c r="F401" s="724"/>
    </row>
    <row r="402" spans="1:6" thickBot="1">
      <c r="A402" s="332"/>
      <c r="B402" s="332"/>
      <c r="C402" s="317"/>
      <c r="D402" s="317"/>
      <c r="E402" s="317"/>
      <c r="F402" s="724"/>
    </row>
    <row r="403" spans="1:6" thickBot="1">
      <c r="A403" s="332"/>
      <c r="B403" s="332"/>
      <c r="C403" s="317"/>
      <c r="D403" s="317"/>
      <c r="E403" s="317"/>
      <c r="F403" s="724"/>
    </row>
    <row r="404" spans="1:6" thickBot="1">
      <c r="A404" s="332"/>
      <c r="B404" s="332"/>
      <c r="C404" s="317"/>
      <c r="D404" s="317"/>
      <c r="E404" s="317"/>
      <c r="F404" s="724"/>
    </row>
    <row r="405" spans="1:6" thickBot="1">
      <c r="A405" s="332"/>
      <c r="B405" s="332"/>
      <c r="C405" s="317"/>
      <c r="D405" s="317"/>
      <c r="E405" s="317"/>
      <c r="F405" s="724"/>
    </row>
    <row r="406" spans="1:6" thickBot="1">
      <c r="A406" s="332"/>
      <c r="B406" s="332"/>
      <c r="C406" s="317"/>
      <c r="D406" s="317"/>
      <c r="E406" s="317"/>
      <c r="F406" s="724"/>
    </row>
    <row r="407" spans="1:6" thickBot="1">
      <c r="A407" s="332"/>
      <c r="B407" s="332"/>
      <c r="C407" s="317"/>
      <c r="D407" s="317"/>
      <c r="E407" s="317"/>
      <c r="F407" s="724"/>
    </row>
    <row r="408" spans="1:6" thickBot="1">
      <c r="A408" s="332"/>
      <c r="B408" s="332"/>
      <c r="C408" s="317"/>
      <c r="D408" s="317"/>
      <c r="E408" s="317"/>
      <c r="F408" s="724"/>
    </row>
    <row r="409" spans="1:6" thickBot="1">
      <c r="A409" s="332"/>
      <c r="B409" s="332"/>
      <c r="C409" s="317"/>
      <c r="D409" s="317"/>
      <c r="E409" s="317"/>
      <c r="F409" s="724"/>
    </row>
    <row r="410" spans="1:6" thickBot="1">
      <c r="A410" s="332"/>
      <c r="B410" s="332"/>
      <c r="C410" s="317"/>
      <c r="D410" s="317"/>
      <c r="E410" s="317"/>
      <c r="F410" s="724"/>
    </row>
    <row r="411" spans="1:6" thickBot="1">
      <c r="A411" s="332"/>
      <c r="B411" s="332"/>
      <c r="C411" s="317"/>
      <c r="D411" s="317"/>
      <c r="E411" s="317"/>
      <c r="F411" s="724"/>
    </row>
    <row r="412" spans="1:6" thickBot="1">
      <c r="A412" s="332"/>
      <c r="B412" s="332"/>
      <c r="C412" s="317"/>
      <c r="D412" s="317"/>
      <c r="E412" s="317"/>
      <c r="F412" s="724"/>
    </row>
    <row r="413" spans="1:6" thickBot="1">
      <c r="A413" s="332"/>
      <c r="B413" s="332"/>
      <c r="C413" s="317"/>
      <c r="D413" s="317"/>
      <c r="E413" s="317"/>
      <c r="F413" s="724"/>
    </row>
    <row r="414" spans="1:6" thickBot="1">
      <c r="A414" s="332"/>
      <c r="B414" s="332"/>
      <c r="C414" s="317"/>
      <c r="D414" s="317"/>
      <c r="E414" s="317"/>
      <c r="F414" s="724"/>
    </row>
    <row r="415" spans="1:6" thickBot="1">
      <c r="A415" s="332"/>
      <c r="B415" s="332"/>
      <c r="C415" s="317"/>
      <c r="D415" s="317"/>
      <c r="E415" s="317"/>
      <c r="F415" s="724"/>
    </row>
    <row r="416" spans="1:6" thickBot="1">
      <c r="A416" s="332"/>
      <c r="B416" s="332"/>
      <c r="C416" s="317"/>
      <c r="D416" s="317"/>
      <c r="E416" s="317"/>
      <c r="F416" s="724"/>
    </row>
    <row r="417" spans="1:6" thickBot="1">
      <c r="A417" s="332"/>
      <c r="B417" s="332"/>
      <c r="C417" s="317"/>
      <c r="D417" s="317"/>
      <c r="E417" s="317"/>
      <c r="F417" s="724"/>
    </row>
    <row r="418" spans="1:6" thickBot="1">
      <c r="A418" s="332"/>
      <c r="B418" s="332"/>
      <c r="C418" s="317"/>
      <c r="D418" s="317"/>
      <c r="E418" s="317"/>
      <c r="F418" s="724"/>
    </row>
    <row r="419" spans="1:6" thickBot="1">
      <c r="A419" s="332"/>
      <c r="B419" s="332"/>
      <c r="C419" s="317"/>
      <c r="D419" s="317"/>
      <c r="E419" s="317"/>
      <c r="F419" s="724"/>
    </row>
    <row r="420" spans="1:6" thickBot="1">
      <c r="A420" s="332"/>
      <c r="B420" s="332"/>
      <c r="C420" s="317"/>
      <c r="D420" s="317"/>
      <c r="E420" s="317"/>
      <c r="F420" s="724"/>
    </row>
    <row r="421" spans="1:6" thickBot="1">
      <c r="A421" s="332"/>
      <c r="B421" s="332"/>
      <c r="C421" s="317"/>
      <c r="D421" s="317"/>
      <c r="E421" s="317"/>
      <c r="F421" s="724"/>
    </row>
    <row r="422" spans="1:6" thickBot="1">
      <c r="A422" s="332"/>
      <c r="B422" s="332"/>
      <c r="C422" s="317"/>
      <c r="D422" s="317"/>
      <c r="E422" s="317"/>
      <c r="F422" s="724"/>
    </row>
    <row r="423" spans="1:6" thickBot="1">
      <c r="A423" s="332"/>
      <c r="B423" s="332"/>
      <c r="C423" s="317"/>
      <c r="D423" s="317"/>
      <c r="E423" s="317"/>
      <c r="F423" s="724"/>
    </row>
    <row r="424" spans="1:6" thickBot="1">
      <c r="A424" s="332"/>
      <c r="B424" s="332"/>
      <c r="C424" s="317"/>
      <c r="D424" s="317"/>
      <c r="E424" s="317"/>
      <c r="F424" s="724"/>
    </row>
    <row r="425" spans="1:6" thickBot="1">
      <c r="A425" s="332"/>
      <c r="B425" s="332"/>
      <c r="C425" s="317"/>
      <c r="D425" s="317"/>
      <c r="E425" s="317"/>
      <c r="F425" s="724"/>
    </row>
    <row r="426" spans="1:6" thickBot="1">
      <c r="A426" s="332"/>
      <c r="B426" s="332"/>
      <c r="C426" s="317"/>
      <c r="D426" s="317"/>
      <c r="E426" s="317"/>
      <c r="F426" s="724"/>
    </row>
    <row r="427" spans="1:6" thickBot="1">
      <c r="A427" s="332"/>
      <c r="B427" s="332"/>
      <c r="C427" s="317"/>
      <c r="D427" s="317"/>
      <c r="E427" s="317"/>
      <c r="F427" s="724"/>
    </row>
    <row r="428" spans="1:6" thickBot="1">
      <c r="A428" s="332"/>
      <c r="B428" s="332"/>
      <c r="C428" s="317"/>
      <c r="D428" s="317"/>
      <c r="E428" s="317"/>
      <c r="F428" s="724"/>
    </row>
    <row r="429" spans="1:6" thickBot="1">
      <c r="A429" s="332"/>
      <c r="B429" s="332"/>
      <c r="C429" s="317"/>
      <c r="D429" s="317"/>
      <c r="E429" s="317"/>
      <c r="F429" s="724"/>
    </row>
    <row r="430" spans="1:6" thickBot="1">
      <c r="A430" s="332"/>
      <c r="B430" s="332"/>
      <c r="C430" s="317"/>
      <c r="D430" s="317"/>
      <c r="E430" s="317"/>
      <c r="F430" s="724"/>
    </row>
    <row r="431" spans="1:6" thickBot="1">
      <c r="A431" s="332"/>
      <c r="B431" s="332"/>
      <c r="C431" s="317"/>
      <c r="D431" s="317"/>
      <c r="E431" s="317"/>
      <c r="F431" s="724"/>
    </row>
    <row r="432" spans="1:6" thickBot="1">
      <c r="A432" s="332"/>
      <c r="B432" s="332"/>
      <c r="C432" s="317"/>
      <c r="D432" s="317"/>
      <c r="E432" s="317"/>
      <c r="F432" s="724"/>
    </row>
    <row r="433" spans="1:6" thickBot="1">
      <c r="A433" s="332"/>
      <c r="B433" s="332"/>
      <c r="C433" s="317"/>
      <c r="D433" s="317"/>
      <c r="E433" s="317"/>
      <c r="F433" s="724"/>
    </row>
    <row r="434" spans="1:6" thickBot="1">
      <c r="A434" s="332"/>
      <c r="B434" s="332"/>
      <c r="C434" s="317"/>
      <c r="D434" s="317"/>
      <c r="E434" s="317"/>
      <c r="F434" s="724"/>
    </row>
    <row r="435" spans="1:6" thickBot="1">
      <c r="A435" s="332"/>
      <c r="B435" s="332"/>
      <c r="C435" s="317"/>
      <c r="D435" s="317"/>
      <c r="E435" s="317"/>
      <c r="F435" s="724"/>
    </row>
    <row r="436" spans="1:6" thickBot="1">
      <c r="A436" s="332"/>
      <c r="B436" s="332"/>
      <c r="C436" s="317"/>
      <c r="D436" s="317"/>
      <c r="E436" s="317"/>
      <c r="F436" s="724"/>
    </row>
    <row r="437" spans="1:6" thickBot="1">
      <c r="A437" s="332"/>
      <c r="B437" s="332"/>
      <c r="C437" s="317"/>
      <c r="D437" s="317"/>
      <c r="E437" s="317"/>
      <c r="F437" s="724"/>
    </row>
    <row r="438" spans="1:6" thickBot="1">
      <c r="A438" s="332"/>
      <c r="B438" s="332"/>
      <c r="C438" s="317"/>
      <c r="D438" s="317"/>
      <c r="E438" s="317"/>
      <c r="F438" s="724"/>
    </row>
    <row r="439" spans="1:6" thickBot="1">
      <c r="A439" s="332"/>
      <c r="B439" s="332"/>
      <c r="C439" s="317"/>
      <c r="D439" s="317"/>
      <c r="E439" s="317"/>
      <c r="F439" s="724"/>
    </row>
    <row r="440" spans="1:6" thickBot="1">
      <c r="A440" s="332"/>
      <c r="B440" s="332"/>
      <c r="C440" s="317"/>
      <c r="D440" s="317"/>
      <c r="E440" s="317"/>
      <c r="F440" s="724"/>
    </row>
    <row r="441" spans="1:6" thickBot="1">
      <c r="A441" s="332"/>
      <c r="B441" s="332"/>
      <c r="C441" s="317"/>
      <c r="D441" s="317"/>
      <c r="E441" s="317"/>
      <c r="F441" s="724"/>
    </row>
    <row r="442" spans="1:6" thickBot="1">
      <c r="A442" s="332"/>
      <c r="B442" s="332"/>
      <c r="C442" s="317"/>
      <c r="D442" s="317"/>
      <c r="E442" s="317"/>
      <c r="F442" s="724"/>
    </row>
    <row r="443" spans="1:6" thickBot="1">
      <c r="A443" s="332"/>
      <c r="B443" s="332"/>
      <c r="C443" s="317"/>
      <c r="D443" s="317"/>
      <c r="E443" s="317"/>
      <c r="F443" s="724"/>
    </row>
    <row r="444" spans="1:6" thickBot="1">
      <c r="A444" s="332"/>
      <c r="B444" s="332"/>
      <c r="C444" s="317"/>
      <c r="D444" s="317"/>
      <c r="E444" s="317"/>
      <c r="F444" s="724"/>
    </row>
    <row r="445" spans="1:6" thickBot="1">
      <c r="A445" s="332"/>
      <c r="B445" s="332"/>
      <c r="C445" s="317"/>
      <c r="D445" s="317"/>
      <c r="E445" s="317"/>
      <c r="F445" s="724"/>
    </row>
    <row r="446" spans="1:6" thickBot="1">
      <c r="A446" s="332"/>
      <c r="B446" s="332"/>
      <c r="C446" s="317"/>
      <c r="D446" s="317"/>
      <c r="E446" s="317"/>
      <c r="F446" s="724"/>
    </row>
    <row r="447" spans="1:6" thickBot="1">
      <c r="A447" s="332"/>
      <c r="B447" s="332"/>
      <c r="C447" s="317"/>
      <c r="D447" s="317"/>
      <c r="E447" s="317"/>
      <c r="F447" s="724"/>
    </row>
    <row r="448" spans="1:6" thickBot="1">
      <c r="A448" s="332"/>
      <c r="B448" s="332"/>
      <c r="C448" s="317"/>
      <c r="D448" s="317"/>
      <c r="E448" s="317"/>
      <c r="F448" s="724"/>
    </row>
    <row r="449" spans="1:6" thickBot="1">
      <c r="A449" s="332"/>
      <c r="B449" s="332"/>
      <c r="C449" s="317"/>
      <c r="D449" s="317"/>
      <c r="E449" s="317"/>
      <c r="F449" s="724"/>
    </row>
    <row r="450" spans="1:6" thickBot="1">
      <c r="A450" s="332"/>
      <c r="B450" s="332"/>
      <c r="C450" s="317"/>
      <c r="D450" s="317"/>
      <c r="E450" s="317"/>
      <c r="F450" s="724"/>
    </row>
    <row r="451" spans="1:6" thickBot="1">
      <c r="A451" s="332"/>
      <c r="B451" s="332"/>
      <c r="C451" s="317"/>
      <c r="D451" s="317"/>
      <c r="E451" s="317"/>
      <c r="F451" s="724"/>
    </row>
    <row r="452" spans="1:6" thickBot="1">
      <c r="A452" s="332"/>
      <c r="B452" s="332"/>
      <c r="C452" s="317"/>
      <c r="D452" s="317"/>
      <c r="E452" s="317"/>
      <c r="F452" s="724"/>
    </row>
    <row r="453" spans="1:6" thickBot="1">
      <c r="A453" s="332"/>
      <c r="B453" s="332"/>
      <c r="C453" s="317"/>
      <c r="D453" s="317"/>
      <c r="E453" s="317"/>
      <c r="F453" s="724"/>
    </row>
    <row r="454" spans="1:6" thickBot="1">
      <c r="A454" s="332"/>
      <c r="B454" s="332"/>
      <c r="C454" s="317"/>
      <c r="D454" s="317"/>
      <c r="E454" s="317"/>
      <c r="F454" s="724"/>
    </row>
    <row r="455" spans="1:6" thickBot="1">
      <c r="A455" s="332"/>
      <c r="B455" s="332"/>
      <c r="C455" s="317"/>
      <c r="D455" s="317"/>
      <c r="E455" s="317"/>
      <c r="F455" s="724"/>
    </row>
    <row r="456" spans="1:6" thickBot="1">
      <c r="A456" s="332"/>
      <c r="B456" s="332"/>
      <c r="C456" s="317"/>
      <c r="D456" s="317"/>
      <c r="E456" s="317"/>
      <c r="F456" s="724"/>
    </row>
    <row r="457" spans="1:6" thickBot="1">
      <c r="A457" s="332"/>
      <c r="B457" s="332"/>
      <c r="C457" s="317"/>
      <c r="D457" s="317"/>
      <c r="E457" s="317"/>
      <c r="F457" s="724"/>
    </row>
    <row r="458" spans="1:6" thickBot="1">
      <c r="A458" s="332"/>
      <c r="B458" s="332"/>
      <c r="C458" s="317"/>
      <c r="D458" s="317"/>
      <c r="E458" s="317"/>
      <c r="F458" s="724"/>
    </row>
    <row r="459" spans="1:6" thickBot="1">
      <c r="A459" s="332"/>
      <c r="B459" s="332"/>
      <c r="C459" s="317"/>
      <c r="D459" s="317"/>
      <c r="E459" s="317"/>
      <c r="F459" s="724"/>
    </row>
    <row r="460" spans="1:6" thickBot="1">
      <c r="A460" s="332"/>
      <c r="B460" s="332"/>
      <c r="C460" s="317"/>
      <c r="D460" s="317"/>
      <c r="E460" s="317"/>
      <c r="F460" s="724"/>
    </row>
    <row r="461" spans="1:6" thickBot="1">
      <c r="A461" s="332"/>
      <c r="B461" s="332"/>
      <c r="C461" s="317"/>
      <c r="D461" s="317"/>
      <c r="E461" s="317"/>
      <c r="F461" s="724"/>
    </row>
    <row r="462" spans="1:6" thickBot="1">
      <c r="A462" s="332"/>
      <c r="B462" s="332"/>
      <c r="C462" s="317"/>
      <c r="D462" s="317"/>
      <c r="E462" s="317"/>
      <c r="F462" s="724"/>
    </row>
    <row r="463" spans="1:6" thickBot="1">
      <c r="A463" s="332"/>
      <c r="B463" s="332"/>
      <c r="C463" s="317"/>
      <c r="D463" s="317"/>
      <c r="E463" s="317"/>
      <c r="F463" s="724"/>
    </row>
    <row r="464" spans="1:6" thickBot="1">
      <c r="A464" s="332"/>
      <c r="B464" s="332"/>
      <c r="C464" s="317"/>
      <c r="D464" s="317"/>
      <c r="E464" s="317"/>
      <c r="F464" s="724"/>
    </row>
    <row r="465" spans="1:6" thickBot="1">
      <c r="A465" s="332"/>
      <c r="B465" s="332"/>
      <c r="C465" s="317"/>
      <c r="D465" s="317"/>
      <c r="E465" s="317"/>
      <c r="F465" s="724"/>
    </row>
    <row r="466" spans="1:6" thickBot="1">
      <c r="A466" s="332"/>
      <c r="B466" s="332"/>
      <c r="C466" s="317"/>
      <c r="D466" s="317"/>
      <c r="E466" s="317"/>
      <c r="F466" s="724"/>
    </row>
    <row r="467" spans="1:6" thickBot="1">
      <c r="A467" s="332"/>
      <c r="B467" s="332"/>
      <c r="C467" s="317"/>
      <c r="D467" s="317"/>
      <c r="E467" s="317"/>
      <c r="F467" s="724"/>
    </row>
    <row r="468" spans="1:6" thickBot="1">
      <c r="A468" s="332"/>
      <c r="B468" s="332"/>
      <c r="C468" s="317"/>
      <c r="D468" s="317"/>
      <c r="E468" s="317"/>
      <c r="F468" s="724"/>
    </row>
    <row r="469" spans="1:6" thickBot="1">
      <c r="A469" s="332"/>
      <c r="B469" s="332"/>
      <c r="C469" s="317"/>
      <c r="D469" s="317"/>
      <c r="E469" s="317"/>
      <c r="F469" s="724"/>
    </row>
    <row r="470" spans="1:6" thickBot="1">
      <c r="A470" s="332"/>
      <c r="B470" s="332"/>
      <c r="C470" s="317"/>
      <c r="D470" s="317"/>
      <c r="E470" s="317"/>
      <c r="F470" s="724"/>
    </row>
    <row r="471" spans="1:6" thickBot="1">
      <c r="A471" s="332"/>
      <c r="B471" s="332"/>
      <c r="C471" s="317"/>
      <c r="D471" s="317"/>
      <c r="E471" s="317"/>
      <c r="F471" s="724"/>
    </row>
    <row r="472" spans="1:6" thickBot="1">
      <c r="A472" s="332"/>
      <c r="B472" s="332"/>
      <c r="C472" s="317"/>
      <c r="D472" s="317"/>
      <c r="E472" s="317"/>
      <c r="F472" s="724"/>
    </row>
    <row r="473" spans="1:6" thickBot="1">
      <c r="A473" s="332"/>
      <c r="B473" s="332"/>
      <c r="C473" s="317"/>
      <c r="D473" s="317"/>
      <c r="E473" s="317"/>
      <c r="F473" s="724"/>
    </row>
    <row r="474" spans="1:6" thickBot="1">
      <c r="A474" s="332"/>
      <c r="B474" s="332"/>
      <c r="C474" s="317"/>
      <c r="D474" s="317"/>
      <c r="E474" s="317"/>
      <c r="F474" s="724"/>
    </row>
    <row r="475" spans="1:6" thickBot="1">
      <c r="A475" s="332"/>
      <c r="B475" s="332"/>
      <c r="C475" s="317"/>
      <c r="D475" s="317"/>
      <c r="E475" s="317"/>
      <c r="F475" s="724"/>
    </row>
    <row r="476" spans="1:6" thickBot="1">
      <c r="A476" s="332"/>
      <c r="B476" s="332"/>
      <c r="C476" s="317"/>
      <c r="D476" s="317"/>
      <c r="E476" s="317"/>
      <c r="F476" s="724"/>
    </row>
    <row r="477" spans="1:6" thickBot="1">
      <c r="A477" s="332"/>
      <c r="B477" s="332"/>
      <c r="C477" s="317"/>
      <c r="D477" s="317"/>
      <c r="E477" s="317"/>
      <c r="F477" s="724"/>
    </row>
    <row r="478" spans="1:6" thickBot="1">
      <c r="A478" s="332"/>
      <c r="B478" s="332"/>
      <c r="C478" s="317"/>
      <c r="D478" s="317"/>
      <c r="E478" s="317"/>
      <c r="F478" s="724"/>
    </row>
    <row r="479" spans="1:6" thickBot="1">
      <c r="A479" s="332"/>
      <c r="B479" s="332"/>
      <c r="C479" s="317"/>
      <c r="D479" s="317"/>
      <c r="E479" s="317"/>
      <c r="F479" s="724"/>
    </row>
    <row r="480" spans="1:6" thickBot="1">
      <c r="A480" s="332"/>
      <c r="B480" s="332"/>
      <c r="C480" s="317"/>
      <c r="D480" s="317"/>
      <c r="E480" s="317"/>
      <c r="F480" s="724"/>
    </row>
    <row r="481" spans="1:6" thickBot="1">
      <c r="A481" s="332"/>
      <c r="B481" s="332"/>
      <c r="C481" s="317"/>
      <c r="D481" s="317"/>
      <c r="E481" s="317"/>
      <c r="F481" s="724"/>
    </row>
    <row r="482" spans="1:6" thickBot="1">
      <c r="A482" s="332"/>
      <c r="B482" s="332"/>
      <c r="C482" s="317"/>
      <c r="D482" s="317"/>
      <c r="E482" s="317"/>
      <c r="F482" s="724"/>
    </row>
    <row r="483" spans="1:6" thickBot="1">
      <c r="A483" s="332"/>
      <c r="B483" s="332"/>
      <c r="C483" s="317"/>
      <c r="D483" s="317"/>
      <c r="E483" s="317"/>
      <c r="F483" s="724"/>
    </row>
    <row r="484" spans="1:6" thickBot="1">
      <c r="A484" s="332"/>
      <c r="B484" s="332"/>
      <c r="C484" s="317"/>
      <c r="D484" s="317"/>
      <c r="E484" s="317"/>
      <c r="F484" s="724"/>
    </row>
    <row r="485" spans="1:6" thickBot="1">
      <c r="A485" s="332"/>
      <c r="B485" s="332"/>
      <c r="C485" s="317"/>
      <c r="D485" s="317"/>
      <c r="E485" s="317"/>
      <c r="F485" s="724"/>
    </row>
    <row r="486" spans="1:6" thickBot="1">
      <c r="A486" s="332"/>
      <c r="B486" s="332"/>
      <c r="C486" s="317"/>
      <c r="D486" s="317"/>
      <c r="E486" s="317"/>
      <c r="F486" s="724"/>
    </row>
    <row r="487" spans="1:6" thickBot="1">
      <c r="A487" s="332"/>
      <c r="B487" s="332"/>
      <c r="C487" s="317"/>
      <c r="D487" s="317"/>
      <c r="E487" s="317"/>
      <c r="F487" s="724"/>
    </row>
    <row r="488" spans="1:6" thickBot="1">
      <c r="A488" s="332"/>
      <c r="B488" s="332"/>
      <c r="C488" s="317"/>
      <c r="D488" s="317"/>
      <c r="E488" s="317"/>
      <c r="F488" s="724"/>
    </row>
    <row r="489" spans="1:6" thickBot="1">
      <c r="A489" s="332"/>
      <c r="B489" s="332"/>
      <c r="C489" s="317"/>
      <c r="D489" s="317"/>
      <c r="E489" s="317"/>
      <c r="F489" s="724"/>
    </row>
    <row r="490" spans="1:6" thickBot="1">
      <c r="A490" s="332"/>
      <c r="B490" s="332"/>
      <c r="C490" s="317"/>
      <c r="D490" s="317"/>
      <c r="E490" s="317"/>
      <c r="F490" s="724"/>
    </row>
    <row r="491" spans="1:6" thickBot="1">
      <c r="A491" s="332"/>
      <c r="B491" s="332"/>
      <c r="C491" s="317"/>
      <c r="D491" s="317"/>
      <c r="E491" s="317"/>
      <c r="F491" s="724"/>
    </row>
    <row r="492" spans="1:6" thickBot="1">
      <c r="A492" s="332"/>
      <c r="B492" s="332"/>
      <c r="C492" s="317"/>
      <c r="D492" s="317"/>
      <c r="E492" s="317"/>
      <c r="F492" s="724"/>
    </row>
    <row r="493" spans="1:6" thickBot="1">
      <c r="A493" s="332"/>
      <c r="B493" s="332"/>
      <c r="C493" s="317"/>
      <c r="D493" s="317"/>
      <c r="E493" s="317"/>
      <c r="F493" s="724"/>
    </row>
    <row r="494" spans="1:6" thickBot="1">
      <c r="A494" s="332"/>
      <c r="B494" s="332"/>
      <c r="C494" s="317"/>
      <c r="D494" s="317"/>
      <c r="E494" s="317"/>
      <c r="F494" s="724"/>
    </row>
    <row r="495" spans="1:6" thickBot="1">
      <c r="A495" s="332"/>
      <c r="B495" s="332"/>
      <c r="C495" s="317"/>
      <c r="D495" s="317"/>
      <c r="E495" s="317"/>
      <c r="F495" s="724"/>
    </row>
    <row r="496" spans="1:6" thickBot="1">
      <c r="A496" s="332"/>
      <c r="B496" s="332"/>
      <c r="C496" s="317"/>
      <c r="D496" s="317"/>
      <c r="E496" s="317"/>
      <c r="F496" s="724"/>
    </row>
    <row r="497" spans="1:6" thickBot="1">
      <c r="A497" s="332"/>
      <c r="B497" s="332"/>
      <c r="C497" s="317"/>
      <c r="D497" s="317"/>
      <c r="E497" s="317"/>
      <c r="F497" s="724"/>
    </row>
    <row r="498" spans="1:6" thickBot="1">
      <c r="A498" s="332"/>
      <c r="B498" s="332"/>
      <c r="C498" s="317"/>
      <c r="D498" s="317"/>
      <c r="E498" s="317"/>
      <c r="F498" s="724"/>
    </row>
    <row r="499" spans="1:6" thickBot="1">
      <c r="A499" s="332"/>
      <c r="B499" s="332"/>
      <c r="C499" s="317"/>
      <c r="D499" s="317"/>
      <c r="E499" s="317"/>
      <c r="F499" s="724"/>
    </row>
    <row r="500" spans="1:6" thickBot="1">
      <c r="A500" s="332"/>
      <c r="B500" s="332"/>
      <c r="C500" s="317"/>
      <c r="D500" s="317"/>
      <c r="E500" s="317"/>
      <c r="F500" s="724"/>
    </row>
    <row r="501" spans="1:6" thickBot="1">
      <c r="A501" s="332"/>
      <c r="B501" s="332"/>
      <c r="C501" s="317"/>
      <c r="D501" s="317"/>
      <c r="E501" s="317"/>
      <c r="F501" s="724"/>
    </row>
    <row r="502" spans="1:6" thickBot="1">
      <c r="A502" s="332"/>
      <c r="B502" s="332"/>
      <c r="C502" s="317"/>
      <c r="D502" s="317"/>
      <c r="E502" s="317"/>
      <c r="F502" s="724"/>
    </row>
    <row r="503" spans="1:6" thickBot="1">
      <c r="A503" s="332"/>
      <c r="B503" s="332"/>
      <c r="C503" s="317"/>
      <c r="D503" s="317"/>
      <c r="E503" s="317"/>
      <c r="F503" s="724"/>
    </row>
    <row r="504" spans="1:6" thickBot="1">
      <c r="A504" s="332"/>
      <c r="B504" s="332"/>
      <c r="C504" s="317"/>
      <c r="D504" s="317"/>
      <c r="E504" s="317"/>
      <c r="F504" s="724"/>
    </row>
    <row r="505" spans="1:6" thickBot="1">
      <c r="A505" s="332"/>
      <c r="B505" s="332"/>
      <c r="C505" s="317"/>
      <c r="D505" s="317"/>
      <c r="E505" s="317"/>
      <c r="F505" s="724"/>
    </row>
    <row r="506" spans="1:6" thickBot="1">
      <c r="A506" s="332"/>
      <c r="B506" s="332"/>
      <c r="C506" s="317"/>
      <c r="D506" s="317"/>
      <c r="E506" s="317"/>
      <c r="F506" s="724"/>
    </row>
    <row r="507" spans="1:6" thickBot="1">
      <c r="A507" s="332"/>
      <c r="B507" s="332"/>
      <c r="C507" s="317"/>
      <c r="D507" s="317"/>
      <c r="E507" s="317"/>
      <c r="F507" s="724"/>
    </row>
    <row r="508" spans="1:6" thickBot="1">
      <c r="A508" s="332"/>
      <c r="B508" s="332"/>
      <c r="C508" s="317"/>
      <c r="D508" s="317"/>
      <c r="E508" s="317"/>
      <c r="F508" s="724"/>
    </row>
    <row r="509" spans="1:6" thickBot="1">
      <c r="A509" s="332"/>
      <c r="B509" s="332"/>
      <c r="C509" s="317"/>
      <c r="D509" s="317"/>
      <c r="E509" s="317"/>
      <c r="F509" s="724"/>
    </row>
    <row r="510" spans="1:6" thickBot="1">
      <c r="A510" s="332"/>
      <c r="B510" s="332"/>
      <c r="C510" s="317"/>
      <c r="D510" s="317"/>
      <c r="E510" s="317"/>
      <c r="F510" s="724"/>
    </row>
    <row r="511" spans="1:6" thickBot="1">
      <c r="A511" s="332"/>
      <c r="B511" s="332"/>
      <c r="C511" s="317"/>
      <c r="D511" s="317"/>
      <c r="E511" s="317"/>
      <c r="F511" s="724"/>
    </row>
    <row r="512" spans="1:6" thickBot="1">
      <c r="A512" s="332"/>
      <c r="B512" s="332"/>
      <c r="C512" s="317"/>
      <c r="D512" s="317"/>
      <c r="E512" s="317"/>
      <c r="F512" s="724"/>
    </row>
    <row r="513" spans="1:6" thickBot="1">
      <c r="A513" s="332"/>
      <c r="B513" s="332"/>
      <c r="C513" s="317"/>
      <c r="D513" s="317"/>
      <c r="E513" s="317"/>
      <c r="F513" s="724"/>
    </row>
    <row r="514" spans="1:6" thickBot="1">
      <c r="A514" s="332"/>
      <c r="B514" s="332"/>
      <c r="C514" s="317"/>
      <c r="D514" s="317"/>
      <c r="E514" s="317"/>
      <c r="F514" s="724"/>
    </row>
    <row r="515" spans="1:6" thickBot="1">
      <c r="A515" s="332"/>
      <c r="B515" s="332"/>
      <c r="C515" s="317"/>
      <c r="D515" s="317"/>
      <c r="E515" s="317"/>
      <c r="F515" s="724"/>
    </row>
    <row r="516" spans="1:6" thickBot="1">
      <c r="A516" s="332"/>
      <c r="B516" s="332"/>
      <c r="C516" s="317"/>
      <c r="D516" s="317"/>
      <c r="E516" s="317"/>
      <c r="F516" s="724"/>
    </row>
    <row r="517" spans="1:6" thickBot="1">
      <c r="A517" s="332"/>
      <c r="B517" s="332"/>
      <c r="C517" s="317"/>
      <c r="D517" s="317"/>
      <c r="E517" s="317"/>
      <c r="F517" s="724"/>
    </row>
    <row r="518" spans="1:6" thickBot="1">
      <c r="A518" s="332"/>
      <c r="B518" s="332"/>
      <c r="C518" s="317"/>
      <c r="D518" s="317"/>
      <c r="E518" s="317"/>
      <c r="F518" s="724"/>
    </row>
    <row r="519" spans="1:6" thickBot="1">
      <c r="A519" s="332"/>
      <c r="B519" s="332"/>
      <c r="C519" s="317"/>
      <c r="D519" s="317"/>
      <c r="E519" s="317"/>
      <c r="F519" s="724"/>
    </row>
    <row r="520" spans="1:6" thickBot="1">
      <c r="A520" s="332"/>
      <c r="B520" s="332"/>
      <c r="C520" s="317"/>
      <c r="D520" s="317"/>
      <c r="E520" s="317"/>
      <c r="F520" s="724"/>
    </row>
    <row r="521" spans="1:6" thickBot="1">
      <c r="A521" s="332"/>
      <c r="B521" s="332"/>
      <c r="C521" s="317"/>
      <c r="D521" s="317"/>
      <c r="E521" s="317"/>
      <c r="F521" s="724"/>
    </row>
    <row r="522" spans="1:6" thickBot="1">
      <c r="A522" s="332"/>
      <c r="B522" s="332"/>
      <c r="C522" s="317"/>
      <c r="D522" s="317"/>
      <c r="E522" s="317"/>
      <c r="F522" s="724"/>
    </row>
    <row r="523" spans="1:6" thickBot="1">
      <c r="A523" s="332"/>
      <c r="B523" s="332"/>
      <c r="C523" s="317"/>
      <c r="D523" s="317"/>
      <c r="E523" s="317"/>
      <c r="F523" s="724"/>
    </row>
    <row r="524" spans="1:6" thickBot="1">
      <c r="A524" s="332"/>
      <c r="B524" s="332"/>
      <c r="C524" s="317"/>
      <c r="D524" s="317"/>
      <c r="E524" s="317"/>
      <c r="F524" s="724"/>
    </row>
    <row r="525" spans="1:6" thickBot="1">
      <c r="A525" s="332"/>
      <c r="B525" s="332"/>
      <c r="C525" s="317"/>
      <c r="D525" s="317"/>
      <c r="E525" s="317"/>
      <c r="F525" s="724"/>
    </row>
    <row r="526" spans="1:6" thickBot="1">
      <c r="A526" s="332"/>
      <c r="B526" s="332"/>
      <c r="C526" s="317"/>
      <c r="D526" s="317"/>
      <c r="E526" s="317"/>
      <c r="F526" s="724"/>
    </row>
    <row r="527" spans="1:6" thickBot="1">
      <c r="A527" s="332"/>
      <c r="B527" s="332"/>
      <c r="C527" s="317"/>
      <c r="D527" s="317"/>
      <c r="E527" s="317"/>
      <c r="F527" s="724"/>
    </row>
    <row r="528" spans="1:6" thickBot="1">
      <c r="A528" s="332"/>
      <c r="B528" s="332"/>
      <c r="C528" s="317"/>
      <c r="D528" s="317"/>
      <c r="E528" s="317"/>
      <c r="F528" s="724"/>
    </row>
    <row r="529" spans="1:6" thickBot="1">
      <c r="A529" s="332"/>
      <c r="B529" s="332"/>
      <c r="C529" s="317"/>
      <c r="D529" s="317"/>
      <c r="E529" s="317"/>
      <c r="F529" s="724"/>
    </row>
    <row r="530" spans="1:6" thickBot="1">
      <c r="A530" s="332"/>
      <c r="B530" s="332"/>
      <c r="C530" s="317"/>
      <c r="D530" s="317"/>
      <c r="E530" s="317"/>
      <c r="F530" s="724"/>
    </row>
    <row r="531" spans="1:6" thickBot="1">
      <c r="A531" s="332"/>
      <c r="B531" s="332"/>
      <c r="C531" s="317"/>
      <c r="D531" s="317"/>
      <c r="E531" s="317"/>
      <c r="F531" s="724"/>
    </row>
    <row r="532" spans="1:6" thickBot="1">
      <c r="A532" s="332"/>
      <c r="B532" s="332"/>
      <c r="C532" s="317"/>
      <c r="D532" s="317"/>
      <c r="E532" s="317"/>
      <c r="F532" s="724"/>
    </row>
    <row r="533" spans="1:6" thickBot="1">
      <c r="A533" s="332"/>
      <c r="B533" s="332"/>
      <c r="C533" s="317"/>
      <c r="D533" s="317"/>
      <c r="E533" s="317"/>
      <c r="F533" s="724"/>
    </row>
    <row r="534" spans="1:6" thickBot="1">
      <c r="A534" s="332"/>
      <c r="B534" s="332"/>
      <c r="C534" s="317"/>
      <c r="D534" s="317"/>
      <c r="E534" s="317"/>
      <c r="F534" s="724"/>
    </row>
    <row r="535" spans="1:6" thickBot="1">
      <c r="A535" s="332"/>
      <c r="B535" s="332"/>
      <c r="C535" s="317"/>
      <c r="D535" s="317"/>
      <c r="E535" s="317"/>
      <c r="F535" s="724"/>
    </row>
    <row r="536" spans="1:6" thickBot="1">
      <c r="A536" s="332"/>
      <c r="B536" s="332"/>
      <c r="C536" s="317"/>
      <c r="D536" s="317"/>
      <c r="E536" s="317"/>
      <c r="F536" s="724"/>
    </row>
    <row r="537" spans="1:6" thickBot="1">
      <c r="A537" s="332"/>
      <c r="B537" s="332"/>
      <c r="C537" s="317"/>
      <c r="D537" s="317"/>
      <c r="E537" s="317"/>
      <c r="F537" s="724"/>
    </row>
    <row r="538" spans="1:6" thickBot="1">
      <c r="A538" s="332"/>
      <c r="B538" s="332"/>
      <c r="C538" s="317"/>
      <c r="D538" s="317"/>
      <c r="E538" s="317"/>
      <c r="F538" s="724"/>
    </row>
    <row r="539" spans="1:6" thickBot="1">
      <c r="A539" s="332"/>
      <c r="B539" s="332"/>
      <c r="C539" s="317"/>
      <c r="D539" s="317"/>
      <c r="E539" s="317"/>
      <c r="F539" s="724"/>
    </row>
    <row r="540" spans="1:6" thickBot="1">
      <c r="A540" s="332"/>
      <c r="B540" s="332"/>
      <c r="C540" s="317"/>
      <c r="D540" s="317"/>
      <c r="E540" s="317"/>
      <c r="F540" s="724"/>
    </row>
    <row r="541" spans="1:6" thickBot="1">
      <c r="A541" s="332"/>
      <c r="B541" s="332"/>
      <c r="C541" s="317"/>
      <c r="D541" s="317"/>
      <c r="E541" s="317"/>
      <c r="F541" s="724"/>
    </row>
    <row r="542" spans="1:6" thickBot="1">
      <c r="A542" s="332"/>
      <c r="B542" s="332"/>
      <c r="C542" s="317"/>
      <c r="D542" s="317"/>
      <c r="E542" s="317"/>
      <c r="F542" s="724"/>
    </row>
    <row r="543" spans="1:6" thickBot="1">
      <c r="A543" s="332"/>
      <c r="B543" s="332"/>
      <c r="C543" s="317"/>
      <c r="D543" s="317"/>
      <c r="E543" s="317"/>
      <c r="F543" s="724"/>
    </row>
    <row r="544" spans="1:6" thickBot="1">
      <c r="A544" s="332"/>
      <c r="B544" s="332"/>
      <c r="C544" s="317"/>
      <c r="D544" s="317"/>
      <c r="E544" s="317"/>
      <c r="F544" s="724"/>
    </row>
    <row r="545" spans="1:6" thickBot="1">
      <c r="A545" s="332"/>
      <c r="B545" s="332"/>
      <c r="C545" s="317"/>
      <c r="D545" s="317"/>
      <c r="E545" s="317"/>
      <c r="F545" s="724"/>
    </row>
    <row r="546" spans="1:6" thickBot="1">
      <c r="A546" s="332"/>
      <c r="B546" s="332"/>
      <c r="C546" s="317"/>
      <c r="D546" s="317"/>
      <c r="E546" s="317"/>
      <c r="F546" s="724"/>
    </row>
    <row r="547" spans="1:6" thickBot="1">
      <c r="A547" s="332"/>
      <c r="B547" s="332"/>
      <c r="C547" s="317"/>
      <c r="D547" s="317"/>
      <c r="E547" s="317"/>
      <c r="F547" s="724"/>
    </row>
    <row r="548" spans="1:6" thickBot="1">
      <c r="A548" s="332"/>
      <c r="B548" s="332"/>
      <c r="C548" s="317"/>
      <c r="D548" s="317"/>
      <c r="E548" s="317"/>
      <c r="F548" s="724"/>
    </row>
    <row r="549" spans="1:6" thickBot="1">
      <c r="A549" s="332"/>
      <c r="B549" s="332"/>
      <c r="C549" s="317"/>
      <c r="D549" s="317"/>
      <c r="E549" s="317"/>
      <c r="F549" s="724"/>
    </row>
    <row r="550" spans="1:6" thickBot="1">
      <c r="A550" s="332"/>
      <c r="B550" s="332"/>
      <c r="C550" s="317"/>
      <c r="D550" s="317"/>
      <c r="E550" s="317"/>
      <c r="F550" s="724"/>
    </row>
    <row r="551" spans="1:6" thickBot="1">
      <c r="A551" s="332"/>
      <c r="B551" s="332"/>
      <c r="C551" s="317"/>
      <c r="D551" s="317"/>
      <c r="E551" s="317"/>
      <c r="F551" s="724"/>
    </row>
    <row r="552" spans="1:6" thickBot="1">
      <c r="A552" s="332"/>
      <c r="B552" s="332"/>
      <c r="C552" s="317"/>
      <c r="D552" s="317"/>
      <c r="E552" s="317"/>
      <c r="F552" s="724"/>
    </row>
    <row r="553" spans="1:6" thickBot="1">
      <c r="A553" s="332"/>
      <c r="B553" s="332"/>
      <c r="C553" s="317"/>
      <c r="D553" s="317"/>
      <c r="E553" s="317"/>
      <c r="F553" s="724"/>
    </row>
    <row r="554" spans="1:6" thickBot="1">
      <c r="A554" s="332"/>
      <c r="B554" s="332"/>
      <c r="C554" s="317"/>
      <c r="D554" s="317"/>
      <c r="E554" s="317"/>
      <c r="F554" s="724"/>
    </row>
    <row r="555" spans="1:6" thickBot="1">
      <c r="A555" s="332"/>
      <c r="B555" s="332"/>
      <c r="C555" s="317"/>
      <c r="D555" s="317"/>
      <c r="E555" s="317"/>
      <c r="F555" s="724"/>
    </row>
    <row r="556" spans="1:6" thickBot="1">
      <c r="A556" s="332"/>
      <c r="B556" s="332"/>
      <c r="C556" s="317"/>
      <c r="D556" s="317"/>
      <c r="E556" s="317"/>
      <c r="F556" s="724"/>
    </row>
    <row r="557" spans="1:6" thickBot="1">
      <c r="A557" s="332"/>
      <c r="B557" s="332"/>
      <c r="C557" s="317"/>
      <c r="D557" s="317"/>
      <c r="E557" s="317"/>
      <c r="F557" s="724"/>
    </row>
    <row r="558" spans="1:6" thickBot="1">
      <c r="A558" s="332"/>
      <c r="B558" s="332"/>
      <c r="C558" s="317"/>
      <c r="D558" s="317"/>
      <c r="E558" s="317"/>
      <c r="F558" s="724"/>
    </row>
    <row r="559" spans="1:6" thickBot="1">
      <c r="A559" s="332"/>
      <c r="B559" s="332"/>
      <c r="C559" s="317"/>
      <c r="D559" s="317"/>
      <c r="E559" s="317"/>
      <c r="F559" s="724"/>
    </row>
    <row r="560" spans="1:6" thickBot="1">
      <c r="A560" s="332"/>
      <c r="B560" s="332"/>
      <c r="C560" s="317"/>
      <c r="D560" s="317"/>
      <c r="E560" s="317"/>
      <c r="F560" s="724"/>
    </row>
    <row r="561" spans="1:6" thickBot="1">
      <c r="A561" s="332"/>
      <c r="B561" s="332"/>
      <c r="C561" s="317"/>
      <c r="D561" s="317"/>
      <c r="E561" s="317"/>
      <c r="F561" s="724"/>
    </row>
    <row r="562" spans="1:6" thickBot="1">
      <c r="A562" s="332"/>
      <c r="B562" s="332"/>
      <c r="C562" s="317"/>
      <c r="D562" s="317"/>
      <c r="E562" s="317"/>
      <c r="F562" s="724"/>
    </row>
    <row r="563" spans="1:6" thickBot="1">
      <c r="A563" s="332"/>
      <c r="B563" s="332"/>
      <c r="C563" s="317"/>
      <c r="D563" s="317"/>
      <c r="E563" s="317"/>
      <c r="F563" s="724"/>
    </row>
    <row r="564" spans="1:6" thickBot="1">
      <c r="A564" s="332"/>
      <c r="B564" s="332"/>
      <c r="C564" s="317"/>
      <c r="D564" s="317"/>
      <c r="E564" s="317"/>
      <c r="F564" s="724"/>
    </row>
    <row r="565" spans="1:6" thickBot="1">
      <c r="A565" s="332"/>
      <c r="B565" s="332"/>
      <c r="C565" s="317"/>
      <c r="D565" s="317"/>
      <c r="E565" s="317"/>
      <c r="F565" s="724"/>
    </row>
    <row r="566" spans="1:6" thickBot="1">
      <c r="A566" s="332"/>
      <c r="B566" s="332"/>
      <c r="C566" s="317"/>
      <c r="D566" s="317"/>
      <c r="E566" s="317"/>
      <c r="F566" s="724"/>
    </row>
    <row r="567" spans="1:6" thickBot="1">
      <c r="A567" s="332"/>
      <c r="B567" s="332"/>
      <c r="C567" s="317"/>
      <c r="D567" s="317"/>
      <c r="E567" s="317"/>
      <c r="F567" s="724"/>
    </row>
    <row r="568" spans="1:6" thickBot="1">
      <c r="A568" s="332"/>
      <c r="B568" s="332"/>
      <c r="C568" s="317"/>
      <c r="D568" s="317"/>
      <c r="E568" s="317"/>
      <c r="F568" s="724"/>
    </row>
    <row r="569" spans="1:6" thickBot="1">
      <c r="A569" s="332"/>
      <c r="B569" s="332"/>
      <c r="C569" s="317"/>
      <c r="D569" s="317"/>
      <c r="E569" s="317"/>
      <c r="F569" s="724"/>
    </row>
    <row r="570" spans="1:6" thickBot="1">
      <c r="A570" s="332"/>
      <c r="B570" s="332"/>
      <c r="C570" s="317"/>
      <c r="D570" s="317"/>
      <c r="E570" s="317"/>
      <c r="F570" s="724"/>
    </row>
    <row r="571" spans="1:6" thickBot="1">
      <c r="A571" s="332"/>
      <c r="B571" s="332"/>
      <c r="C571" s="317"/>
      <c r="D571" s="317"/>
      <c r="E571" s="317"/>
      <c r="F571" s="724"/>
    </row>
    <row r="572" spans="1:6" thickBot="1">
      <c r="A572" s="332"/>
      <c r="B572" s="332"/>
      <c r="C572" s="317"/>
      <c r="D572" s="317"/>
      <c r="E572" s="317"/>
      <c r="F572" s="724"/>
    </row>
    <row r="573" spans="1:6" thickBot="1">
      <c r="A573" s="332"/>
      <c r="B573" s="332"/>
      <c r="C573" s="317"/>
      <c r="D573" s="317"/>
      <c r="E573" s="317"/>
      <c r="F573" s="724"/>
    </row>
    <row r="574" spans="1:6" thickBot="1">
      <c r="A574" s="332"/>
      <c r="B574" s="332"/>
      <c r="C574" s="317"/>
      <c r="D574" s="317"/>
      <c r="E574" s="317"/>
      <c r="F574" s="724"/>
    </row>
    <row r="575" spans="1:6" thickBot="1">
      <c r="A575" s="332"/>
      <c r="B575" s="332"/>
      <c r="C575" s="317"/>
      <c r="D575" s="317"/>
      <c r="E575" s="317"/>
      <c r="F575" s="724"/>
    </row>
    <row r="576" spans="1:6" thickBot="1">
      <c r="A576" s="332"/>
      <c r="B576" s="332"/>
      <c r="C576" s="317"/>
      <c r="D576" s="317"/>
      <c r="E576" s="317"/>
      <c r="F576" s="724"/>
    </row>
    <row r="577" spans="1:6" thickBot="1">
      <c r="A577" s="332"/>
      <c r="B577" s="332"/>
      <c r="C577" s="317"/>
      <c r="D577" s="317"/>
      <c r="E577" s="317"/>
      <c r="F577" s="724"/>
    </row>
    <row r="578" spans="1:6" thickBot="1">
      <c r="A578" s="332"/>
      <c r="B578" s="332"/>
      <c r="C578" s="317"/>
      <c r="D578" s="317"/>
      <c r="E578" s="317"/>
      <c r="F578" s="724"/>
    </row>
    <row r="579" spans="1:6" thickBot="1">
      <c r="A579" s="332"/>
      <c r="B579" s="332"/>
      <c r="C579" s="317"/>
      <c r="D579" s="317"/>
      <c r="E579" s="317"/>
      <c r="F579" s="724"/>
    </row>
    <row r="580" spans="1:6" thickBot="1">
      <c r="A580" s="332"/>
      <c r="B580" s="332"/>
      <c r="C580" s="317"/>
      <c r="D580" s="317"/>
      <c r="E580" s="317"/>
      <c r="F580" s="724"/>
    </row>
    <row r="581" spans="1:6" thickBot="1">
      <c r="A581" s="332"/>
      <c r="B581" s="332"/>
      <c r="C581" s="317"/>
      <c r="D581" s="317"/>
      <c r="E581" s="317"/>
      <c r="F581" s="724"/>
    </row>
    <row r="582" spans="1:6" thickBot="1">
      <c r="A582" s="332"/>
      <c r="B582" s="332"/>
      <c r="C582" s="317"/>
      <c r="D582" s="317"/>
      <c r="E582" s="317"/>
      <c r="F582" s="724"/>
    </row>
    <row r="583" spans="1:6" thickBot="1">
      <c r="A583" s="332"/>
      <c r="B583" s="332"/>
      <c r="C583" s="317"/>
      <c r="D583" s="317"/>
      <c r="E583" s="317"/>
      <c r="F583" s="724"/>
    </row>
    <row r="584" spans="1:6" thickBot="1">
      <c r="A584" s="332"/>
      <c r="B584" s="332"/>
      <c r="C584" s="317"/>
      <c r="D584" s="317"/>
      <c r="E584" s="317"/>
      <c r="F584" s="724"/>
    </row>
    <row r="585" spans="1:6" thickBot="1">
      <c r="A585" s="332"/>
      <c r="B585" s="332"/>
      <c r="C585" s="317"/>
      <c r="D585" s="317"/>
      <c r="E585" s="317"/>
      <c r="F585" s="724"/>
    </row>
    <row r="586" spans="1:6" thickBot="1">
      <c r="A586" s="332"/>
      <c r="B586" s="332"/>
      <c r="C586" s="317"/>
      <c r="D586" s="317"/>
      <c r="E586" s="317"/>
      <c r="F586" s="724"/>
    </row>
    <row r="587" spans="1:6" thickBot="1">
      <c r="A587" s="332"/>
      <c r="B587" s="332"/>
      <c r="C587" s="317"/>
      <c r="D587" s="317"/>
      <c r="E587" s="317"/>
      <c r="F587" s="724"/>
    </row>
    <row r="588" spans="1:6" thickBot="1">
      <c r="A588" s="332"/>
      <c r="B588" s="332"/>
      <c r="C588" s="317"/>
      <c r="D588" s="317"/>
      <c r="E588" s="317"/>
      <c r="F588" s="724"/>
    </row>
    <row r="589" spans="1:6" thickBot="1">
      <c r="A589" s="332"/>
      <c r="B589" s="332"/>
      <c r="C589" s="317"/>
      <c r="D589" s="317"/>
      <c r="E589" s="317"/>
      <c r="F589" s="724"/>
    </row>
    <row r="590" spans="1:6" thickBot="1">
      <c r="A590" s="332"/>
      <c r="B590" s="332"/>
      <c r="C590" s="317"/>
      <c r="D590" s="317"/>
      <c r="E590" s="317"/>
      <c r="F590" s="724"/>
    </row>
    <row r="591" spans="1:6" thickBot="1">
      <c r="A591" s="332"/>
      <c r="B591" s="332"/>
      <c r="C591" s="317"/>
      <c r="D591" s="317"/>
      <c r="E591" s="317"/>
      <c r="F591" s="724"/>
    </row>
    <row r="592" spans="1:6" thickBot="1">
      <c r="A592" s="332"/>
      <c r="B592" s="332"/>
      <c r="C592" s="317"/>
      <c r="D592" s="317"/>
      <c r="E592" s="317"/>
      <c r="F592" s="724"/>
    </row>
    <row r="593" spans="1:6" thickBot="1">
      <c r="A593" s="332"/>
      <c r="B593" s="332"/>
      <c r="C593" s="317"/>
      <c r="D593" s="317"/>
      <c r="E593" s="317"/>
      <c r="F593" s="724"/>
    </row>
    <row r="594" spans="1:6" thickBot="1">
      <c r="A594" s="332"/>
      <c r="B594" s="332"/>
      <c r="C594" s="317"/>
      <c r="D594" s="317"/>
      <c r="E594" s="317"/>
      <c r="F594" s="724"/>
    </row>
    <row r="595" spans="1:6" thickBot="1">
      <c r="A595" s="332"/>
      <c r="B595" s="332"/>
      <c r="C595" s="317"/>
      <c r="D595" s="317"/>
      <c r="E595" s="317"/>
      <c r="F595" s="724"/>
    </row>
    <row r="596" spans="1:6" thickBot="1">
      <c r="A596" s="332"/>
      <c r="B596" s="332"/>
      <c r="C596" s="317"/>
      <c r="D596" s="317"/>
      <c r="E596" s="317"/>
      <c r="F596" s="724"/>
    </row>
    <row r="597" spans="1:6" thickBot="1">
      <c r="A597" s="332"/>
      <c r="B597" s="332"/>
      <c r="C597" s="317"/>
      <c r="D597" s="317"/>
      <c r="E597" s="317"/>
      <c r="F597" s="724"/>
    </row>
    <row r="598" spans="1:6" thickBot="1">
      <c r="A598" s="332"/>
      <c r="B598" s="332"/>
      <c r="C598" s="317"/>
      <c r="D598" s="317"/>
      <c r="E598" s="317"/>
      <c r="F598" s="724"/>
    </row>
    <row r="599" spans="1:6" thickBot="1">
      <c r="A599" s="332"/>
      <c r="B599" s="332"/>
      <c r="C599" s="317"/>
      <c r="D599" s="317"/>
      <c r="E599" s="317"/>
      <c r="F599" s="724"/>
    </row>
    <row r="600" spans="1:6" thickBot="1">
      <c r="A600" s="332"/>
      <c r="B600" s="332"/>
      <c r="C600" s="317"/>
      <c r="D600" s="317"/>
      <c r="E600" s="317"/>
      <c r="F600" s="724"/>
    </row>
    <row r="601" spans="1:6" thickBot="1">
      <c r="A601" s="332"/>
      <c r="B601" s="332"/>
      <c r="C601" s="317"/>
      <c r="D601" s="317"/>
      <c r="E601" s="317"/>
      <c r="F601" s="724"/>
    </row>
    <row r="602" spans="1:6" thickBot="1">
      <c r="A602" s="332"/>
      <c r="B602" s="332"/>
      <c r="C602" s="317"/>
      <c r="D602" s="317"/>
      <c r="E602" s="317"/>
      <c r="F602" s="724"/>
    </row>
    <row r="603" spans="1:6" thickBot="1">
      <c r="A603" s="332"/>
      <c r="B603" s="332"/>
      <c r="C603" s="317"/>
      <c r="D603" s="317"/>
      <c r="E603" s="317"/>
      <c r="F603" s="724"/>
    </row>
    <row r="604" spans="1:6" thickBot="1">
      <c r="A604" s="332"/>
      <c r="B604" s="332"/>
      <c r="C604" s="317"/>
      <c r="D604" s="317"/>
      <c r="E604" s="317"/>
      <c r="F604" s="724"/>
    </row>
    <row r="605" spans="1:6" thickBot="1">
      <c r="A605" s="332"/>
      <c r="B605" s="332"/>
      <c r="C605" s="317"/>
      <c r="D605" s="317"/>
      <c r="E605" s="317"/>
      <c r="F605" s="724"/>
    </row>
    <row r="606" spans="1:6" thickBot="1">
      <c r="A606" s="332"/>
      <c r="B606" s="332"/>
      <c r="C606" s="317"/>
      <c r="D606" s="317"/>
      <c r="E606" s="317"/>
      <c r="F606" s="724"/>
    </row>
    <row r="607" spans="1:6" ht="18.75"/>
    <row r="608" spans="1:6" ht="18.75"/>
    <row r="609" ht="18.75"/>
    <row r="610" ht="18.75"/>
  </sheetData>
  <mergeCells count="17">
    <mergeCell ref="A38:B38"/>
    <mergeCell ref="A20:B20"/>
    <mergeCell ref="A19:B19"/>
    <mergeCell ref="A37:B37"/>
    <mergeCell ref="A3:F3"/>
    <mergeCell ref="A104:B104"/>
    <mergeCell ref="A106:B106"/>
    <mergeCell ref="A123:B123"/>
    <mergeCell ref="A133:B133"/>
    <mergeCell ref="A139:B139"/>
    <mergeCell ref="A245:B245"/>
    <mergeCell ref="A154:B154"/>
    <mergeCell ref="A158:B158"/>
    <mergeCell ref="A242:B242"/>
    <mergeCell ref="A213:B213"/>
    <mergeCell ref="A233:B233"/>
    <mergeCell ref="A212:B212"/>
  </mergeCells>
  <pageMargins left="0.7" right="0.7" top="0.75" bottom="0.75" header="0.3" footer="0.3"/>
  <pageSetup paperSize="9" scale="40" orientation="portrait" horizontalDpi="300" verticalDpi="300" r:id="rId1"/>
  <rowBreaks count="2" manualBreakCount="2">
    <brk id="151" max="5" man="1"/>
    <brk id="239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H140"/>
  <sheetViews>
    <sheetView view="pageBreakPreview" zoomScale="96" zoomScaleSheetLayoutView="96" workbookViewId="0"/>
  </sheetViews>
  <sheetFormatPr defaultRowHeight="15"/>
  <cols>
    <col min="1" max="1" width="46.7109375" customWidth="1"/>
    <col min="2" max="2" width="13.5703125" customWidth="1"/>
    <col min="3" max="3" width="17.28515625" customWidth="1"/>
    <col min="4" max="4" width="13.85546875" customWidth="1"/>
    <col min="5" max="5" width="12" style="248" customWidth="1"/>
    <col min="6" max="8" width="13.5703125" customWidth="1"/>
    <col min="9" max="9" width="12" style="248" customWidth="1"/>
    <col min="10" max="12" width="14.28515625" customWidth="1"/>
    <col min="13" max="13" width="12" style="248" customWidth="1"/>
    <col min="14" max="16" width="12" customWidth="1"/>
    <col min="17" max="17" width="12" style="248" customWidth="1"/>
    <col min="18" max="20" width="12" customWidth="1"/>
    <col min="21" max="21" width="12" style="248" customWidth="1"/>
    <col min="22" max="24" width="12" customWidth="1"/>
    <col min="25" max="25" width="12" style="248" customWidth="1"/>
    <col min="26" max="26" width="12" customWidth="1"/>
    <col min="27" max="27" width="14.85546875" customWidth="1"/>
    <col min="28" max="28" width="12" customWidth="1"/>
    <col min="29" max="29" width="12" style="248" customWidth="1"/>
    <col min="30" max="32" width="12" customWidth="1"/>
    <col min="33" max="33" width="12" style="248" customWidth="1"/>
    <col min="34" max="36" width="15.5703125" customWidth="1"/>
    <col min="37" max="37" width="12" style="248" customWidth="1"/>
    <col min="38" max="40" width="15.5703125" customWidth="1"/>
    <col min="41" max="41" width="16.5703125" style="248" customWidth="1"/>
    <col min="42" max="44" width="15.7109375" customWidth="1"/>
    <col min="45" max="45" width="12" style="248" customWidth="1"/>
    <col min="46" max="48" width="13" customWidth="1"/>
  </cols>
  <sheetData>
    <row r="1" spans="1:86" s="135" customFormat="1" ht="16.5" customHeight="1">
      <c r="A1" s="784" t="s">
        <v>967</v>
      </c>
      <c r="E1" s="228"/>
      <c r="I1" s="228"/>
      <c r="M1" s="228"/>
      <c r="Q1" s="228"/>
      <c r="U1" s="228"/>
      <c r="Y1" s="228" t="s">
        <v>397</v>
      </c>
      <c r="AC1" s="228"/>
      <c r="AG1" s="228"/>
      <c r="AK1" s="228"/>
      <c r="AO1" s="228"/>
      <c r="AS1" s="228" t="s">
        <v>398</v>
      </c>
    </row>
    <row r="2" spans="1:86" s="20" customFormat="1" ht="6.75" customHeight="1">
      <c r="A2" s="136"/>
      <c r="E2" s="229"/>
      <c r="I2" s="229"/>
      <c r="M2" s="229"/>
      <c r="Q2" s="229"/>
      <c r="U2" s="229"/>
      <c r="Y2" s="229"/>
      <c r="AC2" s="229"/>
      <c r="AG2" s="229"/>
      <c r="AK2" s="229"/>
      <c r="AO2" s="229"/>
      <c r="AS2" s="229"/>
    </row>
    <row r="3" spans="1:86" s="20" customFormat="1" ht="6.75" customHeight="1">
      <c r="A3" s="136"/>
      <c r="E3" s="229"/>
      <c r="I3" s="229"/>
      <c r="M3" s="229"/>
      <c r="Q3" s="229"/>
      <c r="U3" s="229"/>
      <c r="Y3" s="229"/>
      <c r="AC3" s="229"/>
      <c r="AG3" s="229"/>
      <c r="AK3" s="229"/>
      <c r="AO3" s="229"/>
      <c r="AS3" s="229"/>
    </row>
    <row r="4" spans="1:86" s="230" customFormat="1" ht="37.5" customHeight="1">
      <c r="A4" s="894" t="s">
        <v>704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 t="s">
        <v>704</v>
      </c>
      <c r="AA4" s="895"/>
      <c r="AB4" s="895"/>
      <c r="AC4" s="895"/>
      <c r="AD4" s="895"/>
      <c r="AE4" s="895"/>
      <c r="AF4" s="895"/>
      <c r="AG4" s="895"/>
      <c r="AH4" s="895"/>
      <c r="AI4" s="895"/>
      <c r="AJ4" s="895"/>
      <c r="AK4" s="895"/>
      <c r="AL4" s="895"/>
      <c r="AM4" s="895"/>
      <c r="AN4" s="895"/>
      <c r="AO4" s="895"/>
      <c r="AP4" s="895"/>
      <c r="AQ4" s="895"/>
      <c r="AR4" s="895"/>
      <c r="AS4" s="895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</row>
    <row r="5" spans="1:86" ht="15.75">
      <c r="A5" s="143"/>
      <c r="B5" s="143"/>
      <c r="C5" s="143"/>
      <c r="D5" s="143"/>
      <c r="E5" s="217"/>
      <c r="F5" s="143"/>
      <c r="G5" s="143"/>
      <c r="H5" s="143"/>
      <c r="I5" s="217"/>
      <c r="J5" s="143"/>
      <c r="K5" s="143"/>
      <c r="L5" s="143"/>
      <c r="M5" s="217"/>
      <c r="N5" s="143"/>
      <c r="O5" s="143"/>
      <c r="P5" s="143"/>
      <c r="Q5" s="217"/>
      <c r="R5" s="143"/>
      <c r="S5" s="143"/>
      <c r="T5" s="143"/>
      <c r="U5" s="217"/>
      <c r="V5" s="143"/>
      <c r="W5" s="143"/>
      <c r="X5" s="143"/>
      <c r="Y5" s="217"/>
      <c r="Z5" s="143"/>
      <c r="AA5" s="143"/>
      <c r="AB5" s="143"/>
      <c r="AC5" s="217"/>
      <c r="AD5" s="143"/>
      <c r="AE5" s="143"/>
      <c r="AF5" s="143"/>
      <c r="AG5" s="217"/>
      <c r="AH5" s="143"/>
      <c r="AI5" s="143"/>
      <c r="AJ5" s="143"/>
      <c r="AK5" s="217"/>
      <c r="AL5" s="143"/>
      <c r="AM5" s="143"/>
      <c r="AN5" s="143"/>
      <c r="AO5" s="217"/>
      <c r="AP5" s="143"/>
      <c r="AQ5" s="143"/>
      <c r="AR5" s="143"/>
      <c r="AS5" s="217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</row>
    <row r="6" spans="1:86" ht="16.5" thickBot="1">
      <c r="A6" s="143"/>
      <c r="B6" s="143"/>
      <c r="C6" s="143"/>
      <c r="D6" s="143"/>
      <c r="E6" s="217"/>
      <c r="F6" s="143"/>
      <c r="G6" s="143"/>
      <c r="H6" s="143"/>
      <c r="I6" s="217"/>
      <c r="J6" s="143"/>
      <c r="K6" s="143"/>
      <c r="L6" s="143"/>
      <c r="M6" s="217"/>
      <c r="N6" s="143"/>
      <c r="O6" s="143"/>
      <c r="P6" s="143"/>
      <c r="Q6" s="217"/>
      <c r="R6" s="143"/>
      <c r="S6" s="143"/>
      <c r="T6" s="143"/>
      <c r="U6" s="217"/>
      <c r="V6" s="143"/>
      <c r="W6" s="143"/>
      <c r="X6" s="143"/>
      <c r="Y6" s="217"/>
      <c r="Z6" s="143"/>
      <c r="AA6" s="143"/>
      <c r="AB6" s="143"/>
      <c r="AC6" s="217"/>
      <c r="AD6" s="143"/>
      <c r="AE6" s="143"/>
      <c r="AF6" s="143"/>
      <c r="AG6" s="217"/>
      <c r="AH6" s="143"/>
      <c r="AI6" s="143"/>
      <c r="AJ6" s="143"/>
      <c r="AK6" s="217"/>
      <c r="AL6" s="881"/>
      <c r="AM6" s="881"/>
      <c r="AN6" s="881"/>
      <c r="AO6" s="881"/>
      <c r="AP6" s="881"/>
      <c r="AQ6" s="50"/>
      <c r="AR6" s="50"/>
      <c r="AS6" s="47" t="s">
        <v>7</v>
      </c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</row>
    <row r="7" spans="1:86" s="147" customFormat="1" ht="13.5" customHeight="1" thickBot="1">
      <c r="A7" s="873" t="s">
        <v>372</v>
      </c>
      <c r="B7" s="870" t="s">
        <v>400</v>
      </c>
      <c r="C7" s="871"/>
      <c r="D7" s="871"/>
      <c r="E7" s="872"/>
      <c r="F7" s="870" t="s">
        <v>401</v>
      </c>
      <c r="G7" s="871"/>
      <c r="H7" s="871"/>
      <c r="I7" s="872"/>
      <c r="J7" s="870" t="s">
        <v>402</v>
      </c>
      <c r="K7" s="871"/>
      <c r="L7" s="871"/>
      <c r="M7" s="872"/>
      <c r="N7" s="870" t="s">
        <v>403</v>
      </c>
      <c r="O7" s="871"/>
      <c r="P7" s="871"/>
      <c r="Q7" s="872"/>
      <c r="R7" s="870" t="s">
        <v>404</v>
      </c>
      <c r="S7" s="871"/>
      <c r="T7" s="871"/>
      <c r="U7" s="872"/>
      <c r="V7" s="870" t="s">
        <v>405</v>
      </c>
      <c r="W7" s="871"/>
      <c r="X7" s="871"/>
      <c r="Y7" s="872"/>
      <c r="Z7" s="870" t="s">
        <v>406</v>
      </c>
      <c r="AA7" s="871"/>
      <c r="AB7" s="871"/>
      <c r="AC7" s="872"/>
      <c r="AD7" s="870" t="s">
        <v>407</v>
      </c>
      <c r="AE7" s="871"/>
      <c r="AF7" s="871"/>
      <c r="AG7" s="872"/>
      <c r="AH7" s="860">
        <v>3</v>
      </c>
      <c r="AI7" s="860"/>
      <c r="AJ7" s="860"/>
      <c r="AK7" s="860"/>
      <c r="AL7" s="860"/>
      <c r="AM7" s="860"/>
      <c r="AN7" s="860"/>
      <c r="AO7" s="860"/>
      <c r="AP7" s="860"/>
      <c r="AQ7" s="860"/>
      <c r="AR7" s="860"/>
      <c r="AS7" s="860"/>
      <c r="AT7" s="218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</row>
    <row r="8" spans="1:86" s="149" customFormat="1" ht="29.25" customHeight="1" thickBot="1">
      <c r="A8" s="874"/>
      <c r="B8" s="861" t="s">
        <v>410</v>
      </c>
      <c r="C8" s="862"/>
      <c r="D8" s="862"/>
      <c r="E8" s="863"/>
      <c r="F8" s="861" t="s">
        <v>411</v>
      </c>
      <c r="G8" s="862"/>
      <c r="H8" s="862"/>
      <c r="I8" s="863"/>
      <c r="J8" s="861" t="s">
        <v>412</v>
      </c>
      <c r="K8" s="862"/>
      <c r="L8" s="862"/>
      <c r="M8" s="863"/>
      <c r="N8" s="861" t="s">
        <v>413</v>
      </c>
      <c r="O8" s="862"/>
      <c r="P8" s="862"/>
      <c r="Q8" s="863"/>
      <c r="R8" s="861" t="s">
        <v>414</v>
      </c>
      <c r="S8" s="862"/>
      <c r="T8" s="862"/>
      <c r="U8" s="863"/>
      <c r="V8" s="861" t="s">
        <v>415</v>
      </c>
      <c r="W8" s="862"/>
      <c r="X8" s="862"/>
      <c r="Y8" s="863"/>
      <c r="Z8" s="861" t="s">
        <v>416</v>
      </c>
      <c r="AA8" s="862"/>
      <c r="AB8" s="862"/>
      <c r="AC8" s="863"/>
      <c r="AD8" s="861" t="s">
        <v>417</v>
      </c>
      <c r="AE8" s="862"/>
      <c r="AF8" s="862"/>
      <c r="AG8" s="863"/>
      <c r="AH8" s="859" t="s">
        <v>419</v>
      </c>
      <c r="AI8" s="859"/>
      <c r="AJ8" s="859"/>
      <c r="AK8" s="859"/>
      <c r="AL8" s="859"/>
      <c r="AM8" s="859"/>
      <c r="AN8" s="859"/>
      <c r="AO8" s="859"/>
      <c r="AP8" s="859"/>
      <c r="AQ8" s="859"/>
      <c r="AR8" s="859"/>
      <c r="AS8" s="859"/>
      <c r="AT8" s="219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</row>
    <row r="9" spans="1:86" s="149" customFormat="1" ht="12.75" hidden="1" customHeight="1">
      <c r="A9" s="874"/>
      <c r="B9" s="891"/>
      <c r="C9" s="892"/>
      <c r="D9" s="892"/>
      <c r="E9" s="893"/>
      <c r="F9" s="891"/>
      <c r="G9" s="892"/>
      <c r="H9" s="892"/>
      <c r="I9" s="893"/>
      <c r="J9" s="891"/>
      <c r="K9" s="892"/>
      <c r="L9" s="892"/>
      <c r="M9" s="893"/>
      <c r="N9" s="891"/>
      <c r="O9" s="892"/>
      <c r="P9" s="892"/>
      <c r="Q9" s="893"/>
      <c r="R9" s="891"/>
      <c r="S9" s="892"/>
      <c r="T9" s="892"/>
      <c r="U9" s="893"/>
      <c r="V9" s="891"/>
      <c r="W9" s="892"/>
      <c r="X9" s="892"/>
      <c r="Y9" s="893"/>
      <c r="Z9" s="891"/>
      <c r="AA9" s="892"/>
      <c r="AB9" s="892"/>
      <c r="AC9" s="893"/>
      <c r="AD9" s="891"/>
      <c r="AE9" s="892"/>
      <c r="AF9" s="892"/>
      <c r="AG9" s="893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59"/>
      <c r="AS9" s="859"/>
      <c r="AT9" s="219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</row>
    <row r="10" spans="1:86" s="149" customFormat="1" ht="24.75" customHeight="1" thickBot="1">
      <c r="A10" s="874"/>
      <c r="B10" s="864"/>
      <c r="C10" s="865"/>
      <c r="D10" s="865"/>
      <c r="E10" s="866"/>
      <c r="F10" s="864"/>
      <c r="G10" s="865"/>
      <c r="H10" s="865"/>
      <c r="I10" s="866"/>
      <c r="J10" s="864"/>
      <c r="K10" s="865"/>
      <c r="L10" s="865"/>
      <c r="M10" s="866"/>
      <c r="N10" s="864"/>
      <c r="O10" s="865"/>
      <c r="P10" s="865"/>
      <c r="Q10" s="866"/>
      <c r="R10" s="864"/>
      <c r="S10" s="865"/>
      <c r="T10" s="865"/>
      <c r="U10" s="866"/>
      <c r="V10" s="864"/>
      <c r="W10" s="865"/>
      <c r="X10" s="865"/>
      <c r="Y10" s="866"/>
      <c r="Z10" s="864"/>
      <c r="AA10" s="865"/>
      <c r="AB10" s="865"/>
      <c r="AC10" s="866"/>
      <c r="AD10" s="864"/>
      <c r="AE10" s="865"/>
      <c r="AF10" s="865"/>
      <c r="AG10" s="866"/>
      <c r="AH10" s="859" t="s">
        <v>348</v>
      </c>
      <c r="AI10" s="859"/>
      <c r="AJ10" s="859"/>
      <c r="AK10" s="859"/>
      <c r="AL10" s="859" t="s">
        <v>349</v>
      </c>
      <c r="AM10" s="859"/>
      <c r="AN10" s="859"/>
      <c r="AO10" s="859"/>
      <c r="AP10" s="859" t="s">
        <v>419</v>
      </c>
      <c r="AQ10" s="859"/>
      <c r="AR10" s="859"/>
      <c r="AS10" s="859"/>
      <c r="AT10" s="219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</row>
    <row r="11" spans="1:86" s="149" customFormat="1" ht="38.25" customHeight="1" thickBot="1">
      <c r="A11" s="875"/>
      <c r="B11" s="586" t="s">
        <v>350</v>
      </c>
      <c r="C11" s="586" t="s">
        <v>351</v>
      </c>
      <c r="D11" s="586" t="s">
        <v>288</v>
      </c>
      <c r="E11" s="221" t="s">
        <v>289</v>
      </c>
      <c r="F11" s="586" t="s">
        <v>350</v>
      </c>
      <c r="G11" s="586" t="s">
        <v>351</v>
      </c>
      <c r="H11" s="586" t="s">
        <v>288</v>
      </c>
      <c r="I11" s="221" t="s">
        <v>289</v>
      </c>
      <c r="J11" s="586" t="s">
        <v>350</v>
      </c>
      <c r="K11" s="586" t="s">
        <v>351</v>
      </c>
      <c r="L11" s="586" t="s">
        <v>288</v>
      </c>
      <c r="M11" s="221" t="s">
        <v>289</v>
      </c>
      <c r="N11" s="586" t="s">
        <v>350</v>
      </c>
      <c r="O11" s="586" t="s">
        <v>351</v>
      </c>
      <c r="P11" s="586" t="s">
        <v>288</v>
      </c>
      <c r="Q11" s="221" t="s">
        <v>289</v>
      </c>
      <c r="R11" s="586" t="s">
        <v>350</v>
      </c>
      <c r="S11" s="586" t="s">
        <v>351</v>
      </c>
      <c r="T11" s="586" t="s">
        <v>288</v>
      </c>
      <c r="U11" s="221" t="s">
        <v>289</v>
      </c>
      <c r="V11" s="586" t="s">
        <v>350</v>
      </c>
      <c r="W11" s="586" t="s">
        <v>351</v>
      </c>
      <c r="X11" s="586" t="s">
        <v>288</v>
      </c>
      <c r="Y11" s="221" t="s">
        <v>289</v>
      </c>
      <c r="Z11" s="586" t="s">
        <v>350</v>
      </c>
      <c r="AA11" s="586" t="s">
        <v>351</v>
      </c>
      <c r="AB11" s="586" t="s">
        <v>288</v>
      </c>
      <c r="AC11" s="221" t="s">
        <v>289</v>
      </c>
      <c r="AD11" s="586" t="s">
        <v>350</v>
      </c>
      <c r="AE11" s="586" t="s">
        <v>351</v>
      </c>
      <c r="AF11" s="586" t="s">
        <v>288</v>
      </c>
      <c r="AG11" s="221" t="s">
        <v>289</v>
      </c>
      <c r="AH11" s="586" t="s">
        <v>350</v>
      </c>
      <c r="AI11" s="586" t="s">
        <v>351</v>
      </c>
      <c r="AJ11" s="586" t="s">
        <v>288</v>
      </c>
      <c r="AK11" s="221" t="s">
        <v>289</v>
      </c>
      <c r="AL11" s="586" t="s">
        <v>350</v>
      </c>
      <c r="AM11" s="586" t="s">
        <v>351</v>
      </c>
      <c r="AN11" s="586" t="s">
        <v>288</v>
      </c>
      <c r="AO11" s="221" t="s">
        <v>289</v>
      </c>
      <c r="AP11" s="586" t="s">
        <v>350</v>
      </c>
      <c r="AQ11" s="586" t="s">
        <v>351</v>
      </c>
      <c r="AR11" s="586" t="s">
        <v>288</v>
      </c>
      <c r="AS11" s="221" t="s">
        <v>289</v>
      </c>
      <c r="AT11" s="219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</row>
    <row r="12" spans="1:86" s="155" customFormat="1" ht="39.950000000000003" customHeight="1">
      <c r="A12" s="151" t="s">
        <v>377</v>
      </c>
      <c r="B12" s="152"/>
      <c r="C12" s="152"/>
      <c r="D12" s="152"/>
      <c r="E12" s="222"/>
      <c r="F12" s="152"/>
      <c r="G12" s="152"/>
      <c r="H12" s="152"/>
      <c r="I12" s="222"/>
      <c r="J12" s="152"/>
      <c r="K12" s="152"/>
      <c r="L12" s="152"/>
      <c r="M12" s="222"/>
      <c r="N12" s="152"/>
      <c r="O12" s="152"/>
      <c r="P12" s="152"/>
      <c r="Q12" s="222"/>
      <c r="R12" s="152"/>
      <c r="S12" s="152"/>
      <c r="T12" s="152"/>
      <c r="U12" s="222"/>
      <c r="V12" s="152"/>
      <c r="W12" s="152"/>
      <c r="X12" s="152"/>
      <c r="Y12" s="222"/>
      <c r="Z12" s="152"/>
      <c r="AA12" s="152"/>
      <c r="AB12" s="152"/>
      <c r="AC12" s="222"/>
      <c r="AD12" s="152"/>
      <c r="AE12" s="152"/>
      <c r="AF12" s="152"/>
      <c r="AG12" s="222"/>
      <c r="AH12" s="152"/>
      <c r="AI12" s="152"/>
      <c r="AJ12" s="152"/>
      <c r="AK12" s="222"/>
      <c r="AL12" s="152"/>
      <c r="AM12" s="152"/>
      <c r="AN12" s="152"/>
      <c r="AO12" s="222"/>
      <c r="AP12" s="152"/>
      <c r="AQ12" s="152"/>
      <c r="AR12" s="152"/>
      <c r="AS12" s="222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</row>
    <row r="13" spans="1:86" s="155" customFormat="1" ht="39.950000000000003" customHeight="1">
      <c r="A13" s="156" t="s">
        <v>378</v>
      </c>
      <c r="B13" s="157">
        <v>355080000</v>
      </c>
      <c r="C13" s="157">
        <v>400181398</v>
      </c>
      <c r="D13" s="157">
        <v>397077487</v>
      </c>
      <c r="E13" s="158">
        <f>D13/C13</f>
        <v>0.99224373992516268</v>
      </c>
      <c r="F13" s="157">
        <v>78028000</v>
      </c>
      <c r="G13" s="157">
        <v>87251006</v>
      </c>
      <c r="H13" s="157">
        <v>87187918</v>
      </c>
      <c r="I13" s="158">
        <f>H13/G13</f>
        <v>0.99927693670374418</v>
      </c>
      <c r="J13" s="157">
        <v>127761000</v>
      </c>
      <c r="K13" s="157">
        <v>121851313</v>
      </c>
      <c r="L13" s="157">
        <v>120093023</v>
      </c>
      <c r="M13" s="158">
        <f>L13/K13</f>
        <v>0.98557020062639789</v>
      </c>
      <c r="N13" s="176"/>
      <c r="O13" s="176"/>
      <c r="P13" s="157"/>
      <c r="Q13" s="158"/>
      <c r="R13" s="157"/>
      <c r="S13" s="157">
        <v>54000</v>
      </c>
      <c r="T13" s="157">
        <v>53637</v>
      </c>
      <c r="U13" s="158">
        <f>T13/S13</f>
        <v>0.99327777777777781</v>
      </c>
      <c r="V13" s="157"/>
      <c r="W13" s="157">
        <v>2868000</v>
      </c>
      <c r="X13" s="157">
        <v>2867875</v>
      </c>
      <c r="Y13" s="158">
        <f>X13/W13</f>
        <v>0.99995641562064153</v>
      </c>
      <c r="Z13" s="157"/>
      <c r="AA13" s="157">
        <v>2629000</v>
      </c>
      <c r="AB13" s="157">
        <v>2627762</v>
      </c>
      <c r="AC13" s="158">
        <f>AB13/AA13</f>
        <v>0.99952909851654625</v>
      </c>
      <c r="AD13" s="157"/>
      <c r="AE13" s="157"/>
      <c r="AF13" s="157"/>
      <c r="AG13" s="158"/>
      <c r="AH13" s="157">
        <f t="shared" ref="AH13:AJ14" si="0">SUM(B13+F13+J13+N13+R13)</f>
        <v>560869000</v>
      </c>
      <c r="AI13" s="157">
        <f t="shared" si="0"/>
        <v>609337717</v>
      </c>
      <c r="AJ13" s="157">
        <f t="shared" si="0"/>
        <v>604412065</v>
      </c>
      <c r="AK13" s="158">
        <f>AJ13/AI13</f>
        <v>0.99191638419454675</v>
      </c>
      <c r="AL13" s="157">
        <f t="shared" ref="AL13:AN14" si="1">SUM(V13+Z13+AD13)</f>
        <v>0</v>
      </c>
      <c r="AM13" s="157">
        <f t="shared" si="1"/>
        <v>5497000</v>
      </c>
      <c r="AN13" s="157">
        <f t="shared" si="1"/>
        <v>5495637</v>
      </c>
      <c r="AO13" s="158">
        <f>AN13/AM13</f>
        <v>0.99975204657085681</v>
      </c>
      <c r="AP13" s="157">
        <f t="shared" ref="AP13:AR14" si="2">SUM(AH13+AL13)</f>
        <v>560869000</v>
      </c>
      <c r="AQ13" s="157">
        <f t="shared" si="2"/>
        <v>614834717</v>
      </c>
      <c r="AR13" s="157">
        <f t="shared" si="2"/>
        <v>609907702</v>
      </c>
      <c r="AS13" s="158">
        <f>AR13/AQ13</f>
        <v>0.99198643982883616</v>
      </c>
      <c r="AT13" s="223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</row>
    <row r="14" spans="1:86" s="155" customFormat="1" ht="39.950000000000003" customHeight="1" thickBot="1">
      <c r="A14" s="161" t="s">
        <v>379</v>
      </c>
      <c r="B14" s="162"/>
      <c r="C14" s="162"/>
      <c r="D14" s="162"/>
      <c r="E14" s="191"/>
      <c r="F14" s="162"/>
      <c r="G14" s="162"/>
      <c r="H14" s="162"/>
      <c r="I14" s="191"/>
      <c r="J14" s="162"/>
      <c r="K14" s="162"/>
      <c r="L14" s="162"/>
      <c r="M14" s="191"/>
      <c r="N14" s="162"/>
      <c r="O14" s="162"/>
      <c r="P14" s="162"/>
      <c r="Q14" s="191"/>
      <c r="R14" s="162"/>
      <c r="S14" s="162"/>
      <c r="T14" s="162"/>
      <c r="U14" s="191"/>
      <c r="V14" s="162"/>
      <c r="W14" s="162"/>
      <c r="X14" s="162"/>
      <c r="Y14" s="191"/>
      <c r="Z14" s="162"/>
      <c r="AA14" s="162"/>
      <c r="AB14" s="162"/>
      <c r="AC14" s="191"/>
      <c r="AD14" s="162"/>
      <c r="AE14" s="162"/>
      <c r="AF14" s="162"/>
      <c r="AG14" s="191"/>
      <c r="AH14" s="157">
        <f t="shared" si="0"/>
        <v>0</v>
      </c>
      <c r="AI14" s="157">
        <f t="shared" si="0"/>
        <v>0</v>
      </c>
      <c r="AJ14" s="157">
        <f t="shared" si="0"/>
        <v>0</v>
      </c>
      <c r="AK14" s="191"/>
      <c r="AL14" s="157">
        <f t="shared" si="1"/>
        <v>0</v>
      </c>
      <c r="AM14" s="157">
        <f t="shared" si="1"/>
        <v>0</v>
      </c>
      <c r="AN14" s="157">
        <f t="shared" si="1"/>
        <v>0</v>
      </c>
      <c r="AO14" s="191"/>
      <c r="AP14" s="157">
        <f t="shared" si="2"/>
        <v>0</v>
      </c>
      <c r="AQ14" s="157">
        <f t="shared" si="2"/>
        <v>0</v>
      </c>
      <c r="AR14" s="157">
        <f t="shared" si="2"/>
        <v>0</v>
      </c>
      <c r="AS14" s="191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</row>
    <row r="15" spans="1:86" s="236" customFormat="1" ht="39.950000000000003" customHeight="1" thickBot="1">
      <c r="A15" s="232" t="s">
        <v>380</v>
      </c>
      <c r="B15" s="233">
        <f>B13+B14</f>
        <v>355080000</v>
      </c>
      <c r="C15" s="233">
        <f>C13+C14</f>
        <v>400181398</v>
      </c>
      <c r="D15" s="233">
        <f>D13+D14</f>
        <v>397077487</v>
      </c>
      <c r="E15" s="234">
        <f>D15/C15</f>
        <v>0.99224373992516268</v>
      </c>
      <c r="F15" s="233">
        <f t="shared" ref="F15:AN15" si="3">F13+F14</f>
        <v>78028000</v>
      </c>
      <c r="G15" s="233">
        <f t="shared" si="3"/>
        <v>87251006</v>
      </c>
      <c r="H15" s="233">
        <f>H13+H14</f>
        <v>87187918</v>
      </c>
      <c r="I15" s="234">
        <f>H15/G15</f>
        <v>0.99927693670374418</v>
      </c>
      <c r="J15" s="233">
        <f t="shared" si="3"/>
        <v>127761000</v>
      </c>
      <c r="K15" s="233">
        <f t="shared" si="3"/>
        <v>121851313</v>
      </c>
      <c r="L15" s="233">
        <f>L13+L14</f>
        <v>120093023</v>
      </c>
      <c r="M15" s="234">
        <f>L15/K15</f>
        <v>0.98557020062639789</v>
      </c>
      <c r="N15" s="233">
        <f t="shared" si="3"/>
        <v>0</v>
      </c>
      <c r="O15" s="233">
        <f t="shared" si="3"/>
        <v>0</v>
      </c>
      <c r="P15" s="233">
        <f>P13+P14</f>
        <v>0</v>
      </c>
      <c r="Q15" s="234">
        <v>0</v>
      </c>
      <c r="R15" s="233">
        <f t="shared" si="3"/>
        <v>0</v>
      </c>
      <c r="S15" s="233">
        <f t="shared" si="3"/>
        <v>54000</v>
      </c>
      <c r="T15" s="233">
        <f>T13+T14</f>
        <v>53637</v>
      </c>
      <c r="U15" s="234">
        <f>T15/S15</f>
        <v>0.99327777777777781</v>
      </c>
      <c r="V15" s="233">
        <f t="shared" si="3"/>
        <v>0</v>
      </c>
      <c r="W15" s="233">
        <f t="shared" si="3"/>
        <v>2868000</v>
      </c>
      <c r="X15" s="233">
        <f>X13+X14</f>
        <v>2867875</v>
      </c>
      <c r="Y15" s="234">
        <f>X15/W15</f>
        <v>0.99995641562064153</v>
      </c>
      <c r="Z15" s="233">
        <f t="shared" si="3"/>
        <v>0</v>
      </c>
      <c r="AA15" s="233">
        <f t="shared" si="3"/>
        <v>2629000</v>
      </c>
      <c r="AB15" s="233">
        <f>AB13+AB14</f>
        <v>2627762</v>
      </c>
      <c r="AC15" s="234">
        <v>0</v>
      </c>
      <c r="AD15" s="233">
        <f t="shared" si="3"/>
        <v>0</v>
      </c>
      <c r="AE15" s="233">
        <f t="shared" si="3"/>
        <v>0</v>
      </c>
      <c r="AF15" s="233">
        <f>AF13+AF14</f>
        <v>0</v>
      </c>
      <c r="AG15" s="234">
        <v>0</v>
      </c>
      <c r="AH15" s="233">
        <f t="shared" si="3"/>
        <v>560869000</v>
      </c>
      <c r="AI15" s="233">
        <f t="shared" si="3"/>
        <v>609337717</v>
      </c>
      <c r="AJ15" s="233">
        <f t="shared" si="3"/>
        <v>604412065</v>
      </c>
      <c r="AK15" s="234">
        <f>AJ15/AI15</f>
        <v>0.99191638419454675</v>
      </c>
      <c r="AL15" s="233">
        <f t="shared" si="3"/>
        <v>0</v>
      </c>
      <c r="AM15" s="233">
        <f t="shared" si="3"/>
        <v>5497000</v>
      </c>
      <c r="AN15" s="233">
        <f t="shared" si="3"/>
        <v>5495637</v>
      </c>
      <c r="AO15" s="234">
        <f>AN15/AM15</f>
        <v>0.99975204657085681</v>
      </c>
      <c r="AP15" s="233">
        <f>AP13+AP14</f>
        <v>560869000</v>
      </c>
      <c r="AQ15" s="233">
        <f>AQ13+AQ14</f>
        <v>614834717</v>
      </c>
      <c r="AR15" s="233">
        <f>AR13+AR14</f>
        <v>609907702</v>
      </c>
      <c r="AS15" s="234">
        <f>AR15/AQ15</f>
        <v>0.99198643982883616</v>
      </c>
      <c r="AT15" s="223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</row>
    <row r="16" spans="1:86" s="155" customFormat="1" ht="39.950000000000003" customHeight="1">
      <c r="A16" s="151" t="s">
        <v>425</v>
      </c>
      <c r="B16" s="163"/>
      <c r="C16" s="163"/>
      <c r="D16" s="163"/>
      <c r="E16" s="170"/>
      <c r="F16" s="163"/>
      <c r="G16" s="163"/>
      <c r="H16" s="163"/>
      <c r="I16" s="170"/>
      <c r="J16" s="163"/>
      <c r="K16" s="163"/>
      <c r="L16" s="163"/>
      <c r="M16" s="170"/>
      <c r="N16" s="163"/>
      <c r="O16" s="163"/>
      <c r="P16" s="163"/>
      <c r="Q16" s="170"/>
      <c r="R16" s="163"/>
      <c r="S16" s="163"/>
      <c r="T16" s="163"/>
      <c r="U16" s="170"/>
      <c r="V16" s="163"/>
      <c r="W16" s="163"/>
      <c r="X16" s="163"/>
      <c r="Y16" s="170"/>
      <c r="Z16" s="163"/>
      <c r="AA16" s="163"/>
      <c r="AB16" s="163"/>
      <c r="AC16" s="170"/>
      <c r="AD16" s="163"/>
      <c r="AE16" s="163"/>
      <c r="AF16" s="163"/>
      <c r="AG16" s="170"/>
      <c r="AH16" s="163"/>
      <c r="AI16" s="163"/>
      <c r="AJ16" s="163"/>
      <c r="AK16" s="170"/>
      <c r="AL16" s="163"/>
      <c r="AM16" s="163"/>
      <c r="AN16" s="163"/>
      <c r="AO16" s="170"/>
      <c r="AP16" s="163"/>
      <c r="AQ16" s="163"/>
      <c r="AR16" s="163"/>
      <c r="AS16" s="170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</row>
    <row r="17" spans="1:86" s="181" customFormat="1" ht="39.950000000000003" customHeight="1">
      <c r="A17" s="224" t="s">
        <v>378</v>
      </c>
      <c r="B17" s="176">
        <v>63424000</v>
      </c>
      <c r="C17" s="176">
        <v>94154801</v>
      </c>
      <c r="D17" s="157">
        <v>95888278</v>
      </c>
      <c r="E17" s="158">
        <f>D17/C17</f>
        <v>1.0184109252166547</v>
      </c>
      <c r="F17" s="176">
        <v>12923000</v>
      </c>
      <c r="G17" s="176">
        <v>19759085</v>
      </c>
      <c r="H17" s="157">
        <v>20401037</v>
      </c>
      <c r="I17" s="158">
        <f>H17/G17</f>
        <v>1.0324889538154221</v>
      </c>
      <c r="J17" s="176">
        <v>38388000</v>
      </c>
      <c r="K17" s="176">
        <v>67760550</v>
      </c>
      <c r="L17" s="157">
        <v>77409220</v>
      </c>
      <c r="M17" s="158">
        <f>L17/K17</f>
        <v>1.1423936198864975</v>
      </c>
      <c r="N17" s="176"/>
      <c r="O17" s="176"/>
      <c r="P17" s="157"/>
      <c r="Q17" s="158"/>
      <c r="R17" s="176"/>
      <c r="S17" s="176">
        <v>49000</v>
      </c>
      <c r="T17" s="157">
        <v>48234</v>
      </c>
      <c r="U17" s="158">
        <f>T17/S17</f>
        <v>0.98436734693877548</v>
      </c>
      <c r="V17" s="176">
        <v>7493000</v>
      </c>
      <c r="W17" s="176">
        <v>9565000</v>
      </c>
      <c r="X17" s="157">
        <v>9563992</v>
      </c>
      <c r="Y17" s="158">
        <f>X17/W17</f>
        <v>0.99989461578672245</v>
      </c>
      <c r="Z17" s="176">
        <v>5420000</v>
      </c>
      <c r="AA17" s="176">
        <v>858000</v>
      </c>
      <c r="AB17" s="157">
        <v>858000</v>
      </c>
      <c r="AC17" s="158">
        <f>AB17/AA17</f>
        <v>1</v>
      </c>
      <c r="AD17" s="176"/>
      <c r="AE17" s="176"/>
      <c r="AF17" s="157"/>
      <c r="AG17" s="158"/>
      <c r="AH17" s="157">
        <f t="shared" ref="AH17:AH18" si="4">SUM(B17+F17+J17+N17+R17)</f>
        <v>114735000</v>
      </c>
      <c r="AI17" s="157">
        <f>SUM(C17+G17+K17+O17+S17)</f>
        <v>181723436</v>
      </c>
      <c r="AJ17" s="157">
        <f>SUM(D17+H17+L17+P17+T17)</f>
        <v>193746769</v>
      </c>
      <c r="AK17" s="158">
        <f>AJ17/AI17</f>
        <v>1.0661628090721331</v>
      </c>
      <c r="AL17" s="157">
        <f t="shared" ref="AL17:AN18" si="5">SUM(V17+Z17+AD17)</f>
        <v>12913000</v>
      </c>
      <c r="AM17" s="157">
        <f t="shared" si="5"/>
        <v>10423000</v>
      </c>
      <c r="AN17" s="157">
        <f t="shared" si="5"/>
        <v>10421992</v>
      </c>
      <c r="AO17" s="158">
        <v>0</v>
      </c>
      <c r="AP17" s="157">
        <f>SUM(AH17+AL17)</f>
        <v>127648000</v>
      </c>
      <c r="AQ17" s="157">
        <f t="shared" ref="AQ17:AR18" si="6">SUM(AI17+AM17)</f>
        <v>192146436</v>
      </c>
      <c r="AR17" s="157">
        <f t="shared" si="6"/>
        <v>204168761</v>
      </c>
      <c r="AS17" s="158">
        <f>AR17/AQ17</f>
        <v>1.0625685557862754</v>
      </c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</row>
    <row r="18" spans="1:86" s="181" customFormat="1" ht="39.950000000000003" customHeight="1" thickBot="1">
      <c r="A18" s="182" t="s">
        <v>379</v>
      </c>
      <c r="B18" s="183">
        <v>2737000</v>
      </c>
      <c r="C18" s="183">
        <v>2737000</v>
      </c>
      <c r="D18" s="162"/>
      <c r="E18" s="191"/>
      <c r="F18" s="183">
        <v>642000</v>
      </c>
      <c r="G18" s="183">
        <v>642000</v>
      </c>
      <c r="H18" s="162"/>
      <c r="I18" s="191"/>
      <c r="J18" s="183">
        <v>12850000</v>
      </c>
      <c r="K18" s="183">
        <v>12850000</v>
      </c>
      <c r="L18" s="162"/>
      <c r="M18" s="191"/>
      <c r="N18" s="183"/>
      <c r="O18" s="183"/>
      <c r="P18" s="162"/>
      <c r="Q18" s="191"/>
      <c r="R18" s="183"/>
      <c r="S18" s="183"/>
      <c r="T18" s="162"/>
      <c r="U18" s="191"/>
      <c r="V18" s="183"/>
      <c r="W18" s="183"/>
      <c r="X18" s="162"/>
      <c r="Y18" s="191"/>
      <c r="Z18" s="183"/>
      <c r="AA18" s="183"/>
      <c r="AB18" s="162"/>
      <c r="AC18" s="191"/>
      <c r="AD18" s="183"/>
      <c r="AE18" s="183"/>
      <c r="AF18" s="162"/>
      <c r="AG18" s="191"/>
      <c r="AH18" s="157">
        <f t="shared" si="4"/>
        <v>16229000</v>
      </c>
      <c r="AI18" s="157">
        <f>SUM(C18+G18+K18+O18+S18)</f>
        <v>16229000</v>
      </c>
      <c r="AJ18" s="157">
        <f>SUM(D18+H18+L18+P18+T18)</f>
        <v>0</v>
      </c>
      <c r="AK18" s="191"/>
      <c r="AL18" s="157">
        <f t="shared" si="5"/>
        <v>0</v>
      </c>
      <c r="AM18" s="157">
        <f t="shared" si="5"/>
        <v>0</v>
      </c>
      <c r="AN18" s="157">
        <f t="shared" si="5"/>
        <v>0</v>
      </c>
      <c r="AO18" s="191">
        <v>0</v>
      </c>
      <c r="AP18" s="157">
        <f>SUM(AH18+AL18)</f>
        <v>16229000</v>
      </c>
      <c r="AQ18" s="157">
        <f t="shared" si="6"/>
        <v>16229000</v>
      </c>
      <c r="AR18" s="157">
        <f t="shared" si="6"/>
        <v>0</v>
      </c>
      <c r="AS18" s="191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</row>
    <row r="19" spans="1:86" s="236" customFormat="1" ht="39.950000000000003" customHeight="1" thickBot="1">
      <c r="A19" s="232" t="s">
        <v>382</v>
      </c>
      <c r="B19" s="233">
        <f>B17+B18</f>
        <v>66161000</v>
      </c>
      <c r="C19" s="233">
        <f>C17+C18</f>
        <v>96891801</v>
      </c>
      <c r="D19" s="233">
        <f>D17+D18</f>
        <v>95888278</v>
      </c>
      <c r="E19" s="234">
        <f>D19/C19</f>
        <v>0.98964284914055833</v>
      </c>
      <c r="F19" s="233">
        <f t="shared" ref="F19:AR19" si="7">F17+F18</f>
        <v>13565000</v>
      </c>
      <c r="G19" s="233">
        <f t="shared" si="7"/>
        <v>20401085</v>
      </c>
      <c r="H19" s="233">
        <f>H17+H18</f>
        <v>20401037</v>
      </c>
      <c r="I19" s="234">
        <f>H19/G19</f>
        <v>0.999997647183961</v>
      </c>
      <c r="J19" s="233">
        <f t="shared" si="7"/>
        <v>51238000</v>
      </c>
      <c r="K19" s="233">
        <f t="shared" si="7"/>
        <v>80610550</v>
      </c>
      <c r="L19" s="233">
        <f>L17+L18</f>
        <v>77409220</v>
      </c>
      <c r="M19" s="234">
        <f>L19/K19</f>
        <v>0.96028646374450988</v>
      </c>
      <c r="N19" s="233">
        <f t="shared" si="7"/>
        <v>0</v>
      </c>
      <c r="O19" s="233">
        <f t="shared" si="7"/>
        <v>0</v>
      </c>
      <c r="P19" s="233">
        <f>P17+P18</f>
        <v>0</v>
      </c>
      <c r="Q19" s="234">
        <v>0</v>
      </c>
      <c r="R19" s="233">
        <f t="shared" si="7"/>
        <v>0</v>
      </c>
      <c r="S19" s="233">
        <f t="shared" si="7"/>
        <v>49000</v>
      </c>
      <c r="T19" s="233">
        <f>T17+T18</f>
        <v>48234</v>
      </c>
      <c r="U19" s="234">
        <f>T19/S19</f>
        <v>0.98436734693877548</v>
      </c>
      <c r="V19" s="233">
        <f t="shared" si="7"/>
        <v>7493000</v>
      </c>
      <c r="W19" s="233">
        <f t="shared" si="7"/>
        <v>9565000</v>
      </c>
      <c r="X19" s="233">
        <f>X17+X18</f>
        <v>9563992</v>
      </c>
      <c r="Y19" s="234">
        <f>X19/W19</f>
        <v>0.99989461578672245</v>
      </c>
      <c r="Z19" s="233">
        <f t="shared" si="7"/>
        <v>5420000</v>
      </c>
      <c r="AA19" s="233">
        <f t="shared" si="7"/>
        <v>858000</v>
      </c>
      <c r="AB19" s="233">
        <f>AB17+AB18</f>
        <v>858000</v>
      </c>
      <c r="AC19" s="234">
        <v>0</v>
      </c>
      <c r="AD19" s="233">
        <f t="shared" si="7"/>
        <v>0</v>
      </c>
      <c r="AE19" s="233">
        <f t="shared" si="7"/>
        <v>0</v>
      </c>
      <c r="AF19" s="233">
        <f>AF17+AF18</f>
        <v>0</v>
      </c>
      <c r="AG19" s="234">
        <v>0</v>
      </c>
      <c r="AH19" s="233">
        <f t="shared" ref="AH19:AJ19" si="8">AH17+AH18</f>
        <v>130964000</v>
      </c>
      <c r="AI19" s="233">
        <f t="shared" si="8"/>
        <v>197952436</v>
      </c>
      <c r="AJ19" s="233">
        <f t="shared" si="8"/>
        <v>193746769</v>
      </c>
      <c r="AK19" s="234">
        <f>AJ19/AI19</f>
        <v>0.97875415385138276</v>
      </c>
      <c r="AL19" s="233">
        <f t="shared" ref="AL19:AN19" si="9">AL17+AL18</f>
        <v>12913000</v>
      </c>
      <c r="AM19" s="233">
        <f t="shared" si="9"/>
        <v>10423000</v>
      </c>
      <c r="AN19" s="233">
        <f t="shared" si="9"/>
        <v>10421992</v>
      </c>
      <c r="AO19" s="234">
        <v>0</v>
      </c>
      <c r="AP19" s="233">
        <f t="shared" si="7"/>
        <v>143877000</v>
      </c>
      <c r="AQ19" s="233">
        <f t="shared" si="7"/>
        <v>208375436</v>
      </c>
      <c r="AR19" s="233">
        <f t="shared" si="7"/>
        <v>204168761</v>
      </c>
      <c r="AS19" s="234">
        <f>AR19/AQ19</f>
        <v>0.97981203984139476</v>
      </c>
      <c r="AT19" s="223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</row>
    <row r="20" spans="1:86" s="155" customFormat="1" ht="39.950000000000003" customHeight="1">
      <c r="A20" s="151" t="s">
        <v>383</v>
      </c>
      <c r="B20" s="163"/>
      <c r="C20" s="163"/>
      <c r="D20" s="163"/>
      <c r="E20" s="170"/>
      <c r="F20" s="163"/>
      <c r="G20" s="163"/>
      <c r="H20" s="163"/>
      <c r="I20" s="170"/>
      <c r="J20" s="163"/>
      <c r="K20" s="163"/>
      <c r="L20" s="163"/>
      <c r="M20" s="170"/>
      <c r="N20" s="163"/>
      <c r="O20" s="163"/>
      <c r="P20" s="163"/>
      <c r="Q20" s="170"/>
      <c r="R20" s="163"/>
      <c r="S20" s="163"/>
      <c r="T20" s="163"/>
      <c r="U20" s="170"/>
      <c r="V20" s="163"/>
      <c r="W20" s="163"/>
      <c r="X20" s="163"/>
      <c r="Y20" s="170"/>
      <c r="Z20" s="163"/>
      <c r="AA20" s="163"/>
      <c r="AB20" s="163"/>
      <c r="AC20" s="170"/>
      <c r="AD20" s="163"/>
      <c r="AE20" s="163"/>
      <c r="AF20" s="163"/>
      <c r="AG20" s="170"/>
      <c r="AH20" s="163"/>
      <c r="AI20" s="163"/>
      <c r="AJ20" s="163"/>
      <c r="AK20" s="170"/>
      <c r="AL20" s="163"/>
      <c r="AM20" s="163"/>
      <c r="AN20" s="163"/>
      <c r="AO20" s="170"/>
      <c r="AP20" s="163"/>
      <c r="AQ20" s="163"/>
      <c r="AR20" s="163"/>
      <c r="AS20" s="170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</row>
    <row r="21" spans="1:86" s="155" customFormat="1" ht="39.950000000000003" customHeight="1">
      <c r="A21" s="156" t="s">
        <v>378</v>
      </c>
      <c r="B21" s="157">
        <v>124967000</v>
      </c>
      <c r="C21" s="157">
        <v>450630406</v>
      </c>
      <c r="D21" s="157">
        <v>424421258</v>
      </c>
      <c r="E21" s="158">
        <f>D21/C21</f>
        <v>0.94183892686548987</v>
      </c>
      <c r="F21" s="157">
        <v>25866000</v>
      </c>
      <c r="G21" s="157">
        <v>65094024</v>
      </c>
      <c r="H21" s="157">
        <v>60244390</v>
      </c>
      <c r="I21" s="158">
        <f>H21/G21</f>
        <v>0.92549801499443329</v>
      </c>
      <c r="J21" s="157">
        <v>226986000</v>
      </c>
      <c r="K21" s="157">
        <v>279702623</v>
      </c>
      <c r="L21" s="157">
        <v>258546560</v>
      </c>
      <c r="M21" s="158">
        <f>L21/K21</f>
        <v>0.9243623003135012</v>
      </c>
      <c r="N21" s="176">
        <v>0</v>
      </c>
      <c r="O21" s="176">
        <v>0</v>
      </c>
      <c r="P21" s="157"/>
      <c r="Q21" s="158">
        <v>0</v>
      </c>
      <c r="R21" s="157"/>
      <c r="S21" s="157">
        <v>12283741</v>
      </c>
      <c r="T21" s="157">
        <v>11333048</v>
      </c>
      <c r="U21" s="158">
        <f>T21/S21</f>
        <v>0.92260558082427824</v>
      </c>
      <c r="V21" s="157"/>
      <c r="W21" s="157">
        <v>17970635</v>
      </c>
      <c r="X21" s="157">
        <v>17965553</v>
      </c>
      <c r="Y21" s="158">
        <f>X21/W21</f>
        <v>0.99971720531856556</v>
      </c>
      <c r="Z21" s="157"/>
      <c r="AA21" s="157">
        <v>148564400</v>
      </c>
      <c r="AB21" s="157">
        <v>39362808</v>
      </c>
      <c r="AC21" s="158">
        <f>AB21/AA21</f>
        <v>0.26495451130957348</v>
      </c>
      <c r="AD21" s="157">
        <v>8000000</v>
      </c>
      <c r="AE21" s="157"/>
      <c r="AF21" s="157"/>
      <c r="AG21" s="158">
        <v>0</v>
      </c>
      <c r="AH21" s="157">
        <f t="shared" ref="AH21:AH22" si="10">SUM(B21+F21+J21+N21+R21)</f>
        <v>377819000</v>
      </c>
      <c r="AI21" s="157">
        <f>SUM(C21+G21+K21+O21+S21)</f>
        <v>807710794</v>
      </c>
      <c r="AJ21" s="157">
        <f>SUM(D21+H21+L21+P21+T21)</f>
        <v>754545256</v>
      </c>
      <c r="AK21" s="158">
        <f>AJ21/AI21</f>
        <v>0.93417750710410841</v>
      </c>
      <c r="AL21" s="157">
        <f t="shared" ref="AL21:AN22" si="11">SUM(V21+Z21+AD21)</f>
        <v>8000000</v>
      </c>
      <c r="AM21" s="157">
        <f t="shared" si="11"/>
        <v>166535035</v>
      </c>
      <c r="AN21" s="157">
        <f t="shared" si="11"/>
        <v>57328361</v>
      </c>
      <c r="AO21" s="158">
        <f>AN21/AM21</f>
        <v>0.34424204492466104</v>
      </c>
      <c r="AP21" s="157">
        <f>SUM(AH21+AL21)</f>
        <v>385819000</v>
      </c>
      <c r="AQ21" s="157">
        <f t="shared" ref="AQ21:AR22" si="12">SUM(AI21+AM21)</f>
        <v>974245829</v>
      </c>
      <c r="AR21" s="157">
        <f t="shared" si="12"/>
        <v>811873617</v>
      </c>
      <c r="AS21" s="158">
        <f>AR21/AQ21</f>
        <v>0.83333548149067826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</row>
    <row r="22" spans="1:86" s="155" customFormat="1" ht="39.950000000000003" customHeight="1" thickBot="1">
      <c r="A22" s="161" t="s">
        <v>379</v>
      </c>
      <c r="B22" s="162"/>
      <c r="C22" s="162"/>
      <c r="D22" s="162"/>
      <c r="E22" s="191"/>
      <c r="F22" s="162"/>
      <c r="G22" s="162"/>
      <c r="H22" s="162"/>
      <c r="I22" s="191"/>
      <c r="J22" s="162"/>
      <c r="K22" s="162"/>
      <c r="L22" s="162"/>
      <c r="M22" s="191"/>
      <c r="N22" s="162"/>
      <c r="O22" s="162"/>
      <c r="P22" s="162"/>
      <c r="Q22" s="191"/>
      <c r="R22" s="162"/>
      <c r="S22" s="162"/>
      <c r="T22" s="162"/>
      <c r="U22" s="191"/>
      <c r="V22" s="162"/>
      <c r="W22" s="162"/>
      <c r="X22" s="162"/>
      <c r="Y22" s="191"/>
      <c r="Z22" s="162"/>
      <c r="AA22" s="162"/>
      <c r="AB22" s="162"/>
      <c r="AC22" s="191"/>
      <c r="AD22" s="162"/>
      <c r="AE22" s="162"/>
      <c r="AF22" s="162"/>
      <c r="AG22" s="191"/>
      <c r="AH22" s="157">
        <f t="shared" si="10"/>
        <v>0</v>
      </c>
      <c r="AI22" s="157">
        <f>SUM(C22+G22+K22+O22+S22)</f>
        <v>0</v>
      </c>
      <c r="AJ22" s="157">
        <f>SUM(D22+H22+L22+P22+T22)</f>
        <v>0</v>
      </c>
      <c r="AK22" s="191"/>
      <c r="AL22" s="157">
        <f t="shared" si="11"/>
        <v>0</v>
      </c>
      <c r="AM22" s="157">
        <f t="shared" si="11"/>
        <v>0</v>
      </c>
      <c r="AN22" s="157">
        <f t="shared" si="11"/>
        <v>0</v>
      </c>
      <c r="AO22" s="191"/>
      <c r="AP22" s="157">
        <f>SUM(AH22+AL22)</f>
        <v>0</v>
      </c>
      <c r="AQ22" s="157">
        <f t="shared" si="12"/>
        <v>0</v>
      </c>
      <c r="AR22" s="157">
        <f t="shared" si="12"/>
        <v>0</v>
      </c>
      <c r="AS22" s="191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</row>
    <row r="23" spans="1:86" s="236" customFormat="1" ht="39.950000000000003" customHeight="1" thickBot="1">
      <c r="A23" s="232" t="s">
        <v>384</v>
      </c>
      <c r="B23" s="233">
        <f>B21+B22</f>
        <v>124967000</v>
      </c>
      <c r="C23" s="233">
        <f>C21+C22</f>
        <v>450630406</v>
      </c>
      <c r="D23" s="233">
        <f>D21+D22</f>
        <v>424421258</v>
      </c>
      <c r="E23" s="234">
        <f>D23/C23</f>
        <v>0.94183892686548987</v>
      </c>
      <c r="F23" s="233">
        <f t="shared" ref="F23:AR23" si="13">F21+F22</f>
        <v>25866000</v>
      </c>
      <c r="G23" s="233">
        <f t="shared" si="13"/>
        <v>65094024</v>
      </c>
      <c r="H23" s="233">
        <f>H21+H22</f>
        <v>60244390</v>
      </c>
      <c r="I23" s="234">
        <f>H23/G23</f>
        <v>0.92549801499443329</v>
      </c>
      <c r="J23" s="233">
        <f t="shared" si="13"/>
        <v>226986000</v>
      </c>
      <c r="K23" s="233">
        <f t="shared" si="13"/>
        <v>279702623</v>
      </c>
      <c r="L23" s="233">
        <f>L21+L22</f>
        <v>258546560</v>
      </c>
      <c r="M23" s="234">
        <f>L23/K23</f>
        <v>0.9243623003135012</v>
      </c>
      <c r="N23" s="233">
        <f t="shared" si="13"/>
        <v>0</v>
      </c>
      <c r="O23" s="233">
        <f t="shared" si="13"/>
        <v>0</v>
      </c>
      <c r="P23" s="233">
        <f>P21+P22</f>
        <v>0</v>
      </c>
      <c r="Q23" s="234">
        <v>0</v>
      </c>
      <c r="R23" s="233">
        <f t="shared" si="13"/>
        <v>0</v>
      </c>
      <c r="S23" s="233">
        <f t="shared" si="13"/>
        <v>12283741</v>
      </c>
      <c r="T23" s="233">
        <f>T21+T22</f>
        <v>11333048</v>
      </c>
      <c r="U23" s="234">
        <f>T23/S23</f>
        <v>0.92260558082427824</v>
      </c>
      <c r="V23" s="233">
        <f t="shared" si="13"/>
        <v>0</v>
      </c>
      <c r="W23" s="233">
        <f t="shared" si="13"/>
        <v>17970635</v>
      </c>
      <c r="X23" s="233">
        <f>X21+X22</f>
        <v>17965553</v>
      </c>
      <c r="Y23" s="234">
        <f>X23/W23</f>
        <v>0.99971720531856556</v>
      </c>
      <c r="Z23" s="233">
        <f t="shared" si="13"/>
        <v>0</v>
      </c>
      <c r="AA23" s="233">
        <f t="shared" si="13"/>
        <v>148564400</v>
      </c>
      <c r="AB23" s="233">
        <f>AB21+AB22</f>
        <v>39362808</v>
      </c>
      <c r="AC23" s="234">
        <f>AB23/AA23</f>
        <v>0.26495451130957348</v>
      </c>
      <c r="AD23" s="233">
        <f t="shared" si="13"/>
        <v>8000000</v>
      </c>
      <c r="AE23" s="233">
        <f t="shared" si="13"/>
        <v>0</v>
      </c>
      <c r="AF23" s="233">
        <f>AF21+AF22</f>
        <v>0</v>
      </c>
      <c r="AG23" s="234">
        <v>0</v>
      </c>
      <c r="AH23" s="233">
        <f t="shared" ref="AH23:AJ23" si="14">AH21+AH22</f>
        <v>377819000</v>
      </c>
      <c r="AI23" s="233">
        <f t="shared" si="14"/>
        <v>807710794</v>
      </c>
      <c r="AJ23" s="233">
        <f t="shared" si="14"/>
        <v>754545256</v>
      </c>
      <c r="AK23" s="234">
        <f>AJ23/AI23</f>
        <v>0.93417750710410841</v>
      </c>
      <c r="AL23" s="233">
        <f t="shared" ref="AL23:AN23" si="15">AL21+AL22</f>
        <v>8000000</v>
      </c>
      <c r="AM23" s="233">
        <f t="shared" si="15"/>
        <v>166535035</v>
      </c>
      <c r="AN23" s="233">
        <f t="shared" si="15"/>
        <v>57328361</v>
      </c>
      <c r="AO23" s="234">
        <f>AN23/AM23</f>
        <v>0.34424204492466104</v>
      </c>
      <c r="AP23" s="233">
        <f t="shared" si="13"/>
        <v>385819000</v>
      </c>
      <c r="AQ23" s="233">
        <f t="shared" si="13"/>
        <v>974245829</v>
      </c>
      <c r="AR23" s="233">
        <f t="shared" si="13"/>
        <v>811873617</v>
      </c>
      <c r="AS23" s="234">
        <f>AR23/AQ23</f>
        <v>0.83333548149067826</v>
      </c>
      <c r="AT23" s="223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</row>
    <row r="24" spans="1:86" s="155" customFormat="1" ht="39.950000000000003" customHeight="1">
      <c r="A24" s="151" t="s">
        <v>385</v>
      </c>
      <c r="B24" s="163"/>
      <c r="C24" s="163"/>
      <c r="D24" s="163"/>
      <c r="E24" s="170"/>
      <c r="F24" s="163"/>
      <c r="G24" s="163"/>
      <c r="H24" s="163"/>
      <c r="I24" s="170"/>
      <c r="J24" s="163"/>
      <c r="K24" s="163"/>
      <c r="L24" s="163"/>
      <c r="M24" s="170"/>
      <c r="N24" s="163"/>
      <c r="O24" s="163"/>
      <c r="P24" s="163"/>
      <c r="Q24" s="170"/>
      <c r="R24" s="163"/>
      <c r="S24" s="163"/>
      <c r="T24" s="163"/>
      <c r="U24" s="170"/>
      <c r="V24" s="163"/>
      <c r="W24" s="163"/>
      <c r="X24" s="163"/>
      <c r="Y24" s="170"/>
      <c r="Z24" s="163"/>
      <c r="AA24" s="163"/>
      <c r="AB24" s="163"/>
      <c r="AC24" s="170"/>
      <c r="AD24" s="163"/>
      <c r="AE24" s="163"/>
      <c r="AF24" s="163"/>
      <c r="AG24" s="170"/>
      <c r="AH24" s="163"/>
      <c r="AI24" s="163"/>
      <c r="AJ24" s="163"/>
      <c r="AK24" s="170"/>
      <c r="AL24" s="163"/>
      <c r="AM24" s="163"/>
      <c r="AN24" s="163"/>
      <c r="AO24" s="170"/>
      <c r="AP24" s="163"/>
      <c r="AQ24" s="163"/>
      <c r="AR24" s="163"/>
      <c r="AS24" s="170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</row>
    <row r="25" spans="1:86" s="181" customFormat="1" ht="39.950000000000003" customHeight="1">
      <c r="A25" s="174" t="s">
        <v>378</v>
      </c>
      <c r="B25" s="175">
        <v>13230000</v>
      </c>
      <c r="C25" s="175">
        <v>17875092</v>
      </c>
      <c r="D25" s="176">
        <v>17522935</v>
      </c>
      <c r="E25" s="177">
        <f t="shared" ref="E25:E30" si="16">D25/C25</f>
        <v>0.98029901048900892</v>
      </c>
      <c r="F25" s="175">
        <v>2961000</v>
      </c>
      <c r="G25" s="175">
        <v>4049103</v>
      </c>
      <c r="H25" s="176">
        <v>3995000</v>
      </c>
      <c r="I25" s="177">
        <f t="shared" ref="I25:I30" si="17">H25/G25</f>
        <v>0.98663827519329594</v>
      </c>
      <c r="J25" s="175">
        <v>2619000</v>
      </c>
      <c r="K25" s="175">
        <v>6879043</v>
      </c>
      <c r="L25" s="176">
        <v>6826168</v>
      </c>
      <c r="M25" s="177">
        <f t="shared" ref="M25:M30" si="18">L25/K25</f>
        <v>0.99231361106479488</v>
      </c>
      <c r="N25" s="175"/>
      <c r="O25" s="175"/>
      <c r="P25" s="176"/>
      <c r="Q25" s="177"/>
      <c r="R25" s="175"/>
      <c r="S25" s="175">
        <v>1198594</v>
      </c>
      <c r="T25" s="176">
        <v>1198330</v>
      </c>
      <c r="U25" s="177">
        <f t="shared" ref="U25:U30" si="19">T25/S25</f>
        <v>0.99977974193096242</v>
      </c>
      <c r="V25" s="175">
        <v>1100000</v>
      </c>
      <c r="W25" s="175">
        <v>1760200</v>
      </c>
      <c r="X25" s="176">
        <v>1685000</v>
      </c>
      <c r="Y25" s="177">
        <f>X25/W25</f>
        <v>0.957277582092944</v>
      </c>
      <c r="Z25" s="175">
        <v>2500000</v>
      </c>
      <c r="AA25" s="175">
        <v>0</v>
      </c>
      <c r="AB25" s="176"/>
      <c r="AC25" s="177"/>
      <c r="AD25" s="175"/>
      <c r="AE25" s="175"/>
      <c r="AF25" s="176"/>
      <c r="AG25" s="177"/>
      <c r="AH25" s="176">
        <f t="shared" ref="AH25:AH26" si="20">SUM(B25+F25+J25+N25+R25)</f>
        <v>18810000</v>
      </c>
      <c r="AI25" s="176">
        <f>SUM(C25+G25+K25+O25+S25)</f>
        <v>30001832</v>
      </c>
      <c r="AJ25" s="176">
        <f>SUM(D25+H25+L25+P25+T25)</f>
        <v>29542433</v>
      </c>
      <c r="AK25" s="177">
        <f t="shared" ref="AK25:AK30" si="21">AJ25/AI25</f>
        <v>0.98468763507508472</v>
      </c>
      <c r="AL25" s="176">
        <f t="shared" ref="AL25:AN26" si="22">SUM(V25+Z25+AD25)</f>
        <v>3600000</v>
      </c>
      <c r="AM25" s="176">
        <f t="shared" si="22"/>
        <v>1760200</v>
      </c>
      <c r="AN25" s="176">
        <f t="shared" si="22"/>
        <v>1685000</v>
      </c>
      <c r="AO25" s="177">
        <f t="shared" ref="AO25:AO30" si="23">AN25/AM25</f>
        <v>0.957277582092944</v>
      </c>
      <c r="AP25" s="176">
        <f>SUM(AH25+AL25)</f>
        <v>22410000</v>
      </c>
      <c r="AQ25" s="176">
        <f t="shared" ref="AQ25:AR26" si="24">SUM(AI25+AM25)</f>
        <v>31762032</v>
      </c>
      <c r="AR25" s="176">
        <f>SUM(AJ25+AN25)</f>
        <v>31227433</v>
      </c>
      <c r="AS25" s="177">
        <f t="shared" ref="AS25:AS30" si="25">AR25/AQ25</f>
        <v>0.98316861465286609</v>
      </c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</row>
    <row r="26" spans="1:86" s="181" customFormat="1" ht="39.950000000000003" customHeight="1" thickBot="1">
      <c r="A26" s="182" t="s">
        <v>379</v>
      </c>
      <c r="B26" s="183">
        <v>10647000</v>
      </c>
      <c r="C26" s="183">
        <v>10647000</v>
      </c>
      <c r="D26" s="183">
        <v>10638741</v>
      </c>
      <c r="E26" s="177">
        <f t="shared" si="16"/>
        <v>0.99922428853198086</v>
      </c>
      <c r="F26" s="183">
        <v>2317000</v>
      </c>
      <c r="G26" s="183">
        <v>2006984</v>
      </c>
      <c r="H26" s="183">
        <v>1998951</v>
      </c>
      <c r="I26" s="177">
        <f t="shared" si="17"/>
        <v>0.99599747681097606</v>
      </c>
      <c r="J26" s="183">
        <v>8451000</v>
      </c>
      <c r="K26" s="183">
        <v>7526466</v>
      </c>
      <c r="L26" s="183">
        <v>6963437</v>
      </c>
      <c r="M26" s="177">
        <f t="shared" si="18"/>
        <v>0.92519344404133363</v>
      </c>
      <c r="N26" s="183"/>
      <c r="O26" s="183"/>
      <c r="P26" s="183"/>
      <c r="Q26" s="192"/>
      <c r="R26" s="183"/>
      <c r="S26" s="183">
        <v>390793</v>
      </c>
      <c r="T26" s="183">
        <v>390793</v>
      </c>
      <c r="U26" s="177">
        <f t="shared" si="19"/>
        <v>1</v>
      </c>
      <c r="V26" s="183"/>
      <c r="W26" s="183">
        <v>419000</v>
      </c>
      <c r="X26" s="183">
        <v>418140</v>
      </c>
      <c r="Y26" s="177">
        <f>X26/W26</f>
        <v>0.99794749403341287</v>
      </c>
      <c r="Z26" s="183"/>
      <c r="AA26" s="183"/>
      <c r="AB26" s="183"/>
      <c r="AC26" s="192"/>
      <c r="AD26" s="183"/>
      <c r="AE26" s="183"/>
      <c r="AF26" s="183"/>
      <c r="AG26" s="192"/>
      <c r="AH26" s="176">
        <f t="shared" si="20"/>
        <v>21415000</v>
      </c>
      <c r="AI26" s="176">
        <f>SUM(C26+G26+K26+O26+S26)</f>
        <v>20571243</v>
      </c>
      <c r="AJ26" s="176">
        <f>SUM(D26+H26+L26+P26+T26)</f>
        <v>19991922</v>
      </c>
      <c r="AK26" s="177">
        <f t="shared" si="21"/>
        <v>0.97183830845807417</v>
      </c>
      <c r="AL26" s="176">
        <f t="shared" si="22"/>
        <v>0</v>
      </c>
      <c r="AM26" s="176">
        <f t="shared" si="22"/>
        <v>419000</v>
      </c>
      <c r="AN26" s="176">
        <f t="shared" si="22"/>
        <v>418140</v>
      </c>
      <c r="AO26" s="177">
        <v>0</v>
      </c>
      <c r="AP26" s="176">
        <f>SUM(AH26+AL26)</f>
        <v>21415000</v>
      </c>
      <c r="AQ26" s="176">
        <f t="shared" si="24"/>
        <v>20990243</v>
      </c>
      <c r="AR26" s="176">
        <f t="shared" si="24"/>
        <v>20410062</v>
      </c>
      <c r="AS26" s="177">
        <f t="shared" si="25"/>
        <v>0.97235949102637831</v>
      </c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</row>
    <row r="27" spans="1:86" s="236" customFormat="1" ht="27" customHeight="1" thickBot="1">
      <c r="A27" s="232" t="s">
        <v>386</v>
      </c>
      <c r="B27" s="233">
        <f>B25+B26</f>
        <v>23877000</v>
      </c>
      <c r="C27" s="233">
        <f>C25+C26</f>
        <v>28522092</v>
      </c>
      <c r="D27" s="233">
        <f>D25+D26</f>
        <v>28161676</v>
      </c>
      <c r="E27" s="234">
        <f t="shared" si="16"/>
        <v>0.98736361975131415</v>
      </c>
      <c r="F27" s="233">
        <f t="shared" ref="F27:AR27" si="26">F25+F26</f>
        <v>5278000</v>
      </c>
      <c r="G27" s="233">
        <f t="shared" si="26"/>
        <v>6056087</v>
      </c>
      <c r="H27" s="233">
        <f>H25+H26</f>
        <v>5993951</v>
      </c>
      <c r="I27" s="234">
        <f t="shared" si="17"/>
        <v>0.98973990961490477</v>
      </c>
      <c r="J27" s="233">
        <f t="shared" si="26"/>
        <v>11070000</v>
      </c>
      <c r="K27" s="233">
        <f t="shared" si="26"/>
        <v>14405509</v>
      </c>
      <c r="L27" s="233">
        <f>L25+L26</f>
        <v>13789605</v>
      </c>
      <c r="M27" s="234">
        <f t="shared" si="18"/>
        <v>0.95724524555154555</v>
      </c>
      <c r="N27" s="233">
        <f t="shared" si="26"/>
        <v>0</v>
      </c>
      <c r="O27" s="233">
        <f t="shared" si="26"/>
        <v>0</v>
      </c>
      <c r="P27" s="233">
        <f>P25+P26</f>
        <v>0</v>
      </c>
      <c r="Q27" s="234">
        <v>0</v>
      </c>
      <c r="R27" s="233">
        <f t="shared" si="26"/>
        <v>0</v>
      </c>
      <c r="S27" s="233">
        <f t="shared" si="26"/>
        <v>1589387</v>
      </c>
      <c r="T27" s="233">
        <f>T25+T26</f>
        <v>1589123</v>
      </c>
      <c r="U27" s="234">
        <f t="shared" si="19"/>
        <v>0.99983389822617152</v>
      </c>
      <c r="V27" s="233">
        <f t="shared" si="26"/>
        <v>1100000</v>
      </c>
      <c r="W27" s="233">
        <f t="shared" si="26"/>
        <v>2179200</v>
      </c>
      <c r="X27" s="233">
        <f>X25+X26</f>
        <v>2103140</v>
      </c>
      <c r="Y27" s="234">
        <f t="shared" ref="Y27:Y30" si="27">X27/W27</f>
        <v>0.96509728340675482</v>
      </c>
      <c r="Z27" s="233">
        <f t="shared" si="26"/>
        <v>2500000</v>
      </c>
      <c r="AA27" s="233">
        <f t="shared" si="26"/>
        <v>0</v>
      </c>
      <c r="AB27" s="233">
        <f>AB25+AB26</f>
        <v>0</v>
      </c>
      <c r="AC27" s="234">
        <v>0</v>
      </c>
      <c r="AD27" s="233">
        <f t="shared" si="26"/>
        <v>0</v>
      </c>
      <c r="AE27" s="233">
        <f t="shared" si="26"/>
        <v>0</v>
      </c>
      <c r="AF27" s="233">
        <f>AF25+AF26</f>
        <v>0</v>
      </c>
      <c r="AG27" s="234">
        <v>0</v>
      </c>
      <c r="AH27" s="233">
        <f t="shared" ref="AH27:AJ27" si="28">AH25+AH26</f>
        <v>40225000</v>
      </c>
      <c r="AI27" s="233">
        <f t="shared" si="28"/>
        <v>50573075</v>
      </c>
      <c r="AJ27" s="233">
        <f t="shared" si="28"/>
        <v>49534355</v>
      </c>
      <c r="AK27" s="234">
        <f t="shared" si="21"/>
        <v>0.97946100766069688</v>
      </c>
      <c r="AL27" s="233">
        <f t="shared" ref="AL27:AN27" si="29">AL25+AL26</f>
        <v>3600000</v>
      </c>
      <c r="AM27" s="233">
        <f t="shared" si="29"/>
        <v>2179200</v>
      </c>
      <c r="AN27" s="233">
        <f t="shared" si="29"/>
        <v>2103140</v>
      </c>
      <c r="AO27" s="234">
        <f t="shared" si="23"/>
        <v>0.96509728340675482</v>
      </c>
      <c r="AP27" s="233">
        <f t="shared" si="26"/>
        <v>43825000</v>
      </c>
      <c r="AQ27" s="233">
        <f t="shared" si="26"/>
        <v>52752275</v>
      </c>
      <c r="AR27" s="233">
        <f t="shared" si="26"/>
        <v>51637495</v>
      </c>
      <c r="AS27" s="234">
        <f t="shared" si="25"/>
        <v>0.97886764125338666</v>
      </c>
      <c r="AT27" s="223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</row>
    <row r="28" spans="1:86" s="155" customFormat="1" ht="50.1" customHeight="1" thickBot="1">
      <c r="A28" s="189" t="s">
        <v>387</v>
      </c>
      <c r="B28" s="237">
        <f t="shared" ref="B28:D29" si="30">B13+B17+B21+B25</f>
        <v>556701000</v>
      </c>
      <c r="C28" s="237">
        <f t="shared" si="30"/>
        <v>962841697</v>
      </c>
      <c r="D28" s="237">
        <f t="shared" si="30"/>
        <v>934909958</v>
      </c>
      <c r="E28" s="170">
        <f t="shared" si="16"/>
        <v>0.97099031015479587</v>
      </c>
      <c r="F28" s="237">
        <f t="shared" ref="F28:H29" si="31">F13+F17+F21+F25</f>
        <v>119778000</v>
      </c>
      <c r="G28" s="237">
        <f t="shared" si="31"/>
        <v>176153218</v>
      </c>
      <c r="H28" s="237">
        <f t="shared" si="31"/>
        <v>171828345</v>
      </c>
      <c r="I28" s="170">
        <f t="shared" si="17"/>
        <v>0.97544823166386885</v>
      </c>
      <c r="J28" s="237">
        <f t="shared" ref="J28:L29" si="32">J13+J17+J21+J25</f>
        <v>395754000</v>
      </c>
      <c r="K28" s="237">
        <f t="shared" si="32"/>
        <v>476193529</v>
      </c>
      <c r="L28" s="237">
        <f t="shared" si="32"/>
        <v>462874971</v>
      </c>
      <c r="M28" s="170">
        <f t="shared" si="18"/>
        <v>0.97203120750513183</v>
      </c>
      <c r="N28" s="237">
        <f t="shared" ref="N28:P29" si="33">N13+N17+N21+N25</f>
        <v>0</v>
      </c>
      <c r="O28" s="237">
        <f t="shared" si="33"/>
        <v>0</v>
      </c>
      <c r="P28" s="237">
        <f t="shared" si="33"/>
        <v>0</v>
      </c>
      <c r="Q28" s="170">
        <v>0</v>
      </c>
      <c r="R28" s="237">
        <f t="shared" ref="R28:T29" si="34">R13+R17+R21+R25</f>
        <v>0</v>
      </c>
      <c r="S28" s="237">
        <f t="shared" si="34"/>
        <v>13585335</v>
      </c>
      <c r="T28" s="237">
        <f>T13+T17+T21+T25</f>
        <v>12633249</v>
      </c>
      <c r="U28" s="170">
        <f t="shared" si="19"/>
        <v>0.92991810654650764</v>
      </c>
      <c r="V28" s="237">
        <f t="shared" ref="V28:X29" si="35">V13+V17+V21+V25</f>
        <v>8593000</v>
      </c>
      <c r="W28" s="237">
        <f t="shared" si="35"/>
        <v>32163835</v>
      </c>
      <c r="X28" s="237">
        <f t="shared" si="35"/>
        <v>32082420</v>
      </c>
      <c r="Y28" s="170">
        <f t="shared" si="27"/>
        <v>0.99746874090107729</v>
      </c>
      <c r="Z28" s="237">
        <f t="shared" ref="Z28:AB29" si="36">Z13+Z17+Z21+Z25</f>
        <v>7920000</v>
      </c>
      <c r="AA28" s="237">
        <f t="shared" si="36"/>
        <v>152051400</v>
      </c>
      <c r="AB28" s="237">
        <f t="shared" si="36"/>
        <v>42848570</v>
      </c>
      <c r="AC28" s="170">
        <f>AB28/AA28</f>
        <v>0.28180319286767502</v>
      </c>
      <c r="AD28" s="237">
        <f t="shared" ref="AD28:AF29" si="37">AD13+AD17+AD21+AD25</f>
        <v>8000000</v>
      </c>
      <c r="AE28" s="237">
        <f t="shared" si="37"/>
        <v>0</v>
      </c>
      <c r="AF28" s="237">
        <f t="shared" si="37"/>
        <v>0</v>
      </c>
      <c r="AG28" s="170">
        <v>0</v>
      </c>
      <c r="AH28" s="163">
        <f t="shared" ref="AH28:AH29" si="38">SUM(B28+F28+J28+N28+R28)</f>
        <v>1072233000</v>
      </c>
      <c r="AI28" s="163">
        <f>SUM(C28+G28+K28+O28+S28)</f>
        <v>1628773779</v>
      </c>
      <c r="AJ28" s="163">
        <f>SUM(D28+H28+L28+P28+T28)</f>
        <v>1582246523</v>
      </c>
      <c r="AK28" s="170">
        <f t="shared" si="21"/>
        <v>0.97143418159115635</v>
      </c>
      <c r="AL28" s="163">
        <f>SUM(V28+Z28+AD28)</f>
        <v>24513000</v>
      </c>
      <c r="AM28" s="163">
        <f>SUM(W28+AA28+AE28)</f>
        <v>184215235</v>
      </c>
      <c r="AN28" s="190">
        <f>AN13+AN17+AN21+AN25</f>
        <v>74930990</v>
      </c>
      <c r="AO28" s="170">
        <f t="shared" si="23"/>
        <v>0.40675783411724875</v>
      </c>
      <c r="AP28" s="163">
        <f>SUM(AH28+AL28)</f>
        <v>1096746000</v>
      </c>
      <c r="AQ28" s="163">
        <f t="shared" ref="AQ28:AR29" si="39">SUM(AI28+AM28)</f>
        <v>1812989014</v>
      </c>
      <c r="AR28" s="163">
        <f t="shared" si="39"/>
        <v>1657177513</v>
      </c>
      <c r="AS28" s="170">
        <f t="shared" si="25"/>
        <v>0.9140582210941075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</row>
    <row r="29" spans="1:86" s="155" customFormat="1" ht="50.1" customHeight="1" thickBot="1">
      <c r="A29" s="189" t="s">
        <v>388</v>
      </c>
      <c r="B29" s="163">
        <f t="shared" si="30"/>
        <v>13384000</v>
      </c>
      <c r="C29" s="163">
        <f t="shared" si="30"/>
        <v>13384000</v>
      </c>
      <c r="D29" s="163">
        <f t="shared" si="30"/>
        <v>10638741</v>
      </c>
      <c r="E29" s="186">
        <f t="shared" si="16"/>
        <v>0.79488501195457262</v>
      </c>
      <c r="F29" s="163">
        <f t="shared" si="31"/>
        <v>2959000</v>
      </c>
      <c r="G29" s="163">
        <f t="shared" si="31"/>
        <v>2648984</v>
      </c>
      <c r="H29" s="163">
        <f t="shared" si="31"/>
        <v>1998951</v>
      </c>
      <c r="I29" s="186">
        <f t="shared" si="17"/>
        <v>0.75461044687321632</v>
      </c>
      <c r="J29" s="163">
        <f t="shared" si="32"/>
        <v>21301000</v>
      </c>
      <c r="K29" s="163">
        <f t="shared" si="32"/>
        <v>20376466</v>
      </c>
      <c r="L29" s="163">
        <f t="shared" si="32"/>
        <v>6963437</v>
      </c>
      <c r="M29" s="186">
        <f t="shared" si="18"/>
        <v>0.3417391906918501</v>
      </c>
      <c r="N29" s="163">
        <f t="shared" si="33"/>
        <v>0</v>
      </c>
      <c r="O29" s="163">
        <f t="shared" si="33"/>
        <v>0</v>
      </c>
      <c r="P29" s="163">
        <f t="shared" si="33"/>
        <v>0</v>
      </c>
      <c r="Q29" s="186">
        <v>0</v>
      </c>
      <c r="R29" s="163">
        <f t="shared" si="34"/>
        <v>0</v>
      </c>
      <c r="S29" s="163">
        <f t="shared" si="34"/>
        <v>390793</v>
      </c>
      <c r="T29" s="163">
        <f t="shared" si="34"/>
        <v>390793</v>
      </c>
      <c r="U29" s="186">
        <f t="shared" si="19"/>
        <v>1</v>
      </c>
      <c r="V29" s="163">
        <f t="shared" si="35"/>
        <v>0</v>
      </c>
      <c r="W29" s="163">
        <f t="shared" si="35"/>
        <v>419000</v>
      </c>
      <c r="X29" s="163">
        <f t="shared" si="35"/>
        <v>418140</v>
      </c>
      <c r="Y29" s="186">
        <v>0</v>
      </c>
      <c r="Z29" s="163">
        <f t="shared" si="36"/>
        <v>0</v>
      </c>
      <c r="AA29" s="163">
        <f t="shared" si="36"/>
        <v>0</v>
      </c>
      <c r="AB29" s="163">
        <f t="shared" si="36"/>
        <v>0</v>
      </c>
      <c r="AC29" s="186">
        <v>0</v>
      </c>
      <c r="AD29" s="163">
        <f t="shared" si="37"/>
        <v>0</v>
      </c>
      <c r="AE29" s="163">
        <f t="shared" si="37"/>
        <v>0</v>
      </c>
      <c r="AF29" s="163">
        <f t="shared" si="37"/>
        <v>0</v>
      </c>
      <c r="AG29" s="186">
        <v>0</v>
      </c>
      <c r="AH29" s="237">
        <f t="shared" si="38"/>
        <v>37644000</v>
      </c>
      <c r="AI29" s="237">
        <f>SUM(C29+G29+K29+O29+S29)</f>
        <v>36800243</v>
      </c>
      <c r="AJ29" s="237">
        <f>SUM(D29+H29+L29+P29+T29)</f>
        <v>19991922</v>
      </c>
      <c r="AK29" s="186">
        <f t="shared" si="21"/>
        <v>0.54325516274444163</v>
      </c>
      <c r="AL29" s="237">
        <f>SUM(V29+Z29+AD29)</f>
        <v>0</v>
      </c>
      <c r="AM29" s="237">
        <f>SUM(W29+AA29+AE29)</f>
        <v>419000</v>
      </c>
      <c r="AN29" s="237">
        <f>AN14+AN18+AN22+AN26</f>
        <v>418140</v>
      </c>
      <c r="AO29" s="186">
        <v>0</v>
      </c>
      <c r="AP29" s="237">
        <f>SUM(AH29+AL29)</f>
        <v>37644000</v>
      </c>
      <c r="AQ29" s="237">
        <f t="shared" si="39"/>
        <v>37219243</v>
      </c>
      <c r="AR29" s="237">
        <f t="shared" si="39"/>
        <v>20410062</v>
      </c>
      <c r="AS29" s="186">
        <f t="shared" si="25"/>
        <v>0.5483739150739847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</row>
    <row r="30" spans="1:86" s="236" customFormat="1" ht="50.1" customHeight="1" thickBot="1">
      <c r="A30" s="232" t="s">
        <v>389</v>
      </c>
      <c r="B30" s="233">
        <f t="shared" ref="B30:AR30" si="40">B28+B29</f>
        <v>570085000</v>
      </c>
      <c r="C30" s="233">
        <f>C28+C29</f>
        <v>976225697</v>
      </c>
      <c r="D30" s="233">
        <f>D28+D29</f>
        <v>945548699</v>
      </c>
      <c r="E30" s="234">
        <f t="shared" si="16"/>
        <v>0.96857591631292617</v>
      </c>
      <c r="F30" s="233">
        <f t="shared" si="40"/>
        <v>122737000</v>
      </c>
      <c r="G30" s="233">
        <f t="shared" si="40"/>
        <v>178802202</v>
      </c>
      <c r="H30" s="233">
        <f>H28+H29</f>
        <v>173827296</v>
      </c>
      <c r="I30" s="234">
        <f t="shared" si="17"/>
        <v>0.97217648359833952</v>
      </c>
      <c r="J30" s="233">
        <f t="shared" si="40"/>
        <v>417055000</v>
      </c>
      <c r="K30" s="233">
        <f t="shared" si="40"/>
        <v>496569995</v>
      </c>
      <c r="L30" s="233">
        <f>L28+L29</f>
        <v>469838408</v>
      </c>
      <c r="M30" s="234">
        <f t="shared" si="18"/>
        <v>0.94616753475006077</v>
      </c>
      <c r="N30" s="233">
        <f t="shared" si="40"/>
        <v>0</v>
      </c>
      <c r="O30" s="233">
        <f t="shared" si="40"/>
        <v>0</v>
      </c>
      <c r="P30" s="233">
        <f>P28+P29</f>
        <v>0</v>
      </c>
      <c r="Q30" s="234">
        <v>0</v>
      </c>
      <c r="R30" s="233">
        <f t="shared" si="40"/>
        <v>0</v>
      </c>
      <c r="S30" s="233">
        <f t="shared" si="40"/>
        <v>13976128</v>
      </c>
      <c r="T30" s="233">
        <f>T28+T29</f>
        <v>13024042</v>
      </c>
      <c r="U30" s="234">
        <f t="shared" si="19"/>
        <v>0.93187769888770333</v>
      </c>
      <c r="V30" s="233">
        <f t="shared" si="40"/>
        <v>8593000</v>
      </c>
      <c r="W30" s="233">
        <f t="shared" si="40"/>
        <v>32582835</v>
      </c>
      <c r="X30" s="233">
        <f>X28+X29</f>
        <v>32500560</v>
      </c>
      <c r="Y30" s="234">
        <f t="shared" si="27"/>
        <v>0.99747489744216544</v>
      </c>
      <c r="Z30" s="233">
        <f t="shared" si="40"/>
        <v>7920000</v>
      </c>
      <c r="AA30" s="233">
        <f t="shared" si="40"/>
        <v>152051400</v>
      </c>
      <c r="AB30" s="233">
        <f>AB28+AB29</f>
        <v>42848570</v>
      </c>
      <c r="AC30" s="234">
        <f>AB30/AA30</f>
        <v>0.28180319286767502</v>
      </c>
      <c r="AD30" s="233">
        <f t="shared" si="40"/>
        <v>8000000</v>
      </c>
      <c r="AE30" s="233">
        <f t="shared" si="40"/>
        <v>0</v>
      </c>
      <c r="AF30" s="233">
        <f>AF28+AF29</f>
        <v>0</v>
      </c>
      <c r="AG30" s="234">
        <v>0</v>
      </c>
      <c r="AH30" s="233">
        <f t="shared" si="40"/>
        <v>1109877000</v>
      </c>
      <c r="AI30" s="233">
        <f t="shared" si="40"/>
        <v>1665574022</v>
      </c>
      <c r="AJ30" s="233">
        <f t="shared" si="40"/>
        <v>1602238445</v>
      </c>
      <c r="AK30" s="234">
        <f t="shared" si="21"/>
        <v>0.96197372427558192</v>
      </c>
      <c r="AL30" s="233">
        <f t="shared" si="40"/>
        <v>24513000</v>
      </c>
      <c r="AM30" s="233">
        <f t="shared" si="40"/>
        <v>184634235</v>
      </c>
      <c r="AN30" s="233">
        <f>AN28+AN29</f>
        <v>75349130</v>
      </c>
      <c r="AO30" s="234">
        <f t="shared" si="23"/>
        <v>0.4080994513287311</v>
      </c>
      <c r="AP30" s="233">
        <f t="shared" si="40"/>
        <v>1134390000</v>
      </c>
      <c r="AQ30" s="233">
        <f t="shared" si="40"/>
        <v>1850208257</v>
      </c>
      <c r="AR30" s="233">
        <f t="shared" si="40"/>
        <v>1677587575</v>
      </c>
      <c r="AS30" s="234">
        <f t="shared" si="25"/>
        <v>0.90670202592226357</v>
      </c>
      <c r="AT30" s="238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</row>
    <row r="31" spans="1:86" s="155" customFormat="1" ht="39.950000000000003" customHeight="1">
      <c r="A31" s="151" t="s">
        <v>390</v>
      </c>
      <c r="B31" s="163"/>
      <c r="C31" s="163"/>
      <c r="D31" s="163"/>
      <c r="E31" s="170"/>
      <c r="F31" s="163"/>
      <c r="G31" s="163"/>
      <c r="H31" s="163"/>
      <c r="I31" s="170"/>
      <c r="J31" s="163"/>
      <c r="K31" s="163"/>
      <c r="L31" s="163"/>
      <c r="M31" s="170"/>
      <c r="N31" s="163"/>
      <c r="O31" s="163"/>
      <c r="P31" s="163"/>
      <c r="Q31" s="170"/>
      <c r="R31" s="163"/>
      <c r="S31" s="163"/>
      <c r="T31" s="163"/>
      <c r="U31" s="170"/>
      <c r="V31" s="163"/>
      <c r="W31" s="163"/>
      <c r="X31" s="163"/>
      <c r="Y31" s="170"/>
      <c r="Z31" s="163"/>
      <c r="AA31" s="163"/>
      <c r="AB31" s="163"/>
      <c r="AC31" s="170"/>
      <c r="AD31" s="163"/>
      <c r="AE31" s="163"/>
      <c r="AF31" s="163"/>
      <c r="AG31" s="170"/>
      <c r="AH31" s="163"/>
      <c r="AI31" s="163"/>
      <c r="AJ31" s="163"/>
      <c r="AK31" s="170"/>
      <c r="AL31" s="163"/>
      <c r="AM31" s="163"/>
      <c r="AN31" s="163"/>
      <c r="AO31" s="170"/>
      <c r="AP31" s="163"/>
      <c r="AQ31" s="163"/>
      <c r="AR31" s="163"/>
      <c r="AS31" s="170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</row>
    <row r="32" spans="1:86" s="155" customFormat="1" ht="39.950000000000003" customHeight="1">
      <c r="A32" s="184" t="s">
        <v>378</v>
      </c>
      <c r="B32" s="157">
        <v>199272000</v>
      </c>
      <c r="C32" s="157">
        <v>224186248</v>
      </c>
      <c r="D32" s="157">
        <v>224184653</v>
      </c>
      <c r="E32" s="158">
        <f t="shared" ref="E32" si="41">D32/C32</f>
        <v>0.99999288537983833</v>
      </c>
      <c r="F32" s="157">
        <v>51928000</v>
      </c>
      <c r="G32" s="157">
        <v>55927306</v>
      </c>
      <c r="H32" s="157">
        <v>55926603</v>
      </c>
      <c r="I32" s="158">
        <f t="shared" ref="I32" si="42">H32/G32</f>
        <v>0.99998743011150937</v>
      </c>
      <c r="J32" s="157">
        <v>69887000</v>
      </c>
      <c r="K32" s="157">
        <v>45062916</v>
      </c>
      <c r="L32" s="157">
        <v>44819443</v>
      </c>
      <c r="M32" s="158">
        <f t="shared" ref="M32" si="43">L32/K32</f>
        <v>0.99459704294324847</v>
      </c>
      <c r="N32" s="157"/>
      <c r="O32" s="157"/>
      <c r="P32" s="157"/>
      <c r="Q32" s="158"/>
      <c r="R32" s="157"/>
      <c r="S32" s="157">
        <v>667593</v>
      </c>
      <c r="T32" s="157">
        <v>667593</v>
      </c>
      <c r="U32" s="158">
        <f t="shared" ref="U32" si="44">T32/S32</f>
        <v>1</v>
      </c>
      <c r="V32" s="157"/>
      <c r="W32" s="157">
        <v>3382110</v>
      </c>
      <c r="X32" s="157">
        <v>3368480</v>
      </c>
      <c r="Y32" s="158">
        <f t="shared" ref="Y32" si="45">X32/W32</f>
        <v>0.99596997140838117</v>
      </c>
      <c r="Z32" s="157"/>
      <c r="AA32" s="157"/>
      <c r="AB32" s="157"/>
      <c r="AC32" s="158"/>
      <c r="AD32" s="163"/>
      <c r="AE32" s="163"/>
      <c r="AF32" s="157"/>
      <c r="AG32" s="158"/>
      <c r="AH32" s="157">
        <f t="shared" ref="AH32:AJ34" si="46">SUM(B32+F32+J32+N32+R32)</f>
        <v>321087000</v>
      </c>
      <c r="AI32" s="157">
        <f t="shared" si="46"/>
        <v>325844063</v>
      </c>
      <c r="AJ32" s="157">
        <f t="shared" si="46"/>
        <v>325598292</v>
      </c>
      <c r="AK32" s="158">
        <f t="shared" ref="AK32" si="47">AJ32/AI32</f>
        <v>0.99924574043873249</v>
      </c>
      <c r="AL32" s="157">
        <f t="shared" ref="AL32:AN34" si="48">SUM(V32+Z32+AD32)</f>
        <v>0</v>
      </c>
      <c r="AM32" s="157">
        <f t="shared" si="48"/>
        <v>3382110</v>
      </c>
      <c r="AN32" s="157">
        <f t="shared" si="48"/>
        <v>3368480</v>
      </c>
      <c r="AO32" s="158">
        <f t="shared" ref="AO32" si="49">AN32/AM32</f>
        <v>0.99596997140838117</v>
      </c>
      <c r="AP32" s="157">
        <f>SUM(AH32+AL32)</f>
        <v>321087000</v>
      </c>
      <c r="AQ32" s="157">
        <f t="shared" ref="AQ32:AR34" si="50">SUM(AI32+AM32)</f>
        <v>329226173</v>
      </c>
      <c r="AR32" s="157">
        <f t="shared" si="50"/>
        <v>328966772</v>
      </c>
      <c r="AS32" s="158">
        <f t="shared" ref="AS32" si="51">AR32/AQ32</f>
        <v>0.99921208876670931</v>
      </c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</row>
    <row r="33" spans="1:86" s="155" customFormat="1" ht="39.950000000000003" customHeight="1">
      <c r="A33" s="161" t="s">
        <v>379</v>
      </c>
      <c r="B33" s="163"/>
      <c r="C33" s="163"/>
      <c r="D33" s="163"/>
      <c r="E33" s="158"/>
      <c r="F33" s="163"/>
      <c r="G33" s="163"/>
      <c r="H33" s="163"/>
      <c r="I33" s="158"/>
      <c r="J33" s="163"/>
      <c r="K33" s="163">
        <v>196776076</v>
      </c>
      <c r="L33" s="163"/>
      <c r="M33" s="158"/>
      <c r="N33" s="163"/>
      <c r="O33" s="163"/>
      <c r="P33" s="163"/>
      <c r="Q33" s="158"/>
      <c r="R33" s="163"/>
      <c r="S33" s="163"/>
      <c r="T33" s="163"/>
      <c r="U33" s="158"/>
      <c r="V33" s="163"/>
      <c r="W33" s="163"/>
      <c r="X33" s="163"/>
      <c r="Y33" s="158"/>
      <c r="Z33" s="163"/>
      <c r="AA33" s="163"/>
      <c r="AB33" s="163"/>
      <c r="AC33" s="158"/>
      <c r="AD33" s="239"/>
      <c r="AE33" s="239"/>
      <c r="AF33" s="163"/>
      <c r="AG33" s="158"/>
      <c r="AH33" s="157">
        <f t="shared" ref="AH33" si="52">SUM(B33+F33+J33+N33+R33)</f>
        <v>0</v>
      </c>
      <c r="AI33" s="157">
        <f t="shared" ref="AI33" si="53">SUM(C33+G33+K33+O33+S33)</f>
        <v>196776076</v>
      </c>
      <c r="AJ33" s="157">
        <f t="shared" ref="AJ33" si="54">SUM(D33+H33+L33+P33+T33)</f>
        <v>0</v>
      </c>
      <c r="AK33" s="158">
        <f t="shared" ref="AK33" si="55">AJ33/AI33</f>
        <v>0</v>
      </c>
      <c r="AL33" s="157">
        <f t="shared" ref="AL33" si="56">SUM(V33+Z33+AD33)</f>
        <v>0</v>
      </c>
      <c r="AM33" s="157">
        <f t="shared" ref="AM33" si="57">SUM(W33+AA33+AE33)</f>
        <v>0</v>
      </c>
      <c r="AN33" s="157">
        <f t="shared" ref="AN33" si="58">SUM(X33+AB33+AF33)</f>
        <v>0</v>
      </c>
      <c r="AO33" s="158">
        <v>0</v>
      </c>
      <c r="AP33" s="157">
        <f>SUM(AH33+AL33)</f>
        <v>0</v>
      </c>
      <c r="AQ33" s="157">
        <f t="shared" ref="AQ33" si="59">SUM(AI33+AM33)</f>
        <v>196776076</v>
      </c>
      <c r="AR33" s="157">
        <f t="shared" ref="AR33" si="60">SUM(AJ33+AN33)</f>
        <v>0</v>
      </c>
      <c r="AS33" s="158">
        <f t="shared" ref="AS33" si="61">AR33/AQ33</f>
        <v>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</row>
    <row r="34" spans="1:86" s="181" customFormat="1" ht="39.950000000000003" customHeight="1" thickBot="1">
      <c r="A34" s="182" t="s">
        <v>391</v>
      </c>
      <c r="B34" s="183"/>
      <c r="C34" s="183"/>
      <c r="D34" s="183"/>
      <c r="E34" s="158"/>
      <c r="F34" s="183"/>
      <c r="G34" s="183"/>
      <c r="H34" s="183"/>
      <c r="I34" s="158"/>
      <c r="J34" s="183"/>
      <c r="K34" s="183"/>
      <c r="L34" s="183"/>
      <c r="M34" s="158"/>
      <c r="N34" s="183"/>
      <c r="O34" s="183"/>
      <c r="P34" s="183"/>
      <c r="Q34" s="158"/>
      <c r="R34" s="183"/>
      <c r="S34" s="183"/>
      <c r="T34" s="183"/>
      <c r="U34" s="158"/>
      <c r="V34" s="183"/>
      <c r="W34" s="183"/>
      <c r="X34" s="183"/>
      <c r="Y34" s="158"/>
      <c r="Z34" s="183"/>
      <c r="AA34" s="183"/>
      <c r="AB34" s="183"/>
      <c r="AC34" s="158"/>
      <c r="AD34" s="183"/>
      <c r="AE34" s="183"/>
      <c r="AF34" s="183"/>
      <c r="AG34" s="158"/>
      <c r="AH34" s="157">
        <f t="shared" si="46"/>
        <v>0</v>
      </c>
      <c r="AI34" s="157">
        <f t="shared" si="46"/>
        <v>0</v>
      </c>
      <c r="AJ34" s="157">
        <f t="shared" si="46"/>
        <v>0</v>
      </c>
      <c r="AK34" s="158">
        <v>0</v>
      </c>
      <c r="AL34" s="157">
        <f t="shared" si="48"/>
        <v>0</v>
      </c>
      <c r="AM34" s="157">
        <f t="shared" si="48"/>
        <v>0</v>
      </c>
      <c r="AN34" s="157">
        <f t="shared" si="48"/>
        <v>0</v>
      </c>
      <c r="AO34" s="158">
        <v>0</v>
      </c>
      <c r="AP34" s="157">
        <f>SUM(AH34+AL34)</f>
        <v>0</v>
      </c>
      <c r="AQ34" s="157">
        <f t="shared" si="50"/>
        <v>0</v>
      </c>
      <c r="AR34" s="157">
        <f t="shared" si="50"/>
        <v>0</v>
      </c>
      <c r="AS34" s="158">
        <v>0</v>
      </c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</row>
    <row r="35" spans="1:86" s="236" customFormat="1" ht="39.950000000000003" customHeight="1" thickBot="1">
      <c r="A35" s="232" t="s">
        <v>392</v>
      </c>
      <c r="B35" s="233">
        <f>SUM(B32:B34)</f>
        <v>199272000</v>
      </c>
      <c r="C35" s="233">
        <f>SUM(C32:C34)</f>
        <v>224186248</v>
      </c>
      <c r="D35" s="233">
        <f>SUM(D32:D34)</f>
        <v>224184653</v>
      </c>
      <c r="E35" s="234">
        <f>D35/C35</f>
        <v>0.99999288537983833</v>
      </c>
      <c r="F35" s="233">
        <f t="shared" ref="F35:AE35" si="62">SUM(F32:F34)</f>
        <v>51928000</v>
      </c>
      <c r="G35" s="233">
        <f t="shared" si="62"/>
        <v>55927306</v>
      </c>
      <c r="H35" s="233">
        <f>SUM(H32:H34)</f>
        <v>55926603</v>
      </c>
      <c r="I35" s="234">
        <f>H35/G35</f>
        <v>0.99998743011150937</v>
      </c>
      <c r="J35" s="233">
        <f t="shared" si="62"/>
        <v>69887000</v>
      </c>
      <c r="K35" s="233">
        <f t="shared" si="62"/>
        <v>241838992</v>
      </c>
      <c r="L35" s="233">
        <f>SUM(L32:L34)</f>
        <v>44819443</v>
      </c>
      <c r="M35" s="234">
        <f>L35/K35</f>
        <v>0.18532761251337004</v>
      </c>
      <c r="N35" s="233">
        <f t="shared" si="62"/>
        <v>0</v>
      </c>
      <c r="O35" s="233">
        <f t="shared" si="62"/>
        <v>0</v>
      </c>
      <c r="P35" s="233">
        <f>SUM(P32:P34)</f>
        <v>0</v>
      </c>
      <c r="Q35" s="234">
        <v>0</v>
      </c>
      <c r="R35" s="233">
        <f t="shared" si="62"/>
        <v>0</v>
      </c>
      <c r="S35" s="233">
        <f t="shared" si="62"/>
        <v>667593</v>
      </c>
      <c r="T35" s="233">
        <f>SUM(T32:T34)</f>
        <v>667593</v>
      </c>
      <c r="U35" s="234">
        <f>T35/S35</f>
        <v>1</v>
      </c>
      <c r="V35" s="233">
        <f t="shared" si="62"/>
        <v>0</v>
      </c>
      <c r="W35" s="233">
        <f t="shared" si="62"/>
        <v>3382110</v>
      </c>
      <c r="X35" s="233">
        <f>SUM(X32:X34)</f>
        <v>3368480</v>
      </c>
      <c r="Y35" s="234">
        <f>X35/W35</f>
        <v>0.99596997140838117</v>
      </c>
      <c r="Z35" s="233">
        <f t="shared" si="62"/>
        <v>0</v>
      </c>
      <c r="AA35" s="233">
        <f t="shared" si="62"/>
        <v>0</v>
      </c>
      <c r="AB35" s="233">
        <f>SUM(AB32:AB34)</f>
        <v>0</v>
      </c>
      <c r="AC35" s="234">
        <v>0</v>
      </c>
      <c r="AD35" s="233">
        <f t="shared" si="62"/>
        <v>0</v>
      </c>
      <c r="AE35" s="233">
        <f t="shared" si="62"/>
        <v>0</v>
      </c>
      <c r="AF35" s="233">
        <f>SUM(AF32:AF34)</f>
        <v>0</v>
      </c>
      <c r="AG35" s="234">
        <v>0</v>
      </c>
      <c r="AH35" s="233">
        <f t="shared" ref="AH35:AR35" si="63">SUM(AH32:AH34)</f>
        <v>321087000</v>
      </c>
      <c r="AI35" s="233">
        <f t="shared" si="63"/>
        <v>522620139</v>
      </c>
      <c r="AJ35" s="233">
        <f t="shared" si="63"/>
        <v>325598292</v>
      </c>
      <c r="AK35" s="234">
        <f>AJ35/AI35</f>
        <v>0.62301137614599267</v>
      </c>
      <c r="AL35" s="233">
        <f t="shared" si="63"/>
        <v>0</v>
      </c>
      <c r="AM35" s="233">
        <f t="shared" si="63"/>
        <v>3382110</v>
      </c>
      <c r="AN35" s="233">
        <f t="shared" si="63"/>
        <v>3368480</v>
      </c>
      <c r="AO35" s="234">
        <f>AN35/AM35</f>
        <v>0.99596997140838117</v>
      </c>
      <c r="AP35" s="233">
        <f t="shared" si="63"/>
        <v>321087000</v>
      </c>
      <c r="AQ35" s="233">
        <f t="shared" si="63"/>
        <v>526002249</v>
      </c>
      <c r="AR35" s="233">
        <f t="shared" si="63"/>
        <v>328966772</v>
      </c>
      <c r="AS35" s="234">
        <f>AR35/AQ35</f>
        <v>0.62540944002693799</v>
      </c>
      <c r="AT35" s="223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</row>
    <row r="36" spans="1:86" s="155" customFormat="1" ht="39.950000000000003" customHeight="1" thickBot="1">
      <c r="A36" s="193" t="s">
        <v>393</v>
      </c>
      <c r="B36" s="187">
        <f t="shared" ref="B36:AF36" si="64">B28+B32</f>
        <v>755973000</v>
      </c>
      <c r="C36" s="187">
        <f t="shared" si="64"/>
        <v>1187027945</v>
      </c>
      <c r="D36" s="187">
        <f t="shared" si="64"/>
        <v>1159094611</v>
      </c>
      <c r="E36" s="240">
        <f>D36/C36</f>
        <v>0.97646783791598102</v>
      </c>
      <c r="F36" s="187">
        <f t="shared" si="64"/>
        <v>171706000</v>
      </c>
      <c r="G36" s="187">
        <f t="shared" si="64"/>
        <v>232080524</v>
      </c>
      <c r="H36" s="187">
        <f t="shared" si="64"/>
        <v>227754948</v>
      </c>
      <c r="I36" s="240">
        <f>H36/G36</f>
        <v>0.98136174494331974</v>
      </c>
      <c r="J36" s="187">
        <f t="shared" si="64"/>
        <v>465641000</v>
      </c>
      <c r="K36" s="187">
        <f t="shared" si="64"/>
        <v>521256445</v>
      </c>
      <c r="L36" s="187">
        <f t="shared" si="64"/>
        <v>507694414</v>
      </c>
      <c r="M36" s="240">
        <f>L36/K36</f>
        <v>0.97398203680723794</v>
      </c>
      <c r="N36" s="187">
        <f t="shared" si="64"/>
        <v>0</v>
      </c>
      <c r="O36" s="187">
        <f t="shared" si="64"/>
        <v>0</v>
      </c>
      <c r="P36" s="187">
        <f t="shared" si="64"/>
        <v>0</v>
      </c>
      <c r="Q36" s="240">
        <v>0</v>
      </c>
      <c r="R36" s="187">
        <f t="shared" si="64"/>
        <v>0</v>
      </c>
      <c r="S36" s="187">
        <f t="shared" si="64"/>
        <v>14252928</v>
      </c>
      <c r="T36" s="187">
        <f t="shared" si="64"/>
        <v>13300842</v>
      </c>
      <c r="U36" s="240">
        <f>T36/S36</f>
        <v>0.93320067287226882</v>
      </c>
      <c r="V36" s="187">
        <f t="shared" si="64"/>
        <v>8593000</v>
      </c>
      <c r="W36" s="187">
        <f t="shared" si="64"/>
        <v>35545945</v>
      </c>
      <c r="X36" s="187">
        <f t="shared" si="64"/>
        <v>35450900</v>
      </c>
      <c r="Y36" s="240">
        <f>X36/W36</f>
        <v>0.99732613663808911</v>
      </c>
      <c r="Z36" s="187">
        <f t="shared" si="64"/>
        <v>7920000</v>
      </c>
      <c r="AA36" s="187">
        <f t="shared" si="64"/>
        <v>152051400</v>
      </c>
      <c r="AB36" s="187">
        <f t="shared" si="64"/>
        <v>42848570</v>
      </c>
      <c r="AC36" s="240">
        <f>AB36/AA36</f>
        <v>0.28180319286767502</v>
      </c>
      <c r="AD36" s="187">
        <f t="shared" si="64"/>
        <v>8000000</v>
      </c>
      <c r="AE36" s="187">
        <f t="shared" si="64"/>
        <v>0</v>
      </c>
      <c r="AF36" s="187">
        <f t="shared" si="64"/>
        <v>0</v>
      </c>
      <c r="AG36" s="240">
        <v>0</v>
      </c>
      <c r="AH36" s="171">
        <f t="shared" ref="AH36:AJ38" si="65">SUM(B36+F36+J36+N36+R36)</f>
        <v>1393320000</v>
      </c>
      <c r="AI36" s="171">
        <f t="shared" si="65"/>
        <v>1954617842</v>
      </c>
      <c r="AJ36" s="171">
        <f t="shared" si="65"/>
        <v>1907844815</v>
      </c>
      <c r="AK36" s="240">
        <f>AJ36/AI36</f>
        <v>0.97607050033261689</v>
      </c>
      <c r="AL36" s="171">
        <f>SUM(V36+Z36+AD36)</f>
        <v>24513000</v>
      </c>
      <c r="AM36" s="171">
        <f>SUM(W36+AA36+AE36)</f>
        <v>187597345</v>
      </c>
      <c r="AN36" s="171">
        <f>SUM(X36+AB36+AF36)</f>
        <v>78299470</v>
      </c>
      <c r="AO36" s="240">
        <f>AN36/AM36</f>
        <v>0.41738048051799453</v>
      </c>
      <c r="AP36" s="171">
        <f>SUM(AH36+AL36)</f>
        <v>1417833000</v>
      </c>
      <c r="AQ36" s="171">
        <f t="shared" ref="AQ36:AQ38" si="66">SUM(AI36+AM36)</f>
        <v>2142215187</v>
      </c>
      <c r="AR36" s="187">
        <f t="shared" ref="AR36" si="67">AR28+AR32</f>
        <v>1986144285</v>
      </c>
      <c r="AS36" s="240">
        <f>AR36/AQ36</f>
        <v>0.92714508656874717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</row>
    <row r="37" spans="1:86" s="155" customFormat="1" ht="39.950000000000003" customHeight="1" thickBot="1">
      <c r="A37" s="194" t="s">
        <v>394</v>
      </c>
      <c r="B37" s="171">
        <f>SUM(B29+B33)</f>
        <v>13384000</v>
      </c>
      <c r="C37" s="171">
        <f>SUM(C29+C33)</f>
        <v>13384000</v>
      </c>
      <c r="D37" s="171">
        <f>SUM(D29+D33)</f>
        <v>10638741</v>
      </c>
      <c r="E37" s="240">
        <f t="shared" ref="E37" si="68">D37/C37</f>
        <v>0.79488501195457262</v>
      </c>
      <c r="F37" s="171">
        <f t="shared" ref="F37:AE37" si="69">SUM(F29+F33)</f>
        <v>2959000</v>
      </c>
      <c r="G37" s="171">
        <f t="shared" si="69"/>
        <v>2648984</v>
      </c>
      <c r="H37" s="171">
        <f>SUM(H29+H33)</f>
        <v>1998951</v>
      </c>
      <c r="I37" s="240">
        <f t="shared" ref="I37" si="70">H37/G37</f>
        <v>0.75461044687321632</v>
      </c>
      <c r="J37" s="171">
        <f t="shared" si="69"/>
        <v>21301000</v>
      </c>
      <c r="K37" s="171">
        <f t="shared" si="69"/>
        <v>217152542</v>
      </c>
      <c r="L37" s="171">
        <f>SUM(L29+L33)</f>
        <v>6963437</v>
      </c>
      <c r="M37" s="240">
        <f t="shared" ref="M37" si="71">L37/K37</f>
        <v>3.2067029636705796E-2</v>
      </c>
      <c r="N37" s="171">
        <f t="shared" si="69"/>
        <v>0</v>
      </c>
      <c r="O37" s="171">
        <f t="shared" si="69"/>
        <v>0</v>
      </c>
      <c r="P37" s="171">
        <f>SUM(P29+P33)</f>
        <v>0</v>
      </c>
      <c r="Q37" s="240">
        <v>0</v>
      </c>
      <c r="R37" s="171">
        <f t="shared" si="69"/>
        <v>0</v>
      </c>
      <c r="S37" s="171">
        <f t="shared" si="69"/>
        <v>390793</v>
      </c>
      <c r="T37" s="171">
        <f>SUM(T29+T33)</f>
        <v>390793</v>
      </c>
      <c r="U37" s="240">
        <f t="shared" ref="U37" si="72">T37/S37</f>
        <v>1</v>
      </c>
      <c r="V37" s="171">
        <f t="shared" si="69"/>
        <v>0</v>
      </c>
      <c r="W37" s="171">
        <f t="shared" si="69"/>
        <v>419000</v>
      </c>
      <c r="X37" s="171">
        <f>SUM(X29+X33)</f>
        <v>418140</v>
      </c>
      <c r="Y37" s="240">
        <v>0</v>
      </c>
      <c r="Z37" s="171">
        <f t="shared" si="69"/>
        <v>0</v>
      </c>
      <c r="AA37" s="171">
        <f t="shared" si="69"/>
        <v>0</v>
      </c>
      <c r="AB37" s="171">
        <f>SUM(AB29+AB33)</f>
        <v>0</v>
      </c>
      <c r="AC37" s="240">
        <v>0</v>
      </c>
      <c r="AD37" s="171">
        <f t="shared" si="69"/>
        <v>0</v>
      </c>
      <c r="AE37" s="171">
        <f t="shared" si="69"/>
        <v>0</v>
      </c>
      <c r="AF37" s="171">
        <f>SUM(AF29+AF33)</f>
        <v>0</v>
      </c>
      <c r="AG37" s="240">
        <v>0</v>
      </c>
      <c r="AH37" s="195">
        <f t="shared" si="65"/>
        <v>37644000</v>
      </c>
      <c r="AI37" s="195">
        <f t="shared" si="65"/>
        <v>233576319</v>
      </c>
      <c r="AJ37" s="195">
        <f t="shared" si="65"/>
        <v>19991922</v>
      </c>
      <c r="AK37" s="240">
        <f t="shared" ref="AK37" si="73">AJ37/AI37</f>
        <v>8.5590534543872152E-2</v>
      </c>
      <c r="AL37" s="195">
        <f>SUM(V37+Z37+AD37)</f>
        <v>0</v>
      </c>
      <c r="AM37" s="195">
        <f>SUM(W37+AA37+AE37)</f>
        <v>419000</v>
      </c>
      <c r="AN37" s="196">
        <f>SUM(AN33)</f>
        <v>0</v>
      </c>
      <c r="AO37" s="240">
        <v>0</v>
      </c>
      <c r="AP37" s="195">
        <f>SUM(AH37+AL37)</f>
        <v>37644000</v>
      </c>
      <c r="AQ37" s="195">
        <f t="shared" si="66"/>
        <v>233995319</v>
      </c>
      <c r="AR37" s="171">
        <f>SUM(AR29+AR33)</f>
        <v>20410062</v>
      </c>
      <c r="AS37" s="240">
        <f t="shared" ref="AS37" si="74">AR37/AQ37</f>
        <v>8.7224232036881039E-2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</row>
    <row r="38" spans="1:86" s="423" customFormat="1" ht="39.950000000000003" customHeight="1" thickBot="1">
      <c r="A38" s="197" t="s">
        <v>395</v>
      </c>
      <c r="B38" s="196">
        <f>SUM(B34)</f>
        <v>0</v>
      </c>
      <c r="C38" s="196">
        <f>SUM(C34)</f>
        <v>0</v>
      </c>
      <c r="D38" s="196">
        <f>SUM(D34)</f>
        <v>0</v>
      </c>
      <c r="E38" s="240">
        <v>0</v>
      </c>
      <c r="F38" s="196">
        <f t="shared" ref="F38:AE38" si="75">SUM(F34)</f>
        <v>0</v>
      </c>
      <c r="G38" s="196">
        <f t="shared" si="75"/>
        <v>0</v>
      </c>
      <c r="H38" s="196">
        <f>SUM(H34)</f>
        <v>0</v>
      </c>
      <c r="I38" s="240">
        <v>0</v>
      </c>
      <c r="J38" s="196">
        <f t="shared" si="75"/>
        <v>0</v>
      </c>
      <c r="K38" s="196">
        <f t="shared" si="75"/>
        <v>0</v>
      </c>
      <c r="L38" s="196">
        <f>SUM(L34)</f>
        <v>0</v>
      </c>
      <c r="M38" s="240">
        <v>0</v>
      </c>
      <c r="N38" s="196">
        <f t="shared" si="75"/>
        <v>0</v>
      </c>
      <c r="O38" s="196">
        <f t="shared" si="75"/>
        <v>0</v>
      </c>
      <c r="P38" s="196">
        <f>SUM(P34)</f>
        <v>0</v>
      </c>
      <c r="Q38" s="240">
        <v>0</v>
      </c>
      <c r="R38" s="196">
        <f t="shared" si="75"/>
        <v>0</v>
      </c>
      <c r="S38" s="196">
        <f t="shared" si="75"/>
        <v>0</v>
      </c>
      <c r="T38" s="196">
        <f>SUM(T34)</f>
        <v>0</v>
      </c>
      <c r="U38" s="240">
        <v>0</v>
      </c>
      <c r="V38" s="196">
        <f t="shared" si="75"/>
        <v>0</v>
      </c>
      <c r="W38" s="196">
        <f t="shared" si="75"/>
        <v>0</v>
      </c>
      <c r="X38" s="196">
        <f>SUM(X34)</f>
        <v>0</v>
      </c>
      <c r="Y38" s="240">
        <v>0</v>
      </c>
      <c r="Z38" s="196">
        <f t="shared" si="75"/>
        <v>0</v>
      </c>
      <c r="AA38" s="196">
        <f t="shared" si="75"/>
        <v>0</v>
      </c>
      <c r="AB38" s="196">
        <f>SUM(AB34)</f>
        <v>0</v>
      </c>
      <c r="AC38" s="240">
        <v>0</v>
      </c>
      <c r="AD38" s="196">
        <f t="shared" si="75"/>
        <v>0</v>
      </c>
      <c r="AE38" s="196">
        <f t="shared" si="75"/>
        <v>0</v>
      </c>
      <c r="AF38" s="196">
        <f>SUM(AF34)</f>
        <v>0</v>
      </c>
      <c r="AG38" s="240">
        <v>0</v>
      </c>
      <c r="AH38" s="159">
        <f t="shared" si="65"/>
        <v>0</v>
      </c>
      <c r="AI38" s="159">
        <f t="shared" si="65"/>
        <v>0</v>
      </c>
      <c r="AJ38" s="159">
        <f t="shared" si="65"/>
        <v>0</v>
      </c>
      <c r="AK38" s="240">
        <v>0</v>
      </c>
      <c r="AL38" s="159">
        <f>SUM(V38+Z38+AD38)</f>
        <v>0</v>
      </c>
      <c r="AM38" s="159">
        <f>SUM(W38+AA38+AE38)</f>
        <v>0</v>
      </c>
      <c r="AN38" s="196">
        <f>SUM(AN34)</f>
        <v>0</v>
      </c>
      <c r="AO38" s="240">
        <v>0</v>
      </c>
      <c r="AP38" s="159">
        <f>SUM(AH38+AL38)</f>
        <v>0</v>
      </c>
      <c r="AQ38" s="159">
        <f t="shared" si="66"/>
        <v>0</v>
      </c>
      <c r="AR38" s="196">
        <f>SUM(AR34)</f>
        <v>0</v>
      </c>
      <c r="AS38" s="240">
        <v>0</v>
      </c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</row>
    <row r="39" spans="1:86" s="243" customFormat="1" ht="39.950000000000003" customHeight="1" thickBot="1">
      <c r="A39" s="232" t="s">
        <v>396</v>
      </c>
      <c r="B39" s="233">
        <f>SUM(B36:B38)</f>
        <v>769357000</v>
      </c>
      <c r="C39" s="233">
        <f>SUM(C36:C38)</f>
        <v>1200411945</v>
      </c>
      <c r="D39" s="233">
        <f>SUM(D36:D38)</f>
        <v>1169733352</v>
      </c>
      <c r="E39" s="234">
        <f>D39/C39</f>
        <v>0.97444327913614692</v>
      </c>
      <c r="F39" s="233">
        <f t="shared" ref="F39:AQ39" si="76">SUM(F36:F38)</f>
        <v>174665000</v>
      </c>
      <c r="G39" s="233">
        <f t="shared" si="76"/>
        <v>234729508</v>
      </c>
      <c r="H39" s="233">
        <f>SUM(H36:H38)</f>
        <v>229753899</v>
      </c>
      <c r="I39" s="234">
        <f>H39/G39</f>
        <v>0.97880279713277463</v>
      </c>
      <c r="J39" s="233">
        <f t="shared" si="76"/>
        <v>486942000</v>
      </c>
      <c r="K39" s="233">
        <f t="shared" si="76"/>
        <v>738408987</v>
      </c>
      <c r="L39" s="233">
        <f>SUM(L36:L38)</f>
        <v>514657851</v>
      </c>
      <c r="M39" s="234">
        <f>L39/K39</f>
        <v>0.69698210620505352</v>
      </c>
      <c r="N39" s="233">
        <f t="shared" si="76"/>
        <v>0</v>
      </c>
      <c r="O39" s="233">
        <f t="shared" si="76"/>
        <v>0</v>
      </c>
      <c r="P39" s="233">
        <f>SUM(P36:P38)</f>
        <v>0</v>
      </c>
      <c r="Q39" s="234">
        <v>0</v>
      </c>
      <c r="R39" s="233">
        <f t="shared" si="76"/>
        <v>0</v>
      </c>
      <c r="S39" s="233">
        <f t="shared" si="76"/>
        <v>14643721</v>
      </c>
      <c r="T39" s="233">
        <f>SUM(T36:T38)</f>
        <v>13691635</v>
      </c>
      <c r="U39" s="234">
        <f>T39/S39</f>
        <v>0.93498332834939968</v>
      </c>
      <c r="V39" s="233">
        <f t="shared" si="76"/>
        <v>8593000</v>
      </c>
      <c r="W39" s="233">
        <f t="shared" si="76"/>
        <v>35964945</v>
      </c>
      <c r="X39" s="233">
        <f>SUM(X36:X38)</f>
        <v>35869040</v>
      </c>
      <c r="Y39" s="234">
        <f>X39/W39</f>
        <v>0.99733337559670954</v>
      </c>
      <c r="Z39" s="233">
        <f t="shared" si="76"/>
        <v>7920000</v>
      </c>
      <c r="AA39" s="233">
        <f t="shared" si="76"/>
        <v>152051400</v>
      </c>
      <c r="AB39" s="233">
        <f>SUM(AB36:AB38)</f>
        <v>42848570</v>
      </c>
      <c r="AC39" s="234">
        <f>AB39/AA39</f>
        <v>0.28180319286767502</v>
      </c>
      <c r="AD39" s="233">
        <f t="shared" si="76"/>
        <v>8000000</v>
      </c>
      <c r="AE39" s="233">
        <f t="shared" si="76"/>
        <v>0</v>
      </c>
      <c r="AF39" s="233">
        <f>SUM(AF36:AF38)</f>
        <v>0</v>
      </c>
      <c r="AG39" s="234">
        <v>0</v>
      </c>
      <c r="AH39" s="233">
        <f t="shared" si="76"/>
        <v>1430964000</v>
      </c>
      <c r="AI39" s="233">
        <f t="shared" si="76"/>
        <v>2188194161</v>
      </c>
      <c r="AJ39" s="233">
        <f t="shared" si="76"/>
        <v>1927836737</v>
      </c>
      <c r="AK39" s="234">
        <f>AJ39/AI39</f>
        <v>0.88101722020818429</v>
      </c>
      <c r="AL39" s="233">
        <f t="shared" si="76"/>
        <v>24513000</v>
      </c>
      <c r="AM39" s="233">
        <f t="shared" si="76"/>
        <v>188016345</v>
      </c>
      <c r="AN39" s="233">
        <f>SUM(AN36:AN38)</f>
        <v>78299470</v>
      </c>
      <c r="AO39" s="234">
        <f>AN39/AM39</f>
        <v>0.41645033574075702</v>
      </c>
      <c r="AP39" s="233">
        <f t="shared" si="76"/>
        <v>1455477000</v>
      </c>
      <c r="AQ39" s="233">
        <f t="shared" si="76"/>
        <v>2376210506</v>
      </c>
      <c r="AR39" s="233">
        <f>SUM(AR36:AR38)</f>
        <v>2006554347</v>
      </c>
      <c r="AS39" s="234">
        <f>AR39/AQ39</f>
        <v>0.84443459109931229</v>
      </c>
      <c r="AT39" s="223"/>
      <c r="AU39" s="241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</row>
    <row r="40" spans="1:86" s="20" customFormat="1" ht="12.75">
      <c r="A40" s="244"/>
      <c r="B40" s="245"/>
      <c r="C40" s="245"/>
      <c r="D40" s="245"/>
      <c r="E40" s="246"/>
      <c r="F40" s="245"/>
      <c r="G40" s="245"/>
      <c r="H40" s="245"/>
      <c r="I40" s="246"/>
      <c r="J40" s="245"/>
      <c r="K40" s="245"/>
      <c r="L40" s="245"/>
      <c r="M40" s="246"/>
      <c r="N40" s="245"/>
      <c r="O40" s="245"/>
      <c r="P40" s="245"/>
      <c r="Q40" s="246"/>
      <c r="R40" s="245"/>
      <c r="S40" s="245"/>
      <c r="T40" s="245"/>
      <c r="U40" s="246"/>
      <c r="V40" s="245"/>
      <c r="W40" s="245"/>
      <c r="X40" s="245"/>
      <c r="Y40" s="246"/>
      <c r="Z40" s="245"/>
      <c r="AA40" s="245"/>
      <c r="AB40" s="245"/>
      <c r="AC40" s="246"/>
      <c r="AD40" s="245"/>
      <c r="AE40" s="245"/>
      <c r="AF40" s="245"/>
      <c r="AG40" s="246"/>
      <c r="AH40" s="245"/>
      <c r="AI40" s="245"/>
      <c r="AJ40" s="245"/>
      <c r="AK40" s="246"/>
      <c r="AL40" s="245"/>
      <c r="AM40" s="245"/>
      <c r="AN40" s="245"/>
      <c r="AO40" s="246"/>
      <c r="AP40" s="245"/>
      <c r="AQ40" s="245"/>
      <c r="AR40" s="245"/>
      <c r="AS40" s="246"/>
      <c r="AT40" s="245"/>
      <c r="AU40" s="245"/>
      <c r="AV40" s="245"/>
      <c r="AW40" s="245"/>
      <c r="AX40" s="245"/>
      <c r="AY40" s="245"/>
      <c r="AZ40" s="245"/>
      <c r="BA40" s="245"/>
    </row>
    <row r="41" spans="1:86" s="20" customFormat="1" ht="17.25" customHeight="1">
      <c r="A41" s="245"/>
      <c r="B41" s="245"/>
      <c r="C41" s="245"/>
      <c r="D41" s="245"/>
      <c r="E41" s="246"/>
      <c r="F41" s="245"/>
      <c r="G41" s="245"/>
      <c r="H41" s="245"/>
      <c r="I41" s="246"/>
      <c r="J41" s="245"/>
      <c r="K41" s="245"/>
      <c r="L41" s="245"/>
      <c r="M41" s="246"/>
      <c r="N41" s="245"/>
      <c r="O41" s="245"/>
      <c r="P41" s="245"/>
      <c r="Q41" s="246"/>
      <c r="R41" s="245"/>
      <c r="S41" s="245"/>
      <c r="T41" s="245"/>
      <c r="U41" s="246"/>
      <c r="V41" s="245"/>
      <c r="W41" s="245"/>
      <c r="X41" s="245"/>
      <c r="Y41" s="246"/>
      <c r="Z41" s="245"/>
      <c r="AA41" s="245"/>
      <c r="AB41" s="245"/>
      <c r="AC41" s="246"/>
      <c r="AD41" s="245"/>
      <c r="AE41" s="245"/>
      <c r="AF41" s="245"/>
      <c r="AG41" s="246"/>
      <c r="AH41" s="245"/>
      <c r="AI41" s="245"/>
      <c r="AJ41" s="245"/>
      <c r="AK41" s="246"/>
      <c r="AL41" s="245"/>
      <c r="AM41" s="245"/>
      <c r="AN41" s="245"/>
      <c r="AO41" s="246"/>
      <c r="AP41" s="245"/>
      <c r="AQ41" s="245"/>
      <c r="AR41" s="247"/>
      <c r="AS41" s="246"/>
      <c r="AT41" s="245"/>
      <c r="AU41" s="245"/>
      <c r="AV41" s="245"/>
      <c r="AW41" s="245"/>
      <c r="AX41" s="245"/>
      <c r="AY41" s="245"/>
      <c r="AZ41" s="245"/>
      <c r="BA41" s="245"/>
    </row>
    <row r="42" spans="1:86" s="20" customFormat="1" ht="12.75">
      <c r="A42" s="245"/>
      <c r="B42" s="245"/>
      <c r="C42" s="245"/>
      <c r="D42" s="245"/>
      <c r="E42" s="246"/>
      <c r="F42" s="245"/>
      <c r="G42" s="245"/>
      <c r="H42" s="245"/>
      <c r="I42" s="246"/>
      <c r="J42" s="245"/>
      <c r="K42" s="245"/>
      <c r="L42" s="245"/>
      <c r="M42" s="246"/>
      <c r="N42" s="245"/>
      <c r="O42" s="245"/>
      <c r="P42" s="245"/>
      <c r="Q42" s="246"/>
      <c r="R42" s="245"/>
      <c r="S42" s="245"/>
      <c r="T42" s="245"/>
      <c r="U42" s="246"/>
      <c r="V42" s="245"/>
      <c r="W42" s="245"/>
      <c r="X42" s="245"/>
      <c r="Y42" s="246"/>
      <c r="Z42" s="245"/>
      <c r="AA42" s="245"/>
      <c r="AB42" s="245"/>
      <c r="AC42" s="246"/>
      <c r="AD42" s="245"/>
      <c r="AE42" s="245"/>
      <c r="AF42" s="245"/>
      <c r="AG42" s="246"/>
      <c r="AH42" s="245"/>
      <c r="AI42" s="245"/>
      <c r="AJ42" s="245"/>
      <c r="AK42" s="246"/>
      <c r="AL42" s="245"/>
      <c r="AM42" s="245"/>
      <c r="AN42" s="245"/>
      <c r="AO42" s="246"/>
      <c r="AP42" s="245"/>
      <c r="AQ42" s="245"/>
      <c r="AR42" s="245"/>
      <c r="AS42" s="246"/>
      <c r="AT42" s="245"/>
      <c r="AU42" s="245"/>
      <c r="AV42" s="245"/>
      <c r="AW42" s="245"/>
      <c r="AX42" s="245"/>
      <c r="AY42" s="245"/>
      <c r="AZ42" s="245"/>
      <c r="BA42" s="245"/>
    </row>
    <row r="43" spans="1:86" s="20" customFormat="1" ht="17.25" customHeight="1">
      <c r="A43" s="245"/>
      <c r="B43" s="245"/>
      <c r="C43" s="245"/>
      <c r="D43" s="245"/>
      <c r="E43" s="246"/>
      <c r="F43" s="245"/>
      <c r="G43" s="245"/>
      <c r="H43" s="245"/>
      <c r="I43" s="246"/>
      <c r="J43" s="245"/>
      <c r="K43" s="245"/>
      <c r="L43" s="245"/>
      <c r="M43" s="246"/>
      <c r="N43" s="245"/>
      <c r="O43" s="245"/>
      <c r="P43" s="245"/>
      <c r="Q43" s="246"/>
      <c r="R43" s="245"/>
      <c r="S43" s="245"/>
      <c r="T43" s="245"/>
      <c r="U43" s="246"/>
      <c r="V43" s="245"/>
      <c r="W43" s="245"/>
      <c r="X43" s="245"/>
      <c r="Y43" s="246"/>
      <c r="Z43" s="245"/>
      <c r="AA43" s="245"/>
      <c r="AB43" s="245"/>
      <c r="AC43" s="246"/>
      <c r="AD43" s="245"/>
      <c r="AE43" s="245"/>
      <c r="AF43" s="245"/>
      <c r="AG43" s="246"/>
      <c r="AH43" s="245"/>
      <c r="AI43" s="245"/>
      <c r="AJ43" s="245"/>
      <c r="AK43" s="246"/>
      <c r="AL43" s="245"/>
      <c r="AM43" s="245"/>
      <c r="AN43" s="245"/>
      <c r="AO43" s="246"/>
      <c r="AP43" s="245"/>
      <c r="AQ43" s="245"/>
      <c r="AR43" s="245"/>
      <c r="AS43" s="246"/>
      <c r="AT43" s="245"/>
      <c r="AU43" s="245"/>
      <c r="AV43" s="245"/>
      <c r="AW43" s="245"/>
      <c r="AX43" s="245"/>
      <c r="AY43" s="245"/>
      <c r="AZ43" s="245"/>
      <c r="BA43" s="245"/>
    </row>
    <row r="44" spans="1:86" s="20" customFormat="1" ht="12.75">
      <c r="A44" s="245"/>
      <c r="B44" s="245"/>
      <c r="C44" s="245"/>
      <c r="D44" s="245"/>
      <c r="E44" s="246"/>
      <c r="F44" s="245"/>
      <c r="G44" s="245"/>
      <c r="H44" s="245"/>
      <c r="I44" s="246"/>
      <c r="J44" s="245"/>
      <c r="K44" s="245"/>
      <c r="L44" s="245"/>
      <c r="M44" s="246"/>
      <c r="N44" s="245"/>
      <c r="O44" s="245"/>
      <c r="P44" s="245"/>
      <c r="Q44" s="246"/>
      <c r="R44" s="245"/>
      <c r="S44" s="245"/>
      <c r="T44" s="245"/>
      <c r="U44" s="246"/>
      <c r="V44" s="245"/>
      <c r="W44" s="245"/>
      <c r="X44" s="245"/>
      <c r="Y44" s="246"/>
      <c r="Z44" s="245"/>
      <c r="AA44" s="245"/>
      <c r="AB44" s="245"/>
      <c r="AC44" s="246"/>
      <c r="AD44" s="245"/>
      <c r="AE44" s="245"/>
      <c r="AF44" s="245"/>
      <c r="AG44" s="246"/>
      <c r="AH44" s="245"/>
      <c r="AI44" s="245"/>
      <c r="AJ44" s="245"/>
      <c r="AK44" s="246"/>
      <c r="AL44" s="245"/>
      <c r="AM44" s="245"/>
      <c r="AN44" s="245"/>
      <c r="AO44" s="246"/>
      <c r="AP44" s="245"/>
      <c r="AQ44" s="245"/>
      <c r="AR44" s="245"/>
      <c r="AS44" s="246"/>
      <c r="AT44" s="245"/>
      <c r="AU44" s="245"/>
      <c r="AV44" s="245"/>
      <c r="AW44" s="245"/>
      <c r="AX44" s="245"/>
      <c r="AY44" s="245"/>
      <c r="AZ44" s="245"/>
      <c r="BA44" s="245"/>
    </row>
    <row r="45" spans="1:86" s="20" customFormat="1" ht="17.25" customHeight="1">
      <c r="A45" s="245"/>
      <c r="B45" s="245"/>
      <c r="C45" s="245"/>
      <c r="D45" s="245"/>
      <c r="E45" s="246"/>
      <c r="F45" s="245"/>
      <c r="G45" s="245"/>
      <c r="H45" s="245"/>
      <c r="I45" s="246"/>
      <c r="J45" s="245"/>
      <c r="K45" s="245"/>
      <c r="L45" s="245"/>
      <c r="M45" s="246"/>
      <c r="N45" s="245"/>
      <c r="O45" s="245"/>
      <c r="P45" s="245"/>
      <c r="Q45" s="246"/>
      <c r="R45" s="245"/>
      <c r="S45" s="245"/>
      <c r="T45" s="245"/>
      <c r="U45" s="246"/>
      <c r="V45" s="245"/>
      <c r="W45" s="245"/>
      <c r="X45" s="245"/>
      <c r="Y45" s="246"/>
      <c r="Z45" s="245"/>
      <c r="AA45" s="245"/>
      <c r="AB45" s="245"/>
      <c r="AC45" s="246"/>
      <c r="AD45" s="245"/>
      <c r="AE45" s="245"/>
      <c r="AF45" s="245"/>
      <c r="AG45" s="246"/>
      <c r="AH45" s="245"/>
      <c r="AI45" s="245"/>
      <c r="AJ45" s="245"/>
      <c r="AK45" s="246"/>
      <c r="AL45" s="245"/>
      <c r="AM45" s="245"/>
      <c r="AN45" s="245"/>
      <c r="AO45" s="246"/>
      <c r="AP45" s="245"/>
      <c r="AQ45" s="245"/>
      <c r="AR45" s="245"/>
      <c r="AS45" s="246"/>
      <c r="AT45" s="245"/>
      <c r="AU45" s="245"/>
      <c r="AV45" s="245"/>
      <c r="AW45" s="245"/>
      <c r="AX45" s="245"/>
      <c r="AY45" s="245"/>
      <c r="AZ45" s="245"/>
      <c r="BA45" s="245"/>
    </row>
    <row r="46" spans="1:86" s="20" customFormat="1" ht="12.75">
      <c r="A46" s="245"/>
      <c r="B46" s="245"/>
      <c r="C46" s="245"/>
      <c r="D46" s="245"/>
      <c r="E46" s="246"/>
      <c r="F46" s="245"/>
      <c r="G46" s="245"/>
      <c r="H46" s="245"/>
      <c r="I46" s="246"/>
      <c r="J46" s="245"/>
      <c r="K46" s="245"/>
      <c r="L46" s="245"/>
      <c r="M46" s="246"/>
      <c r="N46" s="245"/>
      <c r="O46" s="245"/>
      <c r="P46" s="245"/>
      <c r="Q46" s="246"/>
      <c r="R46" s="245"/>
      <c r="S46" s="245"/>
      <c r="T46" s="245"/>
      <c r="U46" s="246"/>
      <c r="V46" s="245"/>
      <c r="W46" s="245"/>
      <c r="X46" s="245"/>
      <c r="Y46" s="246"/>
      <c r="Z46" s="245"/>
      <c r="AA46" s="245"/>
      <c r="AB46" s="245"/>
      <c r="AC46" s="246"/>
      <c r="AD46" s="245"/>
      <c r="AE46" s="245"/>
      <c r="AF46" s="245"/>
      <c r="AG46" s="246"/>
      <c r="AH46" s="245"/>
      <c r="AI46" s="245"/>
      <c r="AJ46" s="245"/>
      <c r="AK46" s="246"/>
      <c r="AL46" s="245"/>
      <c r="AM46" s="245"/>
      <c r="AN46" s="245"/>
      <c r="AO46" s="246"/>
      <c r="AP46" s="245"/>
      <c r="AQ46" s="245"/>
      <c r="AR46" s="245"/>
      <c r="AS46" s="246"/>
      <c r="AT46" s="245"/>
      <c r="AU46" s="245"/>
      <c r="AV46" s="245"/>
      <c r="AW46" s="245"/>
      <c r="AX46" s="245"/>
      <c r="AY46" s="245"/>
      <c r="AZ46" s="245"/>
      <c r="BA46" s="245"/>
    </row>
    <row r="47" spans="1:86" s="20" customFormat="1" ht="17.25" customHeight="1">
      <c r="A47" s="245"/>
      <c r="B47" s="245"/>
      <c r="C47" s="245"/>
      <c r="D47" s="245"/>
      <c r="E47" s="246"/>
      <c r="F47" s="245"/>
      <c r="G47" s="245"/>
      <c r="H47" s="245"/>
      <c r="I47" s="246"/>
      <c r="J47" s="245"/>
      <c r="K47" s="245"/>
      <c r="L47" s="245"/>
      <c r="M47" s="246"/>
      <c r="N47" s="245"/>
      <c r="O47" s="245"/>
      <c r="P47" s="245"/>
      <c r="Q47" s="246"/>
      <c r="R47" s="245"/>
      <c r="S47" s="245"/>
      <c r="T47" s="245"/>
      <c r="U47" s="246"/>
      <c r="V47" s="245"/>
      <c r="W47" s="245"/>
      <c r="X47" s="245"/>
      <c r="Y47" s="246"/>
      <c r="Z47" s="245"/>
      <c r="AA47" s="245"/>
      <c r="AB47" s="245"/>
      <c r="AC47" s="246"/>
      <c r="AD47" s="245"/>
      <c r="AE47" s="245"/>
      <c r="AF47" s="245"/>
      <c r="AG47" s="246"/>
      <c r="AH47" s="245"/>
      <c r="AI47" s="245"/>
      <c r="AJ47" s="245"/>
      <c r="AK47" s="246"/>
      <c r="AL47" s="245"/>
      <c r="AM47" s="245"/>
      <c r="AN47" s="245"/>
      <c r="AO47" s="246"/>
      <c r="AP47" s="245"/>
      <c r="AQ47" s="245"/>
      <c r="AR47" s="245"/>
      <c r="AS47" s="246"/>
      <c r="AT47" s="245"/>
      <c r="AU47" s="245"/>
      <c r="AV47" s="245"/>
      <c r="AW47" s="245"/>
      <c r="AX47" s="245"/>
      <c r="AY47" s="245"/>
      <c r="AZ47" s="245"/>
      <c r="BA47" s="245"/>
    </row>
    <row r="48" spans="1:86" s="20" customFormat="1" ht="12.75">
      <c r="A48" s="245"/>
      <c r="B48" s="245"/>
      <c r="C48" s="245"/>
      <c r="D48" s="245"/>
      <c r="E48" s="246"/>
      <c r="F48" s="245"/>
      <c r="G48" s="245"/>
      <c r="H48" s="245"/>
      <c r="I48" s="246"/>
      <c r="J48" s="245"/>
      <c r="K48" s="245"/>
      <c r="L48" s="245"/>
      <c r="M48" s="246"/>
      <c r="N48" s="245"/>
      <c r="O48" s="245"/>
      <c r="P48" s="245"/>
      <c r="Q48" s="246"/>
      <c r="R48" s="245"/>
      <c r="S48" s="245"/>
      <c r="T48" s="245"/>
      <c r="U48" s="246"/>
      <c r="V48" s="245"/>
      <c r="W48" s="245"/>
      <c r="X48" s="245"/>
      <c r="Y48" s="246"/>
      <c r="Z48" s="245"/>
      <c r="AA48" s="245"/>
      <c r="AB48" s="245"/>
      <c r="AC48" s="246"/>
      <c r="AD48" s="245"/>
      <c r="AE48" s="245"/>
      <c r="AF48" s="245"/>
      <c r="AG48" s="246"/>
      <c r="AH48" s="245"/>
      <c r="AI48" s="245"/>
      <c r="AJ48" s="245"/>
      <c r="AK48" s="246"/>
      <c r="AL48" s="245"/>
      <c r="AM48" s="245"/>
      <c r="AN48" s="245"/>
      <c r="AO48" s="246"/>
      <c r="AP48" s="245"/>
      <c r="AQ48" s="245"/>
      <c r="AR48" s="245"/>
      <c r="AS48" s="246"/>
      <c r="AT48" s="245"/>
      <c r="AU48" s="245"/>
      <c r="AV48" s="245"/>
      <c r="AW48" s="245"/>
      <c r="AX48" s="245"/>
      <c r="AY48" s="245"/>
      <c r="AZ48" s="245"/>
      <c r="BA48" s="245"/>
    </row>
    <row r="49" spans="1:53" s="20" customFormat="1" ht="17.25" customHeight="1">
      <c r="A49" s="245"/>
      <c r="B49" s="245"/>
      <c r="C49" s="245"/>
      <c r="D49" s="245"/>
      <c r="E49" s="246"/>
      <c r="F49" s="245"/>
      <c r="G49" s="245"/>
      <c r="H49" s="245"/>
      <c r="I49" s="246"/>
      <c r="J49" s="245"/>
      <c r="K49" s="245"/>
      <c r="L49" s="245"/>
      <c r="M49" s="246"/>
      <c r="N49" s="245"/>
      <c r="O49" s="245"/>
      <c r="P49" s="245"/>
      <c r="Q49" s="246"/>
      <c r="R49" s="245"/>
      <c r="S49" s="245"/>
      <c r="T49" s="245"/>
      <c r="U49" s="246"/>
      <c r="V49" s="245"/>
      <c r="W49" s="245"/>
      <c r="X49" s="245"/>
      <c r="Y49" s="246"/>
      <c r="Z49" s="245"/>
      <c r="AA49" s="245"/>
      <c r="AB49" s="245"/>
      <c r="AC49" s="246"/>
      <c r="AD49" s="245"/>
      <c r="AE49" s="245"/>
      <c r="AF49" s="245"/>
      <c r="AG49" s="246"/>
      <c r="AH49" s="245"/>
      <c r="AI49" s="245"/>
      <c r="AJ49" s="245"/>
      <c r="AK49" s="246"/>
      <c r="AL49" s="245"/>
      <c r="AM49" s="245"/>
      <c r="AN49" s="245"/>
      <c r="AO49" s="246"/>
      <c r="AP49" s="245"/>
      <c r="AQ49" s="245"/>
      <c r="AR49" s="245"/>
      <c r="AS49" s="246"/>
      <c r="AT49" s="245"/>
      <c r="AU49" s="245"/>
      <c r="AV49" s="245"/>
      <c r="AW49" s="245"/>
      <c r="AX49" s="245"/>
      <c r="AY49" s="245"/>
      <c r="AZ49" s="245"/>
      <c r="BA49" s="245"/>
    </row>
    <row r="50" spans="1:53" s="20" customFormat="1" ht="12.75">
      <c r="A50" s="245"/>
      <c r="B50" s="245"/>
      <c r="C50" s="245"/>
      <c r="D50" s="245"/>
      <c r="E50" s="246"/>
      <c r="F50" s="245"/>
      <c r="G50" s="245"/>
      <c r="H50" s="245"/>
      <c r="I50" s="246"/>
      <c r="J50" s="245"/>
      <c r="K50" s="245"/>
      <c r="L50" s="245"/>
      <c r="M50" s="246"/>
      <c r="N50" s="245"/>
      <c r="O50" s="245"/>
      <c r="P50" s="245"/>
      <c r="Q50" s="246"/>
      <c r="R50" s="245"/>
      <c r="S50" s="245"/>
      <c r="T50" s="245"/>
      <c r="U50" s="246"/>
      <c r="V50" s="245"/>
      <c r="W50" s="245"/>
      <c r="X50" s="245"/>
      <c r="Y50" s="246"/>
      <c r="Z50" s="245"/>
      <c r="AA50" s="245"/>
      <c r="AB50" s="245"/>
      <c r="AC50" s="246"/>
      <c r="AD50" s="245"/>
      <c r="AE50" s="245"/>
      <c r="AF50" s="245"/>
      <c r="AG50" s="246"/>
      <c r="AH50" s="245"/>
      <c r="AI50" s="245"/>
      <c r="AJ50" s="245"/>
      <c r="AK50" s="246"/>
      <c r="AL50" s="245"/>
      <c r="AM50" s="245"/>
      <c r="AN50" s="245"/>
      <c r="AO50" s="246"/>
      <c r="AP50" s="245"/>
      <c r="AQ50" s="245"/>
      <c r="AR50" s="245"/>
      <c r="AS50" s="246"/>
      <c r="AT50" s="245"/>
      <c r="AU50" s="245"/>
      <c r="AV50" s="245"/>
      <c r="AW50" s="245"/>
      <c r="AX50" s="245"/>
      <c r="AY50" s="245"/>
      <c r="AZ50" s="245"/>
      <c r="BA50" s="245"/>
    </row>
    <row r="51" spans="1:53" s="20" customFormat="1" ht="17.25" customHeight="1">
      <c r="A51" s="245"/>
      <c r="B51" s="245"/>
      <c r="C51" s="245"/>
      <c r="D51" s="245"/>
      <c r="E51" s="246"/>
      <c r="F51" s="245"/>
      <c r="G51" s="245"/>
      <c r="H51" s="245"/>
      <c r="I51" s="246"/>
      <c r="J51" s="245"/>
      <c r="K51" s="245"/>
      <c r="L51" s="245"/>
      <c r="M51" s="246"/>
      <c r="N51" s="245"/>
      <c r="O51" s="245"/>
      <c r="P51" s="245"/>
      <c r="Q51" s="246"/>
      <c r="R51" s="245"/>
      <c r="S51" s="245"/>
      <c r="T51" s="245"/>
      <c r="U51" s="246"/>
      <c r="V51" s="245"/>
      <c r="W51" s="245"/>
      <c r="X51" s="245"/>
      <c r="Y51" s="246"/>
      <c r="Z51" s="245"/>
      <c r="AA51" s="245"/>
      <c r="AB51" s="245"/>
      <c r="AC51" s="246"/>
      <c r="AD51" s="245"/>
      <c r="AE51" s="245"/>
      <c r="AF51" s="245"/>
      <c r="AG51" s="246"/>
      <c r="AH51" s="245"/>
      <c r="AI51" s="245"/>
      <c r="AJ51" s="245"/>
      <c r="AK51" s="246"/>
      <c r="AL51" s="245"/>
      <c r="AM51" s="245"/>
      <c r="AN51" s="245"/>
      <c r="AO51" s="246"/>
      <c r="AP51" s="245"/>
      <c r="AQ51" s="245"/>
      <c r="AR51" s="245"/>
      <c r="AS51" s="246"/>
      <c r="AT51" s="245"/>
      <c r="AU51" s="245"/>
      <c r="AV51" s="245"/>
      <c r="AW51" s="245"/>
      <c r="AX51" s="245"/>
      <c r="AY51" s="245"/>
      <c r="AZ51" s="245"/>
      <c r="BA51" s="245"/>
    </row>
    <row r="52" spans="1:53" s="20" customFormat="1" ht="12.75">
      <c r="A52" s="245"/>
      <c r="B52" s="245"/>
      <c r="C52" s="245"/>
      <c r="D52" s="245"/>
      <c r="E52" s="246"/>
      <c r="F52" s="245"/>
      <c r="G52" s="245"/>
      <c r="H52" s="245"/>
      <c r="I52" s="246"/>
      <c r="J52" s="245"/>
      <c r="K52" s="245"/>
      <c r="L52" s="245"/>
      <c r="M52" s="246"/>
      <c r="N52" s="245"/>
      <c r="O52" s="245"/>
      <c r="P52" s="245"/>
      <c r="Q52" s="246"/>
      <c r="R52" s="245"/>
      <c r="S52" s="245"/>
      <c r="T52" s="245"/>
      <c r="U52" s="246"/>
      <c r="V52" s="245"/>
      <c r="W52" s="245"/>
      <c r="X52" s="245"/>
      <c r="Y52" s="246"/>
      <c r="Z52" s="245"/>
      <c r="AA52" s="245"/>
      <c r="AB52" s="245"/>
      <c r="AC52" s="246"/>
      <c r="AD52" s="245"/>
      <c r="AE52" s="245"/>
      <c r="AF52" s="245"/>
      <c r="AG52" s="246"/>
      <c r="AH52" s="245"/>
      <c r="AI52" s="245"/>
      <c r="AJ52" s="245"/>
      <c r="AK52" s="246"/>
      <c r="AL52" s="245"/>
      <c r="AM52" s="245"/>
      <c r="AN52" s="245"/>
      <c r="AO52" s="246"/>
      <c r="AP52" s="245"/>
      <c r="AQ52" s="245"/>
      <c r="AR52" s="245"/>
      <c r="AS52" s="246"/>
      <c r="AT52" s="245"/>
      <c r="AU52" s="245"/>
      <c r="AV52" s="245"/>
      <c r="AW52" s="245"/>
      <c r="AX52" s="245"/>
      <c r="AY52" s="245"/>
      <c r="AZ52" s="245"/>
      <c r="BA52" s="245"/>
    </row>
    <row r="53" spans="1:53" s="20" customFormat="1" ht="17.25" customHeight="1">
      <c r="A53" s="245"/>
      <c r="B53" s="245"/>
      <c r="C53" s="245"/>
      <c r="D53" s="245"/>
      <c r="E53" s="246"/>
      <c r="F53" s="245"/>
      <c r="G53" s="245"/>
      <c r="H53" s="245"/>
      <c r="I53" s="246"/>
      <c r="J53" s="245"/>
      <c r="K53" s="245"/>
      <c r="L53" s="245"/>
      <c r="M53" s="246"/>
      <c r="N53" s="245"/>
      <c r="O53" s="245"/>
      <c r="P53" s="245"/>
      <c r="Q53" s="246"/>
      <c r="R53" s="245"/>
      <c r="S53" s="245"/>
      <c r="T53" s="245"/>
      <c r="U53" s="246"/>
      <c r="V53" s="245"/>
      <c r="W53" s="245"/>
      <c r="X53" s="245"/>
      <c r="Y53" s="246"/>
      <c r="Z53" s="245"/>
      <c r="AA53" s="245"/>
      <c r="AB53" s="245"/>
      <c r="AC53" s="246"/>
      <c r="AD53" s="245"/>
      <c r="AE53" s="245"/>
      <c r="AF53" s="245"/>
      <c r="AG53" s="246"/>
      <c r="AH53" s="245"/>
      <c r="AI53" s="245"/>
      <c r="AJ53" s="245"/>
      <c r="AK53" s="246"/>
      <c r="AL53" s="245"/>
      <c r="AM53" s="245"/>
      <c r="AN53" s="245"/>
      <c r="AO53" s="246"/>
      <c r="AP53" s="245"/>
      <c r="AQ53" s="245"/>
      <c r="AR53" s="245"/>
      <c r="AS53" s="246"/>
      <c r="AT53" s="245"/>
      <c r="AU53" s="245"/>
      <c r="AV53" s="245"/>
      <c r="AW53" s="245"/>
      <c r="AX53" s="245"/>
      <c r="AY53" s="245"/>
      <c r="AZ53" s="245"/>
      <c r="BA53" s="245"/>
    </row>
    <row r="54" spans="1:53" s="20" customFormat="1" ht="12.75">
      <c r="A54" s="245"/>
      <c r="B54" s="245"/>
      <c r="C54" s="245"/>
      <c r="D54" s="245"/>
      <c r="E54" s="246"/>
      <c r="F54" s="245"/>
      <c r="G54" s="245"/>
      <c r="H54" s="245"/>
      <c r="I54" s="246"/>
      <c r="J54" s="245"/>
      <c r="K54" s="245"/>
      <c r="L54" s="245"/>
      <c r="M54" s="246"/>
      <c r="N54" s="245"/>
      <c r="O54" s="245"/>
      <c r="P54" s="245"/>
      <c r="Q54" s="246"/>
      <c r="R54" s="245"/>
      <c r="S54" s="245"/>
      <c r="T54" s="245"/>
      <c r="U54" s="246"/>
      <c r="V54" s="245"/>
      <c r="W54" s="245"/>
      <c r="X54" s="245"/>
      <c r="Y54" s="246"/>
      <c r="Z54" s="245"/>
      <c r="AA54" s="245"/>
      <c r="AB54" s="245"/>
      <c r="AC54" s="246"/>
      <c r="AD54" s="245"/>
      <c r="AE54" s="245"/>
      <c r="AF54" s="245"/>
      <c r="AG54" s="246"/>
      <c r="AH54" s="245"/>
      <c r="AI54" s="245"/>
      <c r="AJ54" s="245"/>
      <c r="AK54" s="246"/>
      <c r="AL54" s="245"/>
      <c r="AM54" s="245"/>
      <c r="AN54" s="245"/>
      <c r="AO54" s="246"/>
      <c r="AP54" s="245"/>
      <c r="AQ54" s="245"/>
      <c r="AR54" s="245"/>
      <c r="AS54" s="246"/>
      <c r="AT54" s="245"/>
      <c r="AU54" s="245"/>
      <c r="AV54" s="245"/>
      <c r="AW54" s="245"/>
      <c r="AX54" s="245"/>
      <c r="AY54" s="245"/>
      <c r="AZ54" s="245"/>
      <c r="BA54" s="245"/>
    </row>
    <row r="55" spans="1:53" s="20" customFormat="1" ht="17.25" customHeight="1">
      <c r="A55" s="245"/>
      <c r="B55" s="245"/>
      <c r="C55" s="245"/>
      <c r="D55" s="245"/>
      <c r="E55" s="246"/>
      <c r="F55" s="245"/>
      <c r="G55" s="245"/>
      <c r="H55" s="245"/>
      <c r="I55" s="246"/>
      <c r="J55" s="245"/>
      <c r="K55" s="245"/>
      <c r="L55" s="245"/>
      <c r="M55" s="246"/>
      <c r="N55" s="245"/>
      <c r="O55" s="245"/>
      <c r="P55" s="245"/>
      <c r="Q55" s="246"/>
      <c r="R55" s="245"/>
      <c r="S55" s="245"/>
      <c r="T55" s="245"/>
      <c r="U55" s="246"/>
      <c r="V55" s="245"/>
      <c r="W55" s="245"/>
      <c r="X55" s="245"/>
      <c r="Y55" s="246"/>
      <c r="Z55" s="245"/>
      <c r="AA55" s="245"/>
      <c r="AB55" s="245"/>
      <c r="AC55" s="246"/>
      <c r="AD55" s="245"/>
      <c r="AE55" s="245"/>
      <c r="AF55" s="245"/>
      <c r="AG55" s="246"/>
      <c r="AH55" s="245"/>
      <c r="AI55" s="245"/>
      <c r="AJ55" s="245"/>
      <c r="AK55" s="246"/>
      <c r="AL55" s="245"/>
      <c r="AM55" s="245"/>
      <c r="AN55" s="245"/>
      <c r="AO55" s="246"/>
      <c r="AP55" s="245"/>
      <c r="AQ55" s="245"/>
      <c r="AR55" s="245"/>
      <c r="AS55" s="246"/>
      <c r="AT55" s="245"/>
      <c r="AU55" s="245"/>
      <c r="AV55" s="245"/>
      <c r="AW55" s="245"/>
      <c r="AX55" s="245"/>
      <c r="AY55" s="245"/>
      <c r="AZ55" s="245"/>
      <c r="BA55" s="245"/>
    </row>
    <row r="56" spans="1:53" s="20" customFormat="1" ht="12.75">
      <c r="A56" s="245"/>
      <c r="B56" s="245"/>
      <c r="C56" s="245"/>
      <c r="D56" s="245"/>
      <c r="E56" s="246"/>
      <c r="F56" s="245"/>
      <c r="G56" s="245"/>
      <c r="H56" s="245"/>
      <c r="I56" s="246"/>
      <c r="J56" s="245"/>
      <c r="K56" s="245"/>
      <c r="L56" s="245"/>
      <c r="M56" s="246"/>
      <c r="N56" s="245"/>
      <c r="O56" s="245"/>
      <c r="P56" s="245"/>
      <c r="Q56" s="246"/>
      <c r="R56" s="245"/>
      <c r="S56" s="245"/>
      <c r="T56" s="245"/>
      <c r="U56" s="246"/>
      <c r="V56" s="245"/>
      <c r="W56" s="245"/>
      <c r="X56" s="245"/>
      <c r="Y56" s="246"/>
      <c r="Z56" s="245"/>
      <c r="AA56" s="245"/>
      <c r="AB56" s="245"/>
      <c r="AC56" s="246"/>
      <c r="AD56" s="245"/>
      <c r="AE56" s="245"/>
      <c r="AF56" s="245"/>
      <c r="AG56" s="246"/>
      <c r="AH56" s="245"/>
      <c r="AI56" s="245"/>
      <c r="AJ56" s="245"/>
      <c r="AK56" s="246"/>
      <c r="AL56" s="245"/>
      <c r="AM56" s="245"/>
      <c r="AN56" s="245"/>
      <c r="AO56" s="246"/>
      <c r="AP56" s="245"/>
      <c r="AQ56" s="245"/>
      <c r="AR56" s="245"/>
      <c r="AS56" s="246"/>
      <c r="AT56" s="245"/>
      <c r="AU56" s="245"/>
      <c r="AV56" s="245"/>
      <c r="AW56" s="245"/>
      <c r="AX56" s="245"/>
      <c r="AY56" s="245"/>
      <c r="AZ56" s="245"/>
      <c r="BA56" s="245"/>
    </row>
    <row r="57" spans="1:53" s="20" customFormat="1" ht="17.25" customHeight="1">
      <c r="A57" s="245"/>
      <c r="B57" s="245"/>
      <c r="C57" s="245"/>
      <c r="D57" s="245"/>
      <c r="E57" s="246"/>
      <c r="F57" s="245"/>
      <c r="G57" s="245"/>
      <c r="H57" s="245"/>
      <c r="I57" s="246"/>
      <c r="J57" s="245"/>
      <c r="K57" s="245"/>
      <c r="L57" s="245"/>
      <c r="M57" s="246"/>
      <c r="N57" s="245"/>
      <c r="O57" s="245"/>
      <c r="P57" s="245"/>
      <c r="Q57" s="246"/>
      <c r="R57" s="245"/>
      <c r="S57" s="245"/>
      <c r="T57" s="245"/>
      <c r="U57" s="246"/>
      <c r="V57" s="245"/>
      <c r="W57" s="245"/>
      <c r="X57" s="245"/>
      <c r="Y57" s="246"/>
      <c r="Z57" s="245"/>
      <c r="AA57" s="245"/>
      <c r="AB57" s="245"/>
      <c r="AC57" s="246"/>
      <c r="AD57" s="245"/>
      <c r="AE57" s="245"/>
      <c r="AF57" s="245"/>
      <c r="AG57" s="246"/>
      <c r="AH57" s="245"/>
      <c r="AI57" s="245"/>
      <c r="AJ57" s="245"/>
      <c r="AK57" s="246"/>
      <c r="AL57" s="245"/>
      <c r="AM57" s="245"/>
      <c r="AN57" s="245"/>
      <c r="AO57" s="246"/>
      <c r="AP57" s="245"/>
      <c r="AQ57" s="245"/>
      <c r="AR57" s="245"/>
      <c r="AS57" s="246"/>
      <c r="AT57" s="245"/>
      <c r="AU57" s="245"/>
      <c r="AV57" s="245"/>
      <c r="AW57" s="245"/>
      <c r="AX57" s="245"/>
      <c r="AY57" s="245"/>
      <c r="AZ57" s="245"/>
      <c r="BA57" s="245"/>
    </row>
    <row r="58" spans="1:53" s="20" customFormat="1" ht="12.75">
      <c r="A58" s="245"/>
      <c r="B58" s="245"/>
      <c r="C58" s="245"/>
      <c r="D58" s="245"/>
      <c r="E58" s="246"/>
      <c r="F58" s="245"/>
      <c r="G58" s="245"/>
      <c r="H58" s="245"/>
      <c r="I58" s="246"/>
      <c r="J58" s="245"/>
      <c r="K58" s="245"/>
      <c r="L58" s="245"/>
      <c r="M58" s="246"/>
      <c r="N58" s="245"/>
      <c r="O58" s="245"/>
      <c r="P58" s="245"/>
      <c r="Q58" s="246"/>
      <c r="R58" s="245"/>
      <c r="S58" s="245"/>
      <c r="T58" s="245"/>
      <c r="U58" s="246"/>
      <c r="V58" s="245"/>
      <c r="W58" s="245"/>
      <c r="X58" s="245"/>
      <c r="Y58" s="246"/>
      <c r="Z58" s="245"/>
      <c r="AA58" s="245"/>
      <c r="AB58" s="245"/>
      <c r="AC58" s="246"/>
      <c r="AD58" s="245"/>
      <c r="AE58" s="245"/>
      <c r="AF58" s="245"/>
      <c r="AG58" s="246"/>
      <c r="AH58" s="245"/>
      <c r="AI58" s="245"/>
      <c r="AJ58" s="245"/>
      <c r="AK58" s="246"/>
      <c r="AL58" s="245"/>
      <c r="AM58" s="245"/>
      <c r="AN58" s="245"/>
      <c r="AO58" s="246"/>
      <c r="AP58" s="245"/>
      <c r="AQ58" s="245"/>
      <c r="AR58" s="245"/>
      <c r="AS58" s="246"/>
      <c r="AT58" s="245"/>
      <c r="AU58" s="245"/>
      <c r="AV58" s="245"/>
      <c r="AW58" s="245"/>
      <c r="AX58" s="245"/>
      <c r="AY58" s="245"/>
      <c r="AZ58" s="245"/>
      <c r="BA58" s="245"/>
    </row>
    <row r="59" spans="1:53" s="20" customFormat="1" ht="17.25" customHeight="1">
      <c r="A59" s="245"/>
      <c r="B59" s="245"/>
      <c r="C59" s="245"/>
      <c r="D59" s="245"/>
      <c r="E59" s="246"/>
      <c r="F59" s="245"/>
      <c r="G59" s="245"/>
      <c r="H59" s="245"/>
      <c r="I59" s="246"/>
      <c r="J59" s="245"/>
      <c r="K59" s="245"/>
      <c r="L59" s="245"/>
      <c r="M59" s="246"/>
      <c r="N59" s="245"/>
      <c r="O59" s="245"/>
      <c r="P59" s="245"/>
      <c r="Q59" s="246"/>
      <c r="R59" s="245"/>
      <c r="S59" s="245"/>
      <c r="T59" s="245"/>
      <c r="U59" s="246"/>
      <c r="V59" s="245"/>
      <c r="W59" s="245"/>
      <c r="X59" s="245"/>
      <c r="Y59" s="246"/>
      <c r="Z59" s="245"/>
      <c r="AA59" s="245"/>
      <c r="AB59" s="245"/>
      <c r="AC59" s="246"/>
      <c r="AD59" s="245"/>
      <c r="AE59" s="245"/>
      <c r="AF59" s="245"/>
      <c r="AG59" s="246"/>
      <c r="AH59" s="245"/>
      <c r="AI59" s="245"/>
      <c r="AJ59" s="245"/>
      <c r="AK59" s="246"/>
      <c r="AL59" s="245"/>
      <c r="AM59" s="245"/>
      <c r="AN59" s="245"/>
      <c r="AO59" s="246"/>
      <c r="AP59" s="245"/>
      <c r="AQ59" s="245"/>
      <c r="AR59" s="245"/>
      <c r="AS59" s="246"/>
      <c r="AT59" s="245"/>
      <c r="AU59" s="245"/>
      <c r="AV59" s="245"/>
      <c r="AW59" s="245"/>
      <c r="AX59" s="245"/>
      <c r="AY59" s="245"/>
      <c r="AZ59" s="245"/>
      <c r="BA59" s="245"/>
    </row>
    <row r="60" spans="1:53" s="20" customFormat="1" ht="12.75">
      <c r="A60" s="245"/>
      <c r="B60" s="245"/>
      <c r="C60" s="245"/>
      <c r="D60" s="245"/>
      <c r="E60" s="246"/>
      <c r="F60" s="245"/>
      <c r="G60" s="245"/>
      <c r="H60" s="245"/>
      <c r="I60" s="246"/>
      <c r="J60" s="245"/>
      <c r="K60" s="245"/>
      <c r="L60" s="245"/>
      <c r="M60" s="246"/>
      <c r="N60" s="245"/>
      <c r="O60" s="245"/>
      <c r="P60" s="245"/>
      <c r="Q60" s="246"/>
      <c r="R60" s="245"/>
      <c r="S60" s="245"/>
      <c r="T60" s="245"/>
      <c r="U60" s="246"/>
      <c r="V60" s="245"/>
      <c r="W60" s="245"/>
      <c r="X60" s="245"/>
      <c r="Y60" s="246"/>
      <c r="Z60" s="245"/>
      <c r="AA60" s="245"/>
      <c r="AB60" s="245"/>
      <c r="AC60" s="246"/>
      <c r="AD60" s="245"/>
      <c r="AE60" s="245"/>
      <c r="AF60" s="245"/>
      <c r="AG60" s="246"/>
      <c r="AH60" s="245"/>
      <c r="AI60" s="245"/>
      <c r="AJ60" s="245"/>
      <c r="AK60" s="246"/>
      <c r="AL60" s="245"/>
      <c r="AM60" s="245"/>
      <c r="AN60" s="245"/>
      <c r="AO60" s="246"/>
      <c r="AP60" s="245"/>
      <c r="AQ60" s="245"/>
      <c r="AR60" s="245"/>
      <c r="AS60" s="246"/>
      <c r="AT60" s="245"/>
      <c r="AU60" s="245"/>
      <c r="AV60" s="245"/>
      <c r="AW60" s="245"/>
      <c r="AX60" s="245"/>
      <c r="AY60" s="245"/>
      <c r="AZ60" s="245"/>
      <c r="BA60" s="245"/>
    </row>
    <row r="61" spans="1:53" s="20" customFormat="1" ht="17.25" customHeight="1">
      <c r="A61" s="245"/>
      <c r="B61" s="245"/>
      <c r="C61" s="245"/>
      <c r="D61" s="245"/>
      <c r="E61" s="246"/>
      <c r="F61" s="245"/>
      <c r="G61" s="245"/>
      <c r="H61" s="245"/>
      <c r="I61" s="246"/>
      <c r="J61" s="245"/>
      <c r="K61" s="245"/>
      <c r="L61" s="245"/>
      <c r="M61" s="246"/>
      <c r="N61" s="245"/>
      <c r="O61" s="245"/>
      <c r="P61" s="245"/>
      <c r="Q61" s="246"/>
      <c r="R61" s="245"/>
      <c r="S61" s="245"/>
      <c r="T61" s="245"/>
      <c r="U61" s="246"/>
      <c r="V61" s="245"/>
      <c r="W61" s="245"/>
      <c r="X61" s="245"/>
      <c r="Y61" s="246"/>
      <c r="Z61" s="245"/>
      <c r="AA61" s="245"/>
      <c r="AB61" s="245"/>
      <c r="AC61" s="246"/>
      <c r="AD61" s="245"/>
      <c r="AE61" s="245"/>
      <c r="AF61" s="245"/>
      <c r="AG61" s="246"/>
      <c r="AH61" s="245"/>
      <c r="AI61" s="245"/>
      <c r="AJ61" s="245"/>
      <c r="AK61" s="246"/>
      <c r="AL61" s="245"/>
      <c r="AM61" s="245"/>
      <c r="AN61" s="245"/>
      <c r="AO61" s="246"/>
      <c r="AP61" s="245"/>
      <c r="AQ61" s="245"/>
      <c r="AR61" s="245"/>
      <c r="AS61" s="246"/>
      <c r="AT61" s="245"/>
      <c r="AU61" s="245"/>
      <c r="AV61" s="245"/>
      <c r="AW61" s="245"/>
      <c r="AX61" s="245"/>
      <c r="AY61" s="245"/>
      <c r="AZ61" s="245"/>
      <c r="BA61" s="245"/>
    </row>
    <row r="62" spans="1:53" s="20" customFormat="1" ht="12.75">
      <c r="A62" s="245"/>
      <c r="B62" s="245"/>
      <c r="C62" s="245"/>
      <c r="D62" s="245"/>
      <c r="E62" s="246"/>
      <c r="F62" s="245"/>
      <c r="G62" s="245"/>
      <c r="H62" s="245"/>
      <c r="I62" s="246"/>
      <c r="J62" s="245"/>
      <c r="K62" s="245"/>
      <c r="L62" s="245"/>
      <c r="M62" s="246"/>
      <c r="N62" s="245"/>
      <c r="O62" s="245"/>
      <c r="P62" s="245"/>
      <c r="Q62" s="246"/>
      <c r="R62" s="245"/>
      <c r="S62" s="245"/>
      <c r="T62" s="245"/>
      <c r="U62" s="246"/>
      <c r="V62" s="245"/>
      <c r="W62" s="245"/>
      <c r="X62" s="245"/>
      <c r="Y62" s="246"/>
      <c r="Z62" s="245"/>
      <c r="AA62" s="245"/>
      <c r="AB62" s="245"/>
      <c r="AC62" s="246"/>
      <c r="AD62" s="245"/>
      <c r="AE62" s="245"/>
      <c r="AF62" s="245"/>
      <c r="AG62" s="246"/>
      <c r="AH62" s="245"/>
      <c r="AI62" s="245"/>
      <c r="AJ62" s="245"/>
      <c r="AK62" s="246"/>
      <c r="AL62" s="245"/>
      <c r="AM62" s="245"/>
      <c r="AN62" s="245"/>
      <c r="AO62" s="246"/>
      <c r="AP62" s="245"/>
      <c r="AQ62" s="245"/>
      <c r="AR62" s="245"/>
      <c r="AS62" s="246"/>
      <c r="AT62" s="245"/>
      <c r="AU62" s="245"/>
      <c r="AV62" s="245"/>
      <c r="AW62" s="245"/>
      <c r="AX62" s="245"/>
      <c r="AY62" s="245"/>
      <c r="AZ62" s="245"/>
      <c r="BA62" s="245"/>
    </row>
    <row r="63" spans="1:53" s="20" customFormat="1" ht="17.25" customHeight="1">
      <c r="A63" s="245"/>
      <c r="B63" s="245"/>
      <c r="C63" s="245"/>
      <c r="D63" s="245"/>
      <c r="E63" s="246"/>
      <c r="F63" s="245"/>
      <c r="G63" s="245"/>
      <c r="H63" s="245"/>
      <c r="I63" s="246"/>
      <c r="J63" s="245"/>
      <c r="K63" s="245"/>
      <c r="L63" s="245"/>
      <c r="M63" s="246"/>
      <c r="N63" s="245"/>
      <c r="O63" s="245"/>
      <c r="P63" s="245"/>
      <c r="Q63" s="246"/>
      <c r="R63" s="245"/>
      <c r="S63" s="245"/>
      <c r="T63" s="245"/>
      <c r="U63" s="246"/>
      <c r="V63" s="245"/>
      <c r="W63" s="245"/>
      <c r="X63" s="245"/>
      <c r="Y63" s="246"/>
      <c r="Z63" s="245"/>
      <c r="AA63" s="245"/>
      <c r="AB63" s="245"/>
      <c r="AC63" s="246"/>
      <c r="AD63" s="245"/>
      <c r="AE63" s="245"/>
      <c r="AF63" s="245"/>
      <c r="AG63" s="246"/>
      <c r="AH63" s="245"/>
      <c r="AI63" s="245"/>
      <c r="AJ63" s="245"/>
      <c r="AK63" s="246"/>
      <c r="AL63" s="245"/>
      <c r="AM63" s="245"/>
      <c r="AN63" s="245"/>
      <c r="AO63" s="246"/>
      <c r="AP63" s="245"/>
      <c r="AQ63" s="245"/>
      <c r="AR63" s="245"/>
      <c r="AS63" s="246"/>
      <c r="AT63" s="245"/>
      <c r="AU63" s="245"/>
      <c r="AV63" s="245"/>
      <c r="AW63" s="245"/>
      <c r="AX63" s="245"/>
      <c r="AY63" s="245"/>
      <c r="AZ63" s="245"/>
      <c r="BA63" s="245"/>
    </row>
    <row r="64" spans="1:53" s="20" customFormat="1" ht="12.75">
      <c r="A64" s="245"/>
      <c r="B64" s="245"/>
      <c r="C64" s="245"/>
      <c r="D64" s="245"/>
      <c r="E64" s="246"/>
      <c r="F64" s="245"/>
      <c r="G64" s="245"/>
      <c r="H64" s="245"/>
      <c r="I64" s="246"/>
      <c r="J64" s="245"/>
      <c r="K64" s="245"/>
      <c r="L64" s="245"/>
      <c r="M64" s="246"/>
      <c r="N64" s="245"/>
      <c r="O64" s="245"/>
      <c r="P64" s="245"/>
      <c r="Q64" s="246"/>
      <c r="R64" s="245"/>
      <c r="S64" s="245"/>
      <c r="T64" s="245"/>
      <c r="U64" s="246"/>
      <c r="V64" s="245"/>
      <c r="W64" s="245"/>
      <c r="X64" s="245"/>
      <c r="Y64" s="246"/>
      <c r="Z64" s="245"/>
      <c r="AA64" s="245"/>
      <c r="AB64" s="245"/>
      <c r="AC64" s="246"/>
      <c r="AD64" s="245"/>
      <c r="AE64" s="245"/>
      <c r="AF64" s="245"/>
      <c r="AG64" s="246"/>
      <c r="AH64" s="245"/>
      <c r="AI64" s="245"/>
      <c r="AJ64" s="245"/>
      <c r="AK64" s="246"/>
      <c r="AL64" s="245"/>
      <c r="AM64" s="245"/>
      <c r="AN64" s="245"/>
      <c r="AO64" s="246"/>
      <c r="AP64" s="245"/>
      <c r="AQ64" s="245"/>
      <c r="AR64" s="245"/>
      <c r="AS64" s="246"/>
      <c r="AT64" s="245"/>
      <c r="AU64" s="245"/>
      <c r="AV64" s="245"/>
      <c r="AW64" s="245"/>
      <c r="AX64" s="245"/>
      <c r="AY64" s="245"/>
      <c r="AZ64" s="245"/>
      <c r="BA64" s="245"/>
    </row>
    <row r="65" spans="1:53" s="20" customFormat="1" ht="17.25" customHeight="1">
      <c r="A65" s="245"/>
      <c r="B65" s="245"/>
      <c r="C65" s="245"/>
      <c r="D65" s="245"/>
      <c r="E65" s="246"/>
      <c r="F65" s="245"/>
      <c r="G65" s="245"/>
      <c r="H65" s="245"/>
      <c r="I65" s="246"/>
      <c r="J65" s="245"/>
      <c r="K65" s="245"/>
      <c r="L65" s="245"/>
      <c r="M65" s="246"/>
      <c r="N65" s="245"/>
      <c r="O65" s="245"/>
      <c r="P65" s="245"/>
      <c r="Q65" s="246"/>
      <c r="R65" s="245"/>
      <c r="S65" s="245"/>
      <c r="T65" s="245"/>
      <c r="U65" s="246"/>
      <c r="V65" s="245"/>
      <c r="W65" s="245"/>
      <c r="X65" s="245"/>
      <c r="Y65" s="246"/>
      <c r="Z65" s="245"/>
      <c r="AA65" s="245"/>
      <c r="AB65" s="245"/>
      <c r="AC65" s="246"/>
      <c r="AD65" s="245"/>
      <c r="AE65" s="245"/>
      <c r="AF65" s="245"/>
      <c r="AG65" s="246"/>
      <c r="AH65" s="245"/>
      <c r="AI65" s="245"/>
      <c r="AJ65" s="245"/>
      <c r="AK65" s="246"/>
      <c r="AL65" s="245"/>
      <c r="AM65" s="245"/>
      <c r="AN65" s="245"/>
      <c r="AO65" s="246"/>
      <c r="AP65" s="245"/>
      <c r="AQ65" s="245"/>
      <c r="AR65" s="245"/>
      <c r="AS65" s="246"/>
      <c r="AT65" s="245"/>
      <c r="AU65" s="245"/>
      <c r="AV65" s="245"/>
      <c r="AW65" s="245"/>
      <c r="AX65" s="245"/>
      <c r="AY65" s="245"/>
      <c r="AZ65" s="245"/>
      <c r="BA65" s="245"/>
    </row>
    <row r="66" spans="1:53" s="20" customFormat="1" ht="12.75">
      <c r="A66" s="245"/>
      <c r="B66" s="245"/>
      <c r="C66" s="245"/>
      <c r="D66" s="245"/>
      <c r="E66" s="246"/>
      <c r="F66" s="245"/>
      <c r="G66" s="245"/>
      <c r="H66" s="245"/>
      <c r="I66" s="246"/>
      <c r="J66" s="245"/>
      <c r="K66" s="245"/>
      <c r="L66" s="245"/>
      <c r="M66" s="246"/>
      <c r="N66" s="245"/>
      <c r="O66" s="245"/>
      <c r="P66" s="245"/>
      <c r="Q66" s="246"/>
      <c r="R66" s="245"/>
      <c r="S66" s="245"/>
      <c r="T66" s="245"/>
      <c r="U66" s="246"/>
      <c r="V66" s="245"/>
      <c r="W66" s="245"/>
      <c r="X66" s="245"/>
      <c r="Y66" s="246"/>
      <c r="Z66" s="245"/>
      <c r="AA66" s="245"/>
      <c r="AB66" s="245"/>
      <c r="AC66" s="246"/>
      <c r="AD66" s="245"/>
      <c r="AE66" s="245"/>
      <c r="AF66" s="245"/>
      <c r="AG66" s="246"/>
      <c r="AH66" s="245"/>
      <c r="AI66" s="245"/>
      <c r="AJ66" s="245"/>
      <c r="AK66" s="246"/>
      <c r="AL66" s="245"/>
      <c r="AM66" s="245"/>
      <c r="AN66" s="245"/>
      <c r="AO66" s="246"/>
      <c r="AP66" s="245"/>
      <c r="AQ66" s="245"/>
      <c r="AR66" s="245"/>
      <c r="AS66" s="246"/>
      <c r="AT66" s="245"/>
      <c r="AU66" s="245"/>
      <c r="AV66" s="245"/>
      <c r="AW66" s="245"/>
      <c r="AX66" s="245"/>
      <c r="AY66" s="245"/>
      <c r="AZ66" s="245"/>
      <c r="BA66" s="245"/>
    </row>
    <row r="67" spans="1:53" s="20" customFormat="1" ht="17.25" customHeight="1">
      <c r="A67" s="245"/>
      <c r="B67" s="245"/>
      <c r="C67" s="245"/>
      <c r="D67" s="245"/>
      <c r="E67" s="246"/>
      <c r="F67" s="245"/>
      <c r="G67" s="245"/>
      <c r="H67" s="245"/>
      <c r="I67" s="246"/>
      <c r="J67" s="245"/>
      <c r="K67" s="245"/>
      <c r="L67" s="245"/>
      <c r="M67" s="246"/>
      <c r="N67" s="245"/>
      <c r="O67" s="245"/>
      <c r="P67" s="245"/>
      <c r="Q67" s="246"/>
      <c r="R67" s="245"/>
      <c r="S67" s="245"/>
      <c r="T67" s="245"/>
      <c r="U67" s="246"/>
      <c r="V67" s="245"/>
      <c r="W67" s="245"/>
      <c r="X67" s="245"/>
      <c r="Y67" s="246"/>
      <c r="Z67" s="245"/>
      <c r="AA67" s="245"/>
      <c r="AB67" s="245"/>
      <c r="AC67" s="246"/>
      <c r="AD67" s="245"/>
      <c r="AE67" s="245"/>
      <c r="AF67" s="245"/>
      <c r="AG67" s="246"/>
      <c r="AH67" s="245"/>
      <c r="AI67" s="245"/>
      <c r="AJ67" s="245"/>
      <c r="AK67" s="246"/>
      <c r="AL67" s="245"/>
      <c r="AM67" s="245"/>
      <c r="AN67" s="245"/>
      <c r="AO67" s="246"/>
      <c r="AP67" s="245"/>
      <c r="AQ67" s="245"/>
      <c r="AR67" s="245"/>
      <c r="AS67" s="246"/>
      <c r="AT67" s="245"/>
      <c r="AU67" s="245"/>
      <c r="AV67" s="245"/>
      <c r="AW67" s="245"/>
      <c r="AX67" s="245"/>
      <c r="AY67" s="245"/>
      <c r="AZ67" s="245"/>
      <c r="BA67" s="245"/>
    </row>
    <row r="68" spans="1:53" s="20" customFormat="1" ht="12.75">
      <c r="A68" s="245"/>
      <c r="B68" s="245"/>
      <c r="C68" s="245"/>
      <c r="D68" s="245"/>
      <c r="E68" s="246"/>
      <c r="F68" s="245"/>
      <c r="G68" s="245"/>
      <c r="H68" s="245"/>
      <c r="I68" s="246"/>
      <c r="J68" s="245"/>
      <c r="K68" s="245"/>
      <c r="L68" s="245"/>
      <c r="M68" s="246"/>
      <c r="N68" s="245"/>
      <c r="O68" s="245"/>
      <c r="P68" s="245"/>
      <c r="Q68" s="246"/>
      <c r="R68" s="245"/>
      <c r="S68" s="245"/>
      <c r="T68" s="245"/>
      <c r="U68" s="246"/>
      <c r="V68" s="245"/>
      <c r="W68" s="245"/>
      <c r="X68" s="245"/>
      <c r="Y68" s="246"/>
      <c r="Z68" s="245"/>
      <c r="AA68" s="245"/>
      <c r="AB68" s="245"/>
      <c r="AC68" s="246"/>
      <c r="AD68" s="245"/>
      <c r="AE68" s="245"/>
      <c r="AF68" s="245"/>
      <c r="AG68" s="246"/>
      <c r="AH68" s="245"/>
      <c r="AI68" s="245"/>
      <c r="AJ68" s="245"/>
      <c r="AK68" s="246"/>
      <c r="AL68" s="245"/>
      <c r="AM68" s="245"/>
      <c r="AN68" s="245"/>
      <c r="AO68" s="246"/>
      <c r="AP68" s="245"/>
      <c r="AQ68" s="245"/>
      <c r="AR68" s="245"/>
      <c r="AS68" s="246"/>
      <c r="AT68" s="245"/>
      <c r="AU68" s="245"/>
      <c r="AV68" s="245"/>
      <c r="AW68" s="245"/>
      <c r="AX68" s="245"/>
      <c r="AY68" s="245"/>
      <c r="AZ68" s="245"/>
      <c r="BA68" s="245"/>
    </row>
    <row r="69" spans="1:53" s="20" customFormat="1" ht="17.25" customHeight="1">
      <c r="A69" s="245"/>
      <c r="B69" s="245"/>
      <c r="C69" s="245"/>
      <c r="D69" s="245"/>
      <c r="E69" s="246"/>
      <c r="F69" s="245"/>
      <c r="G69" s="245"/>
      <c r="H69" s="245"/>
      <c r="I69" s="246"/>
      <c r="J69" s="245"/>
      <c r="K69" s="245"/>
      <c r="L69" s="245"/>
      <c r="M69" s="246"/>
      <c r="N69" s="245"/>
      <c r="O69" s="245"/>
      <c r="P69" s="245"/>
      <c r="Q69" s="246"/>
      <c r="R69" s="245"/>
      <c r="S69" s="245"/>
      <c r="T69" s="245"/>
      <c r="U69" s="246"/>
      <c r="V69" s="245"/>
      <c r="W69" s="245"/>
      <c r="X69" s="245"/>
      <c r="Y69" s="246"/>
      <c r="Z69" s="245"/>
      <c r="AA69" s="245"/>
      <c r="AB69" s="245"/>
      <c r="AC69" s="246"/>
      <c r="AD69" s="245"/>
      <c r="AE69" s="245"/>
      <c r="AF69" s="245"/>
      <c r="AG69" s="246"/>
      <c r="AH69" s="245"/>
      <c r="AI69" s="245"/>
      <c r="AJ69" s="245"/>
      <c r="AK69" s="246"/>
      <c r="AL69" s="245"/>
      <c r="AM69" s="245"/>
      <c r="AN69" s="245"/>
      <c r="AO69" s="246"/>
      <c r="AP69" s="245"/>
      <c r="AQ69" s="245"/>
      <c r="AR69" s="245"/>
      <c r="AS69" s="246"/>
      <c r="AT69" s="245"/>
      <c r="AU69" s="245"/>
      <c r="AV69" s="245"/>
      <c r="AW69" s="245"/>
      <c r="AX69" s="245"/>
      <c r="AY69" s="245"/>
      <c r="AZ69" s="245"/>
      <c r="BA69" s="245"/>
    </row>
    <row r="70" spans="1:53" s="20" customFormat="1" ht="12.75">
      <c r="A70" s="245"/>
      <c r="B70" s="245"/>
      <c r="C70" s="245"/>
      <c r="D70" s="245"/>
      <c r="E70" s="246"/>
      <c r="F70" s="245"/>
      <c r="G70" s="245"/>
      <c r="H70" s="245"/>
      <c r="I70" s="246"/>
      <c r="J70" s="245"/>
      <c r="K70" s="245"/>
      <c r="L70" s="245"/>
      <c r="M70" s="246"/>
      <c r="N70" s="245"/>
      <c r="O70" s="245"/>
      <c r="P70" s="245"/>
      <c r="Q70" s="246"/>
      <c r="R70" s="245"/>
      <c r="S70" s="245"/>
      <c r="T70" s="245"/>
      <c r="U70" s="246"/>
      <c r="V70" s="245"/>
      <c r="W70" s="245"/>
      <c r="X70" s="245"/>
      <c r="Y70" s="246"/>
      <c r="Z70" s="245"/>
      <c r="AA70" s="245"/>
      <c r="AB70" s="245"/>
      <c r="AC70" s="246"/>
      <c r="AD70" s="245"/>
      <c r="AE70" s="245"/>
      <c r="AF70" s="245"/>
      <c r="AG70" s="246"/>
      <c r="AH70" s="245"/>
      <c r="AI70" s="245"/>
      <c r="AJ70" s="245"/>
      <c r="AK70" s="246"/>
      <c r="AL70" s="245"/>
      <c r="AM70" s="245"/>
      <c r="AN70" s="245"/>
      <c r="AO70" s="246"/>
      <c r="AP70" s="245"/>
      <c r="AQ70" s="245"/>
      <c r="AR70" s="245"/>
      <c r="AS70" s="246"/>
      <c r="AT70" s="245"/>
      <c r="AU70" s="245"/>
      <c r="AV70" s="245"/>
      <c r="AW70" s="245"/>
      <c r="AX70" s="245"/>
      <c r="AY70" s="245"/>
      <c r="AZ70" s="245"/>
      <c r="BA70" s="245"/>
    </row>
    <row r="71" spans="1:53" s="20" customFormat="1" ht="17.25" customHeight="1">
      <c r="A71" s="245"/>
      <c r="B71" s="245"/>
      <c r="C71" s="245"/>
      <c r="D71" s="245"/>
      <c r="E71" s="246"/>
      <c r="F71" s="245"/>
      <c r="G71" s="245"/>
      <c r="H71" s="245"/>
      <c r="I71" s="246"/>
      <c r="J71" s="245"/>
      <c r="K71" s="245"/>
      <c r="L71" s="245"/>
      <c r="M71" s="246"/>
      <c r="N71" s="245"/>
      <c r="O71" s="245"/>
      <c r="P71" s="245"/>
      <c r="Q71" s="246"/>
      <c r="R71" s="245"/>
      <c r="S71" s="245"/>
      <c r="T71" s="245"/>
      <c r="U71" s="246"/>
      <c r="V71" s="245"/>
      <c r="W71" s="245"/>
      <c r="X71" s="245"/>
      <c r="Y71" s="246"/>
      <c r="Z71" s="245"/>
      <c r="AA71" s="245"/>
      <c r="AB71" s="245"/>
      <c r="AC71" s="246"/>
      <c r="AD71" s="245"/>
      <c r="AE71" s="245"/>
      <c r="AF71" s="245"/>
      <c r="AG71" s="246"/>
      <c r="AH71" s="245"/>
      <c r="AI71" s="245"/>
      <c r="AJ71" s="245"/>
      <c r="AK71" s="246"/>
      <c r="AL71" s="245"/>
      <c r="AM71" s="245"/>
      <c r="AN71" s="245"/>
      <c r="AO71" s="246"/>
      <c r="AP71" s="245"/>
      <c r="AQ71" s="245"/>
      <c r="AR71" s="245"/>
      <c r="AS71" s="246"/>
      <c r="AT71" s="245"/>
      <c r="AU71" s="245"/>
      <c r="AV71" s="245"/>
      <c r="AW71" s="245"/>
      <c r="AX71" s="245"/>
      <c r="AY71" s="245"/>
      <c r="AZ71" s="245"/>
      <c r="BA71" s="245"/>
    </row>
    <row r="72" spans="1:53" s="20" customFormat="1" ht="12.75">
      <c r="A72" s="245"/>
      <c r="B72" s="245"/>
      <c r="C72" s="245"/>
      <c r="D72" s="245"/>
      <c r="E72" s="246"/>
      <c r="F72" s="245"/>
      <c r="G72" s="245"/>
      <c r="H72" s="245"/>
      <c r="I72" s="246"/>
      <c r="J72" s="245"/>
      <c r="K72" s="245"/>
      <c r="L72" s="245"/>
      <c r="M72" s="246"/>
      <c r="N72" s="245"/>
      <c r="O72" s="245"/>
      <c r="P72" s="245"/>
      <c r="Q72" s="246"/>
      <c r="R72" s="245"/>
      <c r="S72" s="245"/>
      <c r="T72" s="245"/>
      <c r="U72" s="246"/>
      <c r="V72" s="245"/>
      <c r="W72" s="245"/>
      <c r="X72" s="245"/>
      <c r="Y72" s="246"/>
      <c r="Z72" s="245"/>
      <c r="AA72" s="245"/>
      <c r="AB72" s="245"/>
      <c r="AC72" s="246"/>
      <c r="AD72" s="245"/>
      <c r="AE72" s="245"/>
      <c r="AF72" s="245"/>
      <c r="AG72" s="246"/>
      <c r="AH72" s="245"/>
      <c r="AI72" s="245"/>
      <c r="AJ72" s="245"/>
      <c r="AK72" s="246"/>
      <c r="AL72" s="245"/>
      <c r="AM72" s="245"/>
      <c r="AN72" s="245"/>
      <c r="AO72" s="246"/>
      <c r="AP72" s="245"/>
      <c r="AQ72" s="245"/>
      <c r="AR72" s="245"/>
      <c r="AS72" s="246"/>
      <c r="AT72" s="245"/>
      <c r="AU72" s="245"/>
      <c r="AV72" s="245"/>
      <c r="AW72" s="245"/>
      <c r="AX72" s="245"/>
      <c r="AY72" s="245"/>
      <c r="AZ72" s="245"/>
      <c r="BA72" s="245"/>
    </row>
    <row r="73" spans="1:53" s="20" customFormat="1" ht="17.25" customHeight="1">
      <c r="A73" s="245"/>
      <c r="B73" s="245"/>
      <c r="C73" s="245"/>
      <c r="D73" s="245"/>
      <c r="E73" s="246"/>
      <c r="F73" s="245"/>
      <c r="G73" s="245"/>
      <c r="H73" s="245"/>
      <c r="I73" s="246"/>
      <c r="J73" s="245"/>
      <c r="K73" s="245"/>
      <c r="L73" s="245"/>
      <c r="M73" s="246"/>
      <c r="N73" s="245"/>
      <c r="O73" s="245"/>
      <c r="P73" s="245"/>
      <c r="Q73" s="246"/>
      <c r="R73" s="245"/>
      <c r="S73" s="245"/>
      <c r="T73" s="245"/>
      <c r="U73" s="246"/>
      <c r="V73" s="245"/>
      <c r="W73" s="245"/>
      <c r="X73" s="245"/>
      <c r="Y73" s="246"/>
      <c r="Z73" s="245"/>
      <c r="AA73" s="245"/>
      <c r="AB73" s="245"/>
      <c r="AC73" s="246"/>
      <c r="AD73" s="245"/>
      <c r="AE73" s="245"/>
      <c r="AF73" s="245"/>
      <c r="AG73" s="246"/>
      <c r="AH73" s="245"/>
      <c r="AI73" s="245"/>
      <c r="AJ73" s="245"/>
      <c r="AK73" s="246"/>
      <c r="AL73" s="245"/>
      <c r="AM73" s="245"/>
      <c r="AN73" s="245"/>
      <c r="AO73" s="246"/>
      <c r="AP73" s="245"/>
      <c r="AQ73" s="245"/>
      <c r="AR73" s="245"/>
      <c r="AS73" s="246"/>
      <c r="AT73" s="245"/>
      <c r="AU73" s="245"/>
      <c r="AV73" s="245"/>
      <c r="AW73" s="245"/>
      <c r="AX73" s="245"/>
      <c r="AY73" s="245"/>
      <c r="AZ73" s="245"/>
      <c r="BA73" s="245"/>
    </row>
    <row r="74" spans="1:53" s="20" customFormat="1" ht="12.75">
      <c r="A74" s="245"/>
      <c r="B74" s="245"/>
      <c r="C74" s="245"/>
      <c r="D74" s="245"/>
      <c r="E74" s="246"/>
      <c r="F74" s="245"/>
      <c r="G74" s="245"/>
      <c r="H74" s="245"/>
      <c r="I74" s="246"/>
      <c r="J74" s="245"/>
      <c r="K74" s="245"/>
      <c r="L74" s="245"/>
      <c r="M74" s="246"/>
      <c r="N74" s="245"/>
      <c r="O74" s="245"/>
      <c r="P74" s="245"/>
      <c r="Q74" s="246"/>
      <c r="R74" s="245"/>
      <c r="S74" s="245"/>
      <c r="T74" s="245"/>
      <c r="U74" s="246"/>
      <c r="V74" s="245"/>
      <c r="W74" s="245"/>
      <c r="X74" s="245"/>
      <c r="Y74" s="246"/>
      <c r="Z74" s="245"/>
      <c r="AA74" s="245"/>
      <c r="AB74" s="245"/>
      <c r="AC74" s="246"/>
      <c r="AD74" s="245"/>
      <c r="AE74" s="245"/>
      <c r="AF74" s="245"/>
      <c r="AG74" s="246"/>
      <c r="AH74" s="245"/>
      <c r="AI74" s="245"/>
      <c r="AJ74" s="245"/>
      <c r="AK74" s="246"/>
      <c r="AL74" s="245"/>
      <c r="AM74" s="245"/>
      <c r="AN74" s="245"/>
      <c r="AO74" s="246"/>
      <c r="AP74" s="245"/>
      <c r="AQ74" s="245"/>
      <c r="AR74" s="245"/>
      <c r="AS74" s="246"/>
      <c r="AT74" s="245"/>
      <c r="AU74" s="245"/>
      <c r="AV74" s="245"/>
      <c r="AW74" s="245"/>
      <c r="AX74" s="245"/>
      <c r="AY74" s="245"/>
      <c r="AZ74" s="245"/>
      <c r="BA74" s="245"/>
    </row>
    <row r="75" spans="1:53" s="20" customFormat="1" ht="17.25" customHeight="1">
      <c r="A75" s="245"/>
      <c r="B75" s="245"/>
      <c r="C75" s="245"/>
      <c r="D75" s="245"/>
      <c r="E75" s="246"/>
      <c r="F75" s="245"/>
      <c r="G75" s="245"/>
      <c r="H75" s="245"/>
      <c r="I75" s="246"/>
      <c r="J75" s="245"/>
      <c r="K75" s="245"/>
      <c r="L75" s="245"/>
      <c r="M75" s="246"/>
      <c r="N75" s="245"/>
      <c r="O75" s="245"/>
      <c r="P75" s="245"/>
      <c r="Q75" s="246"/>
      <c r="R75" s="245"/>
      <c r="S75" s="245"/>
      <c r="T75" s="245"/>
      <c r="U75" s="246"/>
      <c r="V75" s="245"/>
      <c r="W75" s="245"/>
      <c r="X75" s="245"/>
      <c r="Y75" s="246"/>
      <c r="Z75" s="245"/>
      <c r="AA75" s="245"/>
      <c r="AB75" s="245"/>
      <c r="AC75" s="246"/>
      <c r="AD75" s="245"/>
      <c r="AE75" s="245"/>
      <c r="AF75" s="245"/>
      <c r="AG75" s="246"/>
      <c r="AH75" s="245"/>
      <c r="AI75" s="245"/>
      <c r="AJ75" s="245"/>
      <c r="AK75" s="246"/>
      <c r="AL75" s="245"/>
      <c r="AM75" s="245"/>
      <c r="AN75" s="245"/>
      <c r="AO75" s="246"/>
      <c r="AP75" s="245"/>
      <c r="AQ75" s="245"/>
      <c r="AR75" s="245"/>
      <c r="AS75" s="246"/>
      <c r="AT75" s="245"/>
      <c r="AU75" s="245"/>
      <c r="AV75" s="245"/>
      <c r="AW75" s="245"/>
      <c r="AX75" s="245"/>
      <c r="AY75" s="245"/>
      <c r="AZ75" s="245"/>
      <c r="BA75" s="245"/>
    </row>
    <row r="76" spans="1:53" s="20" customFormat="1" ht="12.75">
      <c r="A76" s="245"/>
      <c r="B76" s="245"/>
      <c r="C76" s="245"/>
      <c r="D76" s="245"/>
      <c r="E76" s="246"/>
      <c r="F76" s="245"/>
      <c r="G76" s="245"/>
      <c r="H76" s="245"/>
      <c r="I76" s="246"/>
      <c r="J76" s="245"/>
      <c r="K76" s="245"/>
      <c r="L76" s="245"/>
      <c r="M76" s="246"/>
      <c r="N76" s="245"/>
      <c r="O76" s="245"/>
      <c r="P76" s="245"/>
      <c r="Q76" s="246"/>
      <c r="R76" s="245"/>
      <c r="S76" s="245"/>
      <c r="T76" s="245"/>
      <c r="U76" s="246"/>
      <c r="V76" s="245"/>
      <c r="W76" s="245"/>
      <c r="X76" s="245"/>
      <c r="Y76" s="246"/>
      <c r="Z76" s="245"/>
      <c r="AA76" s="245"/>
      <c r="AB76" s="245"/>
      <c r="AC76" s="246"/>
      <c r="AD76" s="245"/>
      <c r="AE76" s="245"/>
      <c r="AF76" s="245"/>
      <c r="AG76" s="246"/>
      <c r="AH76" s="245"/>
      <c r="AI76" s="245"/>
      <c r="AJ76" s="245"/>
      <c r="AK76" s="246"/>
      <c r="AL76" s="245"/>
      <c r="AM76" s="245"/>
      <c r="AN76" s="245"/>
      <c r="AO76" s="246"/>
      <c r="AP76" s="245"/>
      <c r="AQ76" s="245"/>
      <c r="AR76" s="245"/>
      <c r="AS76" s="246"/>
      <c r="AT76" s="245"/>
      <c r="AU76" s="245"/>
      <c r="AV76" s="245"/>
      <c r="AW76" s="245"/>
      <c r="AX76" s="245"/>
      <c r="AY76" s="245"/>
      <c r="AZ76" s="245"/>
      <c r="BA76" s="245"/>
    </row>
    <row r="77" spans="1:53" s="20" customFormat="1" ht="17.25" customHeight="1">
      <c r="A77" s="245"/>
      <c r="B77" s="245"/>
      <c r="C77" s="245"/>
      <c r="D77" s="245"/>
      <c r="E77" s="246"/>
      <c r="F77" s="245"/>
      <c r="G77" s="245"/>
      <c r="H77" s="245"/>
      <c r="I77" s="246"/>
      <c r="J77" s="245"/>
      <c r="K77" s="245"/>
      <c r="L77" s="245"/>
      <c r="M77" s="246"/>
      <c r="N77" s="245"/>
      <c r="O77" s="245"/>
      <c r="P77" s="245"/>
      <c r="Q77" s="246"/>
      <c r="R77" s="245"/>
      <c r="S77" s="245"/>
      <c r="T77" s="245"/>
      <c r="U77" s="246"/>
      <c r="V77" s="245"/>
      <c r="W77" s="245"/>
      <c r="X77" s="245"/>
      <c r="Y77" s="246"/>
      <c r="Z77" s="245"/>
      <c r="AA77" s="245"/>
      <c r="AB77" s="245"/>
      <c r="AC77" s="246"/>
      <c r="AD77" s="245"/>
      <c r="AE77" s="245"/>
      <c r="AF77" s="245"/>
      <c r="AG77" s="246"/>
      <c r="AH77" s="245"/>
      <c r="AI77" s="245"/>
      <c r="AJ77" s="245"/>
      <c r="AK77" s="246"/>
      <c r="AL77" s="245"/>
      <c r="AM77" s="245"/>
      <c r="AN77" s="245"/>
      <c r="AO77" s="246"/>
      <c r="AP77" s="245"/>
      <c r="AQ77" s="245"/>
      <c r="AR77" s="245"/>
      <c r="AS77" s="246"/>
      <c r="AT77" s="245"/>
      <c r="AU77" s="245"/>
      <c r="AV77" s="245"/>
      <c r="AW77" s="245"/>
      <c r="AX77" s="245"/>
      <c r="AY77" s="245"/>
      <c r="AZ77" s="245"/>
      <c r="BA77" s="245"/>
    </row>
    <row r="78" spans="1:53" s="20" customFormat="1" ht="12.75">
      <c r="A78" s="245"/>
      <c r="B78" s="245"/>
      <c r="C78" s="245"/>
      <c r="D78" s="245"/>
      <c r="E78" s="246"/>
      <c r="F78" s="245"/>
      <c r="G78" s="245"/>
      <c r="H78" s="245"/>
      <c r="I78" s="246"/>
      <c r="J78" s="245"/>
      <c r="K78" s="245"/>
      <c r="L78" s="245"/>
      <c r="M78" s="246"/>
      <c r="N78" s="245"/>
      <c r="O78" s="245"/>
      <c r="P78" s="245"/>
      <c r="Q78" s="246"/>
      <c r="R78" s="245"/>
      <c r="S78" s="245"/>
      <c r="T78" s="245"/>
      <c r="U78" s="246"/>
      <c r="V78" s="245"/>
      <c r="W78" s="245"/>
      <c r="X78" s="245"/>
      <c r="Y78" s="246"/>
      <c r="Z78" s="245"/>
      <c r="AA78" s="245"/>
      <c r="AB78" s="245"/>
      <c r="AC78" s="246"/>
      <c r="AD78" s="245"/>
      <c r="AE78" s="245"/>
      <c r="AF78" s="245"/>
      <c r="AG78" s="246"/>
      <c r="AH78" s="245"/>
      <c r="AI78" s="245"/>
      <c r="AJ78" s="245"/>
      <c r="AK78" s="246"/>
      <c r="AL78" s="245"/>
      <c r="AM78" s="245"/>
      <c r="AN78" s="245"/>
      <c r="AO78" s="246"/>
      <c r="AP78" s="245"/>
      <c r="AQ78" s="245"/>
      <c r="AR78" s="245"/>
      <c r="AS78" s="246"/>
      <c r="AT78" s="245"/>
      <c r="AU78" s="245"/>
      <c r="AV78" s="245"/>
      <c r="AW78" s="245"/>
      <c r="AX78" s="245"/>
      <c r="AY78" s="245"/>
      <c r="AZ78" s="245"/>
      <c r="BA78" s="245"/>
    </row>
    <row r="79" spans="1:53" s="20" customFormat="1" ht="17.25" customHeight="1">
      <c r="A79" s="245"/>
      <c r="B79" s="245"/>
      <c r="C79" s="245"/>
      <c r="D79" s="245"/>
      <c r="E79" s="246"/>
      <c r="F79" s="245"/>
      <c r="G79" s="245"/>
      <c r="H79" s="245"/>
      <c r="I79" s="246"/>
      <c r="J79" s="245"/>
      <c r="K79" s="245"/>
      <c r="L79" s="245"/>
      <c r="M79" s="246"/>
      <c r="N79" s="245"/>
      <c r="O79" s="245"/>
      <c r="P79" s="245"/>
      <c r="Q79" s="246"/>
      <c r="R79" s="245"/>
      <c r="S79" s="245"/>
      <c r="T79" s="245"/>
      <c r="U79" s="246"/>
      <c r="V79" s="245"/>
      <c r="W79" s="245"/>
      <c r="X79" s="245"/>
      <c r="Y79" s="246"/>
      <c r="Z79" s="245"/>
      <c r="AA79" s="245"/>
      <c r="AB79" s="245"/>
      <c r="AC79" s="246"/>
      <c r="AD79" s="245"/>
      <c r="AE79" s="245"/>
      <c r="AF79" s="245"/>
      <c r="AG79" s="246"/>
      <c r="AH79" s="245"/>
      <c r="AI79" s="245"/>
      <c r="AJ79" s="245"/>
      <c r="AK79" s="246"/>
      <c r="AL79" s="245"/>
      <c r="AM79" s="245"/>
      <c r="AN79" s="245"/>
      <c r="AO79" s="246"/>
      <c r="AP79" s="245"/>
      <c r="AQ79" s="245"/>
      <c r="AR79" s="245"/>
      <c r="AS79" s="246"/>
      <c r="AT79" s="245"/>
      <c r="AU79" s="245"/>
      <c r="AV79" s="245"/>
      <c r="AW79" s="245"/>
      <c r="AX79" s="245"/>
      <c r="AY79" s="245"/>
      <c r="AZ79" s="245"/>
      <c r="BA79" s="245"/>
    </row>
    <row r="80" spans="1:53" s="20" customFormat="1" ht="12.75">
      <c r="A80" s="245"/>
      <c r="B80" s="245"/>
      <c r="C80" s="245"/>
      <c r="D80" s="245"/>
      <c r="E80" s="246"/>
      <c r="F80" s="245"/>
      <c r="G80" s="245"/>
      <c r="H80" s="245"/>
      <c r="I80" s="246"/>
      <c r="J80" s="245"/>
      <c r="K80" s="245"/>
      <c r="L80" s="245"/>
      <c r="M80" s="246"/>
      <c r="N80" s="245"/>
      <c r="O80" s="245"/>
      <c r="P80" s="245"/>
      <c r="Q80" s="246"/>
      <c r="R80" s="245"/>
      <c r="S80" s="245"/>
      <c r="T80" s="245"/>
      <c r="U80" s="246"/>
      <c r="V80" s="245"/>
      <c r="W80" s="245"/>
      <c r="X80" s="245"/>
      <c r="Y80" s="246"/>
      <c r="Z80" s="245"/>
      <c r="AA80" s="245"/>
      <c r="AB80" s="245"/>
      <c r="AC80" s="246"/>
      <c r="AD80" s="245"/>
      <c r="AE80" s="245"/>
      <c r="AF80" s="245"/>
      <c r="AG80" s="246"/>
      <c r="AH80" s="245"/>
      <c r="AI80" s="245"/>
      <c r="AJ80" s="245"/>
      <c r="AK80" s="246"/>
      <c r="AL80" s="245"/>
      <c r="AM80" s="245"/>
      <c r="AN80" s="245"/>
      <c r="AO80" s="246"/>
      <c r="AP80" s="245"/>
      <c r="AQ80" s="245"/>
      <c r="AR80" s="245"/>
      <c r="AS80" s="246"/>
      <c r="AT80" s="245"/>
      <c r="AU80" s="245"/>
      <c r="AV80" s="245"/>
      <c r="AW80" s="245"/>
      <c r="AX80" s="245"/>
      <c r="AY80" s="245"/>
      <c r="AZ80" s="245"/>
      <c r="BA80" s="245"/>
    </row>
    <row r="81" spans="1:53" s="20" customFormat="1" ht="17.25" customHeight="1">
      <c r="A81" s="245"/>
      <c r="B81" s="245"/>
      <c r="C81" s="245"/>
      <c r="D81" s="245"/>
      <c r="E81" s="246"/>
      <c r="F81" s="245"/>
      <c r="G81" s="245"/>
      <c r="H81" s="245"/>
      <c r="I81" s="246"/>
      <c r="J81" s="245"/>
      <c r="K81" s="245"/>
      <c r="L81" s="245"/>
      <c r="M81" s="246"/>
      <c r="N81" s="245"/>
      <c r="O81" s="245"/>
      <c r="P81" s="245"/>
      <c r="Q81" s="246"/>
      <c r="R81" s="245"/>
      <c r="S81" s="245"/>
      <c r="T81" s="245"/>
      <c r="U81" s="246"/>
      <c r="V81" s="245"/>
      <c r="W81" s="245"/>
      <c r="X81" s="245"/>
      <c r="Y81" s="246"/>
      <c r="Z81" s="245"/>
      <c r="AA81" s="245"/>
      <c r="AB81" s="245"/>
      <c r="AC81" s="246"/>
      <c r="AD81" s="245"/>
      <c r="AE81" s="245"/>
      <c r="AF81" s="245"/>
      <c r="AG81" s="246"/>
      <c r="AH81" s="245"/>
      <c r="AI81" s="245"/>
      <c r="AJ81" s="245"/>
      <c r="AK81" s="246"/>
      <c r="AL81" s="245"/>
      <c r="AM81" s="245"/>
      <c r="AN81" s="245"/>
      <c r="AO81" s="246"/>
      <c r="AP81" s="245"/>
      <c r="AQ81" s="245"/>
      <c r="AR81" s="245"/>
      <c r="AS81" s="246"/>
      <c r="AT81" s="245"/>
      <c r="AU81" s="245"/>
      <c r="AV81" s="245"/>
      <c r="AW81" s="245"/>
      <c r="AX81" s="245"/>
      <c r="AY81" s="245"/>
      <c r="AZ81" s="245"/>
      <c r="BA81" s="245"/>
    </row>
    <row r="82" spans="1:53" s="20" customFormat="1" ht="12.75">
      <c r="A82" s="245"/>
      <c r="B82" s="245"/>
      <c r="C82" s="245"/>
      <c r="D82" s="245"/>
      <c r="E82" s="246"/>
      <c r="F82" s="245"/>
      <c r="G82" s="245"/>
      <c r="H82" s="245"/>
      <c r="I82" s="246"/>
      <c r="J82" s="245"/>
      <c r="K82" s="245"/>
      <c r="L82" s="245"/>
      <c r="M82" s="246"/>
      <c r="N82" s="245"/>
      <c r="O82" s="245"/>
      <c r="P82" s="245"/>
      <c r="Q82" s="246"/>
      <c r="R82" s="245"/>
      <c r="S82" s="245"/>
      <c r="T82" s="245"/>
      <c r="U82" s="246"/>
      <c r="V82" s="245"/>
      <c r="W82" s="245"/>
      <c r="X82" s="245"/>
      <c r="Y82" s="246"/>
      <c r="Z82" s="245"/>
      <c r="AA82" s="245"/>
      <c r="AB82" s="245"/>
      <c r="AC82" s="246"/>
      <c r="AD82" s="245"/>
      <c r="AE82" s="245"/>
      <c r="AF82" s="245"/>
      <c r="AG82" s="246"/>
      <c r="AH82" s="245"/>
      <c r="AI82" s="245"/>
      <c r="AJ82" s="245"/>
      <c r="AK82" s="246"/>
      <c r="AL82" s="245"/>
      <c r="AM82" s="245"/>
      <c r="AN82" s="245"/>
      <c r="AO82" s="246"/>
      <c r="AP82" s="245"/>
      <c r="AQ82" s="245"/>
      <c r="AR82" s="245"/>
      <c r="AS82" s="246"/>
      <c r="AT82" s="245"/>
      <c r="AU82" s="245"/>
      <c r="AV82" s="245"/>
      <c r="AW82" s="245"/>
      <c r="AX82" s="245"/>
      <c r="AY82" s="245"/>
      <c r="AZ82" s="245"/>
      <c r="BA82" s="245"/>
    </row>
    <row r="83" spans="1:53" s="20" customFormat="1" ht="17.25" customHeight="1">
      <c r="A83" s="245"/>
      <c r="B83" s="245"/>
      <c r="C83" s="245"/>
      <c r="D83" s="245"/>
      <c r="E83" s="246"/>
      <c r="F83" s="245"/>
      <c r="G83" s="245"/>
      <c r="H83" s="245"/>
      <c r="I83" s="246"/>
      <c r="J83" s="245"/>
      <c r="K83" s="245"/>
      <c r="L83" s="245"/>
      <c r="M83" s="246"/>
      <c r="N83" s="245"/>
      <c r="O83" s="245"/>
      <c r="P83" s="245"/>
      <c r="Q83" s="246"/>
      <c r="R83" s="245"/>
      <c r="S83" s="245"/>
      <c r="T83" s="245"/>
      <c r="U83" s="246"/>
      <c r="V83" s="245"/>
      <c r="W83" s="245"/>
      <c r="X83" s="245"/>
      <c r="Y83" s="246"/>
      <c r="Z83" s="245"/>
      <c r="AA83" s="245"/>
      <c r="AB83" s="245"/>
      <c r="AC83" s="246"/>
      <c r="AD83" s="245"/>
      <c r="AE83" s="245"/>
      <c r="AF83" s="245"/>
      <c r="AG83" s="246"/>
      <c r="AH83" s="245"/>
      <c r="AI83" s="245"/>
      <c r="AJ83" s="245"/>
      <c r="AK83" s="246"/>
      <c r="AL83" s="245"/>
      <c r="AM83" s="245"/>
      <c r="AN83" s="245"/>
      <c r="AO83" s="246"/>
      <c r="AP83" s="245"/>
      <c r="AQ83" s="245"/>
      <c r="AR83" s="245"/>
      <c r="AS83" s="246"/>
      <c r="AT83" s="245"/>
      <c r="AU83" s="245"/>
      <c r="AV83" s="245"/>
      <c r="AW83" s="245"/>
      <c r="AX83" s="245"/>
      <c r="AY83" s="245"/>
      <c r="AZ83" s="245"/>
      <c r="BA83" s="245"/>
    </row>
    <row r="84" spans="1:53" s="20" customFormat="1" ht="12.75">
      <c r="A84" s="245"/>
      <c r="B84" s="245"/>
      <c r="C84" s="245"/>
      <c r="D84" s="245"/>
      <c r="E84" s="246"/>
      <c r="F84" s="245"/>
      <c r="G84" s="245"/>
      <c r="H84" s="245"/>
      <c r="I84" s="246"/>
      <c r="J84" s="245"/>
      <c r="K84" s="245"/>
      <c r="L84" s="245"/>
      <c r="M84" s="246"/>
      <c r="N84" s="245"/>
      <c r="O84" s="245"/>
      <c r="P84" s="245"/>
      <c r="Q84" s="246"/>
      <c r="R84" s="245"/>
      <c r="S84" s="245"/>
      <c r="T84" s="245"/>
      <c r="U84" s="246"/>
      <c r="V84" s="245"/>
      <c r="W84" s="245"/>
      <c r="X84" s="245"/>
      <c r="Y84" s="246"/>
      <c r="Z84" s="245"/>
      <c r="AA84" s="245"/>
      <c r="AB84" s="245"/>
      <c r="AC84" s="246"/>
      <c r="AD84" s="245"/>
      <c r="AE84" s="245"/>
      <c r="AF84" s="245"/>
      <c r="AG84" s="246"/>
      <c r="AH84" s="245"/>
      <c r="AI84" s="245"/>
      <c r="AJ84" s="245"/>
      <c r="AK84" s="246"/>
      <c r="AL84" s="245"/>
      <c r="AM84" s="245"/>
      <c r="AN84" s="245"/>
      <c r="AO84" s="246"/>
      <c r="AP84" s="245"/>
      <c r="AQ84" s="245"/>
      <c r="AR84" s="245"/>
      <c r="AS84" s="246"/>
      <c r="AT84" s="245"/>
      <c r="AU84" s="245"/>
      <c r="AV84" s="245"/>
      <c r="AW84" s="245"/>
      <c r="AX84" s="245"/>
      <c r="AY84" s="245"/>
      <c r="AZ84" s="245"/>
      <c r="BA84" s="245"/>
    </row>
    <row r="85" spans="1:53" s="20" customFormat="1" ht="17.25" customHeight="1">
      <c r="A85" s="245"/>
      <c r="B85" s="245"/>
      <c r="C85" s="245"/>
      <c r="D85" s="245"/>
      <c r="E85" s="246"/>
      <c r="F85" s="245"/>
      <c r="G85" s="245"/>
      <c r="H85" s="245"/>
      <c r="I85" s="246"/>
      <c r="J85" s="245"/>
      <c r="K85" s="245"/>
      <c r="L85" s="245"/>
      <c r="M85" s="246"/>
      <c r="N85" s="245"/>
      <c r="O85" s="245"/>
      <c r="P85" s="245"/>
      <c r="Q85" s="246"/>
      <c r="R85" s="245"/>
      <c r="S85" s="245"/>
      <c r="T85" s="245"/>
      <c r="U85" s="246"/>
      <c r="V85" s="245"/>
      <c r="W85" s="245"/>
      <c r="X85" s="245"/>
      <c r="Y85" s="246"/>
      <c r="Z85" s="245"/>
      <c r="AA85" s="245"/>
      <c r="AB85" s="245"/>
      <c r="AC85" s="246"/>
      <c r="AD85" s="245"/>
      <c r="AE85" s="245"/>
      <c r="AF85" s="245"/>
      <c r="AG85" s="246"/>
      <c r="AH85" s="245"/>
      <c r="AI85" s="245"/>
      <c r="AJ85" s="245"/>
      <c r="AK85" s="246"/>
      <c r="AL85" s="245"/>
      <c r="AM85" s="245"/>
      <c r="AN85" s="245"/>
      <c r="AO85" s="246"/>
      <c r="AP85" s="245"/>
      <c r="AQ85" s="245"/>
      <c r="AR85" s="245"/>
      <c r="AS85" s="246"/>
      <c r="AT85" s="245"/>
      <c r="AU85" s="245"/>
      <c r="AV85" s="245"/>
      <c r="AW85" s="245"/>
      <c r="AX85" s="245"/>
      <c r="AY85" s="245"/>
      <c r="AZ85" s="245"/>
      <c r="BA85" s="245"/>
    </row>
    <row r="86" spans="1:53" s="20" customFormat="1" ht="12.75">
      <c r="A86" s="245"/>
      <c r="B86" s="245"/>
      <c r="C86" s="245"/>
      <c r="D86" s="245"/>
      <c r="E86" s="246"/>
      <c r="F86" s="245"/>
      <c r="G86" s="245"/>
      <c r="H86" s="245"/>
      <c r="I86" s="246"/>
      <c r="J86" s="245"/>
      <c r="K86" s="245"/>
      <c r="L86" s="245"/>
      <c r="M86" s="246"/>
      <c r="N86" s="245"/>
      <c r="O86" s="245"/>
      <c r="P86" s="245"/>
      <c r="Q86" s="246"/>
      <c r="R86" s="245"/>
      <c r="S86" s="245"/>
      <c r="T86" s="245"/>
      <c r="U86" s="246"/>
      <c r="V86" s="245"/>
      <c r="W86" s="245"/>
      <c r="X86" s="245"/>
      <c r="Y86" s="246"/>
      <c r="Z86" s="245"/>
      <c r="AA86" s="245"/>
      <c r="AB86" s="245"/>
      <c r="AC86" s="246"/>
      <c r="AD86" s="245"/>
      <c r="AE86" s="245"/>
      <c r="AF86" s="245"/>
      <c r="AG86" s="246"/>
      <c r="AH86" s="245"/>
      <c r="AI86" s="245"/>
      <c r="AJ86" s="245"/>
      <c r="AK86" s="246"/>
      <c r="AL86" s="245"/>
      <c r="AM86" s="245"/>
      <c r="AN86" s="245"/>
      <c r="AO86" s="246"/>
      <c r="AP86" s="245"/>
      <c r="AQ86" s="245"/>
      <c r="AR86" s="245"/>
      <c r="AS86" s="246"/>
      <c r="AT86" s="245"/>
      <c r="AU86" s="245"/>
      <c r="AV86" s="245"/>
      <c r="AW86" s="245"/>
      <c r="AX86" s="245"/>
      <c r="AY86" s="245"/>
      <c r="AZ86" s="245"/>
      <c r="BA86" s="245"/>
    </row>
    <row r="87" spans="1:53" s="20" customFormat="1" ht="17.25" customHeight="1">
      <c r="A87" s="245"/>
      <c r="B87" s="245"/>
      <c r="C87" s="245"/>
      <c r="D87" s="245"/>
      <c r="E87" s="246"/>
      <c r="F87" s="245"/>
      <c r="G87" s="245"/>
      <c r="H87" s="245"/>
      <c r="I87" s="246"/>
      <c r="J87" s="245"/>
      <c r="K87" s="245"/>
      <c r="L87" s="245"/>
      <c r="M87" s="246"/>
      <c r="N87" s="245"/>
      <c r="O87" s="245"/>
      <c r="P87" s="245"/>
      <c r="Q87" s="246"/>
      <c r="R87" s="245"/>
      <c r="S87" s="245"/>
      <c r="T87" s="245"/>
      <c r="U87" s="246"/>
      <c r="V87" s="245"/>
      <c r="W87" s="245"/>
      <c r="X87" s="245"/>
      <c r="Y87" s="246"/>
      <c r="Z87" s="245"/>
      <c r="AA87" s="245"/>
      <c r="AB87" s="245"/>
      <c r="AC87" s="246"/>
      <c r="AD87" s="245"/>
      <c r="AE87" s="245"/>
      <c r="AF87" s="245"/>
      <c r="AG87" s="246"/>
      <c r="AH87" s="245"/>
      <c r="AI87" s="245"/>
      <c r="AJ87" s="245"/>
      <c r="AK87" s="246"/>
      <c r="AL87" s="245"/>
      <c r="AM87" s="245"/>
      <c r="AN87" s="245"/>
      <c r="AO87" s="246"/>
      <c r="AP87" s="245"/>
      <c r="AQ87" s="245"/>
      <c r="AR87" s="245"/>
      <c r="AS87" s="246"/>
      <c r="AT87" s="245"/>
      <c r="AU87" s="245"/>
      <c r="AV87" s="245"/>
      <c r="AW87" s="245"/>
      <c r="AX87" s="245"/>
      <c r="AY87" s="245"/>
      <c r="AZ87" s="245"/>
      <c r="BA87" s="245"/>
    </row>
    <row r="88" spans="1:53" s="20" customFormat="1" ht="12.75">
      <c r="E88" s="229"/>
      <c r="I88" s="229"/>
      <c r="M88" s="229"/>
      <c r="Q88" s="229"/>
      <c r="U88" s="229"/>
      <c r="Y88" s="229"/>
      <c r="AC88" s="229"/>
      <c r="AG88" s="229"/>
      <c r="AK88" s="229"/>
      <c r="AO88" s="229"/>
      <c r="AS88" s="229"/>
    </row>
    <row r="89" spans="1:53" s="20" customFormat="1" ht="17.25" customHeight="1">
      <c r="E89" s="229"/>
      <c r="I89" s="229"/>
      <c r="M89" s="229"/>
      <c r="Q89" s="229"/>
      <c r="U89" s="229"/>
      <c r="Y89" s="229"/>
      <c r="AC89" s="229"/>
      <c r="AG89" s="229"/>
      <c r="AK89" s="229"/>
      <c r="AO89" s="229"/>
      <c r="AS89" s="229"/>
    </row>
    <row r="90" spans="1:53" s="20" customFormat="1" ht="12.75">
      <c r="E90" s="229"/>
      <c r="I90" s="229"/>
      <c r="M90" s="229"/>
      <c r="Q90" s="229"/>
      <c r="U90" s="229"/>
      <c r="Y90" s="229"/>
      <c r="AC90" s="229"/>
      <c r="AG90" s="229"/>
      <c r="AK90" s="229"/>
      <c r="AO90" s="229"/>
      <c r="AS90" s="229"/>
    </row>
    <row r="91" spans="1:53" s="20" customFormat="1" ht="17.25" customHeight="1">
      <c r="E91" s="229"/>
      <c r="I91" s="229"/>
      <c r="M91" s="229"/>
      <c r="Q91" s="229"/>
      <c r="U91" s="229"/>
      <c r="Y91" s="229"/>
      <c r="AC91" s="229"/>
      <c r="AG91" s="229"/>
      <c r="AK91" s="229"/>
      <c r="AO91" s="229"/>
      <c r="AS91" s="229"/>
    </row>
    <row r="92" spans="1:53" s="20" customFormat="1" ht="12.75">
      <c r="E92" s="229"/>
      <c r="I92" s="229"/>
      <c r="M92" s="229"/>
      <c r="Q92" s="229"/>
      <c r="U92" s="229"/>
      <c r="Y92" s="229"/>
      <c r="AC92" s="229"/>
      <c r="AG92" s="229"/>
      <c r="AK92" s="229"/>
      <c r="AO92" s="229"/>
      <c r="AS92" s="229"/>
    </row>
    <row r="93" spans="1:53" s="20" customFormat="1" ht="17.25" customHeight="1">
      <c r="E93" s="229"/>
      <c r="I93" s="229"/>
      <c r="M93" s="229"/>
      <c r="Q93" s="229"/>
      <c r="U93" s="229"/>
      <c r="Y93" s="229"/>
      <c r="AC93" s="229"/>
      <c r="AG93" s="229"/>
      <c r="AK93" s="229"/>
      <c r="AO93" s="229"/>
      <c r="AS93" s="229"/>
    </row>
    <row r="94" spans="1:53" s="20" customFormat="1" ht="12.75">
      <c r="E94" s="229"/>
      <c r="I94" s="229"/>
      <c r="M94" s="229"/>
      <c r="Q94" s="229"/>
      <c r="U94" s="229"/>
      <c r="Y94" s="229"/>
      <c r="AC94" s="229"/>
      <c r="AG94" s="229"/>
      <c r="AK94" s="229"/>
      <c r="AO94" s="229"/>
      <c r="AS94" s="229"/>
    </row>
    <row r="95" spans="1:53" s="20" customFormat="1" ht="17.25" customHeight="1">
      <c r="E95" s="229"/>
      <c r="I95" s="229"/>
      <c r="M95" s="229"/>
      <c r="Q95" s="229"/>
      <c r="U95" s="229"/>
      <c r="Y95" s="229"/>
      <c r="AC95" s="229"/>
      <c r="AG95" s="229"/>
      <c r="AK95" s="229"/>
      <c r="AO95" s="229"/>
      <c r="AS95" s="229"/>
    </row>
    <row r="96" spans="1:53" s="20" customFormat="1" ht="12.75">
      <c r="E96" s="229"/>
      <c r="I96" s="229"/>
      <c r="M96" s="229"/>
      <c r="Q96" s="229"/>
      <c r="U96" s="229"/>
      <c r="Y96" s="229"/>
      <c r="AC96" s="229"/>
      <c r="AG96" s="229"/>
      <c r="AK96" s="229"/>
      <c r="AO96" s="229"/>
      <c r="AS96" s="229"/>
    </row>
    <row r="97" spans="5:45" s="20" customFormat="1" ht="17.25" customHeight="1">
      <c r="E97" s="229"/>
      <c r="I97" s="229"/>
      <c r="M97" s="229"/>
      <c r="Q97" s="229"/>
      <c r="U97" s="229"/>
      <c r="Y97" s="229"/>
      <c r="AC97" s="229"/>
      <c r="AG97" s="229"/>
      <c r="AK97" s="229"/>
      <c r="AO97" s="229"/>
      <c r="AS97" s="229"/>
    </row>
    <row r="98" spans="5:45" s="20" customFormat="1" ht="12.75">
      <c r="E98" s="229"/>
      <c r="I98" s="229"/>
      <c r="M98" s="229"/>
      <c r="Q98" s="229"/>
      <c r="U98" s="229"/>
      <c r="Y98" s="229"/>
      <c r="AC98" s="229"/>
      <c r="AG98" s="229"/>
      <c r="AK98" s="229"/>
      <c r="AO98" s="229"/>
      <c r="AS98" s="229"/>
    </row>
    <row r="99" spans="5:45" s="20" customFormat="1" ht="17.25" customHeight="1">
      <c r="E99" s="229"/>
      <c r="I99" s="229"/>
      <c r="M99" s="229"/>
      <c r="Q99" s="229"/>
      <c r="U99" s="229"/>
      <c r="Y99" s="229"/>
      <c r="AC99" s="229"/>
      <c r="AG99" s="229"/>
      <c r="AK99" s="229"/>
      <c r="AO99" s="229"/>
      <c r="AS99" s="229"/>
    </row>
    <row r="100" spans="5:45" s="20" customFormat="1" ht="12.75">
      <c r="E100" s="229"/>
      <c r="I100" s="229"/>
      <c r="M100" s="229"/>
      <c r="Q100" s="229"/>
      <c r="U100" s="229"/>
      <c r="Y100" s="229"/>
      <c r="AC100" s="229"/>
      <c r="AG100" s="229"/>
      <c r="AK100" s="229"/>
      <c r="AO100" s="229"/>
      <c r="AS100" s="229"/>
    </row>
    <row r="101" spans="5:45" s="20" customFormat="1" ht="17.25" customHeight="1">
      <c r="E101" s="229"/>
      <c r="I101" s="229"/>
      <c r="M101" s="229"/>
      <c r="Q101" s="229"/>
      <c r="U101" s="229"/>
      <c r="Y101" s="229"/>
      <c r="AC101" s="229"/>
      <c r="AG101" s="229"/>
      <c r="AK101" s="229"/>
      <c r="AO101" s="229"/>
      <c r="AS101" s="229"/>
    </row>
    <row r="102" spans="5:45" s="20" customFormat="1" ht="12.75">
      <c r="E102" s="229"/>
      <c r="I102" s="229"/>
      <c r="M102" s="229"/>
      <c r="Q102" s="229"/>
      <c r="U102" s="229"/>
      <c r="Y102" s="229"/>
      <c r="AC102" s="229"/>
      <c r="AG102" s="229"/>
      <c r="AK102" s="229"/>
      <c r="AO102" s="229"/>
      <c r="AS102" s="229"/>
    </row>
    <row r="103" spans="5:45" s="20" customFormat="1" ht="17.25" customHeight="1">
      <c r="E103" s="229"/>
      <c r="I103" s="229"/>
      <c r="M103" s="229"/>
      <c r="Q103" s="229"/>
      <c r="U103" s="229"/>
      <c r="Y103" s="229"/>
      <c r="AC103" s="229"/>
      <c r="AG103" s="229"/>
      <c r="AK103" s="229"/>
      <c r="AO103" s="229"/>
      <c r="AS103" s="229"/>
    </row>
    <row r="104" spans="5:45" s="20" customFormat="1" ht="12.75">
      <c r="E104" s="229"/>
      <c r="I104" s="229"/>
      <c r="M104" s="229"/>
      <c r="Q104" s="229"/>
      <c r="U104" s="229"/>
      <c r="Y104" s="229"/>
      <c r="AC104" s="229"/>
      <c r="AG104" s="229"/>
      <c r="AK104" s="229"/>
      <c r="AO104" s="229"/>
      <c r="AS104" s="229"/>
    </row>
    <row r="105" spans="5:45" s="20" customFormat="1" ht="17.25" customHeight="1">
      <c r="E105" s="229"/>
      <c r="I105" s="229"/>
      <c r="M105" s="229"/>
      <c r="Q105" s="229"/>
      <c r="U105" s="229"/>
      <c r="Y105" s="229"/>
      <c r="AC105" s="229"/>
      <c r="AG105" s="229"/>
      <c r="AK105" s="229"/>
      <c r="AO105" s="229"/>
      <c r="AS105" s="229"/>
    </row>
    <row r="106" spans="5:45" s="20" customFormat="1" ht="12.75">
      <c r="E106" s="229"/>
      <c r="I106" s="229"/>
      <c r="M106" s="229"/>
      <c r="Q106" s="229"/>
      <c r="U106" s="229"/>
      <c r="Y106" s="229"/>
      <c r="AC106" s="229"/>
      <c r="AG106" s="229"/>
      <c r="AK106" s="229"/>
      <c r="AO106" s="229"/>
      <c r="AS106" s="229"/>
    </row>
    <row r="107" spans="5:45" s="20" customFormat="1" ht="17.25" customHeight="1">
      <c r="E107" s="229"/>
      <c r="I107" s="229"/>
      <c r="M107" s="229"/>
      <c r="Q107" s="229"/>
      <c r="U107" s="229"/>
      <c r="Y107" s="229"/>
      <c r="AC107" s="229"/>
      <c r="AG107" s="229"/>
      <c r="AK107" s="229"/>
      <c r="AO107" s="229"/>
      <c r="AS107" s="229"/>
    </row>
    <row r="108" spans="5:45" s="20" customFormat="1" ht="12.75">
      <c r="E108" s="229"/>
      <c r="I108" s="229"/>
      <c r="M108" s="229"/>
      <c r="Q108" s="229"/>
      <c r="U108" s="229"/>
      <c r="Y108" s="229"/>
      <c r="AC108" s="229"/>
      <c r="AG108" s="229"/>
      <c r="AK108" s="229"/>
      <c r="AO108" s="229"/>
      <c r="AS108" s="229"/>
    </row>
    <row r="109" spans="5:45" s="20" customFormat="1" ht="17.25" customHeight="1">
      <c r="E109" s="229"/>
      <c r="I109" s="229"/>
      <c r="M109" s="229"/>
      <c r="Q109" s="229"/>
      <c r="U109" s="229"/>
      <c r="Y109" s="229"/>
      <c r="AC109" s="229"/>
      <c r="AG109" s="229"/>
      <c r="AK109" s="229"/>
      <c r="AO109" s="229"/>
      <c r="AS109" s="229"/>
    </row>
    <row r="110" spans="5:45" s="20" customFormat="1" ht="12.75">
      <c r="E110" s="229"/>
      <c r="I110" s="229"/>
      <c r="M110" s="229"/>
      <c r="Q110" s="229"/>
      <c r="U110" s="229"/>
      <c r="Y110" s="229"/>
      <c r="AC110" s="229"/>
      <c r="AG110" s="229"/>
      <c r="AK110" s="229"/>
      <c r="AO110" s="229"/>
      <c r="AS110" s="229"/>
    </row>
    <row r="111" spans="5:45" s="20" customFormat="1" ht="17.25" customHeight="1">
      <c r="E111" s="229"/>
      <c r="I111" s="229"/>
      <c r="M111" s="229"/>
      <c r="Q111" s="229"/>
      <c r="U111" s="229"/>
      <c r="Y111" s="229"/>
      <c r="AC111" s="229"/>
      <c r="AG111" s="229"/>
      <c r="AK111" s="229"/>
      <c r="AO111" s="229"/>
      <c r="AS111" s="229"/>
    </row>
    <row r="112" spans="5:45" s="20" customFormat="1" ht="12.75">
      <c r="E112" s="229"/>
      <c r="I112" s="229"/>
      <c r="M112" s="229"/>
      <c r="Q112" s="229"/>
      <c r="U112" s="229"/>
      <c r="Y112" s="229"/>
      <c r="AC112" s="229"/>
      <c r="AG112" s="229"/>
      <c r="AK112" s="229"/>
      <c r="AO112" s="229"/>
      <c r="AS112" s="229"/>
    </row>
    <row r="113" spans="5:45" s="20" customFormat="1" ht="17.25" customHeight="1">
      <c r="E113" s="229"/>
      <c r="I113" s="229"/>
      <c r="M113" s="229"/>
      <c r="Q113" s="229"/>
      <c r="U113" s="229"/>
      <c r="Y113" s="229"/>
      <c r="AC113" s="229"/>
      <c r="AG113" s="229"/>
      <c r="AK113" s="229"/>
      <c r="AO113" s="229"/>
      <c r="AS113" s="229"/>
    </row>
    <row r="114" spans="5:45" s="20" customFormat="1" ht="12.75">
      <c r="E114" s="229"/>
      <c r="I114" s="229"/>
      <c r="M114" s="229"/>
      <c r="Q114" s="229"/>
      <c r="U114" s="229"/>
      <c r="Y114" s="229"/>
      <c r="AC114" s="229"/>
      <c r="AG114" s="229"/>
      <c r="AK114" s="229"/>
      <c r="AO114" s="229"/>
      <c r="AS114" s="229"/>
    </row>
    <row r="115" spans="5:45" s="20" customFormat="1" ht="17.25" customHeight="1">
      <c r="E115" s="229"/>
      <c r="I115" s="229"/>
      <c r="M115" s="229"/>
      <c r="Q115" s="229"/>
      <c r="U115" s="229"/>
      <c r="Y115" s="229"/>
      <c r="AC115" s="229"/>
      <c r="AG115" s="229"/>
      <c r="AK115" s="229"/>
      <c r="AO115" s="229"/>
      <c r="AS115" s="229"/>
    </row>
    <row r="116" spans="5:45" s="20" customFormat="1" ht="12.75">
      <c r="E116" s="229"/>
      <c r="I116" s="229"/>
      <c r="M116" s="229"/>
      <c r="Q116" s="229"/>
      <c r="U116" s="229"/>
      <c r="Y116" s="229"/>
      <c r="AC116" s="229"/>
      <c r="AG116" s="229"/>
      <c r="AK116" s="229"/>
      <c r="AO116" s="229"/>
      <c r="AS116" s="229"/>
    </row>
    <row r="117" spans="5:45" s="20" customFormat="1" ht="17.25" customHeight="1">
      <c r="E117" s="229"/>
      <c r="I117" s="229"/>
      <c r="M117" s="229"/>
      <c r="Q117" s="229"/>
      <c r="U117" s="229"/>
      <c r="Y117" s="229"/>
      <c r="AC117" s="229"/>
      <c r="AG117" s="229"/>
      <c r="AK117" s="229"/>
      <c r="AO117" s="229"/>
      <c r="AS117" s="229"/>
    </row>
    <row r="118" spans="5:45" s="20" customFormat="1" ht="12.75">
      <c r="E118" s="229"/>
      <c r="I118" s="229"/>
      <c r="M118" s="229"/>
      <c r="Q118" s="229"/>
      <c r="U118" s="229"/>
      <c r="Y118" s="229"/>
      <c r="AC118" s="229"/>
      <c r="AG118" s="229"/>
      <c r="AK118" s="229"/>
      <c r="AO118" s="229"/>
      <c r="AS118" s="229"/>
    </row>
    <row r="119" spans="5:45" s="20" customFormat="1" ht="17.25" customHeight="1">
      <c r="E119" s="229"/>
      <c r="I119" s="229"/>
      <c r="M119" s="229"/>
      <c r="Q119" s="229"/>
      <c r="U119" s="229"/>
      <c r="Y119" s="229"/>
      <c r="AC119" s="229"/>
      <c r="AG119" s="229"/>
      <c r="AK119" s="229"/>
      <c r="AO119" s="229"/>
      <c r="AS119" s="229"/>
    </row>
    <row r="120" spans="5:45" s="20" customFormat="1" ht="12.75">
      <c r="E120" s="229"/>
      <c r="I120" s="229"/>
      <c r="M120" s="229"/>
      <c r="Q120" s="229"/>
      <c r="U120" s="229"/>
      <c r="Y120" s="229"/>
      <c r="AC120" s="229"/>
      <c r="AG120" s="229"/>
      <c r="AK120" s="229"/>
      <c r="AO120" s="229"/>
      <c r="AS120" s="229"/>
    </row>
    <row r="121" spans="5:45" s="20" customFormat="1" ht="17.25" customHeight="1">
      <c r="E121" s="229"/>
      <c r="I121" s="229"/>
      <c r="M121" s="229"/>
      <c r="Q121" s="229"/>
      <c r="U121" s="229"/>
      <c r="Y121" s="229"/>
      <c r="AC121" s="229"/>
      <c r="AG121" s="229"/>
      <c r="AK121" s="229"/>
      <c r="AO121" s="229"/>
      <c r="AS121" s="229"/>
    </row>
    <row r="122" spans="5:45" s="20" customFormat="1" ht="12.75">
      <c r="E122" s="229"/>
      <c r="I122" s="229"/>
      <c r="M122" s="229"/>
      <c r="Q122" s="229"/>
      <c r="U122" s="229"/>
      <c r="Y122" s="229"/>
      <c r="AC122" s="229"/>
      <c r="AG122" s="229"/>
      <c r="AK122" s="229"/>
      <c r="AO122" s="229"/>
      <c r="AS122" s="229"/>
    </row>
    <row r="123" spans="5:45" s="20" customFormat="1" ht="17.25" customHeight="1">
      <c r="E123" s="229"/>
      <c r="I123" s="229"/>
      <c r="M123" s="229"/>
      <c r="Q123" s="229"/>
      <c r="U123" s="229"/>
      <c r="Y123" s="229"/>
      <c r="AC123" s="229"/>
      <c r="AG123" s="229"/>
      <c r="AK123" s="229"/>
      <c r="AO123" s="229"/>
      <c r="AS123" s="229"/>
    </row>
    <row r="124" spans="5:45" s="20" customFormat="1" ht="12.75">
      <c r="E124" s="229"/>
      <c r="I124" s="229"/>
      <c r="M124" s="229"/>
      <c r="Q124" s="229"/>
      <c r="U124" s="229"/>
      <c r="Y124" s="229"/>
      <c r="AC124" s="229"/>
      <c r="AG124" s="229"/>
      <c r="AK124" s="229"/>
      <c r="AO124" s="229"/>
      <c r="AS124" s="229"/>
    </row>
    <row r="125" spans="5:45" s="20" customFormat="1" ht="17.25" customHeight="1">
      <c r="E125" s="229"/>
      <c r="I125" s="229"/>
      <c r="M125" s="229"/>
      <c r="Q125" s="229"/>
      <c r="U125" s="229"/>
      <c r="Y125" s="229"/>
      <c r="AC125" s="229"/>
      <c r="AG125" s="229"/>
      <c r="AK125" s="229"/>
      <c r="AO125" s="229"/>
      <c r="AS125" s="229"/>
    </row>
    <row r="126" spans="5:45" s="20" customFormat="1" ht="12.75">
      <c r="E126" s="229"/>
      <c r="I126" s="229"/>
      <c r="M126" s="229"/>
      <c r="Q126" s="229"/>
      <c r="U126" s="229"/>
      <c r="Y126" s="229"/>
      <c r="AC126" s="229"/>
      <c r="AG126" s="229"/>
      <c r="AK126" s="229"/>
      <c r="AO126" s="229"/>
      <c r="AS126" s="229"/>
    </row>
    <row r="127" spans="5:45" s="20" customFormat="1" ht="17.25" customHeight="1">
      <c r="E127" s="229"/>
      <c r="I127" s="229"/>
      <c r="M127" s="229"/>
      <c r="Q127" s="229"/>
      <c r="U127" s="229"/>
      <c r="Y127" s="229"/>
      <c r="AC127" s="229"/>
      <c r="AG127" s="229"/>
      <c r="AK127" s="229"/>
      <c r="AO127" s="229"/>
      <c r="AS127" s="229"/>
    </row>
    <row r="128" spans="5:45" s="20" customFormat="1" ht="12.75">
      <c r="E128" s="229"/>
      <c r="I128" s="229"/>
      <c r="M128" s="229"/>
      <c r="Q128" s="229"/>
      <c r="U128" s="229"/>
      <c r="Y128" s="229"/>
      <c r="AC128" s="229"/>
      <c r="AG128" s="229"/>
      <c r="AK128" s="229"/>
      <c r="AO128" s="229"/>
      <c r="AS128" s="229"/>
    </row>
    <row r="129" spans="5:45" s="20" customFormat="1" ht="17.25" customHeight="1">
      <c r="E129" s="229"/>
      <c r="I129" s="229"/>
      <c r="M129" s="229"/>
      <c r="Q129" s="229"/>
      <c r="U129" s="229"/>
      <c r="Y129" s="229"/>
      <c r="AC129" s="229"/>
      <c r="AG129" s="229"/>
      <c r="AK129" s="229"/>
      <c r="AO129" s="229"/>
      <c r="AS129" s="229"/>
    </row>
    <row r="130" spans="5:45" s="20" customFormat="1" ht="12.75">
      <c r="E130" s="229"/>
      <c r="I130" s="229"/>
      <c r="M130" s="229"/>
      <c r="Q130" s="229"/>
      <c r="U130" s="229"/>
      <c r="Y130" s="229"/>
      <c r="AC130" s="229"/>
      <c r="AG130" s="229"/>
      <c r="AK130" s="229"/>
      <c r="AO130" s="229"/>
      <c r="AS130" s="229"/>
    </row>
    <row r="131" spans="5:45" s="20" customFormat="1" ht="17.25" customHeight="1">
      <c r="E131" s="229"/>
      <c r="I131" s="229"/>
      <c r="M131" s="229"/>
      <c r="Q131" s="229"/>
      <c r="U131" s="229"/>
      <c r="Y131" s="229"/>
      <c r="AC131" s="229"/>
      <c r="AG131" s="229"/>
      <c r="AK131" s="229"/>
      <c r="AO131" s="229"/>
      <c r="AS131" s="229"/>
    </row>
    <row r="132" spans="5:45" s="20" customFormat="1" ht="12.75">
      <c r="E132" s="229"/>
      <c r="I132" s="229"/>
      <c r="M132" s="229"/>
      <c r="Q132" s="229"/>
      <c r="U132" s="229"/>
      <c r="Y132" s="229"/>
      <c r="AC132" s="229"/>
      <c r="AG132" s="229"/>
      <c r="AK132" s="229"/>
      <c r="AO132" s="229"/>
      <c r="AS132" s="229"/>
    </row>
    <row r="133" spans="5:45" s="20" customFormat="1" ht="17.25" customHeight="1">
      <c r="E133" s="229"/>
      <c r="I133" s="229"/>
      <c r="M133" s="229"/>
      <c r="Q133" s="229"/>
      <c r="U133" s="229"/>
      <c r="Y133" s="229"/>
      <c r="AC133" s="229"/>
      <c r="AG133" s="229"/>
      <c r="AK133" s="229"/>
      <c r="AO133" s="229"/>
      <c r="AS133" s="229"/>
    </row>
    <row r="134" spans="5:45" s="20" customFormat="1" ht="12.75">
      <c r="E134" s="229"/>
      <c r="I134" s="229"/>
      <c r="M134" s="229"/>
      <c r="Q134" s="229"/>
      <c r="U134" s="229"/>
      <c r="Y134" s="229"/>
      <c r="AC134" s="229"/>
      <c r="AG134" s="229"/>
      <c r="AK134" s="229"/>
      <c r="AO134" s="229"/>
      <c r="AS134" s="229"/>
    </row>
    <row r="135" spans="5:45" s="20" customFormat="1" ht="17.25" customHeight="1">
      <c r="E135" s="229"/>
      <c r="I135" s="229"/>
      <c r="M135" s="229"/>
      <c r="Q135" s="229"/>
      <c r="U135" s="229"/>
      <c r="Y135" s="229"/>
      <c r="AC135" s="229"/>
      <c r="AG135" s="229"/>
      <c r="AK135" s="229"/>
      <c r="AO135" s="229"/>
      <c r="AS135" s="229"/>
    </row>
    <row r="136" spans="5:45" s="20" customFormat="1" ht="12.75">
      <c r="E136" s="229"/>
      <c r="I136" s="229"/>
      <c r="M136" s="229"/>
      <c r="Q136" s="229"/>
      <c r="U136" s="229"/>
      <c r="Y136" s="229"/>
      <c r="AC136" s="229"/>
      <c r="AG136" s="229"/>
      <c r="AK136" s="229"/>
      <c r="AO136" s="229"/>
      <c r="AS136" s="229"/>
    </row>
    <row r="137" spans="5:45" s="20" customFormat="1" ht="17.25" customHeight="1">
      <c r="E137" s="229"/>
      <c r="I137" s="229"/>
      <c r="M137" s="229"/>
      <c r="Q137" s="229"/>
      <c r="U137" s="229"/>
      <c r="Y137" s="229"/>
      <c r="AC137" s="229"/>
      <c r="AG137" s="229"/>
      <c r="AK137" s="229"/>
      <c r="AO137" s="229"/>
      <c r="AS137" s="229"/>
    </row>
    <row r="138" spans="5:45" s="20" customFormat="1" ht="12.75">
      <c r="E138" s="229"/>
      <c r="I138" s="229"/>
      <c r="M138" s="229"/>
      <c r="Q138" s="229"/>
      <c r="U138" s="229"/>
      <c r="Y138" s="229"/>
      <c r="AC138" s="229"/>
      <c r="AG138" s="229"/>
      <c r="AK138" s="229"/>
      <c r="AO138" s="229"/>
      <c r="AS138" s="229"/>
    </row>
    <row r="139" spans="5:45" s="20" customFormat="1" ht="17.25" customHeight="1">
      <c r="E139" s="229"/>
      <c r="I139" s="229"/>
      <c r="M139" s="229"/>
      <c r="Q139" s="229"/>
      <c r="U139" s="229"/>
      <c r="Y139" s="229"/>
      <c r="AC139" s="229"/>
      <c r="AG139" s="229"/>
      <c r="AK139" s="229"/>
      <c r="AO139" s="229"/>
      <c r="AS139" s="229"/>
    </row>
    <row r="140" spans="5:45" s="20" customFormat="1" ht="12.75">
      <c r="E140" s="229"/>
      <c r="I140" s="229"/>
      <c r="M140" s="229"/>
      <c r="Q140" s="229"/>
      <c r="U140" s="229"/>
      <c r="Y140" s="229"/>
      <c r="AC140" s="229"/>
      <c r="AG140" s="229"/>
      <c r="AK140" s="229"/>
      <c r="AO140" s="229"/>
      <c r="AS140" s="229"/>
    </row>
  </sheetData>
  <mergeCells count="25">
    <mergeCell ref="A4:Y4"/>
    <mergeCell ref="Z4:AS4"/>
    <mergeCell ref="AL6:AP6"/>
    <mergeCell ref="A7:A11"/>
    <mergeCell ref="B7:E7"/>
    <mergeCell ref="F7:I7"/>
    <mergeCell ref="J7:M7"/>
    <mergeCell ref="N7:Q7"/>
    <mergeCell ref="R7:U7"/>
    <mergeCell ref="V7:Y7"/>
    <mergeCell ref="Z7:AC7"/>
    <mergeCell ref="AD7:AG7"/>
    <mergeCell ref="AH7:AS7"/>
    <mergeCell ref="B8:E10"/>
    <mergeCell ref="F8:I10"/>
    <mergeCell ref="J8:M10"/>
    <mergeCell ref="AH8:AS9"/>
    <mergeCell ref="AH10:AK10"/>
    <mergeCell ref="AL10:AO10"/>
    <mergeCell ref="AP10:AS10"/>
    <mergeCell ref="N8:Q10"/>
    <mergeCell ref="R8:U10"/>
    <mergeCell ref="V8:Y10"/>
    <mergeCell ref="Z8:AC10"/>
    <mergeCell ref="AD8:AG10"/>
  </mergeCells>
  <pageMargins left="0.7" right="0.7" top="0.75" bottom="0.75" header="0.3" footer="0.3"/>
  <pageSetup paperSize="9" scale="30" orientation="landscape" horizontalDpi="300" verticalDpi="300" r:id="rId1"/>
  <colBreaks count="1" manualBreakCount="1">
    <brk id="25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95" zoomScaleSheetLayoutView="95" workbookViewId="0"/>
  </sheetViews>
  <sheetFormatPr defaultRowHeight="15"/>
  <cols>
    <col min="1" max="1" width="39.5703125" style="25" customWidth="1"/>
    <col min="2" max="17" width="10.7109375" style="25" customWidth="1"/>
    <col min="18" max="18" width="12.140625" style="213" customWidth="1"/>
    <col min="19" max="19" width="12" style="213" customWidth="1"/>
    <col min="20" max="20" width="9.85546875" style="213" customWidth="1"/>
    <col min="21" max="21" width="10.85546875" style="213" customWidth="1"/>
    <col min="22" max="22" width="9.140625" style="213"/>
    <col min="23" max="23" width="11.140625" style="213" customWidth="1"/>
    <col min="24" max="24" width="9.140625" style="213"/>
    <col min="25" max="25" width="11.42578125" style="213" customWidth="1"/>
    <col min="26" max="26" width="12.28515625" style="213" customWidth="1"/>
    <col min="27" max="256" width="9.140625" style="213"/>
    <col min="257" max="257" width="39.5703125" style="213" customWidth="1"/>
    <col min="258" max="273" width="10.7109375" style="213" customWidth="1"/>
    <col min="274" max="274" width="12.140625" style="213" customWidth="1"/>
    <col min="275" max="275" width="12" style="213" customWidth="1"/>
    <col min="276" max="276" width="9.85546875" style="213" customWidth="1"/>
    <col min="277" max="277" width="10.85546875" style="213" customWidth="1"/>
    <col min="278" max="278" width="9.140625" style="213"/>
    <col min="279" max="279" width="11.140625" style="213" customWidth="1"/>
    <col min="280" max="280" width="9.140625" style="213"/>
    <col min="281" max="281" width="11.42578125" style="213" customWidth="1"/>
    <col min="282" max="282" width="12.28515625" style="213" customWidth="1"/>
    <col min="283" max="512" width="9.140625" style="213"/>
    <col min="513" max="513" width="39.5703125" style="213" customWidth="1"/>
    <col min="514" max="529" width="10.7109375" style="213" customWidth="1"/>
    <col min="530" max="530" width="12.140625" style="213" customWidth="1"/>
    <col min="531" max="531" width="12" style="213" customWidth="1"/>
    <col min="532" max="532" width="9.85546875" style="213" customWidth="1"/>
    <col min="533" max="533" width="10.85546875" style="213" customWidth="1"/>
    <col min="534" max="534" width="9.140625" style="213"/>
    <col min="535" max="535" width="11.140625" style="213" customWidth="1"/>
    <col min="536" max="536" width="9.140625" style="213"/>
    <col min="537" max="537" width="11.42578125" style="213" customWidth="1"/>
    <col min="538" max="538" width="12.28515625" style="213" customWidth="1"/>
    <col min="539" max="768" width="9.140625" style="213"/>
    <col min="769" max="769" width="39.5703125" style="213" customWidth="1"/>
    <col min="770" max="785" width="10.7109375" style="213" customWidth="1"/>
    <col min="786" max="786" width="12.140625" style="213" customWidth="1"/>
    <col min="787" max="787" width="12" style="213" customWidth="1"/>
    <col min="788" max="788" width="9.85546875" style="213" customWidth="1"/>
    <col min="789" max="789" width="10.85546875" style="213" customWidth="1"/>
    <col min="790" max="790" width="9.140625" style="213"/>
    <col min="791" max="791" width="11.140625" style="213" customWidth="1"/>
    <col min="792" max="792" width="9.140625" style="213"/>
    <col min="793" max="793" width="11.42578125" style="213" customWidth="1"/>
    <col min="794" max="794" width="12.28515625" style="213" customWidth="1"/>
    <col min="795" max="1024" width="9.140625" style="213"/>
    <col min="1025" max="1025" width="39.5703125" style="213" customWidth="1"/>
    <col min="1026" max="1041" width="10.7109375" style="213" customWidth="1"/>
    <col min="1042" max="1042" width="12.140625" style="213" customWidth="1"/>
    <col min="1043" max="1043" width="12" style="213" customWidth="1"/>
    <col min="1044" max="1044" width="9.85546875" style="213" customWidth="1"/>
    <col min="1045" max="1045" width="10.85546875" style="213" customWidth="1"/>
    <col min="1046" max="1046" width="9.140625" style="213"/>
    <col min="1047" max="1047" width="11.140625" style="213" customWidth="1"/>
    <col min="1048" max="1048" width="9.140625" style="213"/>
    <col min="1049" max="1049" width="11.42578125" style="213" customWidth="1"/>
    <col min="1050" max="1050" width="12.28515625" style="213" customWidth="1"/>
    <col min="1051" max="1280" width="9.140625" style="213"/>
    <col min="1281" max="1281" width="39.5703125" style="213" customWidth="1"/>
    <col min="1282" max="1297" width="10.7109375" style="213" customWidth="1"/>
    <col min="1298" max="1298" width="12.140625" style="213" customWidth="1"/>
    <col min="1299" max="1299" width="12" style="213" customWidth="1"/>
    <col min="1300" max="1300" width="9.85546875" style="213" customWidth="1"/>
    <col min="1301" max="1301" width="10.85546875" style="213" customWidth="1"/>
    <col min="1302" max="1302" width="9.140625" style="213"/>
    <col min="1303" max="1303" width="11.140625" style="213" customWidth="1"/>
    <col min="1304" max="1304" width="9.140625" style="213"/>
    <col min="1305" max="1305" width="11.42578125" style="213" customWidth="1"/>
    <col min="1306" max="1306" width="12.28515625" style="213" customWidth="1"/>
    <col min="1307" max="1536" width="9.140625" style="213"/>
    <col min="1537" max="1537" width="39.5703125" style="213" customWidth="1"/>
    <col min="1538" max="1553" width="10.7109375" style="213" customWidth="1"/>
    <col min="1554" max="1554" width="12.140625" style="213" customWidth="1"/>
    <col min="1555" max="1555" width="12" style="213" customWidth="1"/>
    <col min="1556" max="1556" width="9.85546875" style="213" customWidth="1"/>
    <col min="1557" max="1557" width="10.85546875" style="213" customWidth="1"/>
    <col min="1558" max="1558" width="9.140625" style="213"/>
    <col min="1559" max="1559" width="11.140625" style="213" customWidth="1"/>
    <col min="1560" max="1560" width="9.140625" style="213"/>
    <col min="1561" max="1561" width="11.42578125" style="213" customWidth="1"/>
    <col min="1562" max="1562" width="12.28515625" style="213" customWidth="1"/>
    <col min="1563" max="1792" width="9.140625" style="213"/>
    <col min="1793" max="1793" width="39.5703125" style="213" customWidth="1"/>
    <col min="1794" max="1809" width="10.7109375" style="213" customWidth="1"/>
    <col min="1810" max="1810" width="12.140625" style="213" customWidth="1"/>
    <col min="1811" max="1811" width="12" style="213" customWidth="1"/>
    <col min="1812" max="1812" width="9.85546875" style="213" customWidth="1"/>
    <col min="1813" max="1813" width="10.85546875" style="213" customWidth="1"/>
    <col min="1814" max="1814" width="9.140625" style="213"/>
    <col min="1815" max="1815" width="11.140625" style="213" customWidth="1"/>
    <col min="1816" max="1816" width="9.140625" style="213"/>
    <col min="1817" max="1817" width="11.42578125" style="213" customWidth="1"/>
    <col min="1818" max="1818" width="12.28515625" style="213" customWidth="1"/>
    <col min="1819" max="2048" width="9.140625" style="213"/>
    <col min="2049" max="2049" width="39.5703125" style="213" customWidth="1"/>
    <col min="2050" max="2065" width="10.7109375" style="213" customWidth="1"/>
    <col min="2066" max="2066" width="12.140625" style="213" customWidth="1"/>
    <col min="2067" max="2067" width="12" style="213" customWidth="1"/>
    <col min="2068" max="2068" width="9.85546875" style="213" customWidth="1"/>
    <col min="2069" max="2069" width="10.85546875" style="213" customWidth="1"/>
    <col min="2070" max="2070" width="9.140625" style="213"/>
    <col min="2071" max="2071" width="11.140625" style="213" customWidth="1"/>
    <col min="2072" max="2072" width="9.140625" style="213"/>
    <col min="2073" max="2073" width="11.42578125" style="213" customWidth="1"/>
    <col min="2074" max="2074" width="12.28515625" style="213" customWidth="1"/>
    <col min="2075" max="2304" width="9.140625" style="213"/>
    <col min="2305" max="2305" width="39.5703125" style="213" customWidth="1"/>
    <col min="2306" max="2321" width="10.7109375" style="213" customWidth="1"/>
    <col min="2322" max="2322" width="12.140625" style="213" customWidth="1"/>
    <col min="2323" max="2323" width="12" style="213" customWidth="1"/>
    <col min="2324" max="2324" width="9.85546875" style="213" customWidth="1"/>
    <col min="2325" max="2325" width="10.85546875" style="213" customWidth="1"/>
    <col min="2326" max="2326" width="9.140625" style="213"/>
    <col min="2327" max="2327" width="11.140625" style="213" customWidth="1"/>
    <col min="2328" max="2328" width="9.140625" style="213"/>
    <col min="2329" max="2329" width="11.42578125" style="213" customWidth="1"/>
    <col min="2330" max="2330" width="12.28515625" style="213" customWidth="1"/>
    <col min="2331" max="2560" width="9.140625" style="213"/>
    <col min="2561" max="2561" width="39.5703125" style="213" customWidth="1"/>
    <col min="2562" max="2577" width="10.7109375" style="213" customWidth="1"/>
    <col min="2578" max="2578" width="12.140625" style="213" customWidth="1"/>
    <col min="2579" max="2579" width="12" style="213" customWidth="1"/>
    <col min="2580" max="2580" width="9.85546875" style="213" customWidth="1"/>
    <col min="2581" max="2581" width="10.85546875" style="213" customWidth="1"/>
    <col min="2582" max="2582" width="9.140625" style="213"/>
    <col min="2583" max="2583" width="11.140625" style="213" customWidth="1"/>
    <col min="2584" max="2584" width="9.140625" style="213"/>
    <col min="2585" max="2585" width="11.42578125" style="213" customWidth="1"/>
    <col min="2586" max="2586" width="12.28515625" style="213" customWidth="1"/>
    <col min="2587" max="2816" width="9.140625" style="213"/>
    <col min="2817" max="2817" width="39.5703125" style="213" customWidth="1"/>
    <col min="2818" max="2833" width="10.7109375" style="213" customWidth="1"/>
    <col min="2834" max="2834" width="12.140625" style="213" customWidth="1"/>
    <col min="2835" max="2835" width="12" style="213" customWidth="1"/>
    <col min="2836" max="2836" width="9.85546875" style="213" customWidth="1"/>
    <col min="2837" max="2837" width="10.85546875" style="213" customWidth="1"/>
    <col min="2838" max="2838" width="9.140625" style="213"/>
    <col min="2839" max="2839" width="11.140625" style="213" customWidth="1"/>
    <col min="2840" max="2840" width="9.140625" style="213"/>
    <col min="2841" max="2841" width="11.42578125" style="213" customWidth="1"/>
    <col min="2842" max="2842" width="12.28515625" style="213" customWidth="1"/>
    <col min="2843" max="3072" width="9.140625" style="213"/>
    <col min="3073" max="3073" width="39.5703125" style="213" customWidth="1"/>
    <col min="3074" max="3089" width="10.7109375" style="213" customWidth="1"/>
    <col min="3090" max="3090" width="12.140625" style="213" customWidth="1"/>
    <col min="3091" max="3091" width="12" style="213" customWidth="1"/>
    <col min="3092" max="3092" width="9.85546875" style="213" customWidth="1"/>
    <col min="3093" max="3093" width="10.85546875" style="213" customWidth="1"/>
    <col min="3094" max="3094" width="9.140625" style="213"/>
    <col min="3095" max="3095" width="11.140625" style="213" customWidth="1"/>
    <col min="3096" max="3096" width="9.140625" style="213"/>
    <col min="3097" max="3097" width="11.42578125" style="213" customWidth="1"/>
    <col min="3098" max="3098" width="12.28515625" style="213" customWidth="1"/>
    <col min="3099" max="3328" width="9.140625" style="213"/>
    <col min="3329" max="3329" width="39.5703125" style="213" customWidth="1"/>
    <col min="3330" max="3345" width="10.7109375" style="213" customWidth="1"/>
    <col min="3346" max="3346" width="12.140625" style="213" customWidth="1"/>
    <col min="3347" max="3347" width="12" style="213" customWidth="1"/>
    <col min="3348" max="3348" width="9.85546875" style="213" customWidth="1"/>
    <col min="3349" max="3349" width="10.85546875" style="213" customWidth="1"/>
    <col min="3350" max="3350" width="9.140625" style="213"/>
    <col min="3351" max="3351" width="11.140625" style="213" customWidth="1"/>
    <col min="3352" max="3352" width="9.140625" style="213"/>
    <col min="3353" max="3353" width="11.42578125" style="213" customWidth="1"/>
    <col min="3354" max="3354" width="12.28515625" style="213" customWidth="1"/>
    <col min="3355" max="3584" width="9.140625" style="213"/>
    <col min="3585" max="3585" width="39.5703125" style="213" customWidth="1"/>
    <col min="3586" max="3601" width="10.7109375" style="213" customWidth="1"/>
    <col min="3602" max="3602" width="12.140625" style="213" customWidth="1"/>
    <col min="3603" max="3603" width="12" style="213" customWidth="1"/>
    <col min="3604" max="3604" width="9.85546875" style="213" customWidth="1"/>
    <col min="3605" max="3605" width="10.85546875" style="213" customWidth="1"/>
    <col min="3606" max="3606" width="9.140625" style="213"/>
    <col min="3607" max="3607" width="11.140625" style="213" customWidth="1"/>
    <col min="3608" max="3608" width="9.140625" style="213"/>
    <col min="3609" max="3609" width="11.42578125" style="213" customWidth="1"/>
    <col min="3610" max="3610" width="12.28515625" style="213" customWidth="1"/>
    <col min="3611" max="3840" width="9.140625" style="213"/>
    <col min="3841" max="3841" width="39.5703125" style="213" customWidth="1"/>
    <col min="3842" max="3857" width="10.7109375" style="213" customWidth="1"/>
    <col min="3858" max="3858" width="12.140625" style="213" customWidth="1"/>
    <col min="3859" max="3859" width="12" style="213" customWidth="1"/>
    <col min="3860" max="3860" width="9.85546875" style="213" customWidth="1"/>
    <col min="3861" max="3861" width="10.85546875" style="213" customWidth="1"/>
    <col min="3862" max="3862" width="9.140625" style="213"/>
    <col min="3863" max="3863" width="11.140625" style="213" customWidth="1"/>
    <col min="3864" max="3864" width="9.140625" style="213"/>
    <col min="3865" max="3865" width="11.42578125" style="213" customWidth="1"/>
    <col min="3866" max="3866" width="12.28515625" style="213" customWidth="1"/>
    <col min="3867" max="4096" width="9.140625" style="213"/>
    <col min="4097" max="4097" width="39.5703125" style="213" customWidth="1"/>
    <col min="4098" max="4113" width="10.7109375" style="213" customWidth="1"/>
    <col min="4114" max="4114" width="12.140625" style="213" customWidth="1"/>
    <col min="4115" max="4115" width="12" style="213" customWidth="1"/>
    <col min="4116" max="4116" width="9.85546875" style="213" customWidth="1"/>
    <col min="4117" max="4117" width="10.85546875" style="213" customWidth="1"/>
    <col min="4118" max="4118" width="9.140625" style="213"/>
    <col min="4119" max="4119" width="11.140625" style="213" customWidth="1"/>
    <col min="4120" max="4120" width="9.140625" style="213"/>
    <col min="4121" max="4121" width="11.42578125" style="213" customWidth="1"/>
    <col min="4122" max="4122" width="12.28515625" style="213" customWidth="1"/>
    <col min="4123" max="4352" width="9.140625" style="213"/>
    <col min="4353" max="4353" width="39.5703125" style="213" customWidth="1"/>
    <col min="4354" max="4369" width="10.7109375" style="213" customWidth="1"/>
    <col min="4370" max="4370" width="12.140625" style="213" customWidth="1"/>
    <col min="4371" max="4371" width="12" style="213" customWidth="1"/>
    <col min="4372" max="4372" width="9.85546875" style="213" customWidth="1"/>
    <col min="4373" max="4373" width="10.85546875" style="213" customWidth="1"/>
    <col min="4374" max="4374" width="9.140625" style="213"/>
    <col min="4375" max="4375" width="11.140625" style="213" customWidth="1"/>
    <col min="4376" max="4376" width="9.140625" style="213"/>
    <col min="4377" max="4377" width="11.42578125" style="213" customWidth="1"/>
    <col min="4378" max="4378" width="12.28515625" style="213" customWidth="1"/>
    <col min="4379" max="4608" width="9.140625" style="213"/>
    <col min="4609" max="4609" width="39.5703125" style="213" customWidth="1"/>
    <col min="4610" max="4625" width="10.7109375" style="213" customWidth="1"/>
    <col min="4626" max="4626" width="12.140625" style="213" customWidth="1"/>
    <col min="4627" max="4627" width="12" style="213" customWidth="1"/>
    <col min="4628" max="4628" width="9.85546875" style="213" customWidth="1"/>
    <col min="4629" max="4629" width="10.85546875" style="213" customWidth="1"/>
    <col min="4630" max="4630" width="9.140625" style="213"/>
    <col min="4631" max="4631" width="11.140625" style="213" customWidth="1"/>
    <col min="4632" max="4632" width="9.140625" style="213"/>
    <col min="4633" max="4633" width="11.42578125" style="213" customWidth="1"/>
    <col min="4634" max="4634" width="12.28515625" style="213" customWidth="1"/>
    <col min="4635" max="4864" width="9.140625" style="213"/>
    <col min="4865" max="4865" width="39.5703125" style="213" customWidth="1"/>
    <col min="4866" max="4881" width="10.7109375" style="213" customWidth="1"/>
    <col min="4882" max="4882" width="12.140625" style="213" customWidth="1"/>
    <col min="4883" max="4883" width="12" style="213" customWidth="1"/>
    <col min="4884" max="4884" width="9.85546875" style="213" customWidth="1"/>
    <col min="4885" max="4885" width="10.85546875" style="213" customWidth="1"/>
    <col min="4886" max="4886" width="9.140625" style="213"/>
    <col min="4887" max="4887" width="11.140625" style="213" customWidth="1"/>
    <col min="4888" max="4888" width="9.140625" style="213"/>
    <col min="4889" max="4889" width="11.42578125" style="213" customWidth="1"/>
    <col min="4890" max="4890" width="12.28515625" style="213" customWidth="1"/>
    <col min="4891" max="5120" width="9.140625" style="213"/>
    <col min="5121" max="5121" width="39.5703125" style="213" customWidth="1"/>
    <col min="5122" max="5137" width="10.7109375" style="213" customWidth="1"/>
    <col min="5138" max="5138" width="12.140625" style="213" customWidth="1"/>
    <col min="5139" max="5139" width="12" style="213" customWidth="1"/>
    <col min="5140" max="5140" width="9.85546875" style="213" customWidth="1"/>
    <col min="5141" max="5141" width="10.85546875" style="213" customWidth="1"/>
    <col min="5142" max="5142" width="9.140625" style="213"/>
    <col min="5143" max="5143" width="11.140625" style="213" customWidth="1"/>
    <col min="5144" max="5144" width="9.140625" style="213"/>
    <col min="5145" max="5145" width="11.42578125" style="213" customWidth="1"/>
    <col min="5146" max="5146" width="12.28515625" style="213" customWidth="1"/>
    <col min="5147" max="5376" width="9.140625" style="213"/>
    <col min="5377" max="5377" width="39.5703125" style="213" customWidth="1"/>
    <col min="5378" max="5393" width="10.7109375" style="213" customWidth="1"/>
    <col min="5394" max="5394" width="12.140625" style="213" customWidth="1"/>
    <col min="5395" max="5395" width="12" style="213" customWidth="1"/>
    <col min="5396" max="5396" width="9.85546875" style="213" customWidth="1"/>
    <col min="5397" max="5397" width="10.85546875" style="213" customWidth="1"/>
    <col min="5398" max="5398" width="9.140625" style="213"/>
    <col min="5399" max="5399" width="11.140625" style="213" customWidth="1"/>
    <col min="5400" max="5400" width="9.140625" style="213"/>
    <col min="5401" max="5401" width="11.42578125" style="213" customWidth="1"/>
    <col min="5402" max="5402" width="12.28515625" style="213" customWidth="1"/>
    <col min="5403" max="5632" width="9.140625" style="213"/>
    <col min="5633" max="5633" width="39.5703125" style="213" customWidth="1"/>
    <col min="5634" max="5649" width="10.7109375" style="213" customWidth="1"/>
    <col min="5650" max="5650" width="12.140625" style="213" customWidth="1"/>
    <col min="5651" max="5651" width="12" style="213" customWidth="1"/>
    <col min="5652" max="5652" width="9.85546875" style="213" customWidth="1"/>
    <col min="5653" max="5653" width="10.85546875" style="213" customWidth="1"/>
    <col min="5654" max="5654" width="9.140625" style="213"/>
    <col min="5655" max="5655" width="11.140625" style="213" customWidth="1"/>
    <col min="5656" max="5656" width="9.140625" style="213"/>
    <col min="5657" max="5657" width="11.42578125" style="213" customWidth="1"/>
    <col min="5658" max="5658" width="12.28515625" style="213" customWidth="1"/>
    <col min="5659" max="5888" width="9.140625" style="213"/>
    <col min="5889" max="5889" width="39.5703125" style="213" customWidth="1"/>
    <col min="5890" max="5905" width="10.7109375" style="213" customWidth="1"/>
    <col min="5906" max="5906" width="12.140625" style="213" customWidth="1"/>
    <col min="5907" max="5907" width="12" style="213" customWidth="1"/>
    <col min="5908" max="5908" width="9.85546875" style="213" customWidth="1"/>
    <col min="5909" max="5909" width="10.85546875" style="213" customWidth="1"/>
    <col min="5910" max="5910" width="9.140625" style="213"/>
    <col min="5911" max="5911" width="11.140625" style="213" customWidth="1"/>
    <col min="5912" max="5912" width="9.140625" style="213"/>
    <col min="5913" max="5913" width="11.42578125" style="213" customWidth="1"/>
    <col min="5914" max="5914" width="12.28515625" style="213" customWidth="1"/>
    <col min="5915" max="6144" width="9.140625" style="213"/>
    <col min="6145" max="6145" width="39.5703125" style="213" customWidth="1"/>
    <col min="6146" max="6161" width="10.7109375" style="213" customWidth="1"/>
    <col min="6162" max="6162" width="12.140625" style="213" customWidth="1"/>
    <col min="6163" max="6163" width="12" style="213" customWidth="1"/>
    <col min="6164" max="6164" width="9.85546875" style="213" customWidth="1"/>
    <col min="6165" max="6165" width="10.85546875" style="213" customWidth="1"/>
    <col min="6166" max="6166" width="9.140625" style="213"/>
    <col min="6167" max="6167" width="11.140625" style="213" customWidth="1"/>
    <col min="6168" max="6168" width="9.140625" style="213"/>
    <col min="6169" max="6169" width="11.42578125" style="213" customWidth="1"/>
    <col min="6170" max="6170" width="12.28515625" style="213" customWidth="1"/>
    <col min="6171" max="6400" width="9.140625" style="213"/>
    <col min="6401" max="6401" width="39.5703125" style="213" customWidth="1"/>
    <col min="6402" max="6417" width="10.7109375" style="213" customWidth="1"/>
    <col min="6418" max="6418" width="12.140625" style="213" customWidth="1"/>
    <col min="6419" max="6419" width="12" style="213" customWidth="1"/>
    <col min="6420" max="6420" width="9.85546875" style="213" customWidth="1"/>
    <col min="6421" max="6421" width="10.85546875" style="213" customWidth="1"/>
    <col min="6422" max="6422" width="9.140625" style="213"/>
    <col min="6423" max="6423" width="11.140625" style="213" customWidth="1"/>
    <col min="6424" max="6424" width="9.140625" style="213"/>
    <col min="6425" max="6425" width="11.42578125" style="213" customWidth="1"/>
    <col min="6426" max="6426" width="12.28515625" style="213" customWidth="1"/>
    <col min="6427" max="6656" width="9.140625" style="213"/>
    <col min="6657" max="6657" width="39.5703125" style="213" customWidth="1"/>
    <col min="6658" max="6673" width="10.7109375" style="213" customWidth="1"/>
    <col min="6674" max="6674" width="12.140625" style="213" customWidth="1"/>
    <col min="6675" max="6675" width="12" style="213" customWidth="1"/>
    <col min="6676" max="6676" width="9.85546875" style="213" customWidth="1"/>
    <col min="6677" max="6677" width="10.85546875" style="213" customWidth="1"/>
    <col min="6678" max="6678" width="9.140625" style="213"/>
    <col min="6679" max="6679" width="11.140625" style="213" customWidth="1"/>
    <col min="6680" max="6680" width="9.140625" style="213"/>
    <col min="6681" max="6681" width="11.42578125" style="213" customWidth="1"/>
    <col min="6682" max="6682" width="12.28515625" style="213" customWidth="1"/>
    <col min="6683" max="6912" width="9.140625" style="213"/>
    <col min="6913" max="6913" width="39.5703125" style="213" customWidth="1"/>
    <col min="6914" max="6929" width="10.7109375" style="213" customWidth="1"/>
    <col min="6930" max="6930" width="12.140625" style="213" customWidth="1"/>
    <col min="6931" max="6931" width="12" style="213" customWidth="1"/>
    <col min="6932" max="6932" width="9.85546875" style="213" customWidth="1"/>
    <col min="6933" max="6933" width="10.85546875" style="213" customWidth="1"/>
    <col min="6934" max="6934" width="9.140625" style="213"/>
    <col min="6935" max="6935" width="11.140625" style="213" customWidth="1"/>
    <col min="6936" max="6936" width="9.140625" style="213"/>
    <col min="6937" max="6937" width="11.42578125" style="213" customWidth="1"/>
    <col min="6938" max="6938" width="12.28515625" style="213" customWidth="1"/>
    <col min="6939" max="7168" width="9.140625" style="213"/>
    <col min="7169" max="7169" width="39.5703125" style="213" customWidth="1"/>
    <col min="7170" max="7185" width="10.7109375" style="213" customWidth="1"/>
    <col min="7186" max="7186" width="12.140625" style="213" customWidth="1"/>
    <col min="7187" max="7187" width="12" style="213" customWidth="1"/>
    <col min="7188" max="7188" width="9.85546875" style="213" customWidth="1"/>
    <col min="7189" max="7189" width="10.85546875" style="213" customWidth="1"/>
    <col min="7190" max="7190" width="9.140625" style="213"/>
    <col min="7191" max="7191" width="11.140625" style="213" customWidth="1"/>
    <col min="7192" max="7192" width="9.140625" style="213"/>
    <col min="7193" max="7193" width="11.42578125" style="213" customWidth="1"/>
    <col min="7194" max="7194" width="12.28515625" style="213" customWidth="1"/>
    <col min="7195" max="7424" width="9.140625" style="213"/>
    <col min="7425" max="7425" width="39.5703125" style="213" customWidth="1"/>
    <col min="7426" max="7441" width="10.7109375" style="213" customWidth="1"/>
    <col min="7442" max="7442" width="12.140625" style="213" customWidth="1"/>
    <col min="7443" max="7443" width="12" style="213" customWidth="1"/>
    <col min="7444" max="7444" width="9.85546875" style="213" customWidth="1"/>
    <col min="7445" max="7445" width="10.85546875" style="213" customWidth="1"/>
    <col min="7446" max="7446" width="9.140625" style="213"/>
    <col min="7447" max="7447" width="11.140625" style="213" customWidth="1"/>
    <col min="7448" max="7448" width="9.140625" style="213"/>
    <col min="7449" max="7449" width="11.42578125" style="213" customWidth="1"/>
    <col min="7450" max="7450" width="12.28515625" style="213" customWidth="1"/>
    <col min="7451" max="7680" width="9.140625" style="213"/>
    <col min="7681" max="7681" width="39.5703125" style="213" customWidth="1"/>
    <col min="7682" max="7697" width="10.7109375" style="213" customWidth="1"/>
    <col min="7698" max="7698" width="12.140625" style="213" customWidth="1"/>
    <col min="7699" max="7699" width="12" style="213" customWidth="1"/>
    <col min="7700" max="7700" width="9.85546875" style="213" customWidth="1"/>
    <col min="7701" max="7701" width="10.85546875" style="213" customWidth="1"/>
    <col min="7702" max="7702" width="9.140625" style="213"/>
    <col min="7703" max="7703" width="11.140625" style="213" customWidth="1"/>
    <col min="7704" max="7704" width="9.140625" style="213"/>
    <col min="7705" max="7705" width="11.42578125" style="213" customWidth="1"/>
    <col min="7706" max="7706" width="12.28515625" style="213" customWidth="1"/>
    <col min="7707" max="7936" width="9.140625" style="213"/>
    <col min="7937" max="7937" width="39.5703125" style="213" customWidth="1"/>
    <col min="7938" max="7953" width="10.7109375" style="213" customWidth="1"/>
    <col min="7954" max="7954" width="12.140625" style="213" customWidth="1"/>
    <col min="7955" max="7955" width="12" style="213" customWidth="1"/>
    <col min="7956" max="7956" width="9.85546875" style="213" customWidth="1"/>
    <col min="7957" max="7957" width="10.85546875" style="213" customWidth="1"/>
    <col min="7958" max="7958" width="9.140625" style="213"/>
    <col min="7959" max="7959" width="11.140625" style="213" customWidth="1"/>
    <col min="7960" max="7960" width="9.140625" style="213"/>
    <col min="7961" max="7961" width="11.42578125" style="213" customWidth="1"/>
    <col min="7962" max="7962" width="12.28515625" style="213" customWidth="1"/>
    <col min="7963" max="8192" width="9.140625" style="213"/>
    <col min="8193" max="8193" width="39.5703125" style="213" customWidth="1"/>
    <col min="8194" max="8209" width="10.7109375" style="213" customWidth="1"/>
    <col min="8210" max="8210" width="12.140625" style="213" customWidth="1"/>
    <col min="8211" max="8211" width="12" style="213" customWidth="1"/>
    <col min="8212" max="8212" width="9.85546875" style="213" customWidth="1"/>
    <col min="8213" max="8213" width="10.85546875" style="213" customWidth="1"/>
    <col min="8214" max="8214" width="9.140625" style="213"/>
    <col min="8215" max="8215" width="11.140625" style="213" customWidth="1"/>
    <col min="8216" max="8216" width="9.140625" style="213"/>
    <col min="8217" max="8217" width="11.42578125" style="213" customWidth="1"/>
    <col min="8218" max="8218" width="12.28515625" style="213" customWidth="1"/>
    <col min="8219" max="8448" width="9.140625" style="213"/>
    <col min="8449" max="8449" width="39.5703125" style="213" customWidth="1"/>
    <col min="8450" max="8465" width="10.7109375" style="213" customWidth="1"/>
    <col min="8466" max="8466" width="12.140625" style="213" customWidth="1"/>
    <col min="8467" max="8467" width="12" style="213" customWidth="1"/>
    <col min="8468" max="8468" width="9.85546875" style="213" customWidth="1"/>
    <col min="8469" max="8469" width="10.85546875" style="213" customWidth="1"/>
    <col min="8470" max="8470" width="9.140625" style="213"/>
    <col min="8471" max="8471" width="11.140625" style="213" customWidth="1"/>
    <col min="8472" max="8472" width="9.140625" style="213"/>
    <col min="8473" max="8473" width="11.42578125" style="213" customWidth="1"/>
    <col min="8474" max="8474" width="12.28515625" style="213" customWidth="1"/>
    <col min="8475" max="8704" width="9.140625" style="213"/>
    <col min="8705" max="8705" width="39.5703125" style="213" customWidth="1"/>
    <col min="8706" max="8721" width="10.7109375" style="213" customWidth="1"/>
    <col min="8722" max="8722" width="12.140625" style="213" customWidth="1"/>
    <col min="8723" max="8723" width="12" style="213" customWidth="1"/>
    <col min="8724" max="8724" width="9.85546875" style="213" customWidth="1"/>
    <col min="8725" max="8725" width="10.85546875" style="213" customWidth="1"/>
    <col min="8726" max="8726" width="9.140625" style="213"/>
    <col min="8727" max="8727" width="11.140625" style="213" customWidth="1"/>
    <col min="8728" max="8728" width="9.140625" style="213"/>
    <col min="8729" max="8729" width="11.42578125" style="213" customWidth="1"/>
    <col min="8730" max="8730" width="12.28515625" style="213" customWidth="1"/>
    <col min="8731" max="8960" width="9.140625" style="213"/>
    <col min="8961" max="8961" width="39.5703125" style="213" customWidth="1"/>
    <col min="8962" max="8977" width="10.7109375" style="213" customWidth="1"/>
    <col min="8978" max="8978" width="12.140625" style="213" customWidth="1"/>
    <col min="8979" max="8979" width="12" style="213" customWidth="1"/>
    <col min="8980" max="8980" width="9.85546875" style="213" customWidth="1"/>
    <col min="8981" max="8981" width="10.85546875" style="213" customWidth="1"/>
    <col min="8982" max="8982" width="9.140625" style="213"/>
    <col min="8983" max="8983" width="11.140625" style="213" customWidth="1"/>
    <col min="8984" max="8984" width="9.140625" style="213"/>
    <col min="8985" max="8985" width="11.42578125" style="213" customWidth="1"/>
    <col min="8986" max="8986" width="12.28515625" style="213" customWidth="1"/>
    <col min="8987" max="9216" width="9.140625" style="213"/>
    <col min="9217" max="9217" width="39.5703125" style="213" customWidth="1"/>
    <col min="9218" max="9233" width="10.7109375" style="213" customWidth="1"/>
    <col min="9234" max="9234" width="12.140625" style="213" customWidth="1"/>
    <col min="9235" max="9235" width="12" style="213" customWidth="1"/>
    <col min="9236" max="9236" width="9.85546875" style="213" customWidth="1"/>
    <col min="9237" max="9237" width="10.85546875" style="213" customWidth="1"/>
    <col min="9238" max="9238" width="9.140625" style="213"/>
    <col min="9239" max="9239" width="11.140625" style="213" customWidth="1"/>
    <col min="9240" max="9240" width="9.140625" style="213"/>
    <col min="9241" max="9241" width="11.42578125" style="213" customWidth="1"/>
    <col min="9242" max="9242" width="12.28515625" style="213" customWidth="1"/>
    <col min="9243" max="9472" width="9.140625" style="213"/>
    <col min="9473" max="9473" width="39.5703125" style="213" customWidth="1"/>
    <col min="9474" max="9489" width="10.7109375" style="213" customWidth="1"/>
    <col min="9490" max="9490" width="12.140625" style="213" customWidth="1"/>
    <col min="9491" max="9491" width="12" style="213" customWidth="1"/>
    <col min="9492" max="9492" width="9.85546875" style="213" customWidth="1"/>
    <col min="9493" max="9493" width="10.85546875" style="213" customWidth="1"/>
    <col min="9494" max="9494" width="9.140625" style="213"/>
    <col min="9495" max="9495" width="11.140625" style="213" customWidth="1"/>
    <col min="9496" max="9496" width="9.140625" style="213"/>
    <col min="9497" max="9497" width="11.42578125" style="213" customWidth="1"/>
    <col min="9498" max="9498" width="12.28515625" style="213" customWidth="1"/>
    <col min="9499" max="9728" width="9.140625" style="213"/>
    <col min="9729" max="9729" width="39.5703125" style="213" customWidth="1"/>
    <col min="9730" max="9745" width="10.7109375" style="213" customWidth="1"/>
    <col min="9746" max="9746" width="12.140625" style="213" customWidth="1"/>
    <col min="9747" max="9747" width="12" style="213" customWidth="1"/>
    <col min="9748" max="9748" width="9.85546875" style="213" customWidth="1"/>
    <col min="9749" max="9749" width="10.85546875" style="213" customWidth="1"/>
    <col min="9750" max="9750" width="9.140625" style="213"/>
    <col min="9751" max="9751" width="11.140625" style="213" customWidth="1"/>
    <col min="9752" max="9752" width="9.140625" style="213"/>
    <col min="9753" max="9753" width="11.42578125" style="213" customWidth="1"/>
    <col min="9754" max="9754" width="12.28515625" style="213" customWidth="1"/>
    <col min="9755" max="9984" width="9.140625" style="213"/>
    <col min="9985" max="9985" width="39.5703125" style="213" customWidth="1"/>
    <col min="9986" max="10001" width="10.7109375" style="213" customWidth="1"/>
    <col min="10002" max="10002" width="12.140625" style="213" customWidth="1"/>
    <col min="10003" max="10003" width="12" style="213" customWidth="1"/>
    <col min="10004" max="10004" width="9.85546875" style="213" customWidth="1"/>
    <col min="10005" max="10005" width="10.85546875" style="213" customWidth="1"/>
    <col min="10006" max="10006" width="9.140625" style="213"/>
    <col min="10007" max="10007" width="11.140625" style="213" customWidth="1"/>
    <col min="10008" max="10008" width="9.140625" style="213"/>
    <col min="10009" max="10009" width="11.42578125" style="213" customWidth="1"/>
    <col min="10010" max="10010" width="12.28515625" style="213" customWidth="1"/>
    <col min="10011" max="10240" width="9.140625" style="213"/>
    <col min="10241" max="10241" width="39.5703125" style="213" customWidth="1"/>
    <col min="10242" max="10257" width="10.7109375" style="213" customWidth="1"/>
    <col min="10258" max="10258" width="12.140625" style="213" customWidth="1"/>
    <col min="10259" max="10259" width="12" style="213" customWidth="1"/>
    <col min="10260" max="10260" width="9.85546875" style="213" customWidth="1"/>
    <col min="10261" max="10261" width="10.85546875" style="213" customWidth="1"/>
    <col min="10262" max="10262" width="9.140625" style="213"/>
    <col min="10263" max="10263" width="11.140625" style="213" customWidth="1"/>
    <col min="10264" max="10264" width="9.140625" style="213"/>
    <col min="10265" max="10265" width="11.42578125" style="213" customWidth="1"/>
    <col min="10266" max="10266" width="12.28515625" style="213" customWidth="1"/>
    <col min="10267" max="10496" width="9.140625" style="213"/>
    <col min="10497" max="10497" width="39.5703125" style="213" customWidth="1"/>
    <col min="10498" max="10513" width="10.7109375" style="213" customWidth="1"/>
    <col min="10514" max="10514" width="12.140625" style="213" customWidth="1"/>
    <col min="10515" max="10515" width="12" style="213" customWidth="1"/>
    <col min="10516" max="10516" width="9.85546875" style="213" customWidth="1"/>
    <col min="10517" max="10517" width="10.85546875" style="213" customWidth="1"/>
    <col min="10518" max="10518" width="9.140625" style="213"/>
    <col min="10519" max="10519" width="11.140625" style="213" customWidth="1"/>
    <col min="10520" max="10520" width="9.140625" style="213"/>
    <col min="10521" max="10521" width="11.42578125" style="213" customWidth="1"/>
    <col min="10522" max="10522" width="12.28515625" style="213" customWidth="1"/>
    <col min="10523" max="10752" width="9.140625" style="213"/>
    <col min="10753" max="10753" width="39.5703125" style="213" customWidth="1"/>
    <col min="10754" max="10769" width="10.7109375" style="213" customWidth="1"/>
    <col min="10770" max="10770" width="12.140625" style="213" customWidth="1"/>
    <col min="10771" max="10771" width="12" style="213" customWidth="1"/>
    <col min="10772" max="10772" width="9.85546875" style="213" customWidth="1"/>
    <col min="10773" max="10773" width="10.85546875" style="213" customWidth="1"/>
    <col min="10774" max="10774" width="9.140625" style="213"/>
    <col min="10775" max="10775" width="11.140625" style="213" customWidth="1"/>
    <col min="10776" max="10776" width="9.140625" style="213"/>
    <col min="10777" max="10777" width="11.42578125" style="213" customWidth="1"/>
    <col min="10778" max="10778" width="12.28515625" style="213" customWidth="1"/>
    <col min="10779" max="11008" width="9.140625" style="213"/>
    <col min="11009" max="11009" width="39.5703125" style="213" customWidth="1"/>
    <col min="11010" max="11025" width="10.7109375" style="213" customWidth="1"/>
    <col min="11026" max="11026" width="12.140625" style="213" customWidth="1"/>
    <col min="11027" max="11027" width="12" style="213" customWidth="1"/>
    <col min="11028" max="11028" width="9.85546875" style="213" customWidth="1"/>
    <col min="11029" max="11029" width="10.85546875" style="213" customWidth="1"/>
    <col min="11030" max="11030" width="9.140625" style="213"/>
    <col min="11031" max="11031" width="11.140625" style="213" customWidth="1"/>
    <col min="11032" max="11032" width="9.140625" style="213"/>
    <col min="11033" max="11033" width="11.42578125" style="213" customWidth="1"/>
    <col min="11034" max="11034" width="12.28515625" style="213" customWidth="1"/>
    <col min="11035" max="11264" width="9.140625" style="213"/>
    <col min="11265" max="11265" width="39.5703125" style="213" customWidth="1"/>
    <col min="11266" max="11281" width="10.7109375" style="213" customWidth="1"/>
    <col min="11282" max="11282" width="12.140625" style="213" customWidth="1"/>
    <col min="11283" max="11283" width="12" style="213" customWidth="1"/>
    <col min="11284" max="11284" width="9.85546875" style="213" customWidth="1"/>
    <col min="11285" max="11285" width="10.85546875" style="213" customWidth="1"/>
    <col min="11286" max="11286" width="9.140625" style="213"/>
    <col min="11287" max="11287" width="11.140625" style="213" customWidth="1"/>
    <col min="11288" max="11288" width="9.140625" style="213"/>
    <col min="11289" max="11289" width="11.42578125" style="213" customWidth="1"/>
    <col min="11290" max="11290" width="12.28515625" style="213" customWidth="1"/>
    <col min="11291" max="11520" width="9.140625" style="213"/>
    <col min="11521" max="11521" width="39.5703125" style="213" customWidth="1"/>
    <col min="11522" max="11537" width="10.7109375" style="213" customWidth="1"/>
    <col min="11538" max="11538" width="12.140625" style="213" customWidth="1"/>
    <col min="11539" max="11539" width="12" style="213" customWidth="1"/>
    <col min="11540" max="11540" width="9.85546875" style="213" customWidth="1"/>
    <col min="11541" max="11541" width="10.85546875" style="213" customWidth="1"/>
    <col min="11542" max="11542" width="9.140625" style="213"/>
    <col min="11543" max="11543" width="11.140625" style="213" customWidth="1"/>
    <col min="11544" max="11544" width="9.140625" style="213"/>
    <col min="11545" max="11545" width="11.42578125" style="213" customWidth="1"/>
    <col min="11546" max="11546" width="12.28515625" style="213" customWidth="1"/>
    <col min="11547" max="11776" width="9.140625" style="213"/>
    <col min="11777" max="11777" width="39.5703125" style="213" customWidth="1"/>
    <col min="11778" max="11793" width="10.7109375" style="213" customWidth="1"/>
    <col min="11794" max="11794" width="12.140625" style="213" customWidth="1"/>
    <col min="11795" max="11795" width="12" style="213" customWidth="1"/>
    <col min="11796" max="11796" width="9.85546875" style="213" customWidth="1"/>
    <col min="11797" max="11797" width="10.85546875" style="213" customWidth="1"/>
    <col min="11798" max="11798" width="9.140625" style="213"/>
    <col min="11799" max="11799" width="11.140625" style="213" customWidth="1"/>
    <col min="11800" max="11800" width="9.140625" style="213"/>
    <col min="11801" max="11801" width="11.42578125" style="213" customWidth="1"/>
    <col min="11802" max="11802" width="12.28515625" style="213" customWidth="1"/>
    <col min="11803" max="12032" width="9.140625" style="213"/>
    <col min="12033" max="12033" width="39.5703125" style="213" customWidth="1"/>
    <col min="12034" max="12049" width="10.7109375" style="213" customWidth="1"/>
    <col min="12050" max="12050" width="12.140625" style="213" customWidth="1"/>
    <col min="12051" max="12051" width="12" style="213" customWidth="1"/>
    <col min="12052" max="12052" width="9.85546875" style="213" customWidth="1"/>
    <col min="12053" max="12053" width="10.85546875" style="213" customWidth="1"/>
    <col min="12054" max="12054" width="9.140625" style="213"/>
    <col min="12055" max="12055" width="11.140625" style="213" customWidth="1"/>
    <col min="12056" max="12056" width="9.140625" style="213"/>
    <col min="12057" max="12057" width="11.42578125" style="213" customWidth="1"/>
    <col min="12058" max="12058" width="12.28515625" style="213" customWidth="1"/>
    <col min="12059" max="12288" width="9.140625" style="213"/>
    <col min="12289" max="12289" width="39.5703125" style="213" customWidth="1"/>
    <col min="12290" max="12305" width="10.7109375" style="213" customWidth="1"/>
    <col min="12306" max="12306" width="12.140625" style="213" customWidth="1"/>
    <col min="12307" max="12307" width="12" style="213" customWidth="1"/>
    <col min="12308" max="12308" width="9.85546875" style="213" customWidth="1"/>
    <col min="12309" max="12309" width="10.85546875" style="213" customWidth="1"/>
    <col min="12310" max="12310" width="9.140625" style="213"/>
    <col min="12311" max="12311" width="11.140625" style="213" customWidth="1"/>
    <col min="12312" max="12312" width="9.140625" style="213"/>
    <col min="12313" max="12313" width="11.42578125" style="213" customWidth="1"/>
    <col min="12314" max="12314" width="12.28515625" style="213" customWidth="1"/>
    <col min="12315" max="12544" width="9.140625" style="213"/>
    <col min="12545" max="12545" width="39.5703125" style="213" customWidth="1"/>
    <col min="12546" max="12561" width="10.7109375" style="213" customWidth="1"/>
    <col min="12562" max="12562" width="12.140625" style="213" customWidth="1"/>
    <col min="12563" max="12563" width="12" style="213" customWidth="1"/>
    <col min="12564" max="12564" width="9.85546875" style="213" customWidth="1"/>
    <col min="12565" max="12565" width="10.85546875" style="213" customWidth="1"/>
    <col min="12566" max="12566" width="9.140625" style="213"/>
    <col min="12567" max="12567" width="11.140625" style="213" customWidth="1"/>
    <col min="12568" max="12568" width="9.140625" style="213"/>
    <col min="12569" max="12569" width="11.42578125" style="213" customWidth="1"/>
    <col min="12570" max="12570" width="12.28515625" style="213" customWidth="1"/>
    <col min="12571" max="12800" width="9.140625" style="213"/>
    <col min="12801" max="12801" width="39.5703125" style="213" customWidth="1"/>
    <col min="12802" max="12817" width="10.7109375" style="213" customWidth="1"/>
    <col min="12818" max="12818" width="12.140625" style="213" customWidth="1"/>
    <col min="12819" max="12819" width="12" style="213" customWidth="1"/>
    <col min="12820" max="12820" width="9.85546875" style="213" customWidth="1"/>
    <col min="12821" max="12821" width="10.85546875" style="213" customWidth="1"/>
    <col min="12822" max="12822" width="9.140625" style="213"/>
    <col min="12823" max="12823" width="11.140625" style="213" customWidth="1"/>
    <col min="12824" max="12824" width="9.140625" style="213"/>
    <col min="12825" max="12825" width="11.42578125" style="213" customWidth="1"/>
    <col min="12826" max="12826" width="12.28515625" style="213" customWidth="1"/>
    <col min="12827" max="13056" width="9.140625" style="213"/>
    <col min="13057" max="13057" width="39.5703125" style="213" customWidth="1"/>
    <col min="13058" max="13073" width="10.7109375" style="213" customWidth="1"/>
    <col min="13074" max="13074" width="12.140625" style="213" customWidth="1"/>
    <col min="13075" max="13075" width="12" style="213" customWidth="1"/>
    <col min="13076" max="13076" width="9.85546875" style="213" customWidth="1"/>
    <col min="13077" max="13077" width="10.85546875" style="213" customWidth="1"/>
    <col min="13078" max="13078" width="9.140625" style="213"/>
    <col min="13079" max="13079" width="11.140625" style="213" customWidth="1"/>
    <col min="13080" max="13080" width="9.140625" style="213"/>
    <col min="13081" max="13081" width="11.42578125" style="213" customWidth="1"/>
    <col min="13082" max="13082" width="12.28515625" style="213" customWidth="1"/>
    <col min="13083" max="13312" width="9.140625" style="213"/>
    <col min="13313" max="13313" width="39.5703125" style="213" customWidth="1"/>
    <col min="13314" max="13329" width="10.7109375" style="213" customWidth="1"/>
    <col min="13330" max="13330" width="12.140625" style="213" customWidth="1"/>
    <col min="13331" max="13331" width="12" style="213" customWidth="1"/>
    <col min="13332" max="13332" width="9.85546875" style="213" customWidth="1"/>
    <col min="13333" max="13333" width="10.85546875" style="213" customWidth="1"/>
    <col min="13334" max="13334" width="9.140625" style="213"/>
    <col min="13335" max="13335" width="11.140625" style="213" customWidth="1"/>
    <col min="13336" max="13336" width="9.140625" style="213"/>
    <col min="13337" max="13337" width="11.42578125" style="213" customWidth="1"/>
    <col min="13338" max="13338" width="12.28515625" style="213" customWidth="1"/>
    <col min="13339" max="13568" width="9.140625" style="213"/>
    <col min="13569" max="13569" width="39.5703125" style="213" customWidth="1"/>
    <col min="13570" max="13585" width="10.7109375" style="213" customWidth="1"/>
    <col min="13586" max="13586" width="12.140625" style="213" customWidth="1"/>
    <col min="13587" max="13587" width="12" style="213" customWidth="1"/>
    <col min="13588" max="13588" width="9.85546875" style="213" customWidth="1"/>
    <col min="13589" max="13589" width="10.85546875" style="213" customWidth="1"/>
    <col min="13590" max="13590" width="9.140625" style="213"/>
    <col min="13591" max="13591" width="11.140625" style="213" customWidth="1"/>
    <col min="13592" max="13592" width="9.140625" style="213"/>
    <col min="13593" max="13593" width="11.42578125" style="213" customWidth="1"/>
    <col min="13594" max="13594" width="12.28515625" style="213" customWidth="1"/>
    <col min="13595" max="13824" width="9.140625" style="213"/>
    <col min="13825" max="13825" width="39.5703125" style="213" customWidth="1"/>
    <col min="13826" max="13841" width="10.7109375" style="213" customWidth="1"/>
    <col min="13842" max="13842" width="12.140625" style="213" customWidth="1"/>
    <col min="13843" max="13843" width="12" style="213" customWidth="1"/>
    <col min="13844" max="13844" width="9.85546875" style="213" customWidth="1"/>
    <col min="13845" max="13845" width="10.85546875" style="213" customWidth="1"/>
    <col min="13846" max="13846" width="9.140625" style="213"/>
    <col min="13847" max="13847" width="11.140625" style="213" customWidth="1"/>
    <col min="13848" max="13848" width="9.140625" style="213"/>
    <col min="13849" max="13849" width="11.42578125" style="213" customWidth="1"/>
    <col min="13850" max="13850" width="12.28515625" style="213" customWidth="1"/>
    <col min="13851" max="14080" width="9.140625" style="213"/>
    <col min="14081" max="14081" width="39.5703125" style="213" customWidth="1"/>
    <col min="14082" max="14097" width="10.7109375" style="213" customWidth="1"/>
    <col min="14098" max="14098" width="12.140625" style="213" customWidth="1"/>
    <col min="14099" max="14099" width="12" style="213" customWidth="1"/>
    <col min="14100" max="14100" width="9.85546875" style="213" customWidth="1"/>
    <col min="14101" max="14101" width="10.85546875" style="213" customWidth="1"/>
    <col min="14102" max="14102" width="9.140625" style="213"/>
    <col min="14103" max="14103" width="11.140625" style="213" customWidth="1"/>
    <col min="14104" max="14104" width="9.140625" style="213"/>
    <col min="14105" max="14105" width="11.42578125" style="213" customWidth="1"/>
    <col min="14106" max="14106" width="12.28515625" style="213" customWidth="1"/>
    <col min="14107" max="14336" width="9.140625" style="213"/>
    <col min="14337" max="14337" width="39.5703125" style="213" customWidth="1"/>
    <col min="14338" max="14353" width="10.7109375" style="213" customWidth="1"/>
    <col min="14354" max="14354" width="12.140625" style="213" customWidth="1"/>
    <col min="14355" max="14355" width="12" style="213" customWidth="1"/>
    <col min="14356" max="14356" width="9.85546875" style="213" customWidth="1"/>
    <col min="14357" max="14357" width="10.85546875" style="213" customWidth="1"/>
    <col min="14358" max="14358" width="9.140625" style="213"/>
    <col min="14359" max="14359" width="11.140625" style="213" customWidth="1"/>
    <col min="14360" max="14360" width="9.140625" style="213"/>
    <col min="14361" max="14361" width="11.42578125" style="213" customWidth="1"/>
    <col min="14362" max="14362" width="12.28515625" style="213" customWidth="1"/>
    <col min="14363" max="14592" width="9.140625" style="213"/>
    <col min="14593" max="14593" width="39.5703125" style="213" customWidth="1"/>
    <col min="14594" max="14609" width="10.7109375" style="213" customWidth="1"/>
    <col min="14610" max="14610" width="12.140625" style="213" customWidth="1"/>
    <col min="14611" max="14611" width="12" style="213" customWidth="1"/>
    <col min="14612" max="14612" width="9.85546875" style="213" customWidth="1"/>
    <col min="14613" max="14613" width="10.85546875" style="213" customWidth="1"/>
    <col min="14614" max="14614" width="9.140625" style="213"/>
    <col min="14615" max="14615" width="11.140625" style="213" customWidth="1"/>
    <col min="14616" max="14616" width="9.140625" style="213"/>
    <col min="14617" max="14617" width="11.42578125" style="213" customWidth="1"/>
    <col min="14618" max="14618" width="12.28515625" style="213" customWidth="1"/>
    <col min="14619" max="14848" width="9.140625" style="213"/>
    <col min="14849" max="14849" width="39.5703125" style="213" customWidth="1"/>
    <col min="14850" max="14865" width="10.7109375" style="213" customWidth="1"/>
    <col min="14866" max="14866" width="12.140625" style="213" customWidth="1"/>
    <col min="14867" max="14867" width="12" style="213" customWidth="1"/>
    <col min="14868" max="14868" width="9.85546875" style="213" customWidth="1"/>
    <col min="14869" max="14869" width="10.85546875" style="213" customWidth="1"/>
    <col min="14870" max="14870" width="9.140625" style="213"/>
    <col min="14871" max="14871" width="11.140625" style="213" customWidth="1"/>
    <col min="14872" max="14872" width="9.140625" style="213"/>
    <col min="14873" max="14873" width="11.42578125" style="213" customWidth="1"/>
    <col min="14874" max="14874" width="12.28515625" style="213" customWidth="1"/>
    <col min="14875" max="15104" width="9.140625" style="213"/>
    <col min="15105" max="15105" width="39.5703125" style="213" customWidth="1"/>
    <col min="15106" max="15121" width="10.7109375" style="213" customWidth="1"/>
    <col min="15122" max="15122" width="12.140625" style="213" customWidth="1"/>
    <col min="15123" max="15123" width="12" style="213" customWidth="1"/>
    <col min="15124" max="15124" width="9.85546875" style="213" customWidth="1"/>
    <col min="15125" max="15125" width="10.85546875" style="213" customWidth="1"/>
    <col min="15126" max="15126" width="9.140625" style="213"/>
    <col min="15127" max="15127" width="11.140625" style="213" customWidth="1"/>
    <col min="15128" max="15128" width="9.140625" style="213"/>
    <col min="15129" max="15129" width="11.42578125" style="213" customWidth="1"/>
    <col min="15130" max="15130" width="12.28515625" style="213" customWidth="1"/>
    <col min="15131" max="15360" width="9.140625" style="213"/>
    <col min="15361" max="15361" width="39.5703125" style="213" customWidth="1"/>
    <col min="15362" max="15377" width="10.7109375" style="213" customWidth="1"/>
    <col min="15378" max="15378" width="12.140625" style="213" customWidth="1"/>
    <col min="15379" max="15379" width="12" style="213" customWidth="1"/>
    <col min="15380" max="15380" width="9.85546875" style="213" customWidth="1"/>
    <col min="15381" max="15381" width="10.85546875" style="213" customWidth="1"/>
    <col min="15382" max="15382" width="9.140625" style="213"/>
    <col min="15383" max="15383" width="11.140625" style="213" customWidth="1"/>
    <col min="15384" max="15384" width="9.140625" style="213"/>
    <col min="15385" max="15385" width="11.42578125" style="213" customWidth="1"/>
    <col min="15386" max="15386" width="12.28515625" style="213" customWidth="1"/>
    <col min="15387" max="15616" width="9.140625" style="213"/>
    <col min="15617" max="15617" width="39.5703125" style="213" customWidth="1"/>
    <col min="15618" max="15633" width="10.7109375" style="213" customWidth="1"/>
    <col min="15634" max="15634" width="12.140625" style="213" customWidth="1"/>
    <col min="15635" max="15635" width="12" style="213" customWidth="1"/>
    <col min="15636" max="15636" width="9.85546875" style="213" customWidth="1"/>
    <col min="15637" max="15637" width="10.85546875" style="213" customWidth="1"/>
    <col min="15638" max="15638" width="9.140625" style="213"/>
    <col min="15639" max="15639" width="11.140625" style="213" customWidth="1"/>
    <col min="15640" max="15640" width="9.140625" style="213"/>
    <col min="15641" max="15641" width="11.42578125" style="213" customWidth="1"/>
    <col min="15642" max="15642" width="12.28515625" style="213" customWidth="1"/>
    <col min="15643" max="15872" width="9.140625" style="213"/>
    <col min="15873" max="15873" width="39.5703125" style="213" customWidth="1"/>
    <col min="15874" max="15889" width="10.7109375" style="213" customWidth="1"/>
    <col min="15890" max="15890" width="12.140625" style="213" customWidth="1"/>
    <col min="15891" max="15891" width="12" style="213" customWidth="1"/>
    <col min="15892" max="15892" width="9.85546875" style="213" customWidth="1"/>
    <col min="15893" max="15893" width="10.85546875" style="213" customWidth="1"/>
    <col min="15894" max="15894" width="9.140625" style="213"/>
    <col min="15895" max="15895" width="11.140625" style="213" customWidth="1"/>
    <col min="15896" max="15896" width="9.140625" style="213"/>
    <col min="15897" max="15897" width="11.42578125" style="213" customWidth="1"/>
    <col min="15898" max="15898" width="12.28515625" style="213" customWidth="1"/>
    <col min="15899" max="16128" width="9.140625" style="213"/>
    <col min="16129" max="16129" width="39.5703125" style="213" customWidth="1"/>
    <col min="16130" max="16145" width="10.7109375" style="213" customWidth="1"/>
    <col min="16146" max="16146" width="12.140625" style="213" customWidth="1"/>
    <col min="16147" max="16147" width="12" style="213" customWidth="1"/>
    <col min="16148" max="16148" width="9.85546875" style="213" customWidth="1"/>
    <col min="16149" max="16149" width="10.85546875" style="213" customWidth="1"/>
    <col min="16150" max="16150" width="9.140625" style="213"/>
    <col min="16151" max="16151" width="11.140625" style="213" customWidth="1"/>
    <col min="16152" max="16152" width="9.140625" style="213"/>
    <col min="16153" max="16153" width="11.42578125" style="213" customWidth="1"/>
    <col min="16154" max="16154" width="12.28515625" style="213" customWidth="1"/>
    <col min="16155" max="16384" width="9.140625" style="213"/>
  </cols>
  <sheetData>
    <row r="1" spans="1:26">
      <c r="A1" s="25" t="s">
        <v>968</v>
      </c>
    </row>
    <row r="3" spans="1:26" ht="15.75">
      <c r="A3" s="349"/>
    </row>
    <row r="4" spans="1:26" ht="15.75">
      <c r="A4" s="898" t="s">
        <v>705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</row>
    <row r="5" spans="1:26" ht="16.5" thickBo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</row>
    <row r="6" spans="1:26" s="374" customFormat="1" ht="15.75" thickBot="1">
      <c r="A6" s="899" t="s">
        <v>557</v>
      </c>
      <c r="B6" s="896" t="s">
        <v>428</v>
      </c>
      <c r="C6" s="897"/>
      <c r="D6" s="897"/>
      <c r="E6" s="897"/>
      <c r="F6" s="897"/>
      <c r="G6" s="372"/>
      <c r="H6" s="902" t="s">
        <v>558</v>
      </c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373"/>
      <c r="Z6" s="904" t="s">
        <v>559</v>
      </c>
    </row>
    <row r="7" spans="1:26" s="374" customFormat="1" ht="15.75" thickBot="1">
      <c r="A7" s="900"/>
      <c r="B7" s="896" t="s">
        <v>560</v>
      </c>
      <c r="C7" s="905"/>
      <c r="D7" s="899" t="s">
        <v>561</v>
      </c>
      <c r="E7" s="899" t="s">
        <v>562</v>
      </c>
      <c r="F7" s="899" t="s">
        <v>563</v>
      </c>
      <c r="G7" s="899" t="s">
        <v>564</v>
      </c>
      <c r="H7" s="896" t="s">
        <v>565</v>
      </c>
      <c r="I7" s="897"/>
      <c r="J7" s="897"/>
      <c r="K7" s="897"/>
      <c r="L7" s="897"/>
      <c r="M7" s="375"/>
      <c r="N7" s="896" t="s">
        <v>566</v>
      </c>
      <c r="O7" s="897"/>
      <c r="P7" s="897"/>
      <c r="Q7" s="897"/>
      <c r="R7" s="897"/>
      <c r="S7" s="372"/>
      <c r="T7" s="896" t="s">
        <v>567</v>
      </c>
      <c r="U7" s="897"/>
      <c r="V7" s="897"/>
      <c r="W7" s="897"/>
      <c r="X7" s="897"/>
      <c r="Y7" s="372"/>
      <c r="Z7" s="904"/>
    </row>
    <row r="8" spans="1:26" s="374" customFormat="1" ht="74.25" thickBot="1">
      <c r="A8" s="901"/>
      <c r="B8" s="376" t="s">
        <v>568</v>
      </c>
      <c r="C8" s="377" t="s">
        <v>569</v>
      </c>
      <c r="D8" s="906"/>
      <c r="E8" s="906"/>
      <c r="F8" s="906"/>
      <c r="G8" s="906"/>
      <c r="H8" s="378" t="s">
        <v>570</v>
      </c>
      <c r="I8" s="378" t="s">
        <v>569</v>
      </c>
      <c r="J8" s="378" t="s">
        <v>571</v>
      </c>
      <c r="K8" s="378" t="s">
        <v>572</v>
      </c>
      <c r="L8" s="378" t="s">
        <v>573</v>
      </c>
      <c r="M8" s="378" t="s">
        <v>574</v>
      </c>
      <c r="N8" s="378" t="s">
        <v>570</v>
      </c>
      <c r="O8" s="378" t="s">
        <v>569</v>
      </c>
      <c r="P8" s="378" t="s">
        <v>571</v>
      </c>
      <c r="Q8" s="378" t="s">
        <v>572</v>
      </c>
      <c r="R8" s="378" t="s">
        <v>573</v>
      </c>
      <c r="S8" s="378" t="s">
        <v>574</v>
      </c>
      <c r="T8" s="378" t="s">
        <v>570</v>
      </c>
      <c r="U8" s="378" t="s">
        <v>569</v>
      </c>
      <c r="V8" s="378" t="s">
        <v>571</v>
      </c>
      <c r="W8" s="378" t="s">
        <v>572</v>
      </c>
      <c r="X8" s="378" t="s">
        <v>573</v>
      </c>
      <c r="Y8" s="378" t="s">
        <v>574</v>
      </c>
      <c r="Z8" s="904"/>
    </row>
    <row r="9" spans="1:26" ht="21" customHeight="1" thickBot="1">
      <c r="A9" s="352" t="s">
        <v>575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4"/>
      <c r="P9" s="354"/>
      <c r="Q9" s="354"/>
      <c r="R9" s="354"/>
      <c r="S9" s="355"/>
      <c r="T9" s="353"/>
      <c r="U9" s="354"/>
      <c r="V9" s="354"/>
      <c r="W9" s="354"/>
      <c r="X9" s="354"/>
      <c r="Y9" s="354"/>
      <c r="Z9" s="356"/>
    </row>
    <row r="10" spans="1:26" ht="21" customHeight="1" thickBot="1">
      <c r="A10" s="357" t="s">
        <v>377</v>
      </c>
      <c r="B10" s="358">
        <f t="shared" ref="B10:C17" si="0">H10+N10</f>
        <v>119.5</v>
      </c>
      <c r="C10" s="358">
        <f t="shared" si="0"/>
        <v>119.5</v>
      </c>
      <c r="D10" s="358">
        <f>SUM(J10+P10)</f>
        <v>29</v>
      </c>
      <c r="E10" s="358">
        <f t="shared" ref="E10:G13" si="1">SUM(K10+Q10)</f>
        <v>144.5</v>
      </c>
      <c r="F10" s="358">
        <f>SUM(L10+R10)</f>
        <v>29</v>
      </c>
      <c r="G10" s="358">
        <f t="shared" si="1"/>
        <v>13.5</v>
      </c>
      <c r="H10" s="359">
        <v>115</v>
      </c>
      <c r="I10" s="359">
        <v>115</v>
      </c>
      <c r="J10" s="610">
        <v>25</v>
      </c>
      <c r="K10" s="610">
        <v>140</v>
      </c>
      <c r="L10" s="610">
        <v>25</v>
      </c>
      <c r="M10" s="609">
        <v>4.5</v>
      </c>
      <c r="N10" s="611">
        <v>4.5</v>
      </c>
      <c r="O10" s="611">
        <v>4.5</v>
      </c>
      <c r="P10" s="611">
        <v>4</v>
      </c>
      <c r="Q10" s="611">
        <v>4.5</v>
      </c>
      <c r="R10" s="611">
        <v>4</v>
      </c>
      <c r="S10" s="610">
        <v>9</v>
      </c>
      <c r="T10" s="612">
        <v>9</v>
      </c>
      <c r="U10" s="612">
        <v>9</v>
      </c>
      <c r="V10" s="612">
        <v>8</v>
      </c>
      <c r="W10" s="612">
        <v>9</v>
      </c>
      <c r="X10" s="612">
        <v>8</v>
      </c>
      <c r="Y10" s="613">
        <v>4</v>
      </c>
      <c r="Z10" s="362">
        <v>4</v>
      </c>
    </row>
    <row r="11" spans="1:26" ht="21" customHeight="1" thickBot="1">
      <c r="A11" s="357" t="s">
        <v>576</v>
      </c>
      <c r="B11" s="358">
        <f t="shared" si="0"/>
        <v>27.5</v>
      </c>
      <c r="C11" s="358">
        <f t="shared" si="0"/>
        <v>27.5</v>
      </c>
      <c r="D11" s="358">
        <f t="shared" ref="D11:D13" si="2">SUM(J11+P11)</f>
        <v>27.5</v>
      </c>
      <c r="E11" s="358">
        <f t="shared" si="1"/>
        <v>53.5</v>
      </c>
      <c r="F11" s="358">
        <f t="shared" si="1"/>
        <v>26.86</v>
      </c>
      <c r="G11" s="358">
        <f t="shared" si="1"/>
        <v>53</v>
      </c>
      <c r="H11" s="359">
        <v>27</v>
      </c>
      <c r="I11" s="359">
        <v>27</v>
      </c>
      <c r="J11" s="629">
        <v>27</v>
      </c>
      <c r="K11" s="629">
        <v>53</v>
      </c>
      <c r="L11" s="628">
        <v>26.36</v>
      </c>
      <c r="M11" s="628">
        <v>52.5</v>
      </c>
      <c r="N11" s="628">
        <v>0.5</v>
      </c>
      <c r="O11" s="630">
        <v>0.5</v>
      </c>
      <c r="P11" s="630">
        <v>0.5</v>
      </c>
      <c r="Q11" s="630">
        <v>0.5</v>
      </c>
      <c r="R11" s="630">
        <v>0.5</v>
      </c>
      <c r="S11" s="630">
        <v>0.5</v>
      </c>
      <c r="T11" s="629">
        <v>1</v>
      </c>
      <c r="U11" s="631">
        <v>1</v>
      </c>
      <c r="V11" s="631">
        <v>1</v>
      </c>
      <c r="W11" s="631">
        <v>1</v>
      </c>
      <c r="X11" s="631">
        <v>1</v>
      </c>
      <c r="Y11" s="631">
        <v>1</v>
      </c>
      <c r="Z11" s="363">
        <v>4</v>
      </c>
    </row>
    <row r="12" spans="1:26" ht="21" customHeight="1" thickBot="1">
      <c r="A12" s="357" t="s">
        <v>577</v>
      </c>
      <c r="B12" s="358">
        <f t="shared" si="0"/>
        <v>9.75</v>
      </c>
      <c r="C12" s="358">
        <f t="shared" si="0"/>
        <v>9.75</v>
      </c>
      <c r="D12" s="358">
        <f t="shared" si="2"/>
        <v>8.75</v>
      </c>
      <c r="E12" s="358">
        <f t="shared" si="1"/>
        <v>2</v>
      </c>
      <c r="F12" s="358">
        <f>SUM(L12+R12)</f>
        <v>8.75</v>
      </c>
      <c r="G12" s="358">
        <f t="shared" si="1"/>
        <v>2.75</v>
      </c>
      <c r="H12" s="359">
        <v>9</v>
      </c>
      <c r="I12" s="359">
        <v>9</v>
      </c>
      <c r="J12" s="359">
        <v>8</v>
      </c>
      <c r="K12" s="359">
        <v>2</v>
      </c>
      <c r="L12" s="359">
        <v>8</v>
      </c>
      <c r="M12" s="359">
        <v>2</v>
      </c>
      <c r="N12" s="358">
        <v>0.75</v>
      </c>
      <c r="O12" s="360">
        <v>0.75</v>
      </c>
      <c r="P12" s="360">
        <v>0.75</v>
      </c>
      <c r="Q12" s="360">
        <v>0</v>
      </c>
      <c r="R12" s="360">
        <v>0.75</v>
      </c>
      <c r="S12" s="360">
        <v>0.75</v>
      </c>
      <c r="T12" s="359">
        <v>1</v>
      </c>
      <c r="U12" s="361">
        <v>1</v>
      </c>
      <c r="V12" s="361">
        <v>1</v>
      </c>
      <c r="W12" s="361">
        <v>0</v>
      </c>
      <c r="X12" s="361">
        <v>1</v>
      </c>
      <c r="Y12" s="361">
        <v>0</v>
      </c>
      <c r="Z12" s="363">
        <v>6</v>
      </c>
    </row>
    <row r="13" spans="1:26" ht="21" customHeight="1" thickBot="1">
      <c r="A13" s="357" t="s">
        <v>579</v>
      </c>
      <c r="B13" s="358">
        <f t="shared" si="0"/>
        <v>43.25</v>
      </c>
      <c r="C13" s="358">
        <f t="shared" si="0"/>
        <v>43.25</v>
      </c>
      <c r="D13" s="358">
        <f t="shared" si="2"/>
        <v>37</v>
      </c>
      <c r="E13" s="358">
        <f t="shared" si="1"/>
        <v>367</v>
      </c>
      <c r="F13" s="358">
        <f t="shared" si="1"/>
        <v>34</v>
      </c>
      <c r="G13" s="358">
        <f t="shared" si="1"/>
        <v>348</v>
      </c>
      <c r="H13" s="359">
        <v>42</v>
      </c>
      <c r="I13" s="359">
        <v>42</v>
      </c>
      <c r="J13" s="359">
        <v>37</v>
      </c>
      <c r="K13" s="359">
        <v>367</v>
      </c>
      <c r="L13" s="359">
        <v>34</v>
      </c>
      <c r="M13" s="359">
        <v>348</v>
      </c>
      <c r="N13" s="358">
        <v>1.25</v>
      </c>
      <c r="O13" s="360">
        <v>1.25</v>
      </c>
      <c r="P13" s="360">
        <v>0</v>
      </c>
      <c r="Q13" s="360">
        <v>0</v>
      </c>
      <c r="R13" s="360">
        <v>0</v>
      </c>
      <c r="S13" s="360">
        <v>0</v>
      </c>
      <c r="T13" s="359">
        <v>2</v>
      </c>
      <c r="U13" s="361">
        <v>2</v>
      </c>
      <c r="V13" s="361">
        <v>0</v>
      </c>
      <c r="W13" s="361">
        <v>0</v>
      </c>
      <c r="X13" s="361">
        <v>0</v>
      </c>
      <c r="Y13" s="361">
        <v>0</v>
      </c>
      <c r="Z13" s="363" t="s">
        <v>578</v>
      </c>
    </row>
    <row r="14" spans="1:26" ht="21" customHeight="1" thickBot="1">
      <c r="A14" s="364" t="s">
        <v>580</v>
      </c>
      <c r="B14" s="365">
        <f t="shared" si="0"/>
        <v>200</v>
      </c>
      <c r="C14" s="365">
        <f t="shared" si="0"/>
        <v>200</v>
      </c>
      <c r="D14" s="365">
        <f t="shared" ref="D14:F17" si="3">J14+V14</f>
        <v>107</v>
      </c>
      <c r="E14" s="365">
        <f t="shared" si="3"/>
        <v>572</v>
      </c>
      <c r="F14" s="365">
        <f t="shared" si="3"/>
        <v>103.36</v>
      </c>
      <c r="G14" s="365">
        <f t="shared" ref="G14:G17" si="4">M14+S14</f>
        <v>417.25</v>
      </c>
      <c r="H14" s="366">
        <f>SUM(H10:H13)</f>
        <v>193</v>
      </c>
      <c r="I14" s="366">
        <f t="shared" ref="I14:Y14" si="5">SUM(I10:I13)</f>
        <v>193</v>
      </c>
      <c r="J14" s="366">
        <f t="shared" si="5"/>
        <v>97</v>
      </c>
      <c r="K14" s="366">
        <f t="shared" si="5"/>
        <v>562</v>
      </c>
      <c r="L14" s="366">
        <f t="shared" si="5"/>
        <v>93.36</v>
      </c>
      <c r="M14" s="366">
        <f t="shared" si="5"/>
        <v>407</v>
      </c>
      <c r="N14" s="365">
        <f t="shared" si="5"/>
        <v>7</v>
      </c>
      <c r="O14" s="365">
        <f t="shared" si="5"/>
        <v>7</v>
      </c>
      <c r="P14" s="365">
        <f t="shared" si="5"/>
        <v>5.25</v>
      </c>
      <c r="Q14" s="365">
        <f t="shared" si="5"/>
        <v>5</v>
      </c>
      <c r="R14" s="365">
        <f>SUM(R10:R13)</f>
        <v>5.25</v>
      </c>
      <c r="S14" s="365">
        <f>SUM(S10:S13)</f>
        <v>10.25</v>
      </c>
      <c r="T14" s="366">
        <f t="shared" si="5"/>
        <v>13</v>
      </c>
      <c r="U14" s="366">
        <f t="shared" si="5"/>
        <v>13</v>
      </c>
      <c r="V14" s="366">
        <f t="shared" si="5"/>
        <v>10</v>
      </c>
      <c r="W14" s="366">
        <f t="shared" si="5"/>
        <v>10</v>
      </c>
      <c r="X14" s="366">
        <f t="shared" si="5"/>
        <v>10</v>
      </c>
      <c r="Y14" s="366">
        <f t="shared" si="5"/>
        <v>5</v>
      </c>
      <c r="Z14" s="356"/>
    </row>
    <row r="15" spans="1:26" ht="21" customHeight="1" thickBot="1">
      <c r="A15" s="364" t="s">
        <v>581</v>
      </c>
      <c r="B15" s="365">
        <f t="shared" si="0"/>
        <v>73</v>
      </c>
      <c r="C15" s="365">
        <f t="shared" si="0"/>
        <v>73</v>
      </c>
      <c r="D15" s="365">
        <f>SUM(J15+P15)</f>
        <v>70</v>
      </c>
      <c r="E15" s="365">
        <f t="shared" ref="E15:F16" si="6">SUM(K15+Q15)</f>
        <v>4</v>
      </c>
      <c r="F15" s="365">
        <f>SUM(L15+R15)</f>
        <v>68</v>
      </c>
      <c r="G15" s="365">
        <f t="shared" ref="G15:G16" si="7">SUM(M15+S15)</f>
        <v>4</v>
      </c>
      <c r="H15" s="366">
        <v>73</v>
      </c>
      <c r="I15" s="366">
        <v>73</v>
      </c>
      <c r="J15" s="366">
        <v>70</v>
      </c>
      <c r="K15" s="366">
        <v>4</v>
      </c>
      <c r="L15" s="366">
        <v>68</v>
      </c>
      <c r="M15" s="366">
        <v>4</v>
      </c>
      <c r="N15" s="365"/>
      <c r="O15" s="367"/>
      <c r="P15" s="367"/>
      <c r="Q15" s="367"/>
      <c r="R15" s="367"/>
      <c r="S15" s="367"/>
      <c r="T15" s="366"/>
      <c r="U15" s="368"/>
      <c r="V15" s="368"/>
      <c r="W15" s="368"/>
      <c r="X15" s="368"/>
      <c r="Y15" s="368"/>
      <c r="Z15" s="356"/>
    </row>
    <row r="16" spans="1:26" ht="21" customHeight="1" thickBot="1">
      <c r="A16" s="364" t="s">
        <v>582</v>
      </c>
      <c r="B16" s="365">
        <f t="shared" si="0"/>
        <v>2</v>
      </c>
      <c r="C16" s="365">
        <f t="shared" si="0"/>
        <v>2</v>
      </c>
      <c r="D16" s="365">
        <f t="shared" ref="D16" si="8">SUM(J16+P16)</f>
        <v>2</v>
      </c>
      <c r="E16" s="365">
        <f t="shared" si="6"/>
        <v>0</v>
      </c>
      <c r="F16" s="365">
        <f t="shared" si="6"/>
        <v>2</v>
      </c>
      <c r="G16" s="365">
        <f t="shared" si="7"/>
        <v>0</v>
      </c>
      <c r="H16" s="366">
        <v>2</v>
      </c>
      <c r="I16" s="366">
        <v>2</v>
      </c>
      <c r="J16" s="366">
        <v>2</v>
      </c>
      <c r="K16" s="366"/>
      <c r="L16" s="366">
        <v>2</v>
      </c>
      <c r="M16" s="366"/>
      <c r="N16" s="365"/>
      <c r="O16" s="367"/>
      <c r="P16" s="367"/>
      <c r="Q16" s="367"/>
      <c r="R16" s="367"/>
      <c r="S16" s="367"/>
      <c r="T16" s="366"/>
      <c r="U16" s="368"/>
      <c r="V16" s="368"/>
      <c r="W16" s="368"/>
      <c r="X16" s="368"/>
      <c r="Y16" s="368"/>
      <c r="Z16" s="356"/>
    </row>
    <row r="17" spans="1:26" s="382" customFormat="1" ht="21" customHeight="1" thickBot="1">
      <c r="A17" s="379" t="s">
        <v>583</v>
      </c>
      <c r="B17" s="380">
        <f t="shared" si="0"/>
        <v>275</v>
      </c>
      <c r="C17" s="380">
        <f t="shared" si="0"/>
        <v>275</v>
      </c>
      <c r="D17" s="380">
        <f t="shared" si="3"/>
        <v>179</v>
      </c>
      <c r="E17" s="380">
        <f t="shared" si="3"/>
        <v>576</v>
      </c>
      <c r="F17" s="380">
        <f>L17+X17</f>
        <v>173.36</v>
      </c>
      <c r="G17" s="380">
        <f t="shared" si="4"/>
        <v>421.25</v>
      </c>
      <c r="H17" s="381">
        <f>SUM(H14+H15+H16)</f>
        <v>268</v>
      </c>
      <c r="I17" s="381">
        <f t="shared" ref="I17:Y17" si="9">SUM(I14+I15+I16)</f>
        <v>268</v>
      </c>
      <c r="J17" s="381">
        <f t="shared" si="9"/>
        <v>169</v>
      </c>
      <c r="K17" s="381">
        <f t="shared" si="9"/>
        <v>566</v>
      </c>
      <c r="L17" s="381">
        <f t="shared" si="9"/>
        <v>163.36000000000001</v>
      </c>
      <c r="M17" s="381">
        <f t="shared" si="9"/>
        <v>411</v>
      </c>
      <c r="N17" s="380">
        <f t="shared" si="9"/>
        <v>7</v>
      </c>
      <c r="O17" s="380">
        <f t="shared" si="9"/>
        <v>7</v>
      </c>
      <c r="P17" s="380">
        <f t="shared" si="9"/>
        <v>5.25</v>
      </c>
      <c r="Q17" s="380">
        <f t="shared" si="9"/>
        <v>5</v>
      </c>
      <c r="R17" s="380">
        <f>SUM(R14+R15+R16)</f>
        <v>5.25</v>
      </c>
      <c r="S17" s="380">
        <f t="shared" si="9"/>
        <v>10.25</v>
      </c>
      <c r="T17" s="381">
        <f t="shared" si="9"/>
        <v>13</v>
      </c>
      <c r="U17" s="381">
        <f t="shared" si="9"/>
        <v>13</v>
      </c>
      <c r="V17" s="381">
        <f t="shared" si="9"/>
        <v>10</v>
      </c>
      <c r="W17" s="381">
        <f t="shared" si="9"/>
        <v>10</v>
      </c>
      <c r="X17" s="381">
        <f t="shared" si="9"/>
        <v>10</v>
      </c>
      <c r="Y17" s="381">
        <f t="shared" si="9"/>
        <v>5</v>
      </c>
      <c r="Z17" s="383"/>
    </row>
    <row r="18" spans="1:26">
      <c r="A18" s="369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</row>
    <row r="19" spans="1:26">
      <c r="A19" s="371"/>
    </row>
  </sheetData>
  <mergeCells count="13">
    <mergeCell ref="H7:L7"/>
    <mergeCell ref="N7:R7"/>
    <mergeCell ref="T7:X7"/>
    <mergeCell ref="A4:Z4"/>
    <mergeCell ref="A6:A8"/>
    <mergeCell ref="B6:F6"/>
    <mergeCell ref="H6:X6"/>
    <mergeCell ref="Z6:Z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42" orientation="landscape" horizontalDpi="300" verticalDpi="300" r:id="rId1"/>
  <colBreaks count="1" manualBreakCount="1">
    <brk id="2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VN28"/>
  <sheetViews>
    <sheetView view="pageBreakPreview" zoomScale="106" zoomScaleSheetLayoutView="106" workbookViewId="0"/>
  </sheetViews>
  <sheetFormatPr defaultRowHeight="12.75"/>
  <cols>
    <col min="1" max="1" width="56.42578125" style="20" customWidth="1"/>
    <col min="2" max="2" width="16.28515625" style="20" customWidth="1"/>
    <col min="3" max="5" width="16.5703125" style="20" customWidth="1"/>
    <col min="6" max="6" width="16.5703125" style="608" customWidth="1"/>
    <col min="7" max="254" width="9.140625" style="20"/>
    <col min="255" max="256" width="16.28515625" style="20" customWidth="1"/>
    <col min="257" max="257" width="9.140625" style="20"/>
    <col min="258" max="258" width="4.7109375" style="20" customWidth="1"/>
    <col min="259" max="259" width="1" style="20" customWidth="1"/>
    <col min="260" max="260" width="14.42578125" style="20" customWidth="1"/>
    <col min="261" max="262" width="11.85546875" style="20" customWidth="1"/>
    <col min="263" max="510" width="9.140625" style="20"/>
    <col min="511" max="512" width="16.28515625" style="20" customWidth="1"/>
    <col min="513" max="513" width="9.140625" style="20"/>
    <col min="514" max="514" width="4.7109375" style="20" customWidth="1"/>
    <col min="515" max="515" width="1" style="20" customWidth="1"/>
    <col min="516" max="516" width="14.42578125" style="20" customWidth="1"/>
    <col min="517" max="518" width="11.85546875" style="20" customWidth="1"/>
    <col min="519" max="766" width="9.140625" style="20"/>
    <col min="767" max="768" width="16.28515625" style="20" customWidth="1"/>
    <col min="769" max="769" width="9.140625" style="20"/>
    <col min="770" max="770" width="4.7109375" style="20" customWidth="1"/>
    <col min="771" max="771" width="1" style="20" customWidth="1"/>
    <col min="772" max="772" width="14.42578125" style="20" customWidth="1"/>
    <col min="773" max="774" width="11.85546875" style="20" customWidth="1"/>
    <col min="775" max="1022" width="9.140625" style="20"/>
    <col min="1023" max="1024" width="16.28515625" style="20" customWidth="1"/>
    <col min="1025" max="1025" width="9.140625" style="20"/>
    <col min="1026" max="1026" width="4.7109375" style="20" customWidth="1"/>
    <col min="1027" max="1027" width="1" style="20" customWidth="1"/>
    <col min="1028" max="1028" width="14.42578125" style="20" customWidth="1"/>
    <col min="1029" max="1030" width="11.85546875" style="20" customWidth="1"/>
    <col min="1031" max="1278" width="9.140625" style="20"/>
    <col min="1279" max="1280" width="16.28515625" style="20" customWidth="1"/>
    <col min="1281" max="1281" width="9.140625" style="20"/>
    <col min="1282" max="1282" width="4.7109375" style="20" customWidth="1"/>
    <col min="1283" max="1283" width="1" style="20" customWidth="1"/>
    <col min="1284" max="1284" width="14.42578125" style="20" customWidth="1"/>
    <col min="1285" max="1286" width="11.85546875" style="20" customWidth="1"/>
    <col min="1287" max="1534" width="9.140625" style="20"/>
    <col min="1535" max="1536" width="16.28515625" style="20" customWidth="1"/>
    <col min="1537" max="1537" width="9.140625" style="20"/>
    <col min="1538" max="1538" width="4.7109375" style="20" customWidth="1"/>
    <col min="1539" max="1539" width="1" style="20" customWidth="1"/>
    <col min="1540" max="1540" width="14.42578125" style="20" customWidth="1"/>
    <col min="1541" max="1542" width="11.85546875" style="20" customWidth="1"/>
    <col min="1543" max="1790" width="9.140625" style="20"/>
    <col min="1791" max="1792" width="16.28515625" style="20" customWidth="1"/>
    <col min="1793" max="1793" width="9.140625" style="20"/>
    <col min="1794" max="1794" width="4.7109375" style="20" customWidth="1"/>
    <col min="1795" max="1795" width="1" style="20" customWidth="1"/>
    <col min="1796" max="1796" width="14.42578125" style="20" customWidth="1"/>
    <col min="1797" max="1798" width="11.85546875" style="20" customWidth="1"/>
    <col min="1799" max="2046" width="9.140625" style="20"/>
    <col min="2047" max="2048" width="16.28515625" style="20" customWidth="1"/>
    <col min="2049" max="2049" width="9.140625" style="20"/>
    <col min="2050" max="2050" width="4.7109375" style="20" customWidth="1"/>
    <col min="2051" max="2051" width="1" style="20" customWidth="1"/>
    <col min="2052" max="2052" width="14.42578125" style="20" customWidth="1"/>
    <col min="2053" max="2054" width="11.85546875" style="20" customWidth="1"/>
    <col min="2055" max="2302" width="9.140625" style="20"/>
    <col min="2303" max="2304" width="16.28515625" style="20" customWidth="1"/>
    <col min="2305" max="2305" width="9.140625" style="20"/>
    <col min="2306" max="2306" width="4.7109375" style="20" customWidth="1"/>
    <col min="2307" max="2307" width="1" style="20" customWidth="1"/>
    <col min="2308" max="2308" width="14.42578125" style="20" customWidth="1"/>
    <col min="2309" max="2310" width="11.85546875" style="20" customWidth="1"/>
    <col min="2311" max="2558" width="9.140625" style="20"/>
    <col min="2559" max="2560" width="16.28515625" style="20" customWidth="1"/>
    <col min="2561" max="2561" width="9.140625" style="20"/>
    <col min="2562" max="2562" width="4.7109375" style="20" customWidth="1"/>
    <col min="2563" max="2563" width="1" style="20" customWidth="1"/>
    <col min="2564" max="2564" width="14.42578125" style="20" customWidth="1"/>
    <col min="2565" max="2566" width="11.85546875" style="20" customWidth="1"/>
    <col min="2567" max="2814" width="9.140625" style="20"/>
    <col min="2815" max="2816" width="16.28515625" style="20" customWidth="1"/>
    <col min="2817" max="2817" width="9.140625" style="20"/>
    <col min="2818" max="2818" width="4.7109375" style="20" customWidth="1"/>
    <col min="2819" max="2819" width="1" style="20" customWidth="1"/>
    <col min="2820" max="2820" width="14.42578125" style="20" customWidth="1"/>
    <col min="2821" max="2822" width="11.85546875" style="20" customWidth="1"/>
    <col min="2823" max="3070" width="9.140625" style="20"/>
    <col min="3071" max="3072" width="16.28515625" style="20" customWidth="1"/>
    <col min="3073" max="3073" width="9.140625" style="20"/>
    <col min="3074" max="3074" width="4.7109375" style="20" customWidth="1"/>
    <col min="3075" max="3075" width="1" style="20" customWidth="1"/>
    <col min="3076" max="3076" width="14.42578125" style="20" customWidth="1"/>
    <col min="3077" max="3078" width="11.85546875" style="20" customWidth="1"/>
    <col min="3079" max="3326" width="9.140625" style="20"/>
    <col min="3327" max="3328" width="16.28515625" style="20" customWidth="1"/>
    <col min="3329" max="3329" width="9.140625" style="20"/>
    <col min="3330" max="3330" width="4.7109375" style="20" customWidth="1"/>
    <col min="3331" max="3331" width="1" style="20" customWidth="1"/>
    <col min="3332" max="3332" width="14.42578125" style="20" customWidth="1"/>
    <col min="3333" max="3334" width="11.85546875" style="20" customWidth="1"/>
    <col min="3335" max="3582" width="9.140625" style="20"/>
    <col min="3583" max="3584" width="16.28515625" style="20" customWidth="1"/>
    <col min="3585" max="3585" width="9.140625" style="20"/>
    <col min="3586" max="3586" width="4.7109375" style="20" customWidth="1"/>
    <col min="3587" max="3587" width="1" style="20" customWidth="1"/>
    <col min="3588" max="3588" width="14.42578125" style="20" customWidth="1"/>
    <col min="3589" max="3590" width="11.85546875" style="20" customWidth="1"/>
    <col min="3591" max="3838" width="9.140625" style="20"/>
    <col min="3839" max="3840" width="16.28515625" style="20" customWidth="1"/>
    <col min="3841" max="3841" width="9.140625" style="20"/>
    <col min="3842" max="3842" width="4.7109375" style="20" customWidth="1"/>
    <col min="3843" max="3843" width="1" style="20" customWidth="1"/>
    <col min="3844" max="3844" width="14.42578125" style="20" customWidth="1"/>
    <col min="3845" max="3846" width="11.85546875" style="20" customWidth="1"/>
    <col min="3847" max="4094" width="9.140625" style="20"/>
    <col min="4095" max="4096" width="16.28515625" style="20" customWidth="1"/>
    <col min="4097" max="4097" width="9.140625" style="20"/>
    <col min="4098" max="4098" width="4.7109375" style="20" customWidth="1"/>
    <col min="4099" max="4099" width="1" style="20" customWidth="1"/>
    <col min="4100" max="4100" width="14.42578125" style="20" customWidth="1"/>
    <col min="4101" max="4102" width="11.85546875" style="20" customWidth="1"/>
    <col min="4103" max="4350" width="9.140625" style="20"/>
    <col min="4351" max="4352" width="16.28515625" style="20" customWidth="1"/>
    <col min="4353" max="4353" width="9.140625" style="20"/>
    <col min="4354" max="4354" width="4.7109375" style="20" customWidth="1"/>
    <col min="4355" max="4355" width="1" style="20" customWidth="1"/>
    <col min="4356" max="4356" width="14.42578125" style="20" customWidth="1"/>
    <col min="4357" max="4358" width="11.85546875" style="20" customWidth="1"/>
    <col min="4359" max="4606" width="9.140625" style="20"/>
    <col min="4607" max="4608" width="16.28515625" style="20" customWidth="1"/>
    <col min="4609" max="4609" width="9.140625" style="20"/>
    <col min="4610" max="4610" width="4.7109375" style="20" customWidth="1"/>
    <col min="4611" max="4611" width="1" style="20" customWidth="1"/>
    <col min="4612" max="4612" width="14.42578125" style="20" customWidth="1"/>
    <col min="4613" max="4614" width="11.85546875" style="20" customWidth="1"/>
    <col min="4615" max="4862" width="9.140625" style="20"/>
    <col min="4863" max="4864" width="16.28515625" style="20" customWidth="1"/>
    <col min="4865" max="4865" width="9.140625" style="20"/>
    <col min="4866" max="4866" width="4.7109375" style="20" customWidth="1"/>
    <col min="4867" max="4867" width="1" style="20" customWidth="1"/>
    <col min="4868" max="4868" width="14.42578125" style="20" customWidth="1"/>
    <col min="4869" max="4870" width="11.85546875" style="20" customWidth="1"/>
    <col min="4871" max="5118" width="9.140625" style="20"/>
    <col min="5119" max="5120" width="16.28515625" style="20" customWidth="1"/>
    <col min="5121" max="5121" width="9.140625" style="20"/>
    <col min="5122" max="5122" width="4.7109375" style="20" customWidth="1"/>
    <col min="5123" max="5123" width="1" style="20" customWidth="1"/>
    <col min="5124" max="5124" width="14.42578125" style="20" customWidth="1"/>
    <col min="5125" max="5126" width="11.85546875" style="20" customWidth="1"/>
    <col min="5127" max="5374" width="9.140625" style="20"/>
    <col min="5375" max="5376" width="16.28515625" style="20" customWidth="1"/>
    <col min="5377" max="5377" width="9.140625" style="20"/>
    <col min="5378" max="5378" width="4.7109375" style="20" customWidth="1"/>
    <col min="5379" max="5379" width="1" style="20" customWidth="1"/>
    <col min="5380" max="5380" width="14.42578125" style="20" customWidth="1"/>
    <col min="5381" max="5382" width="11.85546875" style="20" customWidth="1"/>
    <col min="5383" max="5630" width="9.140625" style="20"/>
    <col min="5631" max="5632" width="16.28515625" style="20" customWidth="1"/>
    <col min="5633" max="5633" width="9.140625" style="20"/>
    <col min="5634" max="5634" width="4.7109375" style="20" customWidth="1"/>
    <col min="5635" max="5635" width="1" style="20" customWidth="1"/>
    <col min="5636" max="5636" width="14.42578125" style="20" customWidth="1"/>
    <col min="5637" max="5638" width="11.85546875" style="20" customWidth="1"/>
    <col min="5639" max="5886" width="9.140625" style="20"/>
    <col min="5887" max="5888" width="16.28515625" style="20" customWidth="1"/>
    <col min="5889" max="5889" width="9.140625" style="20"/>
    <col min="5890" max="5890" width="4.7109375" style="20" customWidth="1"/>
    <col min="5891" max="5891" width="1" style="20" customWidth="1"/>
    <col min="5892" max="5892" width="14.42578125" style="20" customWidth="1"/>
    <col min="5893" max="5894" width="11.85546875" style="20" customWidth="1"/>
    <col min="5895" max="6142" width="9.140625" style="20"/>
    <col min="6143" max="6144" width="16.28515625" style="20" customWidth="1"/>
    <col min="6145" max="6145" width="9.140625" style="20"/>
    <col min="6146" max="6146" width="4.7109375" style="20" customWidth="1"/>
    <col min="6147" max="6147" width="1" style="20" customWidth="1"/>
    <col min="6148" max="6148" width="14.42578125" style="20" customWidth="1"/>
    <col min="6149" max="6150" width="11.85546875" style="20" customWidth="1"/>
    <col min="6151" max="6398" width="9.140625" style="20"/>
    <col min="6399" max="6400" width="16.28515625" style="20" customWidth="1"/>
    <col min="6401" max="6401" width="9.140625" style="20"/>
    <col min="6402" max="6402" width="4.7109375" style="20" customWidth="1"/>
    <col min="6403" max="6403" width="1" style="20" customWidth="1"/>
    <col min="6404" max="6404" width="14.42578125" style="20" customWidth="1"/>
    <col min="6405" max="6406" width="11.85546875" style="20" customWidth="1"/>
    <col min="6407" max="6654" width="9.140625" style="20"/>
    <col min="6655" max="6656" width="16.28515625" style="20" customWidth="1"/>
    <col min="6657" max="6657" width="9.140625" style="20"/>
    <col min="6658" max="6658" width="4.7109375" style="20" customWidth="1"/>
    <col min="6659" max="6659" width="1" style="20" customWidth="1"/>
    <col min="6660" max="6660" width="14.42578125" style="20" customWidth="1"/>
    <col min="6661" max="6662" width="11.85546875" style="20" customWidth="1"/>
    <col min="6663" max="6910" width="9.140625" style="20"/>
    <col min="6911" max="6912" width="16.28515625" style="20" customWidth="1"/>
    <col min="6913" max="6913" width="9.140625" style="20"/>
    <col min="6914" max="6914" width="4.7109375" style="20" customWidth="1"/>
    <col min="6915" max="6915" width="1" style="20" customWidth="1"/>
    <col min="6916" max="6916" width="14.42578125" style="20" customWidth="1"/>
    <col min="6917" max="6918" width="11.85546875" style="20" customWidth="1"/>
    <col min="6919" max="7166" width="9.140625" style="20"/>
    <col min="7167" max="7168" width="16.28515625" style="20" customWidth="1"/>
    <col min="7169" max="7169" width="9.140625" style="20"/>
    <col min="7170" max="7170" width="4.7109375" style="20" customWidth="1"/>
    <col min="7171" max="7171" width="1" style="20" customWidth="1"/>
    <col min="7172" max="7172" width="14.42578125" style="20" customWidth="1"/>
    <col min="7173" max="7174" width="11.85546875" style="20" customWidth="1"/>
    <col min="7175" max="7422" width="9.140625" style="20"/>
    <col min="7423" max="7424" width="16.28515625" style="20" customWidth="1"/>
    <col min="7425" max="7425" width="9.140625" style="20"/>
    <col min="7426" max="7426" width="4.7109375" style="20" customWidth="1"/>
    <col min="7427" max="7427" width="1" style="20" customWidth="1"/>
    <col min="7428" max="7428" width="14.42578125" style="20" customWidth="1"/>
    <col min="7429" max="7430" width="11.85546875" style="20" customWidth="1"/>
    <col min="7431" max="7678" width="9.140625" style="20"/>
    <col min="7679" max="7680" width="16.28515625" style="20" customWidth="1"/>
    <col min="7681" max="7681" width="9.140625" style="20"/>
    <col min="7682" max="7682" width="4.7109375" style="20" customWidth="1"/>
    <col min="7683" max="7683" width="1" style="20" customWidth="1"/>
    <col min="7684" max="7684" width="14.42578125" style="20" customWidth="1"/>
    <col min="7685" max="7686" width="11.85546875" style="20" customWidth="1"/>
    <col min="7687" max="7934" width="9.140625" style="20"/>
    <col min="7935" max="7936" width="16.28515625" style="20" customWidth="1"/>
    <col min="7937" max="7937" width="9.140625" style="20"/>
    <col min="7938" max="7938" width="4.7109375" style="20" customWidth="1"/>
    <col min="7939" max="7939" width="1" style="20" customWidth="1"/>
    <col min="7940" max="7940" width="14.42578125" style="20" customWidth="1"/>
    <col min="7941" max="7942" width="11.85546875" style="20" customWidth="1"/>
    <col min="7943" max="8190" width="9.140625" style="20"/>
    <col min="8191" max="8192" width="16.28515625" style="20" customWidth="1"/>
    <col min="8193" max="8193" width="9.140625" style="20"/>
    <col min="8194" max="8194" width="4.7109375" style="20" customWidth="1"/>
    <col min="8195" max="8195" width="1" style="20" customWidth="1"/>
    <col min="8196" max="8196" width="14.42578125" style="20" customWidth="1"/>
    <col min="8197" max="8198" width="11.85546875" style="20" customWidth="1"/>
    <col min="8199" max="8446" width="9.140625" style="20"/>
    <col min="8447" max="8448" width="16.28515625" style="20" customWidth="1"/>
    <col min="8449" max="8449" width="9.140625" style="20"/>
    <col min="8450" max="8450" width="4.7109375" style="20" customWidth="1"/>
    <col min="8451" max="8451" width="1" style="20" customWidth="1"/>
    <col min="8452" max="8452" width="14.42578125" style="20" customWidth="1"/>
    <col min="8453" max="8454" width="11.85546875" style="20" customWidth="1"/>
    <col min="8455" max="8702" width="9.140625" style="20"/>
    <col min="8703" max="8704" width="16.28515625" style="20" customWidth="1"/>
    <col min="8705" max="8705" width="9.140625" style="20"/>
    <col min="8706" max="8706" width="4.7109375" style="20" customWidth="1"/>
    <col min="8707" max="8707" width="1" style="20" customWidth="1"/>
    <col min="8708" max="8708" width="14.42578125" style="20" customWidth="1"/>
    <col min="8709" max="8710" width="11.85546875" style="20" customWidth="1"/>
    <col min="8711" max="8958" width="9.140625" style="20"/>
    <col min="8959" max="8960" width="16.28515625" style="20" customWidth="1"/>
    <col min="8961" max="8961" width="9.140625" style="20"/>
    <col min="8962" max="8962" width="4.7109375" style="20" customWidth="1"/>
    <col min="8963" max="8963" width="1" style="20" customWidth="1"/>
    <col min="8964" max="8964" width="14.42578125" style="20" customWidth="1"/>
    <col min="8965" max="8966" width="11.85546875" style="20" customWidth="1"/>
    <col min="8967" max="9214" width="9.140625" style="20"/>
    <col min="9215" max="9216" width="16.28515625" style="20" customWidth="1"/>
    <col min="9217" max="9217" width="9.140625" style="20"/>
    <col min="9218" max="9218" width="4.7109375" style="20" customWidth="1"/>
    <col min="9219" max="9219" width="1" style="20" customWidth="1"/>
    <col min="9220" max="9220" width="14.42578125" style="20" customWidth="1"/>
    <col min="9221" max="9222" width="11.85546875" style="20" customWidth="1"/>
    <col min="9223" max="9470" width="9.140625" style="20"/>
    <col min="9471" max="9472" width="16.28515625" style="20" customWidth="1"/>
    <col min="9473" max="9473" width="9.140625" style="20"/>
    <col min="9474" max="9474" width="4.7109375" style="20" customWidth="1"/>
    <col min="9475" max="9475" width="1" style="20" customWidth="1"/>
    <col min="9476" max="9476" width="14.42578125" style="20" customWidth="1"/>
    <col min="9477" max="9478" width="11.85546875" style="20" customWidth="1"/>
    <col min="9479" max="9726" width="9.140625" style="20"/>
    <col min="9727" max="9728" width="16.28515625" style="20" customWidth="1"/>
    <col min="9729" max="9729" width="9.140625" style="20"/>
    <col min="9730" max="9730" width="4.7109375" style="20" customWidth="1"/>
    <col min="9731" max="9731" width="1" style="20" customWidth="1"/>
    <col min="9732" max="9732" width="14.42578125" style="20" customWidth="1"/>
    <col min="9733" max="9734" width="11.85546875" style="20" customWidth="1"/>
    <col min="9735" max="9982" width="9.140625" style="20"/>
    <col min="9983" max="9984" width="16.28515625" style="20" customWidth="1"/>
    <col min="9985" max="9985" width="9.140625" style="20"/>
    <col min="9986" max="9986" width="4.7109375" style="20" customWidth="1"/>
    <col min="9987" max="9987" width="1" style="20" customWidth="1"/>
    <col min="9988" max="9988" width="14.42578125" style="20" customWidth="1"/>
    <col min="9989" max="9990" width="11.85546875" style="20" customWidth="1"/>
    <col min="9991" max="10238" width="9.140625" style="20"/>
    <col min="10239" max="10240" width="16.28515625" style="20" customWidth="1"/>
    <col min="10241" max="10241" width="9.140625" style="20"/>
    <col min="10242" max="10242" width="4.7109375" style="20" customWidth="1"/>
    <col min="10243" max="10243" width="1" style="20" customWidth="1"/>
    <col min="10244" max="10244" width="14.42578125" style="20" customWidth="1"/>
    <col min="10245" max="10246" width="11.85546875" style="20" customWidth="1"/>
    <col min="10247" max="10494" width="9.140625" style="20"/>
    <col min="10495" max="10496" width="16.28515625" style="20" customWidth="1"/>
    <col min="10497" max="10497" width="9.140625" style="20"/>
    <col min="10498" max="10498" width="4.7109375" style="20" customWidth="1"/>
    <col min="10499" max="10499" width="1" style="20" customWidth="1"/>
    <col min="10500" max="10500" width="14.42578125" style="20" customWidth="1"/>
    <col min="10501" max="10502" width="11.85546875" style="20" customWidth="1"/>
    <col min="10503" max="10750" width="9.140625" style="20"/>
    <col min="10751" max="10752" width="16.28515625" style="20" customWidth="1"/>
    <col min="10753" max="10753" width="9.140625" style="20"/>
    <col min="10754" max="10754" width="4.7109375" style="20" customWidth="1"/>
    <col min="10755" max="10755" width="1" style="20" customWidth="1"/>
    <col min="10756" max="10756" width="14.42578125" style="20" customWidth="1"/>
    <col min="10757" max="10758" width="11.85546875" style="20" customWidth="1"/>
    <col min="10759" max="11006" width="9.140625" style="20"/>
    <col min="11007" max="11008" width="16.28515625" style="20" customWidth="1"/>
    <col min="11009" max="11009" width="9.140625" style="20"/>
    <col min="11010" max="11010" width="4.7109375" style="20" customWidth="1"/>
    <col min="11011" max="11011" width="1" style="20" customWidth="1"/>
    <col min="11012" max="11012" width="14.42578125" style="20" customWidth="1"/>
    <col min="11013" max="11014" width="11.85546875" style="20" customWidth="1"/>
    <col min="11015" max="11262" width="9.140625" style="20"/>
    <col min="11263" max="11264" width="16.28515625" style="20" customWidth="1"/>
    <col min="11265" max="11265" width="9.140625" style="20"/>
    <col min="11266" max="11266" width="4.7109375" style="20" customWidth="1"/>
    <col min="11267" max="11267" width="1" style="20" customWidth="1"/>
    <col min="11268" max="11268" width="14.42578125" style="20" customWidth="1"/>
    <col min="11269" max="11270" width="11.85546875" style="20" customWidth="1"/>
    <col min="11271" max="11518" width="9.140625" style="20"/>
    <col min="11519" max="11520" width="16.28515625" style="20" customWidth="1"/>
    <col min="11521" max="11521" width="9.140625" style="20"/>
    <col min="11522" max="11522" width="4.7109375" style="20" customWidth="1"/>
    <col min="11523" max="11523" width="1" style="20" customWidth="1"/>
    <col min="11524" max="11524" width="14.42578125" style="20" customWidth="1"/>
    <col min="11525" max="11526" width="11.85546875" style="20" customWidth="1"/>
    <col min="11527" max="11774" width="9.140625" style="20"/>
    <col min="11775" max="11776" width="16.28515625" style="20" customWidth="1"/>
    <col min="11777" max="11777" width="9.140625" style="20"/>
    <col min="11778" max="11778" width="4.7109375" style="20" customWidth="1"/>
    <col min="11779" max="11779" width="1" style="20" customWidth="1"/>
    <col min="11780" max="11780" width="14.42578125" style="20" customWidth="1"/>
    <col min="11781" max="11782" width="11.85546875" style="20" customWidth="1"/>
    <col min="11783" max="12030" width="9.140625" style="20"/>
    <col min="12031" max="12032" width="16.28515625" style="20" customWidth="1"/>
    <col min="12033" max="12033" width="9.140625" style="20"/>
    <col min="12034" max="12034" width="4.7109375" style="20" customWidth="1"/>
    <col min="12035" max="12035" width="1" style="20" customWidth="1"/>
    <col min="12036" max="12036" width="14.42578125" style="20" customWidth="1"/>
    <col min="12037" max="12038" width="11.85546875" style="20" customWidth="1"/>
    <col min="12039" max="12286" width="9.140625" style="20"/>
    <col min="12287" max="12288" width="16.28515625" style="20" customWidth="1"/>
    <col min="12289" max="12289" width="9.140625" style="20"/>
    <col min="12290" max="12290" width="4.7109375" style="20" customWidth="1"/>
    <col min="12291" max="12291" width="1" style="20" customWidth="1"/>
    <col min="12292" max="12292" width="14.42578125" style="20" customWidth="1"/>
    <col min="12293" max="12294" width="11.85546875" style="20" customWidth="1"/>
    <col min="12295" max="12542" width="9.140625" style="20"/>
    <col min="12543" max="12544" width="16.28515625" style="20" customWidth="1"/>
    <col min="12545" max="12545" width="9.140625" style="20"/>
    <col min="12546" max="12546" width="4.7109375" style="20" customWidth="1"/>
    <col min="12547" max="12547" width="1" style="20" customWidth="1"/>
    <col min="12548" max="12548" width="14.42578125" style="20" customWidth="1"/>
    <col min="12549" max="12550" width="11.85546875" style="20" customWidth="1"/>
    <col min="12551" max="12798" width="9.140625" style="20"/>
    <col min="12799" max="12800" width="16.28515625" style="20" customWidth="1"/>
    <col min="12801" max="12801" width="9.140625" style="20"/>
    <col min="12802" max="12802" width="4.7109375" style="20" customWidth="1"/>
    <col min="12803" max="12803" width="1" style="20" customWidth="1"/>
    <col min="12804" max="12804" width="14.42578125" style="20" customWidth="1"/>
    <col min="12805" max="12806" width="11.85546875" style="20" customWidth="1"/>
    <col min="12807" max="13054" width="9.140625" style="20"/>
    <col min="13055" max="13056" width="16.28515625" style="20" customWidth="1"/>
    <col min="13057" max="13057" width="9.140625" style="20"/>
    <col min="13058" max="13058" width="4.7109375" style="20" customWidth="1"/>
    <col min="13059" max="13059" width="1" style="20" customWidth="1"/>
    <col min="13060" max="13060" width="14.42578125" style="20" customWidth="1"/>
    <col min="13061" max="13062" width="11.85546875" style="20" customWidth="1"/>
    <col min="13063" max="13310" width="9.140625" style="20"/>
    <col min="13311" max="13312" width="16.28515625" style="20" customWidth="1"/>
    <col min="13313" max="13313" width="9.140625" style="20"/>
    <col min="13314" max="13314" width="4.7109375" style="20" customWidth="1"/>
    <col min="13315" max="13315" width="1" style="20" customWidth="1"/>
    <col min="13316" max="13316" width="14.42578125" style="20" customWidth="1"/>
    <col min="13317" max="13318" width="11.85546875" style="20" customWidth="1"/>
    <col min="13319" max="13566" width="9.140625" style="20"/>
    <col min="13567" max="13568" width="16.28515625" style="20" customWidth="1"/>
    <col min="13569" max="13569" width="9.140625" style="20"/>
    <col min="13570" max="13570" width="4.7109375" style="20" customWidth="1"/>
    <col min="13571" max="13571" width="1" style="20" customWidth="1"/>
    <col min="13572" max="13572" width="14.42578125" style="20" customWidth="1"/>
    <col min="13573" max="13574" width="11.85546875" style="20" customWidth="1"/>
    <col min="13575" max="13822" width="9.140625" style="20"/>
    <col min="13823" max="13824" width="16.28515625" style="20" customWidth="1"/>
    <col min="13825" max="13825" width="9.140625" style="20"/>
    <col min="13826" max="13826" width="4.7109375" style="20" customWidth="1"/>
    <col min="13827" max="13827" width="1" style="20" customWidth="1"/>
    <col min="13828" max="13828" width="14.42578125" style="20" customWidth="1"/>
    <col min="13829" max="13830" width="11.85546875" style="20" customWidth="1"/>
    <col min="13831" max="14078" width="9.140625" style="20"/>
    <col min="14079" max="14080" width="16.28515625" style="20" customWidth="1"/>
    <col min="14081" max="14081" width="9.140625" style="20"/>
    <col min="14082" max="14082" width="4.7109375" style="20" customWidth="1"/>
    <col min="14083" max="14083" width="1" style="20" customWidth="1"/>
    <col min="14084" max="14084" width="14.42578125" style="20" customWidth="1"/>
    <col min="14085" max="14086" width="11.85546875" style="20" customWidth="1"/>
    <col min="14087" max="14334" width="9.140625" style="20"/>
    <col min="14335" max="14336" width="16.28515625" style="20" customWidth="1"/>
    <col min="14337" max="14337" width="9.140625" style="20"/>
    <col min="14338" max="14338" width="4.7109375" style="20" customWidth="1"/>
    <col min="14339" max="14339" width="1" style="20" customWidth="1"/>
    <col min="14340" max="14340" width="14.42578125" style="20" customWidth="1"/>
    <col min="14341" max="14342" width="11.85546875" style="20" customWidth="1"/>
    <col min="14343" max="14590" width="9.140625" style="20"/>
    <col min="14591" max="14592" width="16.28515625" style="20" customWidth="1"/>
    <col min="14593" max="14593" width="9.140625" style="20"/>
    <col min="14594" max="14594" width="4.7109375" style="20" customWidth="1"/>
    <col min="14595" max="14595" width="1" style="20" customWidth="1"/>
    <col min="14596" max="14596" width="14.42578125" style="20" customWidth="1"/>
    <col min="14597" max="14598" width="11.85546875" style="20" customWidth="1"/>
    <col min="14599" max="14846" width="9.140625" style="20"/>
    <col min="14847" max="14848" width="16.28515625" style="20" customWidth="1"/>
    <col min="14849" max="14849" width="9.140625" style="20"/>
    <col min="14850" max="14850" width="4.7109375" style="20" customWidth="1"/>
    <col min="14851" max="14851" width="1" style="20" customWidth="1"/>
    <col min="14852" max="14852" width="14.42578125" style="20" customWidth="1"/>
    <col min="14853" max="14854" width="11.85546875" style="20" customWidth="1"/>
    <col min="14855" max="15102" width="9.140625" style="20"/>
    <col min="15103" max="15104" width="16.28515625" style="20" customWidth="1"/>
    <col min="15105" max="15105" width="9.140625" style="20"/>
    <col min="15106" max="15106" width="4.7109375" style="20" customWidth="1"/>
    <col min="15107" max="15107" width="1" style="20" customWidth="1"/>
    <col min="15108" max="15108" width="14.42578125" style="20" customWidth="1"/>
    <col min="15109" max="15110" width="11.85546875" style="20" customWidth="1"/>
    <col min="15111" max="15358" width="9.140625" style="20"/>
    <col min="15359" max="15360" width="16.28515625" style="20" customWidth="1"/>
    <col min="15361" max="15361" width="9.140625" style="20"/>
    <col min="15362" max="15362" width="4.7109375" style="20" customWidth="1"/>
    <col min="15363" max="15363" width="1" style="20" customWidth="1"/>
    <col min="15364" max="15364" width="14.42578125" style="20" customWidth="1"/>
    <col min="15365" max="15366" width="11.85546875" style="20" customWidth="1"/>
    <col min="15367" max="15614" width="9.140625" style="20"/>
    <col min="15615" max="15616" width="16.28515625" style="20" customWidth="1"/>
    <col min="15617" max="15617" width="9.140625" style="20"/>
    <col min="15618" max="15618" width="4.7109375" style="20" customWidth="1"/>
    <col min="15619" max="15619" width="1" style="20" customWidth="1"/>
    <col min="15620" max="15620" width="14.42578125" style="20" customWidth="1"/>
    <col min="15621" max="15622" width="11.85546875" style="20" customWidth="1"/>
    <col min="15623" max="15870" width="9.140625" style="20"/>
    <col min="15871" max="15872" width="16.28515625" style="20" customWidth="1"/>
    <col min="15873" max="15873" width="9.140625" style="20"/>
    <col min="15874" max="15874" width="4.7109375" style="20" customWidth="1"/>
    <col min="15875" max="15875" width="1" style="20" customWidth="1"/>
    <col min="15876" max="15876" width="14.42578125" style="20" customWidth="1"/>
    <col min="15877" max="15878" width="11.85546875" style="20" customWidth="1"/>
    <col min="15879" max="16126" width="9.140625" style="20"/>
    <col min="16127" max="16128" width="16.28515625" style="20" customWidth="1"/>
    <col min="16129" max="16129" width="9.140625" style="20"/>
    <col min="16130" max="16130" width="4.7109375" style="20" customWidth="1"/>
    <col min="16131" max="16131" width="1" style="20" customWidth="1"/>
    <col min="16132" max="16132" width="14.42578125" style="20" customWidth="1"/>
    <col min="16133" max="16134" width="11.85546875" style="20" customWidth="1"/>
    <col min="16135" max="16384" width="9.140625" style="20"/>
  </cols>
  <sheetData>
    <row r="1" spans="1:16134" s="1" customFormat="1" ht="15.75">
      <c r="A1" s="461" t="s">
        <v>969</v>
      </c>
      <c r="B1" s="460"/>
      <c r="C1" s="460"/>
      <c r="D1" s="460"/>
      <c r="E1" s="460"/>
      <c r="F1" s="604"/>
    </row>
    <row r="2" spans="1:16134">
      <c r="A2" s="458"/>
      <c r="B2" s="459"/>
      <c r="C2" s="459"/>
      <c r="D2" s="459"/>
      <c r="E2" s="459"/>
      <c r="F2" s="605"/>
    </row>
    <row r="3" spans="1:16134">
      <c r="A3" s="458"/>
      <c r="B3" s="459"/>
      <c r="C3" s="459"/>
      <c r="D3" s="459"/>
      <c r="E3" s="459"/>
      <c r="F3" s="605"/>
    </row>
    <row r="4" spans="1:16134" s="384" customFormat="1" ht="45.75" customHeight="1">
      <c r="A4" s="917" t="s">
        <v>715</v>
      </c>
      <c r="B4" s="917"/>
      <c r="C4" s="917"/>
      <c r="D4" s="917"/>
      <c r="E4" s="917"/>
      <c r="F4" s="917"/>
    </row>
    <row r="5" spans="1:16134" s="384" customFormat="1">
      <c r="A5" s="917"/>
      <c r="B5" s="917"/>
      <c r="C5" s="917"/>
      <c r="D5" s="917"/>
      <c r="E5" s="917"/>
      <c r="F5" s="917"/>
    </row>
    <row r="6" spans="1:16134">
      <c r="A6" s="917"/>
      <c r="B6" s="917"/>
      <c r="C6" s="917"/>
      <c r="D6" s="917"/>
      <c r="E6" s="917"/>
      <c r="F6" s="917"/>
    </row>
    <row r="7" spans="1:16134" s="253" customFormat="1" ht="13.5" thickBot="1">
      <c r="A7" s="907" t="s">
        <v>716</v>
      </c>
      <c r="B7" s="907"/>
      <c r="C7" s="907"/>
      <c r="D7" s="907"/>
      <c r="E7" s="907"/>
      <c r="F7" s="907"/>
    </row>
    <row r="8" spans="1:16134" s="253" customFormat="1" ht="63" customHeight="1">
      <c r="A8" s="908" t="s">
        <v>584</v>
      </c>
      <c r="B8" s="909"/>
      <c r="C8" s="914" t="s">
        <v>286</v>
      </c>
      <c r="D8" s="918" t="s">
        <v>287</v>
      </c>
      <c r="E8" s="918" t="s">
        <v>604</v>
      </c>
      <c r="F8" s="921" t="s">
        <v>605</v>
      </c>
    </row>
    <row r="9" spans="1:16134" s="253" customFormat="1" ht="24.75" customHeight="1">
      <c r="A9" s="910"/>
      <c r="B9" s="911"/>
      <c r="C9" s="915"/>
      <c r="D9" s="919"/>
      <c r="E9" s="919"/>
      <c r="F9" s="922"/>
    </row>
    <row r="10" spans="1:16134" s="253" customFormat="1" ht="24.75" customHeight="1">
      <c r="A10" s="910"/>
      <c r="B10" s="911"/>
      <c r="C10" s="915"/>
      <c r="D10" s="919"/>
      <c r="E10" s="919"/>
      <c r="F10" s="922"/>
    </row>
    <row r="11" spans="1:16134" ht="36" customHeight="1" thickBot="1">
      <c r="A11" s="912"/>
      <c r="B11" s="913"/>
      <c r="C11" s="916"/>
      <c r="D11" s="920"/>
      <c r="E11" s="920"/>
      <c r="F11" s="923"/>
    </row>
    <row r="12" spans="1:16134" s="422" customFormat="1" ht="52.5" customHeight="1">
      <c r="A12" s="592" t="s">
        <v>530</v>
      </c>
      <c r="B12" s="592"/>
      <c r="C12" s="452">
        <v>50000000</v>
      </c>
      <c r="D12" s="452">
        <v>35040192</v>
      </c>
      <c r="E12" s="452">
        <v>0</v>
      </c>
      <c r="F12" s="606"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</row>
    <row r="13" spans="1:16134" s="422" customFormat="1" ht="52.5" customHeight="1">
      <c r="A13" s="592" t="s">
        <v>531</v>
      </c>
      <c r="B13" s="592"/>
      <c r="C13" s="452">
        <v>231934000</v>
      </c>
      <c r="D13" s="452">
        <f>SUM(B14+B16+B17+B21+B22+B23+B24+B25+B26+B27)</f>
        <v>2241418763</v>
      </c>
      <c r="E13" s="452">
        <f t="shared" ref="E13:F13" si="0">SUM(C14+C16+C17+C21+C22+C23+C24+C25+C26+C27)</f>
        <v>0</v>
      </c>
      <c r="F13" s="606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</row>
    <row r="14" spans="1:16134" s="422" customFormat="1" ht="52.5" customHeight="1">
      <c r="A14" s="592" t="s">
        <v>706</v>
      </c>
      <c r="B14" s="595">
        <f>3875000-73+8870741</f>
        <v>12745668</v>
      </c>
      <c r="C14" s="452"/>
      <c r="D14" s="452"/>
      <c r="E14" s="452"/>
      <c r="F14" s="606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</row>
    <row r="15" spans="1:16134" s="422" customFormat="1" ht="30.75" customHeight="1">
      <c r="A15" s="592" t="s">
        <v>532</v>
      </c>
      <c r="B15" s="596"/>
      <c r="C15" s="452"/>
      <c r="D15" s="452"/>
      <c r="E15" s="452"/>
      <c r="F15" s="60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</row>
    <row r="16" spans="1:16134" ht="47.25">
      <c r="A16" s="597" t="s">
        <v>533</v>
      </c>
      <c r="B16" s="595">
        <f>12155000-434</f>
        <v>12154566</v>
      </c>
      <c r="C16" s="452"/>
      <c r="D16" s="452"/>
      <c r="E16" s="452"/>
      <c r="F16" s="606"/>
    </row>
    <row r="17" spans="1:6" ht="31.5">
      <c r="A17" s="592" t="s">
        <v>534</v>
      </c>
      <c r="B17" s="595">
        <f>SUM(B19:B20)</f>
        <v>164375993</v>
      </c>
      <c r="C17" s="452"/>
      <c r="D17" s="452"/>
      <c r="E17" s="452"/>
      <c r="F17" s="606"/>
    </row>
    <row r="18" spans="1:6" ht="15.75">
      <c r="A18" s="597" t="s">
        <v>433</v>
      </c>
      <c r="B18" s="595"/>
      <c r="C18" s="452"/>
      <c r="D18" s="452"/>
      <c r="E18" s="452"/>
      <c r="F18" s="606"/>
    </row>
    <row r="19" spans="1:6" ht="15.75">
      <c r="A19" s="597" t="s">
        <v>707</v>
      </c>
      <c r="B19" s="595">
        <v>49950000</v>
      </c>
      <c r="C19" s="452"/>
      <c r="D19" s="452"/>
      <c r="E19" s="452"/>
      <c r="F19" s="606"/>
    </row>
    <row r="20" spans="1:6" ht="31.5">
      <c r="A20" s="597" t="s">
        <v>708</v>
      </c>
      <c r="B20" s="595">
        <f>165954000-328-460419-2103086-25757662-20625194+2583543-5164861</f>
        <v>114425993</v>
      </c>
      <c r="C20" s="452"/>
      <c r="D20" s="452"/>
      <c r="E20" s="452"/>
      <c r="F20" s="606"/>
    </row>
    <row r="21" spans="1:6" ht="31.5">
      <c r="A21" s="592" t="s">
        <v>709</v>
      </c>
      <c r="B21" s="595">
        <v>119456054</v>
      </c>
      <c r="C21" s="452"/>
      <c r="D21" s="452"/>
      <c r="E21" s="452"/>
      <c r="F21" s="606"/>
    </row>
    <row r="22" spans="1:6" ht="63">
      <c r="A22" s="592" t="s">
        <v>710</v>
      </c>
      <c r="B22" s="595">
        <v>28337952</v>
      </c>
      <c r="C22" s="452"/>
      <c r="D22" s="452"/>
      <c r="E22" s="452"/>
      <c r="F22" s="606"/>
    </row>
    <row r="23" spans="1:6" ht="31.5">
      <c r="A23" s="592" t="s">
        <v>686</v>
      </c>
      <c r="B23" s="595">
        <f>468035127-2476500</f>
        <v>465558627</v>
      </c>
      <c r="C23" s="452"/>
      <c r="D23" s="452"/>
      <c r="E23" s="452"/>
      <c r="F23" s="606"/>
    </row>
    <row r="24" spans="1:6" ht="31.5">
      <c r="A24" s="592" t="s">
        <v>711</v>
      </c>
      <c r="B24" s="473">
        <f>189089200-1821600</f>
        <v>187267600</v>
      </c>
      <c r="C24" s="452"/>
      <c r="D24" s="452"/>
      <c r="E24" s="452"/>
      <c r="F24" s="606"/>
    </row>
    <row r="25" spans="1:6" ht="31.5">
      <c r="A25" s="598" t="s">
        <v>712</v>
      </c>
      <c r="B25" s="599">
        <f>236298633-5759393</f>
        <v>230539240</v>
      </c>
      <c r="C25" s="452"/>
      <c r="D25" s="452"/>
      <c r="E25" s="452"/>
      <c r="F25" s="606"/>
    </row>
    <row r="26" spans="1:6" ht="31.5">
      <c r="A26" s="479" t="s">
        <v>713</v>
      </c>
      <c r="B26" s="473">
        <f>195200000-13123000</f>
        <v>182077000</v>
      </c>
      <c r="C26" s="452"/>
      <c r="D26" s="452"/>
      <c r="E26" s="452"/>
      <c r="F26" s="606"/>
    </row>
    <row r="27" spans="1:6" ht="15.75">
      <c r="A27" s="600" t="s">
        <v>690</v>
      </c>
      <c r="B27" s="473">
        <v>838906063</v>
      </c>
      <c r="C27" s="452"/>
      <c r="D27" s="452"/>
      <c r="E27" s="452"/>
      <c r="F27" s="606"/>
    </row>
    <row r="28" spans="1:6" ht="27" customHeight="1">
      <c r="A28" s="601" t="s">
        <v>714</v>
      </c>
      <c r="B28" s="602"/>
      <c r="C28" s="603">
        <f>SUM(C12:C23)</f>
        <v>281934000</v>
      </c>
      <c r="D28" s="603">
        <f>SUM(D12:D23)</f>
        <v>2276458955</v>
      </c>
      <c r="E28" s="603">
        <f t="shared" ref="E28:F28" si="1">SUM(E12:E23)</f>
        <v>0</v>
      </c>
      <c r="F28" s="607">
        <f t="shared" si="1"/>
        <v>0</v>
      </c>
    </row>
  </sheetData>
  <mergeCells count="7">
    <mergeCell ref="A7:F7"/>
    <mergeCell ref="A8:B11"/>
    <mergeCell ref="C8:C11"/>
    <mergeCell ref="A4:F6"/>
    <mergeCell ref="D8:D11"/>
    <mergeCell ref="E8:E11"/>
    <mergeCell ref="F8:F11"/>
  </mergeCells>
  <pageMargins left="0.7" right="0.7" top="0.75" bottom="0.75" header="0.3" footer="0.3"/>
  <pageSetup paperSize="9" scale="56" orientation="portrait" horizontalDpi="300" verticalDpi="300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zoomScale="95" zoomScaleSheetLayoutView="95" workbookViewId="0">
      <selection activeCell="A2" sqref="A2:I2"/>
    </sheetView>
  </sheetViews>
  <sheetFormatPr defaultRowHeight="15.75"/>
  <cols>
    <col min="1" max="1" width="41.7109375" style="349" customWidth="1"/>
    <col min="2" max="2" width="11.7109375" style="349" customWidth="1"/>
    <col min="3" max="3" width="14.28515625" style="349" customWidth="1"/>
    <col min="4" max="4" width="14" style="349" customWidth="1"/>
    <col min="5" max="9" width="15.42578125" style="349" customWidth="1"/>
    <col min="10" max="256" width="9.140625" style="349"/>
    <col min="257" max="257" width="41.7109375" style="349" customWidth="1"/>
    <col min="258" max="258" width="11.7109375" style="349" customWidth="1"/>
    <col min="259" max="259" width="14.28515625" style="349" customWidth="1"/>
    <col min="260" max="260" width="14" style="349" customWidth="1"/>
    <col min="261" max="265" width="15.42578125" style="349" customWidth="1"/>
    <col min="266" max="512" width="9.140625" style="349"/>
    <col min="513" max="513" width="41.7109375" style="349" customWidth="1"/>
    <col min="514" max="514" width="11.7109375" style="349" customWidth="1"/>
    <col min="515" max="515" width="14.28515625" style="349" customWidth="1"/>
    <col min="516" max="516" width="14" style="349" customWidth="1"/>
    <col min="517" max="521" width="15.42578125" style="349" customWidth="1"/>
    <col min="522" max="768" width="9.140625" style="349"/>
    <col min="769" max="769" width="41.7109375" style="349" customWidth="1"/>
    <col min="770" max="770" width="11.7109375" style="349" customWidth="1"/>
    <col min="771" max="771" width="14.28515625" style="349" customWidth="1"/>
    <col min="772" max="772" width="14" style="349" customWidth="1"/>
    <col min="773" max="777" width="15.42578125" style="349" customWidth="1"/>
    <col min="778" max="1024" width="9.140625" style="349"/>
    <col min="1025" max="1025" width="41.7109375" style="349" customWidth="1"/>
    <col min="1026" max="1026" width="11.7109375" style="349" customWidth="1"/>
    <col min="1027" max="1027" width="14.28515625" style="349" customWidth="1"/>
    <col min="1028" max="1028" width="14" style="349" customWidth="1"/>
    <col min="1029" max="1033" width="15.42578125" style="349" customWidth="1"/>
    <col min="1034" max="1280" width="9.140625" style="349"/>
    <col min="1281" max="1281" width="41.7109375" style="349" customWidth="1"/>
    <col min="1282" max="1282" width="11.7109375" style="349" customWidth="1"/>
    <col min="1283" max="1283" width="14.28515625" style="349" customWidth="1"/>
    <col min="1284" max="1284" width="14" style="349" customWidth="1"/>
    <col min="1285" max="1289" width="15.42578125" style="349" customWidth="1"/>
    <col min="1290" max="1536" width="9.140625" style="349"/>
    <col min="1537" max="1537" width="41.7109375" style="349" customWidth="1"/>
    <col min="1538" max="1538" width="11.7109375" style="349" customWidth="1"/>
    <col min="1539" max="1539" width="14.28515625" style="349" customWidth="1"/>
    <col min="1540" max="1540" width="14" style="349" customWidth="1"/>
    <col min="1541" max="1545" width="15.42578125" style="349" customWidth="1"/>
    <col min="1546" max="1792" width="9.140625" style="349"/>
    <col min="1793" max="1793" width="41.7109375" style="349" customWidth="1"/>
    <col min="1794" max="1794" width="11.7109375" style="349" customWidth="1"/>
    <col min="1795" max="1795" width="14.28515625" style="349" customWidth="1"/>
    <col min="1796" max="1796" width="14" style="349" customWidth="1"/>
    <col min="1797" max="1801" width="15.42578125" style="349" customWidth="1"/>
    <col min="1802" max="2048" width="9.140625" style="349"/>
    <col min="2049" max="2049" width="41.7109375" style="349" customWidth="1"/>
    <col min="2050" max="2050" width="11.7109375" style="349" customWidth="1"/>
    <col min="2051" max="2051" width="14.28515625" style="349" customWidth="1"/>
    <col min="2052" max="2052" width="14" style="349" customWidth="1"/>
    <col min="2053" max="2057" width="15.42578125" style="349" customWidth="1"/>
    <col min="2058" max="2304" width="9.140625" style="349"/>
    <col min="2305" max="2305" width="41.7109375" style="349" customWidth="1"/>
    <col min="2306" max="2306" width="11.7109375" style="349" customWidth="1"/>
    <col min="2307" max="2307" width="14.28515625" style="349" customWidth="1"/>
    <col min="2308" max="2308" width="14" style="349" customWidth="1"/>
    <col min="2309" max="2313" width="15.42578125" style="349" customWidth="1"/>
    <col min="2314" max="2560" width="9.140625" style="349"/>
    <col min="2561" max="2561" width="41.7109375" style="349" customWidth="1"/>
    <col min="2562" max="2562" width="11.7109375" style="349" customWidth="1"/>
    <col min="2563" max="2563" width="14.28515625" style="349" customWidth="1"/>
    <col min="2564" max="2564" width="14" style="349" customWidth="1"/>
    <col min="2565" max="2569" width="15.42578125" style="349" customWidth="1"/>
    <col min="2570" max="2816" width="9.140625" style="349"/>
    <col min="2817" max="2817" width="41.7109375" style="349" customWidth="1"/>
    <col min="2818" max="2818" width="11.7109375" style="349" customWidth="1"/>
    <col min="2819" max="2819" width="14.28515625" style="349" customWidth="1"/>
    <col min="2820" max="2820" width="14" style="349" customWidth="1"/>
    <col min="2821" max="2825" width="15.42578125" style="349" customWidth="1"/>
    <col min="2826" max="3072" width="9.140625" style="349"/>
    <col min="3073" max="3073" width="41.7109375" style="349" customWidth="1"/>
    <col min="3074" max="3074" width="11.7109375" style="349" customWidth="1"/>
    <col min="3075" max="3075" width="14.28515625" style="349" customWidth="1"/>
    <col min="3076" max="3076" width="14" style="349" customWidth="1"/>
    <col min="3077" max="3081" width="15.42578125" style="349" customWidth="1"/>
    <col min="3082" max="3328" width="9.140625" style="349"/>
    <col min="3329" max="3329" width="41.7109375" style="349" customWidth="1"/>
    <col min="3330" max="3330" width="11.7109375" style="349" customWidth="1"/>
    <col min="3331" max="3331" width="14.28515625" style="349" customWidth="1"/>
    <col min="3332" max="3332" width="14" style="349" customWidth="1"/>
    <col min="3333" max="3337" width="15.42578125" style="349" customWidth="1"/>
    <col min="3338" max="3584" width="9.140625" style="349"/>
    <col min="3585" max="3585" width="41.7109375" style="349" customWidth="1"/>
    <col min="3586" max="3586" width="11.7109375" style="349" customWidth="1"/>
    <col min="3587" max="3587" width="14.28515625" style="349" customWidth="1"/>
    <col min="3588" max="3588" width="14" style="349" customWidth="1"/>
    <col min="3589" max="3593" width="15.42578125" style="349" customWidth="1"/>
    <col min="3594" max="3840" width="9.140625" style="349"/>
    <col min="3841" max="3841" width="41.7109375" style="349" customWidth="1"/>
    <col min="3842" max="3842" width="11.7109375" style="349" customWidth="1"/>
    <col min="3843" max="3843" width="14.28515625" style="349" customWidth="1"/>
    <col min="3844" max="3844" width="14" style="349" customWidth="1"/>
    <col min="3845" max="3849" width="15.42578125" style="349" customWidth="1"/>
    <col min="3850" max="4096" width="9.140625" style="349"/>
    <col min="4097" max="4097" width="41.7109375" style="349" customWidth="1"/>
    <col min="4098" max="4098" width="11.7109375" style="349" customWidth="1"/>
    <col min="4099" max="4099" width="14.28515625" style="349" customWidth="1"/>
    <col min="4100" max="4100" width="14" style="349" customWidth="1"/>
    <col min="4101" max="4105" width="15.42578125" style="349" customWidth="1"/>
    <col min="4106" max="4352" width="9.140625" style="349"/>
    <col min="4353" max="4353" width="41.7109375" style="349" customWidth="1"/>
    <col min="4354" max="4354" width="11.7109375" style="349" customWidth="1"/>
    <col min="4355" max="4355" width="14.28515625" style="349" customWidth="1"/>
    <col min="4356" max="4356" width="14" style="349" customWidth="1"/>
    <col min="4357" max="4361" width="15.42578125" style="349" customWidth="1"/>
    <col min="4362" max="4608" width="9.140625" style="349"/>
    <col min="4609" max="4609" width="41.7109375" style="349" customWidth="1"/>
    <col min="4610" max="4610" width="11.7109375" style="349" customWidth="1"/>
    <col min="4611" max="4611" width="14.28515625" style="349" customWidth="1"/>
    <col min="4612" max="4612" width="14" style="349" customWidth="1"/>
    <col min="4613" max="4617" width="15.42578125" style="349" customWidth="1"/>
    <col min="4618" max="4864" width="9.140625" style="349"/>
    <col min="4865" max="4865" width="41.7109375" style="349" customWidth="1"/>
    <col min="4866" max="4866" width="11.7109375" style="349" customWidth="1"/>
    <col min="4867" max="4867" width="14.28515625" style="349" customWidth="1"/>
    <col min="4868" max="4868" width="14" style="349" customWidth="1"/>
    <col min="4869" max="4873" width="15.42578125" style="349" customWidth="1"/>
    <col min="4874" max="5120" width="9.140625" style="349"/>
    <col min="5121" max="5121" width="41.7109375" style="349" customWidth="1"/>
    <col min="5122" max="5122" width="11.7109375" style="349" customWidth="1"/>
    <col min="5123" max="5123" width="14.28515625" style="349" customWidth="1"/>
    <col min="5124" max="5124" width="14" style="349" customWidth="1"/>
    <col min="5125" max="5129" width="15.42578125" style="349" customWidth="1"/>
    <col min="5130" max="5376" width="9.140625" style="349"/>
    <col min="5377" max="5377" width="41.7109375" style="349" customWidth="1"/>
    <col min="5378" max="5378" width="11.7109375" style="349" customWidth="1"/>
    <col min="5379" max="5379" width="14.28515625" style="349" customWidth="1"/>
    <col min="5380" max="5380" width="14" style="349" customWidth="1"/>
    <col min="5381" max="5385" width="15.42578125" style="349" customWidth="1"/>
    <col min="5386" max="5632" width="9.140625" style="349"/>
    <col min="5633" max="5633" width="41.7109375" style="349" customWidth="1"/>
    <col min="5634" max="5634" width="11.7109375" style="349" customWidth="1"/>
    <col min="5635" max="5635" width="14.28515625" style="349" customWidth="1"/>
    <col min="5636" max="5636" width="14" style="349" customWidth="1"/>
    <col min="5637" max="5641" width="15.42578125" style="349" customWidth="1"/>
    <col min="5642" max="5888" width="9.140625" style="349"/>
    <col min="5889" max="5889" width="41.7109375" style="349" customWidth="1"/>
    <col min="5890" max="5890" width="11.7109375" style="349" customWidth="1"/>
    <col min="5891" max="5891" width="14.28515625" style="349" customWidth="1"/>
    <col min="5892" max="5892" width="14" style="349" customWidth="1"/>
    <col min="5893" max="5897" width="15.42578125" style="349" customWidth="1"/>
    <col min="5898" max="6144" width="9.140625" style="349"/>
    <col min="6145" max="6145" width="41.7109375" style="349" customWidth="1"/>
    <col min="6146" max="6146" width="11.7109375" style="349" customWidth="1"/>
    <col min="6147" max="6147" width="14.28515625" style="349" customWidth="1"/>
    <col min="6148" max="6148" width="14" style="349" customWidth="1"/>
    <col min="6149" max="6153" width="15.42578125" style="349" customWidth="1"/>
    <col min="6154" max="6400" width="9.140625" style="349"/>
    <col min="6401" max="6401" width="41.7109375" style="349" customWidth="1"/>
    <col min="6402" max="6402" width="11.7109375" style="349" customWidth="1"/>
    <col min="6403" max="6403" width="14.28515625" style="349" customWidth="1"/>
    <col min="6404" max="6404" width="14" style="349" customWidth="1"/>
    <col min="6405" max="6409" width="15.42578125" style="349" customWidth="1"/>
    <col min="6410" max="6656" width="9.140625" style="349"/>
    <col min="6657" max="6657" width="41.7109375" style="349" customWidth="1"/>
    <col min="6658" max="6658" width="11.7109375" style="349" customWidth="1"/>
    <col min="6659" max="6659" width="14.28515625" style="349" customWidth="1"/>
    <col min="6660" max="6660" width="14" style="349" customWidth="1"/>
    <col min="6661" max="6665" width="15.42578125" style="349" customWidth="1"/>
    <col min="6666" max="6912" width="9.140625" style="349"/>
    <col min="6913" max="6913" width="41.7109375" style="349" customWidth="1"/>
    <col min="6914" max="6914" width="11.7109375" style="349" customWidth="1"/>
    <col min="6915" max="6915" width="14.28515625" style="349" customWidth="1"/>
    <col min="6916" max="6916" width="14" style="349" customWidth="1"/>
    <col min="6917" max="6921" width="15.42578125" style="349" customWidth="1"/>
    <col min="6922" max="7168" width="9.140625" style="349"/>
    <col min="7169" max="7169" width="41.7109375" style="349" customWidth="1"/>
    <col min="7170" max="7170" width="11.7109375" style="349" customWidth="1"/>
    <col min="7171" max="7171" width="14.28515625" style="349" customWidth="1"/>
    <col min="7172" max="7172" width="14" style="349" customWidth="1"/>
    <col min="7173" max="7177" width="15.42578125" style="349" customWidth="1"/>
    <col min="7178" max="7424" width="9.140625" style="349"/>
    <col min="7425" max="7425" width="41.7109375" style="349" customWidth="1"/>
    <col min="7426" max="7426" width="11.7109375" style="349" customWidth="1"/>
    <col min="7427" max="7427" width="14.28515625" style="349" customWidth="1"/>
    <col min="7428" max="7428" width="14" style="349" customWidth="1"/>
    <col min="7429" max="7433" width="15.42578125" style="349" customWidth="1"/>
    <col min="7434" max="7680" width="9.140625" style="349"/>
    <col min="7681" max="7681" width="41.7109375" style="349" customWidth="1"/>
    <col min="7682" max="7682" width="11.7109375" style="349" customWidth="1"/>
    <col min="7683" max="7683" width="14.28515625" style="349" customWidth="1"/>
    <col min="7684" max="7684" width="14" style="349" customWidth="1"/>
    <col min="7685" max="7689" width="15.42578125" style="349" customWidth="1"/>
    <col min="7690" max="7936" width="9.140625" style="349"/>
    <col min="7937" max="7937" width="41.7109375" style="349" customWidth="1"/>
    <col min="7938" max="7938" width="11.7109375" style="349" customWidth="1"/>
    <col min="7939" max="7939" width="14.28515625" style="349" customWidth="1"/>
    <col min="7940" max="7940" width="14" style="349" customWidth="1"/>
    <col min="7941" max="7945" width="15.42578125" style="349" customWidth="1"/>
    <col min="7946" max="8192" width="9.140625" style="349"/>
    <col min="8193" max="8193" width="41.7109375" style="349" customWidth="1"/>
    <col min="8194" max="8194" width="11.7109375" style="349" customWidth="1"/>
    <col min="8195" max="8195" width="14.28515625" style="349" customWidth="1"/>
    <col min="8196" max="8196" width="14" style="349" customWidth="1"/>
    <col min="8197" max="8201" width="15.42578125" style="349" customWidth="1"/>
    <col min="8202" max="8448" width="9.140625" style="349"/>
    <col min="8449" max="8449" width="41.7109375" style="349" customWidth="1"/>
    <col min="8450" max="8450" width="11.7109375" style="349" customWidth="1"/>
    <col min="8451" max="8451" width="14.28515625" style="349" customWidth="1"/>
    <col min="8452" max="8452" width="14" style="349" customWidth="1"/>
    <col min="8453" max="8457" width="15.42578125" style="349" customWidth="1"/>
    <col min="8458" max="8704" width="9.140625" style="349"/>
    <col min="8705" max="8705" width="41.7109375" style="349" customWidth="1"/>
    <col min="8706" max="8706" width="11.7109375" style="349" customWidth="1"/>
    <col min="8707" max="8707" width="14.28515625" style="349" customWidth="1"/>
    <col min="8708" max="8708" width="14" style="349" customWidth="1"/>
    <col min="8709" max="8713" width="15.42578125" style="349" customWidth="1"/>
    <col min="8714" max="8960" width="9.140625" style="349"/>
    <col min="8961" max="8961" width="41.7109375" style="349" customWidth="1"/>
    <col min="8962" max="8962" width="11.7109375" style="349" customWidth="1"/>
    <col min="8963" max="8963" width="14.28515625" style="349" customWidth="1"/>
    <col min="8964" max="8964" width="14" style="349" customWidth="1"/>
    <col min="8965" max="8969" width="15.42578125" style="349" customWidth="1"/>
    <col min="8970" max="9216" width="9.140625" style="349"/>
    <col min="9217" max="9217" width="41.7109375" style="349" customWidth="1"/>
    <col min="9218" max="9218" width="11.7109375" style="349" customWidth="1"/>
    <col min="9219" max="9219" width="14.28515625" style="349" customWidth="1"/>
    <col min="9220" max="9220" width="14" style="349" customWidth="1"/>
    <col min="9221" max="9225" width="15.42578125" style="349" customWidth="1"/>
    <col min="9226" max="9472" width="9.140625" style="349"/>
    <col min="9473" max="9473" width="41.7109375" style="349" customWidth="1"/>
    <col min="9474" max="9474" width="11.7109375" style="349" customWidth="1"/>
    <col min="9475" max="9475" width="14.28515625" style="349" customWidth="1"/>
    <col min="9476" max="9476" width="14" style="349" customWidth="1"/>
    <col min="9477" max="9481" width="15.42578125" style="349" customWidth="1"/>
    <col min="9482" max="9728" width="9.140625" style="349"/>
    <col min="9729" max="9729" width="41.7109375" style="349" customWidth="1"/>
    <col min="9730" max="9730" width="11.7109375" style="349" customWidth="1"/>
    <col min="9731" max="9731" width="14.28515625" style="349" customWidth="1"/>
    <col min="9732" max="9732" width="14" style="349" customWidth="1"/>
    <col min="9733" max="9737" width="15.42578125" style="349" customWidth="1"/>
    <col min="9738" max="9984" width="9.140625" style="349"/>
    <col min="9985" max="9985" width="41.7109375" style="349" customWidth="1"/>
    <col min="9986" max="9986" width="11.7109375" style="349" customWidth="1"/>
    <col min="9987" max="9987" width="14.28515625" style="349" customWidth="1"/>
    <col min="9988" max="9988" width="14" style="349" customWidth="1"/>
    <col min="9989" max="9993" width="15.42578125" style="349" customWidth="1"/>
    <col min="9994" max="10240" width="9.140625" style="349"/>
    <col min="10241" max="10241" width="41.7109375" style="349" customWidth="1"/>
    <col min="10242" max="10242" width="11.7109375" style="349" customWidth="1"/>
    <col min="10243" max="10243" width="14.28515625" style="349" customWidth="1"/>
    <col min="10244" max="10244" width="14" style="349" customWidth="1"/>
    <col min="10245" max="10249" width="15.42578125" style="349" customWidth="1"/>
    <col min="10250" max="10496" width="9.140625" style="349"/>
    <col min="10497" max="10497" width="41.7109375" style="349" customWidth="1"/>
    <col min="10498" max="10498" width="11.7109375" style="349" customWidth="1"/>
    <col min="10499" max="10499" width="14.28515625" style="349" customWidth="1"/>
    <col min="10500" max="10500" width="14" style="349" customWidth="1"/>
    <col min="10501" max="10505" width="15.42578125" style="349" customWidth="1"/>
    <col min="10506" max="10752" width="9.140625" style="349"/>
    <col min="10753" max="10753" width="41.7109375" style="349" customWidth="1"/>
    <col min="10754" max="10754" width="11.7109375" style="349" customWidth="1"/>
    <col min="10755" max="10755" width="14.28515625" style="349" customWidth="1"/>
    <col min="10756" max="10756" width="14" style="349" customWidth="1"/>
    <col min="10757" max="10761" width="15.42578125" style="349" customWidth="1"/>
    <col min="10762" max="11008" width="9.140625" style="349"/>
    <col min="11009" max="11009" width="41.7109375" style="349" customWidth="1"/>
    <col min="11010" max="11010" width="11.7109375" style="349" customWidth="1"/>
    <col min="11011" max="11011" width="14.28515625" style="349" customWidth="1"/>
    <col min="11012" max="11012" width="14" style="349" customWidth="1"/>
    <col min="11013" max="11017" width="15.42578125" style="349" customWidth="1"/>
    <col min="11018" max="11264" width="9.140625" style="349"/>
    <col min="11265" max="11265" width="41.7109375" style="349" customWidth="1"/>
    <col min="11266" max="11266" width="11.7109375" style="349" customWidth="1"/>
    <col min="11267" max="11267" width="14.28515625" style="349" customWidth="1"/>
    <col min="11268" max="11268" width="14" style="349" customWidth="1"/>
    <col min="11269" max="11273" width="15.42578125" style="349" customWidth="1"/>
    <col min="11274" max="11520" width="9.140625" style="349"/>
    <col min="11521" max="11521" width="41.7109375" style="349" customWidth="1"/>
    <col min="11522" max="11522" width="11.7109375" style="349" customWidth="1"/>
    <col min="11523" max="11523" width="14.28515625" style="349" customWidth="1"/>
    <col min="11524" max="11524" width="14" style="349" customWidth="1"/>
    <col min="11525" max="11529" width="15.42578125" style="349" customWidth="1"/>
    <col min="11530" max="11776" width="9.140625" style="349"/>
    <col min="11777" max="11777" width="41.7109375" style="349" customWidth="1"/>
    <col min="11778" max="11778" width="11.7109375" style="349" customWidth="1"/>
    <col min="11779" max="11779" width="14.28515625" style="349" customWidth="1"/>
    <col min="11780" max="11780" width="14" style="349" customWidth="1"/>
    <col min="11781" max="11785" width="15.42578125" style="349" customWidth="1"/>
    <col min="11786" max="12032" width="9.140625" style="349"/>
    <col min="12033" max="12033" width="41.7109375" style="349" customWidth="1"/>
    <col min="12034" max="12034" width="11.7109375" style="349" customWidth="1"/>
    <col min="12035" max="12035" width="14.28515625" style="349" customWidth="1"/>
    <col min="12036" max="12036" width="14" style="349" customWidth="1"/>
    <col min="12037" max="12041" width="15.42578125" style="349" customWidth="1"/>
    <col min="12042" max="12288" width="9.140625" style="349"/>
    <col min="12289" max="12289" width="41.7109375" style="349" customWidth="1"/>
    <col min="12290" max="12290" width="11.7109375" style="349" customWidth="1"/>
    <col min="12291" max="12291" width="14.28515625" style="349" customWidth="1"/>
    <col min="12292" max="12292" width="14" style="349" customWidth="1"/>
    <col min="12293" max="12297" width="15.42578125" style="349" customWidth="1"/>
    <col min="12298" max="12544" width="9.140625" style="349"/>
    <col min="12545" max="12545" width="41.7109375" style="349" customWidth="1"/>
    <col min="12546" max="12546" width="11.7109375" style="349" customWidth="1"/>
    <col min="12547" max="12547" width="14.28515625" style="349" customWidth="1"/>
    <col min="12548" max="12548" width="14" style="349" customWidth="1"/>
    <col min="12549" max="12553" width="15.42578125" style="349" customWidth="1"/>
    <col min="12554" max="12800" width="9.140625" style="349"/>
    <col min="12801" max="12801" width="41.7109375" style="349" customWidth="1"/>
    <col min="12802" max="12802" width="11.7109375" style="349" customWidth="1"/>
    <col min="12803" max="12803" width="14.28515625" style="349" customWidth="1"/>
    <col min="12804" max="12804" width="14" style="349" customWidth="1"/>
    <col min="12805" max="12809" width="15.42578125" style="349" customWidth="1"/>
    <col min="12810" max="13056" width="9.140625" style="349"/>
    <col min="13057" max="13057" width="41.7109375" style="349" customWidth="1"/>
    <col min="13058" max="13058" width="11.7109375" style="349" customWidth="1"/>
    <col min="13059" max="13059" width="14.28515625" style="349" customWidth="1"/>
    <col min="13060" max="13060" width="14" style="349" customWidth="1"/>
    <col min="13061" max="13065" width="15.42578125" style="349" customWidth="1"/>
    <col min="13066" max="13312" width="9.140625" style="349"/>
    <col min="13313" max="13313" width="41.7109375" style="349" customWidth="1"/>
    <col min="13314" max="13314" width="11.7109375" style="349" customWidth="1"/>
    <col min="13315" max="13315" width="14.28515625" style="349" customWidth="1"/>
    <col min="13316" max="13316" width="14" style="349" customWidth="1"/>
    <col min="13317" max="13321" width="15.42578125" style="349" customWidth="1"/>
    <col min="13322" max="13568" width="9.140625" style="349"/>
    <col min="13569" max="13569" width="41.7109375" style="349" customWidth="1"/>
    <col min="13570" max="13570" width="11.7109375" style="349" customWidth="1"/>
    <col min="13571" max="13571" width="14.28515625" style="349" customWidth="1"/>
    <col min="13572" max="13572" width="14" style="349" customWidth="1"/>
    <col min="13573" max="13577" width="15.42578125" style="349" customWidth="1"/>
    <col min="13578" max="13824" width="9.140625" style="349"/>
    <col min="13825" max="13825" width="41.7109375" style="349" customWidth="1"/>
    <col min="13826" max="13826" width="11.7109375" style="349" customWidth="1"/>
    <col min="13827" max="13827" width="14.28515625" style="349" customWidth="1"/>
    <col min="13828" max="13828" width="14" style="349" customWidth="1"/>
    <col min="13829" max="13833" width="15.42578125" style="349" customWidth="1"/>
    <col min="13834" max="14080" width="9.140625" style="349"/>
    <col min="14081" max="14081" width="41.7109375" style="349" customWidth="1"/>
    <col min="14082" max="14082" width="11.7109375" style="349" customWidth="1"/>
    <col min="14083" max="14083" width="14.28515625" style="349" customWidth="1"/>
    <col min="14084" max="14084" width="14" style="349" customWidth="1"/>
    <col min="14085" max="14089" width="15.42578125" style="349" customWidth="1"/>
    <col min="14090" max="14336" width="9.140625" style="349"/>
    <col min="14337" max="14337" width="41.7109375" style="349" customWidth="1"/>
    <col min="14338" max="14338" width="11.7109375" style="349" customWidth="1"/>
    <col min="14339" max="14339" width="14.28515625" style="349" customWidth="1"/>
    <col min="14340" max="14340" width="14" style="349" customWidth="1"/>
    <col min="14341" max="14345" width="15.42578125" style="349" customWidth="1"/>
    <col min="14346" max="14592" width="9.140625" style="349"/>
    <col min="14593" max="14593" width="41.7109375" style="349" customWidth="1"/>
    <col min="14594" max="14594" width="11.7109375" style="349" customWidth="1"/>
    <col min="14595" max="14595" width="14.28515625" style="349" customWidth="1"/>
    <col min="14596" max="14596" width="14" style="349" customWidth="1"/>
    <col min="14597" max="14601" width="15.42578125" style="349" customWidth="1"/>
    <col min="14602" max="14848" width="9.140625" style="349"/>
    <col min="14849" max="14849" width="41.7109375" style="349" customWidth="1"/>
    <col min="14850" max="14850" width="11.7109375" style="349" customWidth="1"/>
    <col min="14851" max="14851" width="14.28515625" style="349" customWidth="1"/>
    <col min="14852" max="14852" width="14" style="349" customWidth="1"/>
    <col min="14853" max="14857" width="15.42578125" style="349" customWidth="1"/>
    <col min="14858" max="15104" width="9.140625" style="349"/>
    <col min="15105" max="15105" width="41.7109375" style="349" customWidth="1"/>
    <col min="15106" max="15106" width="11.7109375" style="349" customWidth="1"/>
    <col min="15107" max="15107" width="14.28515625" style="349" customWidth="1"/>
    <col min="15108" max="15108" width="14" style="349" customWidth="1"/>
    <col min="15109" max="15113" width="15.42578125" style="349" customWidth="1"/>
    <col min="15114" max="15360" width="9.140625" style="349"/>
    <col min="15361" max="15361" width="41.7109375" style="349" customWidth="1"/>
    <col min="15362" max="15362" width="11.7109375" style="349" customWidth="1"/>
    <col min="15363" max="15363" width="14.28515625" style="349" customWidth="1"/>
    <col min="15364" max="15364" width="14" style="349" customWidth="1"/>
    <col min="15365" max="15369" width="15.42578125" style="349" customWidth="1"/>
    <col min="15370" max="15616" width="9.140625" style="349"/>
    <col min="15617" max="15617" width="41.7109375" style="349" customWidth="1"/>
    <col min="15618" max="15618" width="11.7109375" style="349" customWidth="1"/>
    <col min="15619" max="15619" width="14.28515625" style="349" customWidth="1"/>
    <col min="15620" max="15620" width="14" style="349" customWidth="1"/>
    <col min="15621" max="15625" width="15.42578125" style="349" customWidth="1"/>
    <col min="15626" max="15872" width="9.140625" style="349"/>
    <col min="15873" max="15873" width="41.7109375" style="349" customWidth="1"/>
    <col min="15874" max="15874" width="11.7109375" style="349" customWidth="1"/>
    <col min="15875" max="15875" width="14.28515625" style="349" customWidth="1"/>
    <col min="15876" max="15876" width="14" style="349" customWidth="1"/>
    <col min="15877" max="15881" width="15.42578125" style="349" customWidth="1"/>
    <col min="15882" max="16128" width="9.140625" style="349"/>
    <col min="16129" max="16129" width="41.7109375" style="349" customWidth="1"/>
    <col min="16130" max="16130" width="11.7109375" style="349" customWidth="1"/>
    <col min="16131" max="16131" width="14.28515625" style="349" customWidth="1"/>
    <col min="16132" max="16132" width="14" style="349" customWidth="1"/>
    <col min="16133" max="16137" width="15.42578125" style="349" customWidth="1"/>
    <col min="16138" max="16384" width="9.140625" style="349"/>
  </cols>
  <sheetData>
    <row r="2" spans="1:9">
      <c r="A2" s="927" t="s">
        <v>970</v>
      </c>
      <c r="B2" s="927"/>
      <c r="C2" s="927"/>
      <c r="D2" s="927"/>
      <c r="E2" s="927"/>
      <c r="F2" s="927"/>
      <c r="G2" s="927"/>
      <c r="H2" s="927"/>
      <c r="I2" s="927"/>
    </row>
    <row r="3" spans="1:9">
      <c r="A3" s="385"/>
      <c r="B3" s="385"/>
      <c r="C3" s="385"/>
      <c r="D3" s="385"/>
      <c r="E3" s="385"/>
      <c r="F3" s="385"/>
      <c r="G3" s="385"/>
      <c r="H3" s="385"/>
      <c r="I3" s="385"/>
    </row>
    <row r="4" spans="1:9">
      <c r="A4" s="928" t="s">
        <v>717</v>
      </c>
      <c r="B4" s="929"/>
      <c r="C4" s="929"/>
      <c r="D4" s="929"/>
      <c r="E4" s="929"/>
      <c r="F4" s="929"/>
      <c r="G4" s="929"/>
      <c r="H4" s="929"/>
      <c r="I4" s="929"/>
    </row>
    <row r="5" spans="1:9">
      <c r="A5" s="929"/>
      <c r="B5" s="929"/>
      <c r="C5" s="929"/>
      <c r="D5" s="929"/>
      <c r="E5" s="929"/>
      <c r="F5" s="929"/>
      <c r="G5" s="929"/>
      <c r="H5" s="929"/>
      <c r="I5" s="929"/>
    </row>
    <row r="6" spans="1:9">
      <c r="A6" s="929"/>
      <c r="B6" s="929"/>
      <c r="C6" s="929"/>
      <c r="D6" s="929"/>
      <c r="E6" s="929"/>
      <c r="F6" s="929"/>
      <c r="G6" s="929"/>
      <c r="H6" s="929"/>
      <c r="I6" s="929"/>
    </row>
    <row r="7" spans="1:9">
      <c r="A7" s="386"/>
      <c r="B7" s="386"/>
      <c r="C7" s="386"/>
      <c r="D7" s="386"/>
      <c r="E7" s="386"/>
      <c r="F7" s="386"/>
      <c r="G7" s="386"/>
      <c r="H7" s="386"/>
      <c r="I7" s="386"/>
    </row>
    <row r="8" spans="1:9" ht="16.5" thickBot="1">
      <c r="E8" s="930" t="s">
        <v>7</v>
      </c>
      <c r="F8" s="930"/>
      <c r="G8" s="930"/>
      <c r="H8" s="930"/>
      <c r="I8" s="930"/>
    </row>
    <row r="9" spans="1:9" s="387" customFormat="1" ht="16.5" thickBot="1">
      <c r="A9" s="924" t="s">
        <v>0</v>
      </c>
      <c r="B9" s="924" t="s">
        <v>585</v>
      </c>
      <c r="C9" s="932" t="s">
        <v>718</v>
      </c>
      <c r="D9" s="924" t="s">
        <v>719</v>
      </c>
      <c r="E9" s="926" t="s">
        <v>586</v>
      </c>
      <c r="F9" s="926"/>
      <c r="G9" s="926"/>
      <c r="H9" s="926"/>
      <c r="I9" s="926"/>
    </row>
    <row r="10" spans="1:9" s="387" customFormat="1" ht="16.5" thickBot="1">
      <c r="A10" s="931"/>
      <c r="B10" s="931"/>
      <c r="C10" s="933"/>
      <c r="D10" s="931"/>
      <c r="E10" s="924" t="s">
        <v>587</v>
      </c>
      <c r="F10" s="924" t="s">
        <v>606</v>
      </c>
      <c r="G10" s="924" t="s">
        <v>720</v>
      </c>
      <c r="H10" s="926" t="s">
        <v>721</v>
      </c>
      <c r="I10" s="926" t="s">
        <v>722</v>
      </c>
    </row>
    <row r="11" spans="1:9" s="387" customFormat="1" ht="66" customHeight="1" thickBot="1">
      <c r="A11" s="925"/>
      <c r="B11" s="925"/>
      <c r="C11" s="934"/>
      <c r="D11" s="925"/>
      <c r="E11" s="925"/>
      <c r="F11" s="925"/>
      <c r="G11" s="925"/>
      <c r="H11" s="926"/>
      <c r="I11" s="926"/>
    </row>
    <row r="12" spans="1:9">
      <c r="A12" s="388" t="s">
        <v>588</v>
      </c>
      <c r="B12" s="389"/>
      <c r="C12" s="390"/>
      <c r="D12" s="390"/>
      <c r="E12" s="390"/>
      <c r="F12" s="390"/>
      <c r="G12" s="390"/>
      <c r="H12" s="390"/>
      <c r="I12" s="390"/>
    </row>
    <row r="13" spans="1:9">
      <c r="A13" s="391" t="s">
        <v>589</v>
      </c>
      <c r="B13" s="392"/>
      <c r="C13" s="393"/>
      <c r="D13" s="393"/>
      <c r="E13" s="393"/>
      <c r="F13" s="393"/>
      <c r="G13" s="393"/>
      <c r="H13" s="393"/>
      <c r="I13" s="393"/>
    </row>
    <row r="14" spans="1:9" ht="26.25" thickBot="1">
      <c r="A14" s="394" t="s">
        <v>590</v>
      </c>
      <c r="B14" s="395">
        <v>2011</v>
      </c>
      <c r="C14" s="396">
        <v>152125000</v>
      </c>
      <c r="D14" s="396">
        <f>SUM(E14:I14)</f>
        <v>100459906</v>
      </c>
      <c r="E14" s="396">
        <v>11481132</v>
      </c>
      <c r="F14" s="396">
        <v>11481132</v>
      </c>
      <c r="G14" s="396">
        <v>11481132</v>
      </c>
      <c r="H14" s="396">
        <f>5*11481132</f>
        <v>57405660</v>
      </c>
      <c r="I14" s="396">
        <f>8610850</f>
        <v>8610850</v>
      </c>
    </row>
    <row r="15" spans="1:9" ht="16.5" thickBot="1">
      <c r="A15" s="397" t="s">
        <v>591</v>
      </c>
      <c r="B15" s="398"/>
      <c r="C15" s="399">
        <f>C14</f>
        <v>152125000</v>
      </c>
      <c r="D15" s="399">
        <f>SUM(E15:I15)</f>
        <v>100459906</v>
      </c>
      <c r="E15" s="399">
        <f>E14</f>
        <v>11481132</v>
      </c>
      <c r="F15" s="399">
        <f>F14</f>
        <v>11481132</v>
      </c>
      <c r="G15" s="399">
        <f>G14</f>
        <v>11481132</v>
      </c>
      <c r="H15" s="399">
        <f>H14</f>
        <v>57405660</v>
      </c>
      <c r="I15" s="399">
        <f>I14</f>
        <v>8610850</v>
      </c>
    </row>
    <row r="16" spans="1:9" s="403" customFormat="1" ht="16.5" thickBot="1">
      <c r="A16" s="400" t="s">
        <v>592</v>
      </c>
      <c r="B16" s="401"/>
      <c r="C16" s="402">
        <f>SUM(C15)</f>
        <v>152125000</v>
      </c>
      <c r="D16" s="402">
        <f t="shared" ref="D16:I16" si="0">SUM(D15)</f>
        <v>100459906</v>
      </c>
      <c r="E16" s="402">
        <f t="shared" si="0"/>
        <v>11481132</v>
      </c>
      <c r="F16" s="402">
        <f t="shared" si="0"/>
        <v>11481132</v>
      </c>
      <c r="G16" s="402">
        <f t="shared" si="0"/>
        <v>11481132</v>
      </c>
      <c r="H16" s="402">
        <f t="shared" si="0"/>
        <v>57405660</v>
      </c>
      <c r="I16" s="402">
        <f t="shared" si="0"/>
        <v>8610850</v>
      </c>
    </row>
  </sheetData>
  <mergeCells count="13">
    <mergeCell ref="G10:G11"/>
    <mergeCell ref="H10:H11"/>
    <mergeCell ref="I10:I11"/>
    <mergeCell ref="A2:I2"/>
    <mergeCell ref="A4:I6"/>
    <mergeCell ref="E8:I8"/>
    <mergeCell ref="A9:A11"/>
    <mergeCell ref="B9:B11"/>
    <mergeCell ref="C9:C11"/>
    <mergeCell ref="D9:D11"/>
    <mergeCell ref="E9:I9"/>
    <mergeCell ref="E10:E11"/>
    <mergeCell ref="F10:F11"/>
  </mergeCells>
  <pageMargins left="0.7" right="0.7" top="0.75" bottom="0.75" header="0.3" footer="0.3"/>
  <pageSetup paperSize="9" scale="5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98" zoomScaleSheetLayoutView="98" workbookViewId="0"/>
  </sheetViews>
  <sheetFormatPr defaultRowHeight="12.75"/>
  <cols>
    <col min="1" max="1" width="67.140625" style="408" customWidth="1"/>
    <col min="2" max="2" width="21.5703125" style="407" customWidth="1"/>
    <col min="3" max="3" width="28.28515625" style="407" customWidth="1"/>
    <col min="4" max="256" width="9.140625" style="408"/>
    <col min="257" max="257" width="67.140625" style="408" customWidth="1"/>
    <col min="258" max="258" width="21.5703125" style="408" customWidth="1"/>
    <col min="259" max="259" width="28.28515625" style="408" customWidth="1"/>
    <col min="260" max="512" width="9.140625" style="408"/>
    <col min="513" max="513" width="67.140625" style="408" customWidth="1"/>
    <col min="514" max="514" width="21.5703125" style="408" customWidth="1"/>
    <col min="515" max="515" width="28.28515625" style="408" customWidth="1"/>
    <col min="516" max="768" width="9.140625" style="408"/>
    <col min="769" max="769" width="67.140625" style="408" customWidth="1"/>
    <col min="770" max="770" width="21.5703125" style="408" customWidth="1"/>
    <col min="771" max="771" width="28.28515625" style="408" customWidth="1"/>
    <col min="772" max="1024" width="9.140625" style="408"/>
    <col min="1025" max="1025" width="67.140625" style="408" customWidth="1"/>
    <col min="1026" max="1026" width="21.5703125" style="408" customWidth="1"/>
    <col min="1027" max="1027" width="28.28515625" style="408" customWidth="1"/>
    <col min="1028" max="1280" width="9.140625" style="408"/>
    <col min="1281" max="1281" width="67.140625" style="408" customWidth="1"/>
    <col min="1282" max="1282" width="21.5703125" style="408" customWidth="1"/>
    <col min="1283" max="1283" width="28.28515625" style="408" customWidth="1"/>
    <col min="1284" max="1536" width="9.140625" style="408"/>
    <col min="1537" max="1537" width="67.140625" style="408" customWidth="1"/>
    <col min="1538" max="1538" width="21.5703125" style="408" customWidth="1"/>
    <col min="1539" max="1539" width="28.28515625" style="408" customWidth="1"/>
    <col min="1540" max="1792" width="9.140625" style="408"/>
    <col min="1793" max="1793" width="67.140625" style="408" customWidth="1"/>
    <col min="1794" max="1794" width="21.5703125" style="408" customWidth="1"/>
    <col min="1795" max="1795" width="28.28515625" style="408" customWidth="1"/>
    <col min="1796" max="2048" width="9.140625" style="408"/>
    <col min="2049" max="2049" width="67.140625" style="408" customWidth="1"/>
    <col min="2050" max="2050" width="21.5703125" style="408" customWidth="1"/>
    <col min="2051" max="2051" width="28.28515625" style="408" customWidth="1"/>
    <col min="2052" max="2304" width="9.140625" style="408"/>
    <col min="2305" max="2305" width="67.140625" style="408" customWidth="1"/>
    <col min="2306" max="2306" width="21.5703125" style="408" customWidth="1"/>
    <col min="2307" max="2307" width="28.28515625" style="408" customWidth="1"/>
    <col min="2308" max="2560" width="9.140625" style="408"/>
    <col min="2561" max="2561" width="67.140625" style="408" customWidth="1"/>
    <col min="2562" max="2562" width="21.5703125" style="408" customWidth="1"/>
    <col min="2563" max="2563" width="28.28515625" style="408" customWidth="1"/>
    <col min="2564" max="2816" width="9.140625" style="408"/>
    <col min="2817" max="2817" width="67.140625" style="408" customWidth="1"/>
    <col min="2818" max="2818" width="21.5703125" style="408" customWidth="1"/>
    <col min="2819" max="2819" width="28.28515625" style="408" customWidth="1"/>
    <col min="2820" max="3072" width="9.140625" style="408"/>
    <col min="3073" max="3073" width="67.140625" style="408" customWidth="1"/>
    <col min="3074" max="3074" width="21.5703125" style="408" customWidth="1"/>
    <col min="3075" max="3075" width="28.28515625" style="408" customWidth="1"/>
    <col min="3076" max="3328" width="9.140625" style="408"/>
    <col min="3329" max="3329" width="67.140625" style="408" customWidth="1"/>
    <col min="3330" max="3330" width="21.5703125" style="408" customWidth="1"/>
    <col min="3331" max="3331" width="28.28515625" style="408" customWidth="1"/>
    <col min="3332" max="3584" width="9.140625" style="408"/>
    <col min="3585" max="3585" width="67.140625" style="408" customWidth="1"/>
    <col min="3586" max="3586" width="21.5703125" style="408" customWidth="1"/>
    <col min="3587" max="3587" width="28.28515625" style="408" customWidth="1"/>
    <col min="3588" max="3840" width="9.140625" style="408"/>
    <col min="3841" max="3841" width="67.140625" style="408" customWidth="1"/>
    <col min="3842" max="3842" width="21.5703125" style="408" customWidth="1"/>
    <col min="3843" max="3843" width="28.28515625" style="408" customWidth="1"/>
    <col min="3844" max="4096" width="9.140625" style="408"/>
    <col min="4097" max="4097" width="67.140625" style="408" customWidth="1"/>
    <col min="4098" max="4098" width="21.5703125" style="408" customWidth="1"/>
    <col min="4099" max="4099" width="28.28515625" style="408" customWidth="1"/>
    <col min="4100" max="4352" width="9.140625" style="408"/>
    <col min="4353" max="4353" width="67.140625" style="408" customWidth="1"/>
    <col min="4354" max="4354" width="21.5703125" style="408" customWidth="1"/>
    <col min="4355" max="4355" width="28.28515625" style="408" customWidth="1"/>
    <col min="4356" max="4608" width="9.140625" style="408"/>
    <col min="4609" max="4609" width="67.140625" style="408" customWidth="1"/>
    <col min="4610" max="4610" width="21.5703125" style="408" customWidth="1"/>
    <col min="4611" max="4611" width="28.28515625" style="408" customWidth="1"/>
    <col min="4612" max="4864" width="9.140625" style="408"/>
    <col min="4865" max="4865" width="67.140625" style="408" customWidth="1"/>
    <col min="4866" max="4866" width="21.5703125" style="408" customWidth="1"/>
    <col min="4867" max="4867" width="28.28515625" style="408" customWidth="1"/>
    <col min="4868" max="5120" width="9.140625" style="408"/>
    <col min="5121" max="5121" width="67.140625" style="408" customWidth="1"/>
    <col min="5122" max="5122" width="21.5703125" style="408" customWidth="1"/>
    <col min="5123" max="5123" width="28.28515625" style="408" customWidth="1"/>
    <col min="5124" max="5376" width="9.140625" style="408"/>
    <col min="5377" max="5377" width="67.140625" style="408" customWidth="1"/>
    <col min="5378" max="5378" width="21.5703125" style="408" customWidth="1"/>
    <col min="5379" max="5379" width="28.28515625" style="408" customWidth="1"/>
    <col min="5380" max="5632" width="9.140625" style="408"/>
    <col min="5633" max="5633" width="67.140625" style="408" customWidth="1"/>
    <col min="5634" max="5634" width="21.5703125" style="408" customWidth="1"/>
    <col min="5635" max="5635" width="28.28515625" style="408" customWidth="1"/>
    <col min="5636" max="5888" width="9.140625" style="408"/>
    <col min="5889" max="5889" width="67.140625" style="408" customWidth="1"/>
    <col min="5890" max="5890" width="21.5703125" style="408" customWidth="1"/>
    <col min="5891" max="5891" width="28.28515625" style="408" customWidth="1"/>
    <col min="5892" max="6144" width="9.140625" style="408"/>
    <col min="6145" max="6145" width="67.140625" style="408" customWidth="1"/>
    <col min="6146" max="6146" width="21.5703125" style="408" customWidth="1"/>
    <col min="6147" max="6147" width="28.28515625" style="408" customWidth="1"/>
    <col min="6148" max="6400" width="9.140625" style="408"/>
    <col min="6401" max="6401" width="67.140625" style="408" customWidth="1"/>
    <col min="6402" max="6402" width="21.5703125" style="408" customWidth="1"/>
    <col min="6403" max="6403" width="28.28515625" style="408" customWidth="1"/>
    <col min="6404" max="6656" width="9.140625" style="408"/>
    <col min="6657" max="6657" width="67.140625" style="408" customWidth="1"/>
    <col min="6658" max="6658" width="21.5703125" style="408" customWidth="1"/>
    <col min="6659" max="6659" width="28.28515625" style="408" customWidth="1"/>
    <col min="6660" max="6912" width="9.140625" style="408"/>
    <col min="6913" max="6913" width="67.140625" style="408" customWidth="1"/>
    <col min="6914" max="6914" width="21.5703125" style="408" customWidth="1"/>
    <col min="6915" max="6915" width="28.28515625" style="408" customWidth="1"/>
    <col min="6916" max="7168" width="9.140625" style="408"/>
    <col min="7169" max="7169" width="67.140625" style="408" customWidth="1"/>
    <col min="7170" max="7170" width="21.5703125" style="408" customWidth="1"/>
    <col min="7171" max="7171" width="28.28515625" style="408" customWidth="1"/>
    <col min="7172" max="7424" width="9.140625" style="408"/>
    <col min="7425" max="7425" width="67.140625" style="408" customWidth="1"/>
    <col min="7426" max="7426" width="21.5703125" style="408" customWidth="1"/>
    <col min="7427" max="7427" width="28.28515625" style="408" customWidth="1"/>
    <col min="7428" max="7680" width="9.140625" style="408"/>
    <col min="7681" max="7681" width="67.140625" style="408" customWidth="1"/>
    <col min="7682" max="7682" width="21.5703125" style="408" customWidth="1"/>
    <col min="7683" max="7683" width="28.28515625" style="408" customWidth="1"/>
    <col min="7684" max="7936" width="9.140625" style="408"/>
    <col min="7937" max="7937" width="67.140625" style="408" customWidth="1"/>
    <col min="7938" max="7938" width="21.5703125" style="408" customWidth="1"/>
    <col min="7939" max="7939" width="28.28515625" style="408" customWidth="1"/>
    <col min="7940" max="8192" width="9.140625" style="408"/>
    <col min="8193" max="8193" width="67.140625" style="408" customWidth="1"/>
    <col min="8194" max="8194" width="21.5703125" style="408" customWidth="1"/>
    <col min="8195" max="8195" width="28.28515625" style="408" customWidth="1"/>
    <col min="8196" max="8448" width="9.140625" style="408"/>
    <col min="8449" max="8449" width="67.140625" style="408" customWidth="1"/>
    <col min="8450" max="8450" width="21.5703125" style="408" customWidth="1"/>
    <col min="8451" max="8451" width="28.28515625" style="408" customWidth="1"/>
    <col min="8452" max="8704" width="9.140625" style="408"/>
    <col min="8705" max="8705" width="67.140625" style="408" customWidth="1"/>
    <col min="8706" max="8706" width="21.5703125" style="408" customWidth="1"/>
    <col min="8707" max="8707" width="28.28515625" style="408" customWidth="1"/>
    <col min="8708" max="8960" width="9.140625" style="408"/>
    <col min="8961" max="8961" width="67.140625" style="408" customWidth="1"/>
    <col min="8962" max="8962" width="21.5703125" style="408" customWidth="1"/>
    <col min="8963" max="8963" width="28.28515625" style="408" customWidth="1"/>
    <col min="8964" max="9216" width="9.140625" style="408"/>
    <col min="9217" max="9217" width="67.140625" style="408" customWidth="1"/>
    <col min="9218" max="9218" width="21.5703125" style="408" customWidth="1"/>
    <col min="9219" max="9219" width="28.28515625" style="408" customWidth="1"/>
    <col min="9220" max="9472" width="9.140625" style="408"/>
    <col min="9473" max="9473" width="67.140625" style="408" customWidth="1"/>
    <col min="9474" max="9474" width="21.5703125" style="408" customWidth="1"/>
    <col min="9475" max="9475" width="28.28515625" style="408" customWidth="1"/>
    <col min="9476" max="9728" width="9.140625" style="408"/>
    <col min="9729" max="9729" width="67.140625" style="408" customWidth="1"/>
    <col min="9730" max="9730" width="21.5703125" style="408" customWidth="1"/>
    <col min="9731" max="9731" width="28.28515625" style="408" customWidth="1"/>
    <col min="9732" max="9984" width="9.140625" style="408"/>
    <col min="9985" max="9985" width="67.140625" style="408" customWidth="1"/>
    <col min="9986" max="9986" width="21.5703125" style="408" customWidth="1"/>
    <col min="9987" max="9987" width="28.28515625" style="408" customWidth="1"/>
    <col min="9988" max="10240" width="9.140625" style="408"/>
    <col min="10241" max="10241" width="67.140625" style="408" customWidth="1"/>
    <col min="10242" max="10242" width="21.5703125" style="408" customWidth="1"/>
    <col min="10243" max="10243" width="28.28515625" style="408" customWidth="1"/>
    <col min="10244" max="10496" width="9.140625" style="408"/>
    <col min="10497" max="10497" width="67.140625" style="408" customWidth="1"/>
    <col min="10498" max="10498" width="21.5703125" style="408" customWidth="1"/>
    <col min="10499" max="10499" width="28.28515625" style="408" customWidth="1"/>
    <col min="10500" max="10752" width="9.140625" style="408"/>
    <col min="10753" max="10753" width="67.140625" style="408" customWidth="1"/>
    <col min="10754" max="10754" width="21.5703125" style="408" customWidth="1"/>
    <col min="10755" max="10755" width="28.28515625" style="408" customWidth="1"/>
    <col min="10756" max="11008" width="9.140625" style="408"/>
    <col min="11009" max="11009" width="67.140625" style="408" customWidth="1"/>
    <col min="11010" max="11010" width="21.5703125" style="408" customWidth="1"/>
    <col min="11011" max="11011" width="28.28515625" style="408" customWidth="1"/>
    <col min="11012" max="11264" width="9.140625" style="408"/>
    <col min="11265" max="11265" width="67.140625" style="408" customWidth="1"/>
    <col min="11266" max="11266" width="21.5703125" style="408" customWidth="1"/>
    <col min="11267" max="11267" width="28.28515625" style="408" customWidth="1"/>
    <col min="11268" max="11520" width="9.140625" style="408"/>
    <col min="11521" max="11521" width="67.140625" style="408" customWidth="1"/>
    <col min="11522" max="11522" width="21.5703125" style="408" customWidth="1"/>
    <col min="11523" max="11523" width="28.28515625" style="408" customWidth="1"/>
    <col min="11524" max="11776" width="9.140625" style="408"/>
    <col min="11777" max="11777" width="67.140625" style="408" customWidth="1"/>
    <col min="11778" max="11778" width="21.5703125" style="408" customWidth="1"/>
    <col min="11779" max="11779" width="28.28515625" style="408" customWidth="1"/>
    <col min="11780" max="12032" width="9.140625" style="408"/>
    <col min="12033" max="12033" width="67.140625" style="408" customWidth="1"/>
    <col min="12034" max="12034" width="21.5703125" style="408" customWidth="1"/>
    <col min="12035" max="12035" width="28.28515625" style="408" customWidth="1"/>
    <col min="12036" max="12288" width="9.140625" style="408"/>
    <col min="12289" max="12289" width="67.140625" style="408" customWidth="1"/>
    <col min="12290" max="12290" width="21.5703125" style="408" customWidth="1"/>
    <col min="12291" max="12291" width="28.28515625" style="408" customWidth="1"/>
    <col min="12292" max="12544" width="9.140625" style="408"/>
    <col min="12545" max="12545" width="67.140625" style="408" customWidth="1"/>
    <col min="12546" max="12546" width="21.5703125" style="408" customWidth="1"/>
    <col min="12547" max="12547" width="28.28515625" style="408" customWidth="1"/>
    <col min="12548" max="12800" width="9.140625" style="408"/>
    <col min="12801" max="12801" width="67.140625" style="408" customWidth="1"/>
    <col min="12802" max="12802" width="21.5703125" style="408" customWidth="1"/>
    <col min="12803" max="12803" width="28.28515625" style="408" customWidth="1"/>
    <col min="12804" max="13056" width="9.140625" style="408"/>
    <col min="13057" max="13057" width="67.140625" style="408" customWidth="1"/>
    <col min="13058" max="13058" width="21.5703125" style="408" customWidth="1"/>
    <col min="13059" max="13059" width="28.28515625" style="408" customWidth="1"/>
    <col min="13060" max="13312" width="9.140625" style="408"/>
    <col min="13313" max="13313" width="67.140625" style="408" customWidth="1"/>
    <col min="13314" max="13314" width="21.5703125" style="408" customWidth="1"/>
    <col min="13315" max="13315" width="28.28515625" style="408" customWidth="1"/>
    <col min="13316" max="13568" width="9.140625" style="408"/>
    <col min="13569" max="13569" width="67.140625" style="408" customWidth="1"/>
    <col min="13570" max="13570" width="21.5703125" style="408" customWidth="1"/>
    <col min="13571" max="13571" width="28.28515625" style="408" customWidth="1"/>
    <col min="13572" max="13824" width="9.140625" style="408"/>
    <col min="13825" max="13825" width="67.140625" style="408" customWidth="1"/>
    <col min="13826" max="13826" width="21.5703125" style="408" customWidth="1"/>
    <col min="13827" max="13827" width="28.28515625" style="408" customWidth="1"/>
    <col min="13828" max="14080" width="9.140625" style="408"/>
    <col min="14081" max="14081" width="67.140625" style="408" customWidth="1"/>
    <col min="14082" max="14082" width="21.5703125" style="408" customWidth="1"/>
    <col min="14083" max="14083" width="28.28515625" style="408" customWidth="1"/>
    <col min="14084" max="14336" width="9.140625" style="408"/>
    <col min="14337" max="14337" width="67.140625" style="408" customWidth="1"/>
    <col min="14338" max="14338" width="21.5703125" style="408" customWidth="1"/>
    <col min="14339" max="14339" width="28.28515625" style="408" customWidth="1"/>
    <col min="14340" max="14592" width="9.140625" style="408"/>
    <col min="14593" max="14593" width="67.140625" style="408" customWidth="1"/>
    <col min="14594" max="14594" width="21.5703125" style="408" customWidth="1"/>
    <col min="14595" max="14595" width="28.28515625" style="408" customWidth="1"/>
    <col min="14596" max="14848" width="9.140625" style="408"/>
    <col min="14849" max="14849" width="67.140625" style="408" customWidth="1"/>
    <col min="14850" max="14850" width="21.5703125" style="408" customWidth="1"/>
    <col min="14851" max="14851" width="28.28515625" style="408" customWidth="1"/>
    <col min="14852" max="15104" width="9.140625" style="408"/>
    <col min="15105" max="15105" width="67.140625" style="408" customWidth="1"/>
    <col min="15106" max="15106" width="21.5703125" style="408" customWidth="1"/>
    <col min="15107" max="15107" width="28.28515625" style="408" customWidth="1"/>
    <col min="15108" max="15360" width="9.140625" style="408"/>
    <col min="15361" max="15361" width="67.140625" style="408" customWidth="1"/>
    <col min="15362" max="15362" width="21.5703125" style="408" customWidth="1"/>
    <col min="15363" max="15363" width="28.28515625" style="408" customWidth="1"/>
    <col min="15364" max="15616" width="9.140625" style="408"/>
    <col min="15617" max="15617" width="67.140625" style="408" customWidth="1"/>
    <col min="15618" max="15618" width="21.5703125" style="408" customWidth="1"/>
    <col min="15619" max="15619" width="28.28515625" style="408" customWidth="1"/>
    <col min="15620" max="15872" width="9.140625" style="408"/>
    <col min="15873" max="15873" width="67.140625" style="408" customWidth="1"/>
    <col min="15874" max="15874" width="21.5703125" style="408" customWidth="1"/>
    <col min="15875" max="15875" width="28.28515625" style="408" customWidth="1"/>
    <col min="15876" max="16128" width="9.140625" style="408"/>
    <col min="16129" max="16129" width="67.140625" style="408" customWidth="1"/>
    <col min="16130" max="16130" width="21.5703125" style="408" customWidth="1"/>
    <col min="16131" max="16131" width="28.28515625" style="408" customWidth="1"/>
    <col min="16132" max="16384" width="9.140625" style="408"/>
  </cols>
  <sheetData>
    <row r="1" spans="1:3" s="404" customFormat="1">
      <c r="A1" s="469" t="s">
        <v>971</v>
      </c>
      <c r="B1" s="405"/>
      <c r="C1" s="405"/>
    </row>
    <row r="2" spans="1:3" s="404" customFormat="1">
      <c r="B2" s="405"/>
      <c r="C2" s="405"/>
    </row>
    <row r="3" spans="1:3">
      <c r="A3" s="406"/>
    </row>
    <row r="4" spans="1:3" ht="15.75">
      <c r="A4" s="935" t="s">
        <v>723</v>
      </c>
      <c r="B4" s="935"/>
      <c r="C4" s="935"/>
    </row>
    <row r="5" spans="1:3" ht="15.75">
      <c r="A5" s="409"/>
      <c r="B5" s="410"/>
      <c r="C5" s="410"/>
    </row>
    <row r="6" spans="1:3" ht="15.75">
      <c r="A6" s="409"/>
      <c r="B6" s="410"/>
      <c r="C6" s="410"/>
    </row>
    <row r="7" spans="1:3" ht="15.75">
      <c r="A7" s="409"/>
      <c r="B7" s="410"/>
      <c r="C7" s="410"/>
    </row>
    <row r="8" spans="1:3" ht="16.5" thickBot="1">
      <c r="A8" s="409"/>
    </row>
    <row r="9" spans="1:3" s="413" customFormat="1" ht="16.5" thickBot="1">
      <c r="A9" s="936" t="s">
        <v>593</v>
      </c>
      <c r="B9" s="411" t="s">
        <v>594</v>
      </c>
      <c r="C9" s="412" t="s">
        <v>595</v>
      </c>
    </row>
    <row r="10" spans="1:3" s="413" customFormat="1" ht="32.25" thickBot="1">
      <c r="A10" s="936"/>
      <c r="B10" s="414" t="s">
        <v>596</v>
      </c>
      <c r="C10" s="415" t="s">
        <v>597</v>
      </c>
    </row>
    <row r="11" spans="1:3" s="413" customFormat="1" ht="16.5" thickBot="1">
      <c r="A11" s="936"/>
      <c r="B11" s="416" t="s">
        <v>598</v>
      </c>
      <c r="C11" s="417" t="s">
        <v>724</v>
      </c>
    </row>
    <row r="12" spans="1:3" ht="33" customHeight="1" thickBot="1">
      <c r="A12" s="937" t="s">
        <v>599</v>
      </c>
      <c r="B12" s="939">
        <v>801</v>
      </c>
      <c r="C12" s="939">
        <v>20672000</v>
      </c>
    </row>
    <row r="13" spans="1:3" ht="33" customHeight="1" thickBot="1">
      <c r="A13" s="938"/>
      <c r="B13" s="940"/>
      <c r="C13" s="940"/>
    </row>
    <row r="14" spans="1:3" ht="58.5" customHeight="1" thickBot="1">
      <c r="A14" s="418" t="s">
        <v>600</v>
      </c>
      <c r="B14" s="419" t="s">
        <v>601</v>
      </c>
      <c r="C14" s="420">
        <v>1051000</v>
      </c>
    </row>
    <row r="15" spans="1:3" ht="39" customHeight="1" thickBot="1">
      <c r="A15" s="418" t="s">
        <v>602</v>
      </c>
      <c r="B15" s="420">
        <v>149</v>
      </c>
      <c r="C15" s="420">
        <v>2656000</v>
      </c>
    </row>
    <row r="16" spans="1:3" s="421" customFormat="1" ht="33" customHeight="1" thickBot="1">
      <c r="A16" s="470" t="s">
        <v>603</v>
      </c>
      <c r="B16" s="471">
        <f>SUM(B12:B15)</f>
        <v>950</v>
      </c>
      <c r="C16" s="471">
        <f>SUM(C12:C15)</f>
        <v>24379000</v>
      </c>
    </row>
  </sheetData>
  <mergeCells count="5">
    <mergeCell ref="A4:C4"/>
    <mergeCell ref="A9:A11"/>
    <mergeCell ref="A12:A13"/>
    <mergeCell ref="B12:B13"/>
    <mergeCell ref="C12:C13"/>
  </mergeCells>
  <pageMargins left="0.7" right="0.7" top="0.75" bottom="0.75" header="0.3" footer="0.3"/>
  <pageSetup paperSize="9" scale="7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112" zoomScaleSheetLayoutView="112" workbookViewId="0"/>
  </sheetViews>
  <sheetFormatPr defaultRowHeight="15"/>
  <cols>
    <col min="1" max="1" width="9.140625" style="251"/>
    <col min="2" max="2" width="65.28515625" style="20" customWidth="1"/>
    <col min="3" max="3" width="18.85546875" style="20" customWidth="1"/>
    <col min="4" max="11" width="15.7109375" style="20" hidden="1" customWidth="1"/>
    <col min="12" max="15" width="15.7109375" style="25" hidden="1" customWidth="1"/>
    <col min="16" max="18" width="19" style="20" customWidth="1"/>
    <col min="19" max="19" width="17.140625" style="20" customWidth="1"/>
    <col min="20" max="21" width="18" style="20" customWidth="1"/>
    <col min="22" max="22" width="17.85546875" style="20" customWidth="1"/>
    <col min="23" max="257" width="9.140625" style="20"/>
    <col min="258" max="258" width="65.28515625" style="20" customWidth="1"/>
    <col min="259" max="259" width="15.140625" style="20" customWidth="1"/>
    <col min="260" max="271" width="0" style="20" hidden="1" customWidth="1"/>
    <col min="272" max="277" width="15.7109375" style="20" customWidth="1"/>
    <col min="278" max="278" width="17.85546875" style="20" customWidth="1"/>
    <col min="279" max="513" width="9.140625" style="20"/>
    <col min="514" max="514" width="65.28515625" style="20" customWidth="1"/>
    <col min="515" max="515" width="15.140625" style="20" customWidth="1"/>
    <col min="516" max="527" width="0" style="20" hidden="1" customWidth="1"/>
    <col min="528" max="533" width="15.7109375" style="20" customWidth="1"/>
    <col min="534" max="534" width="17.85546875" style="20" customWidth="1"/>
    <col min="535" max="769" width="9.140625" style="20"/>
    <col min="770" max="770" width="65.28515625" style="20" customWidth="1"/>
    <col min="771" max="771" width="15.140625" style="20" customWidth="1"/>
    <col min="772" max="783" width="0" style="20" hidden="1" customWidth="1"/>
    <col min="784" max="789" width="15.7109375" style="20" customWidth="1"/>
    <col min="790" max="790" width="17.85546875" style="20" customWidth="1"/>
    <col min="791" max="1025" width="9.140625" style="20"/>
    <col min="1026" max="1026" width="65.28515625" style="20" customWidth="1"/>
    <col min="1027" max="1027" width="15.140625" style="20" customWidth="1"/>
    <col min="1028" max="1039" width="0" style="20" hidden="1" customWidth="1"/>
    <col min="1040" max="1045" width="15.7109375" style="20" customWidth="1"/>
    <col min="1046" max="1046" width="17.85546875" style="20" customWidth="1"/>
    <col min="1047" max="1281" width="9.140625" style="20"/>
    <col min="1282" max="1282" width="65.28515625" style="20" customWidth="1"/>
    <col min="1283" max="1283" width="15.140625" style="20" customWidth="1"/>
    <col min="1284" max="1295" width="0" style="20" hidden="1" customWidth="1"/>
    <col min="1296" max="1301" width="15.7109375" style="20" customWidth="1"/>
    <col min="1302" max="1302" width="17.85546875" style="20" customWidth="1"/>
    <col min="1303" max="1537" width="9.140625" style="20"/>
    <col min="1538" max="1538" width="65.28515625" style="20" customWidth="1"/>
    <col min="1539" max="1539" width="15.140625" style="20" customWidth="1"/>
    <col min="1540" max="1551" width="0" style="20" hidden="1" customWidth="1"/>
    <col min="1552" max="1557" width="15.7109375" style="20" customWidth="1"/>
    <col min="1558" max="1558" width="17.85546875" style="20" customWidth="1"/>
    <col min="1559" max="1793" width="9.140625" style="20"/>
    <col min="1794" max="1794" width="65.28515625" style="20" customWidth="1"/>
    <col min="1795" max="1795" width="15.140625" style="20" customWidth="1"/>
    <col min="1796" max="1807" width="0" style="20" hidden="1" customWidth="1"/>
    <col min="1808" max="1813" width="15.7109375" style="20" customWidth="1"/>
    <col min="1814" max="1814" width="17.85546875" style="20" customWidth="1"/>
    <col min="1815" max="2049" width="9.140625" style="20"/>
    <col min="2050" max="2050" width="65.28515625" style="20" customWidth="1"/>
    <col min="2051" max="2051" width="15.140625" style="20" customWidth="1"/>
    <col min="2052" max="2063" width="0" style="20" hidden="1" customWidth="1"/>
    <col min="2064" max="2069" width="15.7109375" style="20" customWidth="1"/>
    <col min="2070" max="2070" width="17.85546875" style="20" customWidth="1"/>
    <col min="2071" max="2305" width="9.140625" style="20"/>
    <col min="2306" max="2306" width="65.28515625" style="20" customWidth="1"/>
    <col min="2307" max="2307" width="15.140625" style="20" customWidth="1"/>
    <col min="2308" max="2319" width="0" style="20" hidden="1" customWidth="1"/>
    <col min="2320" max="2325" width="15.7109375" style="20" customWidth="1"/>
    <col min="2326" max="2326" width="17.85546875" style="20" customWidth="1"/>
    <col min="2327" max="2561" width="9.140625" style="20"/>
    <col min="2562" max="2562" width="65.28515625" style="20" customWidth="1"/>
    <col min="2563" max="2563" width="15.140625" style="20" customWidth="1"/>
    <col min="2564" max="2575" width="0" style="20" hidden="1" customWidth="1"/>
    <col min="2576" max="2581" width="15.7109375" style="20" customWidth="1"/>
    <col min="2582" max="2582" width="17.85546875" style="20" customWidth="1"/>
    <col min="2583" max="2817" width="9.140625" style="20"/>
    <col min="2818" max="2818" width="65.28515625" style="20" customWidth="1"/>
    <col min="2819" max="2819" width="15.140625" style="20" customWidth="1"/>
    <col min="2820" max="2831" width="0" style="20" hidden="1" customWidth="1"/>
    <col min="2832" max="2837" width="15.7109375" style="20" customWidth="1"/>
    <col min="2838" max="2838" width="17.85546875" style="20" customWidth="1"/>
    <col min="2839" max="3073" width="9.140625" style="20"/>
    <col min="3074" max="3074" width="65.28515625" style="20" customWidth="1"/>
    <col min="3075" max="3075" width="15.140625" style="20" customWidth="1"/>
    <col min="3076" max="3087" width="0" style="20" hidden="1" customWidth="1"/>
    <col min="3088" max="3093" width="15.7109375" style="20" customWidth="1"/>
    <col min="3094" max="3094" width="17.85546875" style="20" customWidth="1"/>
    <col min="3095" max="3329" width="9.140625" style="20"/>
    <col min="3330" max="3330" width="65.28515625" style="20" customWidth="1"/>
    <col min="3331" max="3331" width="15.140625" style="20" customWidth="1"/>
    <col min="3332" max="3343" width="0" style="20" hidden="1" customWidth="1"/>
    <col min="3344" max="3349" width="15.7109375" style="20" customWidth="1"/>
    <col min="3350" max="3350" width="17.85546875" style="20" customWidth="1"/>
    <col min="3351" max="3585" width="9.140625" style="20"/>
    <col min="3586" max="3586" width="65.28515625" style="20" customWidth="1"/>
    <col min="3587" max="3587" width="15.140625" style="20" customWidth="1"/>
    <col min="3588" max="3599" width="0" style="20" hidden="1" customWidth="1"/>
    <col min="3600" max="3605" width="15.7109375" style="20" customWidth="1"/>
    <col min="3606" max="3606" width="17.85546875" style="20" customWidth="1"/>
    <col min="3607" max="3841" width="9.140625" style="20"/>
    <col min="3842" max="3842" width="65.28515625" style="20" customWidth="1"/>
    <col min="3843" max="3843" width="15.140625" style="20" customWidth="1"/>
    <col min="3844" max="3855" width="0" style="20" hidden="1" customWidth="1"/>
    <col min="3856" max="3861" width="15.7109375" style="20" customWidth="1"/>
    <col min="3862" max="3862" width="17.85546875" style="20" customWidth="1"/>
    <col min="3863" max="4097" width="9.140625" style="20"/>
    <col min="4098" max="4098" width="65.28515625" style="20" customWidth="1"/>
    <col min="4099" max="4099" width="15.140625" style="20" customWidth="1"/>
    <col min="4100" max="4111" width="0" style="20" hidden="1" customWidth="1"/>
    <col min="4112" max="4117" width="15.7109375" style="20" customWidth="1"/>
    <col min="4118" max="4118" width="17.85546875" style="20" customWidth="1"/>
    <col min="4119" max="4353" width="9.140625" style="20"/>
    <col min="4354" max="4354" width="65.28515625" style="20" customWidth="1"/>
    <col min="4355" max="4355" width="15.140625" style="20" customWidth="1"/>
    <col min="4356" max="4367" width="0" style="20" hidden="1" customWidth="1"/>
    <col min="4368" max="4373" width="15.7109375" style="20" customWidth="1"/>
    <col min="4374" max="4374" width="17.85546875" style="20" customWidth="1"/>
    <col min="4375" max="4609" width="9.140625" style="20"/>
    <col min="4610" max="4610" width="65.28515625" style="20" customWidth="1"/>
    <col min="4611" max="4611" width="15.140625" style="20" customWidth="1"/>
    <col min="4612" max="4623" width="0" style="20" hidden="1" customWidth="1"/>
    <col min="4624" max="4629" width="15.7109375" style="20" customWidth="1"/>
    <col min="4630" max="4630" width="17.85546875" style="20" customWidth="1"/>
    <col min="4631" max="4865" width="9.140625" style="20"/>
    <col min="4866" max="4866" width="65.28515625" style="20" customWidth="1"/>
    <col min="4867" max="4867" width="15.140625" style="20" customWidth="1"/>
    <col min="4868" max="4879" width="0" style="20" hidden="1" customWidth="1"/>
    <col min="4880" max="4885" width="15.7109375" style="20" customWidth="1"/>
    <col min="4886" max="4886" width="17.85546875" style="20" customWidth="1"/>
    <col min="4887" max="5121" width="9.140625" style="20"/>
    <col min="5122" max="5122" width="65.28515625" style="20" customWidth="1"/>
    <col min="5123" max="5123" width="15.140625" style="20" customWidth="1"/>
    <col min="5124" max="5135" width="0" style="20" hidden="1" customWidth="1"/>
    <col min="5136" max="5141" width="15.7109375" style="20" customWidth="1"/>
    <col min="5142" max="5142" width="17.85546875" style="20" customWidth="1"/>
    <col min="5143" max="5377" width="9.140625" style="20"/>
    <col min="5378" max="5378" width="65.28515625" style="20" customWidth="1"/>
    <col min="5379" max="5379" width="15.140625" style="20" customWidth="1"/>
    <col min="5380" max="5391" width="0" style="20" hidden="1" customWidth="1"/>
    <col min="5392" max="5397" width="15.7109375" style="20" customWidth="1"/>
    <col min="5398" max="5398" width="17.85546875" style="20" customWidth="1"/>
    <col min="5399" max="5633" width="9.140625" style="20"/>
    <col min="5634" max="5634" width="65.28515625" style="20" customWidth="1"/>
    <col min="5635" max="5635" width="15.140625" style="20" customWidth="1"/>
    <col min="5636" max="5647" width="0" style="20" hidden="1" customWidth="1"/>
    <col min="5648" max="5653" width="15.7109375" style="20" customWidth="1"/>
    <col min="5654" max="5654" width="17.85546875" style="20" customWidth="1"/>
    <col min="5655" max="5889" width="9.140625" style="20"/>
    <col min="5890" max="5890" width="65.28515625" style="20" customWidth="1"/>
    <col min="5891" max="5891" width="15.140625" style="20" customWidth="1"/>
    <col min="5892" max="5903" width="0" style="20" hidden="1" customWidth="1"/>
    <col min="5904" max="5909" width="15.7109375" style="20" customWidth="1"/>
    <col min="5910" max="5910" width="17.85546875" style="20" customWidth="1"/>
    <col min="5911" max="6145" width="9.140625" style="20"/>
    <col min="6146" max="6146" width="65.28515625" style="20" customWidth="1"/>
    <col min="6147" max="6147" width="15.140625" style="20" customWidth="1"/>
    <col min="6148" max="6159" width="0" style="20" hidden="1" customWidth="1"/>
    <col min="6160" max="6165" width="15.7109375" style="20" customWidth="1"/>
    <col min="6166" max="6166" width="17.85546875" style="20" customWidth="1"/>
    <col min="6167" max="6401" width="9.140625" style="20"/>
    <col min="6402" max="6402" width="65.28515625" style="20" customWidth="1"/>
    <col min="6403" max="6403" width="15.140625" style="20" customWidth="1"/>
    <col min="6404" max="6415" width="0" style="20" hidden="1" customWidth="1"/>
    <col min="6416" max="6421" width="15.7109375" style="20" customWidth="1"/>
    <col min="6422" max="6422" width="17.85546875" style="20" customWidth="1"/>
    <col min="6423" max="6657" width="9.140625" style="20"/>
    <col min="6658" max="6658" width="65.28515625" style="20" customWidth="1"/>
    <col min="6659" max="6659" width="15.140625" style="20" customWidth="1"/>
    <col min="6660" max="6671" width="0" style="20" hidden="1" customWidth="1"/>
    <col min="6672" max="6677" width="15.7109375" style="20" customWidth="1"/>
    <col min="6678" max="6678" width="17.85546875" style="20" customWidth="1"/>
    <col min="6679" max="6913" width="9.140625" style="20"/>
    <col min="6914" max="6914" width="65.28515625" style="20" customWidth="1"/>
    <col min="6915" max="6915" width="15.140625" style="20" customWidth="1"/>
    <col min="6916" max="6927" width="0" style="20" hidden="1" customWidth="1"/>
    <col min="6928" max="6933" width="15.7109375" style="20" customWidth="1"/>
    <col min="6934" max="6934" width="17.85546875" style="20" customWidth="1"/>
    <col min="6935" max="7169" width="9.140625" style="20"/>
    <col min="7170" max="7170" width="65.28515625" style="20" customWidth="1"/>
    <col min="7171" max="7171" width="15.140625" style="20" customWidth="1"/>
    <col min="7172" max="7183" width="0" style="20" hidden="1" customWidth="1"/>
    <col min="7184" max="7189" width="15.7109375" style="20" customWidth="1"/>
    <col min="7190" max="7190" width="17.85546875" style="20" customWidth="1"/>
    <col min="7191" max="7425" width="9.140625" style="20"/>
    <col min="7426" max="7426" width="65.28515625" style="20" customWidth="1"/>
    <col min="7427" max="7427" width="15.140625" style="20" customWidth="1"/>
    <col min="7428" max="7439" width="0" style="20" hidden="1" customWidth="1"/>
    <col min="7440" max="7445" width="15.7109375" style="20" customWidth="1"/>
    <col min="7446" max="7446" width="17.85546875" style="20" customWidth="1"/>
    <col min="7447" max="7681" width="9.140625" style="20"/>
    <col min="7682" max="7682" width="65.28515625" style="20" customWidth="1"/>
    <col min="7683" max="7683" width="15.140625" style="20" customWidth="1"/>
    <col min="7684" max="7695" width="0" style="20" hidden="1" customWidth="1"/>
    <col min="7696" max="7701" width="15.7109375" style="20" customWidth="1"/>
    <col min="7702" max="7702" width="17.85546875" style="20" customWidth="1"/>
    <col min="7703" max="7937" width="9.140625" style="20"/>
    <col min="7938" max="7938" width="65.28515625" style="20" customWidth="1"/>
    <col min="7939" max="7939" width="15.140625" style="20" customWidth="1"/>
    <col min="7940" max="7951" width="0" style="20" hidden="1" customWidth="1"/>
    <col min="7952" max="7957" width="15.7109375" style="20" customWidth="1"/>
    <col min="7958" max="7958" width="17.85546875" style="20" customWidth="1"/>
    <col min="7959" max="8193" width="9.140625" style="20"/>
    <col min="8194" max="8194" width="65.28515625" style="20" customWidth="1"/>
    <col min="8195" max="8195" width="15.140625" style="20" customWidth="1"/>
    <col min="8196" max="8207" width="0" style="20" hidden="1" customWidth="1"/>
    <col min="8208" max="8213" width="15.7109375" style="20" customWidth="1"/>
    <col min="8214" max="8214" width="17.85546875" style="20" customWidth="1"/>
    <col min="8215" max="8449" width="9.140625" style="20"/>
    <col min="8450" max="8450" width="65.28515625" style="20" customWidth="1"/>
    <col min="8451" max="8451" width="15.140625" style="20" customWidth="1"/>
    <col min="8452" max="8463" width="0" style="20" hidden="1" customWidth="1"/>
    <col min="8464" max="8469" width="15.7109375" style="20" customWidth="1"/>
    <col min="8470" max="8470" width="17.85546875" style="20" customWidth="1"/>
    <col min="8471" max="8705" width="9.140625" style="20"/>
    <col min="8706" max="8706" width="65.28515625" style="20" customWidth="1"/>
    <col min="8707" max="8707" width="15.140625" style="20" customWidth="1"/>
    <col min="8708" max="8719" width="0" style="20" hidden="1" customWidth="1"/>
    <col min="8720" max="8725" width="15.7109375" style="20" customWidth="1"/>
    <col min="8726" max="8726" width="17.85546875" style="20" customWidth="1"/>
    <col min="8727" max="8961" width="9.140625" style="20"/>
    <col min="8962" max="8962" width="65.28515625" style="20" customWidth="1"/>
    <col min="8963" max="8963" width="15.140625" style="20" customWidth="1"/>
    <col min="8964" max="8975" width="0" style="20" hidden="1" customWidth="1"/>
    <col min="8976" max="8981" width="15.7109375" style="20" customWidth="1"/>
    <col min="8982" max="8982" width="17.85546875" style="20" customWidth="1"/>
    <col min="8983" max="9217" width="9.140625" style="20"/>
    <col min="9218" max="9218" width="65.28515625" style="20" customWidth="1"/>
    <col min="9219" max="9219" width="15.140625" style="20" customWidth="1"/>
    <col min="9220" max="9231" width="0" style="20" hidden="1" customWidth="1"/>
    <col min="9232" max="9237" width="15.7109375" style="20" customWidth="1"/>
    <col min="9238" max="9238" width="17.85546875" style="20" customWidth="1"/>
    <col min="9239" max="9473" width="9.140625" style="20"/>
    <col min="9474" max="9474" width="65.28515625" style="20" customWidth="1"/>
    <col min="9475" max="9475" width="15.140625" style="20" customWidth="1"/>
    <col min="9476" max="9487" width="0" style="20" hidden="1" customWidth="1"/>
    <col min="9488" max="9493" width="15.7109375" style="20" customWidth="1"/>
    <col min="9494" max="9494" width="17.85546875" style="20" customWidth="1"/>
    <col min="9495" max="9729" width="9.140625" style="20"/>
    <col min="9730" max="9730" width="65.28515625" style="20" customWidth="1"/>
    <col min="9731" max="9731" width="15.140625" style="20" customWidth="1"/>
    <col min="9732" max="9743" width="0" style="20" hidden="1" customWidth="1"/>
    <col min="9744" max="9749" width="15.7109375" style="20" customWidth="1"/>
    <col min="9750" max="9750" width="17.85546875" style="20" customWidth="1"/>
    <col min="9751" max="9985" width="9.140625" style="20"/>
    <col min="9986" max="9986" width="65.28515625" style="20" customWidth="1"/>
    <col min="9987" max="9987" width="15.140625" style="20" customWidth="1"/>
    <col min="9988" max="9999" width="0" style="20" hidden="1" customWidth="1"/>
    <col min="10000" max="10005" width="15.7109375" style="20" customWidth="1"/>
    <col min="10006" max="10006" width="17.85546875" style="20" customWidth="1"/>
    <col min="10007" max="10241" width="9.140625" style="20"/>
    <col min="10242" max="10242" width="65.28515625" style="20" customWidth="1"/>
    <col min="10243" max="10243" width="15.140625" style="20" customWidth="1"/>
    <col min="10244" max="10255" width="0" style="20" hidden="1" customWidth="1"/>
    <col min="10256" max="10261" width="15.7109375" style="20" customWidth="1"/>
    <col min="10262" max="10262" width="17.85546875" style="20" customWidth="1"/>
    <col min="10263" max="10497" width="9.140625" style="20"/>
    <col min="10498" max="10498" width="65.28515625" style="20" customWidth="1"/>
    <col min="10499" max="10499" width="15.140625" style="20" customWidth="1"/>
    <col min="10500" max="10511" width="0" style="20" hidden="1" customWidth="1"/>
    <col min="10512" max="10517" width="15.7109375" style="20" customWidth="1"/>
    <col min="10518" max="10518" width="17.85546875" style="20" customWidth="1"/>
    <col min="10519" max="10753" width="9.140625" style="20"/>
    <col min="10754" max="10754" width="65.28515625" style="20" customWidth="1"/>
    <col min="10755" max="10755" width="15.140625" style="20" customWidth="1"/>
    <col min="10756" max="10767" width="0" style="20" hidden="1" customWidth="1"/>
    <col min="10768" max="10773" width="15.7109375" style="20" customWidth="1"/>
    <col min="10774" max="10774" width="17.85546875" style="20" customWidth="1"/>
    <col min="10775" max="11009" width="9.140625" style="20"/>
    <col min="11010" max="11010" width="65.28515625" style="20" customWidth="1"/>
    <col min="11011" max="11011" width="15.140625" style="20" customWidth="1"/>
    <col min="11012" max="11023" width="0" style="20" hidden="1" customWidth="1"/>
    <col min="11024" max="11029" width="15.7109375" style="20" customWidth="1"/>
    <col min="11030" max="11030" width="17.85546875" style="20" customWidth="1"/>
    <col min="11031" max="11265" width="9.140625" style="20"/>
    <col min="11266" max="11266" width="65.28515625" style="20" customWidth="1"/>
    <col min="11267" max="11267" width="15.140625" style="20" customWidth="1"/>
    <col min="11268" max="11279" width="0" style="20" hidden="1" customWidth="1"/>
    <col min="11280" max="11285" width="15.7109375" style="20" customWidth="1"/>
    <col min="11286" max="11286" width="17.85546875" style="20" customWidth="1"/>
    <col min="11287" max="11521" width="9.140625" style="20"/>
    <col min="11522" max="11522" width="65.28515625" style="20" customWidth="1"/>
    <col min="11523" max="11523" width="15.140625" style="20" customWidth="1"/>
    <col min="11524" max="11535" width="0" style="20" hidden="1" customWidth="1"/>
    <col min="11536" max="11541" width="15.7109375" style="20" customWidth="1"/>
    <col min="11542" max="11542" width="17.85546875" style="20" customWidth="1"/>
    <col min="11543" max="11777" width="9.140625" style="20"/>
    <col min="11778" max="11778" width="65.28515625" style="20" customWidth="1"/>
    <col min="11779" max="11779" width="15.140625" style="20" customWidth="1"/>
    <col min="11780" max="11791" width="0" style="20" hidden="1" customWidth="1"/>
    <col min="11792" max="11797" width="15.7109375" style="20" customWidth="1"/>
    <col min="11798" max="11798" width="17.85546875" style="20" customWidth="1"/>
    <col min="11799" max="12033" width="9.140625" style="20"/>
    <col min="12034" max="12034" width="65.28515625" style="20" customWidth="1"/>
    <col min="12035" max="12035" width="15.140625" style="20" customWidth="1"/>
    <col min="12036" max="12047" width="0" style="20" hidden="1" customWidth="1"/>
    <col min="12048" max="12053" width="15.7109375" style="20" customWidth="1"/>
    <col min="12054" max="12054" width="17.85546875" style="20" customWidth="1"/>
    <col min="12055" max="12289" width="9.140625" style="20"/>
    <col min="12290" max="12290" width="65.28515625" style="20" customWidth="1"/>
    <col min="12291" max="12291" width="15.140625" style="20" customWidth="1"/>
    <col min="12292" max="12303" width="0" style="20" hidden="1" customWidth="1"/>
    <col min="12304" max="12309" width="15.7109375" style="20" customWidth="1"/>
    <col min="12310" max="12310" width="17.85546875" style="20" customWidth="1"/>
    <col min="12311" max="12545" width="9.140625" style="20"/>
    <col min="12546" max="12546" width="65.28515625" style="20" customWidth="1"/>
    <col min="12547" max="12547" width="15.140625" style="20" customWidth="1"/>
    <col min="12548" max="12559" width="0" style="20" hidden="1" customWidth="1"/>
    <col min="12560" max="12565" width="15.7109375" style="20" customWidth="1"/>
    <col min="12566" max="12566" width="17.85546875" style="20" customWidth="1"/>
    <col min="12567" max="12801" width="9.140625" style="20"/>
    <col min="12802" max="12802" width="65.28515625" style="20" customWidth="1"/>
    <col min="12803" max="12803" width="15.140625" style="20" customWidth="1"/>
    <col min="12804" max="12815" width="0" style="20" hidden="1" customWidth="1"/>
    <col min="12816" max="12821" width="15.7109375" style="20" customWidth="1"/>
    <col min="12822" max="12822" width="17.85546875" style="20" customWidth="1"/>
    <col min="12823" max="13057" width="9.140625" style="20"/>
    <col min="13058" max="13058" width="65.28515625" style="20" customWidth="1"/>
    <col min="13059" max="13059" width="15.140625" style="20" customWidth="1"/>
    <col min="13060" max="13071" width="0" style="20" hidden="1" customWidth="1"/>
    <col min="13072" max="13077" width="15.7109375" style="20" customWidth="1"/>
    <col min="13078" max="13078" width="17.85546875" style="20" customWidth="1"/>
    <col min="13079" max="13313" width="9.140625" style="20"/>
    <col min="13314" max="13314" width="65.28515625" style="20" customWidth="1"/>
    <col min="13315" max="13315" width="15.140625" style="20" customWidth="1"/>
    <col min="13316" max="13327" width="0" style="20" hidden="1" customWidth="1"/>
    <col min="13328" max="13333" width="15.7109375" style="20" customWidth="1"/>
    <col min="13334" max="13334" width="17.85546875" style="20" customWidth="1"/>
    <col min="13335" max="13569" width="9.140625" style="20"/>
    <col min="13570" max="13570" width="65.28515625" style="20" customWidth="1"/>
    <col min="13571" max="13571" width="15.140625" style="20" customWidth="1"/>
    <col min="13572" max="13583" width="0" style="20" hidden="1" customWidth="1"/>
    <col min="13584" max="13589" width="15.7109375" style="20" customWidth="1"/>
    <col min="13590" max="13590" width="17.85546875" style="20" customWidth="1"/>
    <col min="13591" max="13825" width="9.140625" style="20"/>
    <col min="13826" max="13826" width="65.28515625" style="20" customWidth="1"/>
    <col min="13827" max="13827" width="15.140625" style="20" customWidth="1"/>
    <col min="13828" max="13839" width="0" style="20" hidden="1" customWidth="1"/>
    <col min="13840" max="13845" width="15.7109375" style="20" customWidth="1"/>
    <col min="13846" max="13846" width="17.85546875" style="20" customWidth="1"/>
    <col min="13847" max="14081" width="9.140625" style="20"/>
    <col min="14082" max="14082" width="65.28515625" style="20" customWidth="1"/>
    <col min="14083" max="14083" width="15.140625" style="20" customWidth="1"/>
    <col min="14084" max="14095" width="0" style="20" hidden="1" customWidth="1"/>
    <col min="14096" max="14101" width="15.7109375" style="20" customWidth="1"/>
    <col min="14102" max="14102" width="17.85546875" style="20" customWidth="1"/>
    <col min="14103" max="14337" width="9.140625" style="20"/>
    <col min="14338" max="14338" width="65.28515625" style="20" customWidth="1"/>
    <col min="14339" max="14339" width="15.140625" style="20" customWidth="1"/>
    <col min="14340" max="14351" width="0" style="20" hidden="1" customWidth="1"/>
    <col min="14352" max="14357" width="15.7109375" style="20" customWidth="1"/>
    <col min="14358" max="14358" width="17.85546875" style="20" customWidth="1"/>
    <col min="14359" max="14593" width="9.140625" style="20"/>
    <col min="14594" max="14594" width="65.28515625" style="20" customWidth="1"/>
    <col min="14595" max="14595" width="15.140625" style="20" customWidth="1"/>
    <col min="14596" max="14607" width="0" style="20" hidden="1" customWidth="1"/>
    <col min="14608" max="14613" width="15.7109375" style="20" customWidth="1"/>
    <col min="14614" max="14614" width="17.85546875" style="20" customWidth="1"/>
    <col min="14615" max="14849" width="9.140625" style="20"/>
    <col min="14850" max="14850" width="65.28515625" style="20" customWidth="1"/>
    <col min="14851" max="14851" width="15.140625" style="20" customWidth="1"/>
    <col min="14852" max="14863" width="0" style="20" hidden="1" customWidth="1"/>
    <col min="14864" max="14869" width="15.7109375" style="20" customWidth="1"/>
    <col min="14870" max="14870" width="17.85546875" style="20" customWidth="1"/>
    <col min="14871" max="15105" width="9.140625" style="20"/>
    <col min="15106" max="15106" width="65.28515625" style="20" customWidth="1"/>
    <col min="15107" max="15107" width="15.140625" style="20" customWidth="1"/>
    <col min="15108" max="15119" width="0" style="20" hidden="1" customWidth="1"/>
    <col min="15120" max="15125" width="15.7109375" style="20" customWidth="1"/>
    <col min="15126" max="15126" width="17.85546875" style="20" customWidth="1"/>
    <col min="15127" max="15361" width="9.140625" style="20"/>
    <col min="15362" max="15362" width="65.28515625" style="20" customWidth="1"/>
    <col min="15363" max="15363" width="15.140625" style="20" customWidth="1"/>
    <col min="15364" max="15375" width="0" style="20" hidden="1" customWidth="1"/>
    <col min="15376" max="15381" width="15.7109375" style="20" customWidth="1"/>
    <col min="15382" max="15382" width="17.85546875" style="20" customWidth="1"/>
    <col min="15383" max="15617" width="9.140625" style="20"/>
    <col min="15618" max="15618" width="65.28515625" style="20" customWidth="1"/>
    <col min="15619" max="15619" width="15.140625" style="20" customWidth="1"/>
    <col min="15620" max="15631" width="0" style="20" hidden="1" customWidth="1"/>
    <col min="15632" max="15637" width="15.7109375" style="20" customWidth="1"/>
    <col min="15638" max="15638" width="17.85546875" style="20" customWidth="1"/>
    <col min="15639" max="15873" width="9.140625" style="20"/>
    <col min="15874" max="15874" width="65.28515625" style="20" customWidth="1"/>
    <col min="15875" max="15875" width="15.140625" style="20" customWidth="1"/>
    <col min="15876" max="15887" width="0" style="20" hidden="1" customWidth="1"/>
    <col min="15888" max="15893" width="15.7109375" style="20" customWidth="1"/>
    <col min="15894" max="15894" width="17.85546875" style="20" customWidth="1"/>
    <col min="15895" max="16129" width="9.140625" style="20"/>
    <col min="16130" max="16130" width="65.28515625" style="20" customWidth="1"/>
    <col min="16131" max="16131" width="15.140625" style="20" customWidth="1"/>
    <col min="16132" max="16143" width="0" style="20" hidden="1" customWidth="1"/>
    <col min="16144" max="16149" width="15.7109375" style="20" customWidth="1"/>
    <col min="16150" max="16150" width="17.85546875" style="20" customWidth="1"/>
    <col min="16151" max="16384" width="9.140625" style="20"/>
  </cols>
  <sheetData>
    <row r="1" spans="1:23">
      <c r="A1" s="249" t="s">
        <v>972</v>
      </c>
      <c r="B1" s="250"/>
      <c r="C1" s="250"/>
    </row>
    <row r="2" spans="1:23">
      <c r="B2" s="250"/>
      <c r="C2" s="250"/>
    </row>
    <row r="3" spans="1:23" ht="15.75">
      <c r="B3" s="952" t="s">
        <v>725</v>
      </c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</row>
    <row r="4" spans="1:23" ht="15.75">
      <c r="A4" s="953" t="s">
        <v>426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</row>
    <row r="5" spans="1:23" ht="15.75">
      <c r="B5" s="143"/>
      <c r="C5" s="143"/>
      <c r="D5" s="143"/>
      <c r="E5" s="143"/>
      <c r="F5" s="143"/>
      <c r="G5" s="143"/>
    </row>
    <row r="6" spans="1:23" ht="15.75">
      <c r="B6" s="143"/>
      <c r="C6" s="143"/>
      <c r="D6" s="143"/>
      <c r="E6" s="143"/>
      <c r="F6" s="143"/>
      <c r="G6" s="143"/>
    </row>
    <row r="7" spans="1:23" ht="15.75" thickBot="1">
      <c r="A7" s="954" t="s">
        <v>7</v>
      </c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4"/>
      <c r="S7" s="954"/>
      <c r="T7" s="954"/>
      <c r="U7" s="954"/>
      <c r="V7" s="954"/>
      <c r="W7" s="252"/>
    </row>
    <row r="8" spans="1:23" s="253" customFormat="1" ht="15" customHeight="1" thickBot="1">
      <c r="A8" s="955" t="s">
        <v>427</v>
      </c>
      <c r="B8" s="958" t="s">
        <v>0</v>
      </c>
      <c r="C8" s="959"/>
      <c r="D8" s="964" t="s">
        <v>378</v>
      </c>
      <c r="E8" s="965"/>
      <c r="F8" s="965"/>
      <c r="G8" s="966"/>
      <c r="H8" s="967" t="s">
        <v>379</v>
      </c>
      <c r="I8" s="968"/>
      <c r="J8" s="968"/>
      <c r="K8" s="969"/>
      <c r="L8" s="967" t="s">
        <v>391</v>
      </c>
      <c r="M8" s="968"/>
      <c r="N8" s="968"/>
      <c r="O8" s="969"/>
      <c r="P8" s="967" t="s">
        <v>428</v>
      </c>
      <c r="Q8" s="968"/>
      <c r="R8" s="968"/>
      <c r="S8" s="968"/>
      <c r="T8" s="968"/>
      <c r="U8" s="969"/>
      <c r="V8" s="970" t="s">
        <v>461</v>
      </c>
    </row>
    <row r="9" spans="1:23" s="253" customFormat="1" ht="15" customHeight="1" thickBot="1">
      <c r="A9" s="956"/>
      <c r="B9" s="960"/>
      <c r="C9" s="961"/>
      <c r="D9" s="945" t="s">
        <v>429</v>
      </c>
      <c r="E9" s="946"/>
      <c r="F9" s="943" t="s">
        <v>430</v>
      </c>
      <c r="G9" s="944"/>
      <c r="H9" s="945" t="s">
        <v>429</v>
      </c>
      <c r="I9" s="946"/>
      <c r="J9" s="943" t="s">
        <v>430</v>
      </c>
      <c r="K9" s="944"/>
      <c r="L9" s="945" t="s">
        <v>429</v>
      </c>
      <c r="M9" s="946"/>
      <c r="N9" s="943" t="s">
        <v>430</v>
      </c>
      <c r="O9" s="944"/>
      <c r="P9" s="945" t="s">
        <v>429</v>
      </c>
      <c r="Q9" s="973"/>
      <c r="R9" s="946"/>
      <c r="S9" s="943" t="s">
        <v>430</v>
      </c>
      <c r="T9" s="974"/>
      <c r="U9" s="944"/>
      <c r="V9" s="971"/>
    </row>
    <row r="10" spans="1:23" s="253" customFormat="1" ht="29.25" thickBot="1">
      <c r="A10" s="957"/>
      <c r="B10" s="962"/>
      <c r="C10" s="963"/>
      <c r="D10" s="254" t="s">
        <v>350</v>
      </c>
      <c r="E10" s="254" t="s">
        <v>351</v>
      </c>
      <c r="F10" s="254" t="s">
        <v>350</v>
      </c>
      <c r="G10" s="254" t="s">
        <v>351</v>
      </c>
      <c r="H10" s="254" t="s">
        <v>350</v>
      </c>
      <c r="I10" s="254" t="s">
        <v>351</v>
      </c>
      <c r="J10" s="254" t="s">
        <v>350</v>
      </c>
      <c r="K10" s="254" t="s">
        <v>351</v>
      </c>
      <c r="L10" s="254" t="s">
        <v>350</v>
      </c>
      <c r="M10" s="254" t="s">
        <v>351</v>
      </c>
      <c r="N10" s="254" t="s">
        <v>350</v>
      </c>
      <c r="O10" s="254" t="s">
        <v>351</v>
      </c>
      <c r="P10" s="254" t="s">
        <v>350</v>
      </c>
      <c r="Q10" s="254" t="s">
        <v>351</v>
      </c>
      <c r="R10" s="254" t="s">
        <v>288</v>
      </c>
      <c r="S10" s="254" t="s">
        <v>350</v>
      </c>
      <c r="T10" s="254" t="s">
        <v>351</v>
      </c>
      <c r="U10" s="254" t="s">
        <v>288</v>
      </c>
      <c r="V10" s="972"/>
    </row>
    <row r="11" spans="1:23">
      <c r="A11" s="255"/>
      <c r="B11" s="256" t="s">
        <v>431</v>
      </c>
      <c r="C11" s="257"/>
      <c r="D11" s="258"/>
      <c r="E11" s="258"/>
      <c r="F11" s="258"/>
      <c r="G11" s="258"/>
      <c r="H11" s="258"/>
      <c r="I11" s="258"/>
      <c r="J11" s="258"/>
      <c r="K11" s="258"/>
      <c r="L11" s="259"/>
      <c r="M11" s="259"/>
      <c r="N11" s="259"/>
      <c r="O11" s="259"/>
      <c r="P11" s="260"/>
      <c r="Q11" s="259"/>
      <c r="R11" s="260"/>
      <c r="S11" s="260"/>
      <c r="T11" s="260"/>
      <c r="U11" s="260"/>
      <c r="V11" s="261"/>
    </row>
    <row r="12" spans="1:23" s="19" customFormat="1">
      <c r="A12" s="949" t="s">
        <v>432</v>
      </c>
      <c r="B12" s="262" t="s">
        <v>337</v>
      </c>
      <c r="C12" s="263"/>
      <c r="D12" s="264">
        <v>1608914</v>
      </c>
      <c r="E12" s="264">
        <v>1504362</v>
      </c>
      <c r="F12" s="264"/>
      <c r="G12" s="264"/>
      <c r="H12" s="264">
        <v>16660</v>
      </c>
      <c r="I12" s="264">
        <v>149266</v>
      </c>
      <c r="J12" s="264"/>
      <c r="K12" s="264"/>
      <c r="L12" s="265"/>
      <c r="M12" s="265"/>
      <c r="N12" s="265"/>
      <c r="O12" s="265"/>
      <c r="P12" s="264">
        <f>SUM('6. sz. melléklet'!D85)</f>
        <v>1480871000</v>
      </c>
      <c r="Q12" s="264">
        <f>SUM('6. sz. melléklet'!E85)</f>
        <v>2632598022</v>
      </c>
      <c r="R12" s="264">
        <f>SUM('6. sz. melléklet'!F85)</f>
        <v>2435759776</v>
      </c>
      <c r="S12" s="264"/>
      <c r="T12" s="264"/>
      <c r="U12" s="264"/>
      <c r="V12" s="266"/>
    </row>
    <row r="13" spans="1:23" s="19" customFormat="1">
      <c r="A13" s="950"/>
      <c r="B13" s="262" t="s">
        <v>433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5"/>
      <c r="M13" s="265"/>
      <c r="N13" s="265"/>
      <c r="O13" s="265"/>
      <c r="P13" s="264"/>
      <c r="Q13" s="265"/>
      <c r="R13" s="264"/>
      <c r="S13" s="264"/>
      <c r="T13" s="264"/>
      <c r="U13" s="264"/>
      <c r="V13" s="266"/>
    </row>
    <row r="14" spans="1:23" s="19" customFormat="1">
      <c r="A14" s="950"/>
      <c r="B14" s="267" t="s">
        <v>434</v>
      </c>
      <c r="C14" s="264">
        <f>SUM('6. sz. melléklet'!F82)</f>
        <v>1793607937</v>
      </c>
      <c r="D14" s="264"/>
      <c r="E14" s="264"/>
      <c r="F14" s="264"/>
      <c r="G14" s="264"/>
      <c r="H14" s="264"/>
      <c r="I14" s="264"/>
      <c r="J14" s="264"/>
      <c r="K14" s="264"/>
      <c r="L14" s="265"/>
      <c r="M14" s="265"/>
      <c r="N14" s="265"/>
      <c r="O14" s="265"/>
      <c r="P14" s="264"/>
      <c r="Q14" s="265"/>
      <c r="R14" s="264"/>
      <c r="S14" s="264"/>
      <c r="T14" s="264"/>
      <c r="U14" s="264"/>
      <c r="V14" s="266"/>
    </row>
    <row r="15" spans="1:23" s="19" customFormat="1">
      <c r="A15" s="950"/>
      <c r="B15" s="262" t="s">
        <v>435</v>
      </c>
      <c r="C15" s="264">
        <f>SUM('6. sz. melléklet'!F83)</f>
        <v>631032118</v>
      </c>
      <c r="D15" s="264"/>
      <c r="E15" s="264"/>
      <c r="F15" s="264"/>
      <c r="G15" s="264"/>
      <c r="H15" s="264"/>
      <c r="I15" s="264"/>
      <c r="J15" s="264"/>
      <c r="K15" s="264"/>
      <c r="L15" s="265"/>
      <c r="M15" s="265"/>
      <c r="N15" s="265"/>
      <c r="O15" s="265"/>
      <c r="P15" s="264"/>
      <c r="Q15" s="265"/>
      <c r="R15" s="264"/>
      <c r="S15" s="264"/>
      <c r="T15" s="264"/>
      <c r="U15" s="264"/>
      <c r="V15" s="266"/>
    </row>
    <row r="16" spans="1:23" s="19" customFormat="1">
      <c r="A16" s="951"/>
      <c r="B16" s="262" t="s">
        <v>458</v>
      </c>
      <c r="C16" s="264">
        <f>SUM('6. sz. melléklet'!F84)</f>
        <v>11119721</v>
      </c>
      <c r="D16" s="264"/>
      <c r="E16" s="264">
        <v>515463</v>
      </c>
      <c r="F16" s="264"/>
      <c r="G16" s="264"/>
      <c r="H16" s="264"/>
      <c r="I16" s="264"/>
      <c r="J16" s="264"/>
      <c r="K16" s="264"/>
      <c r="L16" s="265"/>
      <c r="M16" s="265"/>
      <c r="N16" s="265"/>
      <c r="O16" s="265"/>
      <c r="P16" s="264"/>
      <c r="Q16" s="265"/>
      <c r="R16" s="264"/>
      <c r="S16" s="264"/>
      <c r="T16" s="264"/>
      <c r="U16" s="264"/>
      <c r="V16" s="266"/>
    </row>
    <row r="17" spans="1:22">
      <c r="A17" s="268" t="s">
        <v>436</v>
      </c>
      <c r="B17" s="269" t="s">
        <v>437</v>
      </c>
      <c r="C17" s="270"/>
      <c r="D17" s="264">
        <v>581900</v>
      </c>
      <c r="E17" s="264">
        <v>384599</v>
      </c>
      <c r="F17" s="264"/>
      <c r="G17" s="264"/>
      <c r="H17" s="264"/>
      <c r="I17" s="264"/>
      <c r="J17" s="264"/>
      <c r="K17" s="264"/>
      <c r="L17" s="265">
        <v>500</v>
      </c>
      <c r="M17" s="265">
        <v>204801</v>
      </c>
      <c r="N17" s="265"/>
      <c r="O17" s="265"/>
      <c r="P17" s="264">
        <f>SUM('6. sz. melléklet'!D101)</f>
        <v>616740000</v>
      </c>
      <c r="Q17" s="264">
        <f>SUM('6. sz. melléklet'!E101)</f>
        <v>643255000</v>
      </c>
      <c r="R17" s="264">
        <f>SUM('6. sz. melléklet'!F101)</f>
        <v>643200719</v>
      </c>
      <c r="S17" s="264"/>
      <c r="T17" s="264"/>
      <c r="U17" s="264"/>
      <c r="V17" s="271"/>
    </row>
    <row r="18" spans="1:22">
      <c r="A18" s="268" t="s">
        <v>438</v>
      </c>
      <c r="B18" s="267" t="s">
        <v>439</v>
      </c>
      <c r="C18" s="272"/>
      <c r="D18" s="264">
        <v>442024</v>
      </c>
      <c r="E18" s="264">
        <v>118250</v>
      </c>
      <c r="F18" s="264"/>
      <c r="G18" s="264"/>
      <c r="H18" s="264">
        <v>11500</v>
      </c>
      <c r="I18" s="264">
        <v>253392</v>
      </c>
      <c r="J18" s="264"/>
      <c r="K18" s="264"/>
      <c r="L18" s="265"/>
      <c r="M18" s="265"/>
      <c r="N18" s="265"/>
      <c r="O18" s="265"/>
      <c r="P18" s="264">
        <f>SUM('6. sz. melléklet'!D102)</f>
        <v>474092000</v>
      </c>
      <c r="Q18" s="264">
        <f>SUM('6. sz. melléklet'!E102)</f>
        <v>451789408</v>
      </c>
      <c r="R18" s="264">
        <f>SUM('6. sz. melléklet'!F102)</f>
        <v>422608793</v>
      </c>
      <c r="S18" s="264"/>
      <c r="T18" s="264"/>
      <c r="U18" s="264"/>
      <c r="V18" s="271"/>
    </row>
    <row r="19" spans="1:22">
      <c r="A19" s="273" t="s">
        <v>459</v>
      </c>
      <c r="B19" s="267" t="s">
        <v>440</v>
      </c>
      <c r="C19" s="272"/>
      <c r="D19" s="264"/>
      <c r="E19" s="264">
        <v>8650</v>
      </c>
      <c r="F19" s="264"/>
      <c r="G19" s="264"/>
      <c r="H19" s="264"/>
      <c r="I19" s="264"/>
      <c r="J19" s="264"/>
      <c r="K19" s="264"/>
      <c r="L19" s="265"/>
      <c r="M19" s="265"/>
      <c r="N19" s="265"/>
      <c r="O19" s="265"/>
      <c r="P19" s="264">
        <f>SUM('6. sz. melléklet'!D107)</f>
        <v>25328000</v>
      </c>
      <c r="Q19" s="264">
        <f>SUM('6. sz. melléklet'!E107)</f>
        <v>9698000</v>
      </c>
      <c r="R19" s="264">
        <f>SUM('6. sz. melléklet'!F107)</f>
        <v>2942850</v>
      </c>
      <c r="S19" s="264"/>
      <c r="T19" s="264"/>
      <c r="U19" s="264"/>
      <c r="V19" s="271"/>
    </row>
    <row r="20" spans="1:22">
      <c r="A20" s="268" t="s">
        <v>441</v>
      </c>
      <c r="B20" s="269" t="s">
        <v>410</v>
      </c>
      <c r="C20" s="270"/>
      <c r="D20" s="264"/>
      <c r="E20" s="264"/>
      <c r="F20" s="264">
        <f>686733-2717-47096</f>
        <v>636920</v>
      </c>
      <c r="G20" s="264">
        <v>1007644</v>
      </c>
      <c r="H20" s="264"/>
      <c r="I20" s="264"/>
      <c r="J20" s="264">
        <f>42737+2717</f>
        <v>45454</v>
      </c>
      <c r="K20" s="264">
        <v>47821</v>
      </c>
      <c r="L20" s="265"/>
      <c r="M20" s="265"/>
      <c r="N20" s="265">
        <v>47096</v>
      </c>
      <c r="O20" s="265">
        <v>47096</v>
      </c>
      <c r="P20" s="264"/>
      <c r="Q20" s="265">
        <f t="shared" ref="Q20:Q24" si="0">SUM(E20,I20,M20)</f>
        <v>0</v>
      </c>
      <c r="R20" s="264"/>
      <c r="S20" s="265">
        <f>SUM('10. sz. melléklet'!B19)</f>
        <v>815816000</v>
      </c>
      <c r="T20" s="265">
        <f>SUM('10. sz. melléklet'!C19)</f>
        <v>1257965653</v>
      </c>
      <c r="U20" s="265">
        <f>SUM('10. sz. melléklet'!D19)</f>
        <v>1226188464</v>
      </c>
      <c r="V20" s="756"/>
    </row>
    <row r="21" spans="1:22">
      <c r="A21" s="268" t="s">
        <v>442</v>
      </c>
      <c r="B21" s="267" t="s">
        <v>411</v>
      </c>
      <c r="C21" s="272"/>
      <c r="D21" s="264"/>
      <c r="E21" s="264"/>
      <c r="F21" s="264">
        <f>181065-734-12716</f>
        <v>167615</v>
      </c>
      <c r="G21" s="264">
        <v>222862</v>
      </c>
      <c r="H21" s="264"/>
      <c r="I21" s="264"/>
      <c r="J21" s="264">
        <f>12220+734</f>
        <v>12954</v>
      </c>
      <c r="K21" s="264">
        <v>14238</v>
      </c>
      <c r="L21" s="265"/>
      <c r="M21" s="265"/>
      <c r="N21" s="265">
        <v>12716</v>
      </c>
      <c r="O21" s="265">
        <v>12716</v>
      </c>
      <c r="P21" s="264"/>
      <c r="Q21" s="265">
        <f t="shared" si="0"/>
        <v>0</v>
      </c>
      <c r="R21" s="264"/>
      <c r="S21" s="265">
        <f>SUM('10. sz. melléklet'!F19)</f>
        <v>186320000</v>
      </c>
      <c r="T21" s="265">
        <f>SUM('10. sz. melléklet'!G19)</f>
        <v>249519383</v>
      </c>
      <c r="U21" s="265">
        <f>SUM('10. sz. melléklet'!H19)</f>
        <v>243930010</v>
      </c>
      <c r="V21" s="756"/>
    </row>
    <row r="22" spans="1:22">
      <c r="A22" s="268" t="s">
        <v>443</v>
      </c>
      <c r="B22" s="267" t="s">
        <v>412</v>
      </c>
      <c r="C22" s="272"/>
      <c r="D22" s="274"/>
      <c r="E22" s="274"/>
      <c r="F22" s="274">
        <f>586352-22709-17667</f>
        <v>545976</v>
      </c>
      <c r="G22" s="274">
        <v>589248</v>
      </c>
      <c r="H22" s="274"/>
      <c r="I22" s="274"/>
      <c r="J22" s="274">
        <f>60987+22709</f>
        <v>83696</v>
      </c>
      <c r="K22" s="274">
        <v>178545</v>
      </c>
      <c r="L22" s="275"/>
      <c r="M22" s="275"/>
      <c r="N22" s="275">
        <v>17667</v>
      </c>
      <c r="O22" s="265">
        <v>17667</v>
      </c>
      <c r="P22" s="264"/>
      <c r="Q22" s="265">
        <f t="shared" si="0"/>
        <v>0</v>
      </c>
      <c r="R22" s="264"/>
      <c r="S22" s="265">
        <f>SUM('10. sz. melléklet'!J19)</f>
        <v>762711000</v>
      </c>
      <c r="T22" s="265">
        <f>SUM('10. sz. melléklet'!K19)</f>
        <v>1083607717</v>
      </c>
      <c r="U22" s="265">
        <f>SUM('10. sz. melléklet'!L19)</f>
        <v>772254521</v>
      </c>
      <c r="V22" s="756"/>
    </row>
    <row r="23" spans="1:22" ht="21.75" customHeight="1">
      <c r="A23" s="268" t="s">
        <v>444</v>
      </c>
      <c r="B23" s="269" t="s">
        <v>445</v>
      </c>
      <c r="C23" s="270"/>
      <c r="D23" s="274"/>
      <c r="E23" s="274"/>
      <c r="F23" s="274">
        <f>244297-94027</f>
        <v>150270</v>
      </c>
      <c r="G23" s="274">
        <v>38119</v>
      </c>
      <c r="H23" s="274"/>
      <c r="I23" s="274"/>
      <c r="J23" s="274">
        <v>5730</v>
      </c>
      <c r="K23" s="274">
        <v>5730</v>
      </c>
      <c r="L23" s="275"/>
      <c r="M23" s="275"/>
      <c r="N23" s="275">
        <v>94027</v>
      </c>
      <c r="O23" s="265">
        <v>127322</v>
      </c>
      <c r="P23" s="264"/>
      <c r="Q23" s="265">
        <f t="shared" si="0"/>
        <v>0</v>
      </c>
      <c r="R23" s="264"/>
      <c r="S23" s="265">
        <f>SUM('10. sz. melléklet'!N19)</f>
        <v>62595000</v>
      </c>
      <c r="T23" s="265">
        <f>SUM('10. sz. melléklet'!O19)</f>
        <v>75512000</v>
      </c>
      <c r="U23" s="265">
        <f>SUM('10. sz. melléklet'!P19)</f>
        <v>70673615</v>
      </c>
      <c r="V23" s="756"/>
    </row>
    <row r="24" spans="1:22" ht="15.75" thickBot="1">
      <c r="A24" s="268" t="s">
        <v>446</v>
      </c>
      <c r="B24" s="269" t="s">
        <v>414</v>
      </c>
      <c r="C24" s="270"/>
      <c r="D24" s="264"/>
      <c r="E24" s="264"/>
      <c r="F24" s="264">
        <v>718143</v>
      </c>
      <c r="G24" s="264">
        <v>857708</v>
      </c>
      <c r="H24" s="264"/>
      <c r="I24" s="264"/>
      <c r="J24" s="264">
        <v>115328</v>
      </c>
      <c r="K24" s="264">
        <v>156324</v>
      </c>
      <c r="L24" s="265"/>
      <c r="M24" s="265"/>
      <c r="N24" s="265"/>
      <c r="O24" s="265"/>
      <c r="P24" s="264"/>
      <c r="Q24" s="265">
        <f t="shared" si="0"/>
        <v>0</v>
      </c>
      <c r="R24" s="264"/>
      <c r="S24" s="265">
        <f>SUM('10. sz. melléklet'!R19)</f>
        <v>998451000</v>
      </c>
      <c r="T24" s="265">
        <f>SUM('10. sz. melléklet'!S19)</f>
        <v>3281695570</v>
      </c>
      <c r="U24" s="265">
        <f>SUM('10. sz. melléklet'!T19)</f>
        <v>990433002</v>
      </c>
      <c r="V24" s="756"/>
    </row>
    <row r="25" spans="1:22" ht="15.75" customHeight="1" thickBot="1">
      <c r="A25" s="947" t="s">
        <v>448</v>
      </c>
      <c r="B25" s="948"/>
      <c r="C25" s="278"/>
      <c r="D25" s="279" t="e">
        <f>SUM(D12+D17+D18+#REF!)</f>
        <v>#REF!</v>
      </c>
      <c r="E25" s="279" t="e">
        <f>SUM(E12,E16,E17,E18,E19,#REF!,#REF!)</f>
        <v>#REF!</v>
      </c>
      <c r="F25" s="279" t="e">
        <f>SUM(F20+F21+F22+F23+F24+#REF!)</f>
        <v>#REF!</v>
      </c>
      <c r="G25" s="279" t="e">
        <f>SUM(G20+G21+G22+G23+G24+#REF!)</f>
        <v>#REF!</v>
      </c>
      <c r="H25" s="279" t="e">
        <f>SUM(H12+H17+H18+#REF!)</f>
        <v>#REF!</v>
      </c>
      <c r="I25" s="279" t="e">
        <f>SUM(I12,I16,I17,I18,I19,#REF!,#REF!)</f>
        <v>#REF!</v>
      </c>
      <c r="J25" s="279" t="e">
        <f>SUM(J20+J21+J22+J23+J24+#REF!)</f>
        <v>#REF!</v>
      </c>
      <c r="K25" s="279" t="e">
        <f>SUM(K20+K21+K22+K23+K24+#REF!)</f>
        <v>#REF!</v>
      </c>
      <c r="L25" s="280" t="e">
        <f>SUM(L12+L17+L18+#REF!)</f>
        <v>#REF!</v>
      </c>
      <c r="M25" s="280" t="e">
        <f>SUM(M12+M17+M18+#REF!)</f>
        <v>#REF!</v>
      </c>
      <c r="N25" s="280" t="e">
        <f>SUM(N20+N21+N22+N23+N24+#REF!)</f>
        <v>#REF!</v>
      </c>
      <c r="O25" s="280" t="e">
        <f>SUM(O20+O21+O22+O23+O24+#REF!)</f>
        <v>#REF!</v>
      </c>
      <c r="P25" s="279">
        <f>SUM(P12:P24)</f>
        <v>2597031000</v>
      </c>
      <c r="Q25" s="279">
        <f t="shared" ref="Q25:U25" si="1">SUM(Q12:Q24)</f>
        <v>3737340430</v>
      </c>
      <c r="R25" s="279">
        <f t="shared" si="1"/>
        <v>3504512138</v>
      </c>
      <c r="S25" s="280">
        <f>SUM(S12:S24)</f>
        <v>2825893000</v>
      </c>
      <c r="T25" s="280">
        <f t="shared" si="1"/>
        <v>5948300323</v>
      </c>
      <c r="U25" s="280">
        <f t="shared" si="1"/>
        <v>3303479612</v>
      </c>
      <c r="V25" s="757">
        <f>R25-U25</f>
        <v>201032526</v>
      </c>
    </row>
    <row r="26" spans="1:22">
      <c r="A26" s="281"/>
      <c r="B26" s="282" t="s">
        <v>449</v>
      </c>
      <c r="C26" s="283"/>
      <c r="D26" s="260"/>
      <c r="E26" s="260"/>
      <c r="F26" s="260"/>
      <c r="G26" s="260"/>
      <c r="H26" s="260"/>
      <c r="I26" s="260"/>
      <c r="J26" s="260"/>
      <c r="K26" s="260"/>
      <c r="L26" s="259"/>
      <c r="M26" s="259"/>
      <c r="N26" s="259"/>
      <c r="O26" s="259"/>
      <c r="P26" s="260"/>
      <c r="Q26" s="259"/>
      <c r="R26" s="260"/>
      <c r="S26" s="259"/>
      <c r="T26" s="259"/>
      <c r="U26" s="259"/>
      <c r="V26" s="758"/>
    </row>
    <row r="27" spans="1:22">
      <c r="A27" s="268" t="s">
        <v>450</v>
      </c>
      <c r="B27" s="269" t="s">
        <v>338</v>
      </c>
      <c r="C27" s="270"/>
      <c r="D27" s="264"/>
      <c r="E27" s="264">
        <v>114682</v>
      </c>
      <c r="F27" s="264"/>
      <c r="G27" s="264"/>
      <c r="H27" s="264">
        <v>689612</v>
      </c>
      <c r="I27" s="264">
        <v>728638</v>
      </c>
      <c r="J27" s="264"/>
      <c r="K27" s="264"/>
      <c r="L27" s="265"/>
      <c r="M27" s="265"/>
      <c r="N27" s="265"/>
      <c r="O27" s="265"/>
      <c r="P27" s="264">
        <f>SUM('6. sz. melléklet'!D86)</f>
        <v>0</v>
      </c>
      <c r="Q27" s="264">
        <f>SUM('6. sz. melléklet'!E86)</f>
        <v>2573424924</v>
      </c>
      <c r="R27" s="264">
        <f>SUM('6. sz. melléklet'!F86)</f>
        <v>2548424970</v>
      </c>
      <c r="S27" s="265"/>
      <c r="T27" s="265"/>
      <c r="U27" s="265"/>
      <c r="V27" s="756"/>
    </row>
    <row r="28" spans="1:22">
      <c r="A28" s="268" t="s">
        <v>451</v>
      </c>
      <c r="B28" s="269" t="s">
        <v>341</v>
      </c>
      <c r="C28" s="270"/>
      <c r="D28" s="264"/>
      <c r="E28" s="264">
        <v>10300</v>
      </c>
      <c r="F28" s="264"/>
      <c r="G28" s="264"/>
      <c r="H28" s="264">
        <v>46545</v>
      </c>
      <c r="I28" s="264">
        <v>369</v>
      </c>
      <c r="J28" s="264"/>
      <c r="K28" s="264"/>
      <c r="L28" s="265"/>
      <c r="M28" s="265"/>
      <c r="N28" s="265"/>
      <c r="O28" s="265"/>
      <c r="P28" s="264">
        <f>SUM('6. sz. melléklet'!D106)</f>
        <v>115543000</v>
      </c>
      <c r="Q28" s="264">
        <f>SUM('6. sz. melléklet'!E106)</f>
        <v>104108196</v>
      </c>
      <c r="R28" s="264">
        <f>SUM('6. sz. melléklet'!F106)</f>
        <v>17807545</v>
      </c>
      <c r="S28" s="265"/>
      <c r="T28" s="265"/>
      <c r="U28" s="265"/>
      <c r="V28" s="756"/>
    </row>
    <row r="29" spans="1:22">
      <c r="A29" s="273" t="s">
        <v>460</v>
      </c>
      <c r="B29" s="269" t="s">
        <v>452</v>
      </c>
      <c r="C29" s="270"/>
      <c r="D29" s="264"/>
      <c r="E29" s="264">
        <v>2162</v>
      </c>
      <c r="F29" s="264"/>
      <c r="G29" s="264"/>
      <c r="H29" s="264"/>
      <c r="I29" s="264"/>
      <c r="J29" s="264"/>
      <c r="K29" s="264"/>
      <c r="L29" s="265"/>
      <c r="M29" s="265"/>
      <c r="N29" s="265"/>
      <c r="O29" s="265"/>
      <c r="P29" s="264">
        <f>SUM('6. sz. melléklet'!D108)</f>
        <v>16096000</v>
      </c>
      <c r="Q29" s="264">
        <f>SUM('6. sz. melléklet'!E108)</f>
        <v>2540000</v>
      </c>
      <c r="R29" s="264">
        <f>SUM('6. sz. melléklet'!F108)</f>
        <v>7230634</v>
      </c>
      <c r="S29" s="265"/>
      <c r="T29" s="265"/>
      <c r="U29" s="265"/>
      <c r="V29" s="756"/>
    </row>
    <row r="30" spans="1:22" ht="29.25" customHeight="1">
      <c r="A30" s="268" t="s">
        <v>453</v>
      </c>
      <c r="B30" s="269" t="s">
        <v>415</v>
      </c>
      <c r="C30" s="270"/>
      <c r="D30" s="264"/>
      <c r="E30" s="264"/>
      <c r="F30" s="264">
        <v>3015</v>
      </c>
      <c r="G30" s="264">
        <v>24463</v>
      </c>
      <c r="H30" s="264"/>
      <c r="I30" s="264"/>
      <c r="J30" s="264">
        <v>53998</v>
      </c>
      <c r="K30" s="264">
        <v>94305</v>
      </c>
      <c r="L30" s="265"/>
      <c r="M30" s="265"/>
      <c r="N30" s="265"/>
      <c r="O30" s="265"/>
      <c r="P30" s="264"/>
      <c r="Q30" s="264">
        <f t="shared" ref="Q30:Q32" si="2">SUM(E30,I30,M30)</f>
        <v>0</v>
      </c>
      <c r="R30" s="264"/>
      <c r="S30" s="265">
        <f>SUM('10. sz. melléklet'!V19)</f>
        <v>97800000</v>
      </c>
      <c r="T30" s="265">
        <f>SUM('10. sz. melléklet'!W19)</f>
        <v>541500713</v>
      </c>
      <c r="U30" s="265">
        <f>SUM('10. sz. melléklet'!X19)</f>
        <v>187436348</v>
      </c>
      <c r="V30" s="756"/>
    </row>
    <row r="31" spans="1:22">
      <c r="A31" s="268" t="s">
        <v>454</v>
      </c>
      <c r="B31" s="269" t="s">
        <v>416</v>
      </c>
      <c r="C31" s="270"/>
      <c r="D31" s="264"/>
      <c r="E31" s="264"/>
      <c r="F31" s="264">
        <v>147268</v>
      </c>
      <c r="G31" s="264">
        <v>170542</v>
      </c>
      <c r="H31" s="264"/>
      <c r="I31" s="264"/>
      <c r="J31" s="264">
        <v>718836</v>
      </c>
      <c r="K31" s="264">
        <v>716032</v>
      </c>
      <c r="L31" s="265"/>
      <c r="M31" s="265"/>
      <c r="N31" s="265"/>
      <c r="O31" s="265"/>
      <c r="P31" s="264"/>
      <c r="Q31" s="264">
        <f t="shared" si="2"/>
        <v>0</v>
      </c>
      <c r="R31" s="264"/>
      <c r="S31" s="265">
        <f>SUM('10. sz. melléklet'!AA19)</f>
        <v>44626000</v>
      </c>
      <c r="T31" s="265">
        <f>SUM('10. sz. melléklet'!AB19)</f>
        <v>262070060</v>
      </c>
      <c r="U31" s="265">
        <f>SUM('10. sz. melléklet'!AC19)</f>
        <v>121583856</v>
      </c>
      <c r="V31" s="756"/>
    </row>
    <row r="32" spans="1:22" ht="15.75" thickBot="1">
      <c r="A32" s="268" t="s">
        <v>455</v>
      </c>
      <c r="B32" s="269" t="s">
        <v>456</v>
      </c>
      <c r="C32" s="276"/>
      <c r="D32" s="264"/>
      <c r="E32" s="264"/>
      <c r="F32" s="264"/>
      <c r="G32" s="264">
        <v>2000</v>
      </c>
      <c r="H32" s="264"/>
      <c r="I32" s="264"/>
      <c r="J32" s="264">
        <v>71228</v>
      </c>
      <c r="K32" s="264">
        <v>103468</v>
      </c>
      <c r="L32" s="265"/>
      <c r="M32" s="265"/>
      <c r="N32" s="265"/>
      <c r="O32" s="265"/>
      <c r="P32" s="264"/>
      <c r="Q32" s="264">
        <f t="shared" si="2"/>
        <v>0</v>
      </c>
      <c r="R32" s="264"/>
      <c r="S32" s="265">
        <f>SUM('10. sz. melléklet'!AE19)</f>
        <v>35400000</v>
      </c>
      <c r="T32" s="265">
        <f>SUM('10. sz. melléklet'!AF19)</f>
        <v>36437500</v>
      </c>
      <c r="U32" s="265">
        <f>SUM('10. sz. melléklet'!AG19)</f>
        <v>31037500</v>
      </c>
      <c r="V32" s="759"/>
    </row>
    <row r="33" spans="1:22" ht="15.75" customHeight="1" thickBot="1">
      <c r="A33" s="941" t="s">
        <v>457</v>
      </c>
      <c r="B33" s="942"/>
      <c r="C33" s="278"/>
      <c r="D33" s="279">
        <f>SUM(D27:D28)</f>
        <v>0</v>
      </c>
      <c r="E33" s="279">
        <f>SUM(E27:E32)</f>
        <v>127144</v>
      </c>
      <c r="F33" s="279">
        <f>SUM(F30:F32)</f>
        <v>150283</v>
      </c>
      <c r="G33" s="279">
        <f>SUM(G30:G32)</f>
        <v>197005</v>
      </c>
      <c r="H33" s="279">
        <f>SUM(H27:H28)</f>
        <v>736157</v>
      </c>
      <c r="I33" s="279">
        <f>SUM(I27:I29)</f>
        <v>729007</v>
      </c>
      <c r="J33" s="279">
        <f>SUM(J30:J32)</f>
        <v>844062</v>
      </c>
      <c r="K33" s="279">
        <f>SUM(K30:K32)</f>
        <v>913805</v>
      </c>
      <c r="L33" s="280">
        <f>SUM(L27:L28)</f>
        <v>0</v>
      </c>
      <c r="M33" s="280">
        <f>SUM(M27:M28)</f>
        <v>0</v>
      </c>
      <c r="N33" s="280">
        <f>SUM(N30:N32)</f>
        <v>0</v>
      </c>
      <c r="O33" s="280">
        <f>SUM(O30:O32)</f>
        <v>0</v>
      </c>
      <c r="P33" s="279">
        <f>SUM(P27:P32)</f>
        <v>131639000</v>
      </c>
      <c r="Q33" s="279">
        <f t="shared" ref="Q33:R33" si="3">SUM(Q27:Q32)</f>
        <v>2680073120</v>
      </c>
      <c r="R33" s="279">
        <f t="shared" si="3"/>
        <v>2573463149</v>
      </c>
      <c r="S33" s="760">
        <f>SUM(S30:S32)</f>
        <v>177826000</v>
      </c>
      <c r="T33" s="760">
        <f>SUM(T30:T32)</f>
        <v>840008273</v>
      </c>
      <c r="U33" s="760">
        <f>SUM(U30:U32)</f>
        <v>340057704</v>
      </c>
      <c r="V33" s="757">
        <f>R33-U33</f>
        <v>2233405445</v>
      </c>
    </row>
    <row r="34" spans="1:22" s="422" customFormat="1" ht="15" customHeight="1" thickBot="1">
      <c r="A34" s="941" t="s">
        <v>739</v>
      </c>
      <c r="B34" s="942"/>
      <c r="C34" s="278"/>
      <c r="D34" s="279"/>
      <c r="E34" s="279"/>
      <c r="F34" s="279"/>
      <c r="G34" s="279"/>
      <c r="H34" s="279"/>
      <c r="I34" s="279"/>
      <c r="J34" s="279"/>
      <c r="K34" s="279"/>
      <c r="L34" s="280"/>
      <c r="M34" s="280"/>
      <c r="N34" s="280"/>
      <c r="O34" s="280"/>
      <c r="P34" s="279"/>
      <c r="Q34" s="279"/>
      <c r="R34" s="279"/>
      <c r="S34" s="280"/>
      <c r="T34" s="280"/>
      <c r="U34" s="280"/>
      <c r="V34" s="757"/>
    </row>
    <row r="35" spans="1:22" s="422" customFormat="1">
      <c r="A35" s="594" t="s">
        <v>447</v>
      </c>
      <c r="B35" s="615" t="s">
        <v>418</v>
      </c>
      <c r="C35" s="616"/>
      <c r="D35" s="617"/>
      <c r="E35" s="617"/>
      <c r="F35" s="617">
        <f>686733-2717-47096</f>
        <v>636920</v>
      </c>
      <c r="G35" s="617">
        <v>1007644</v>
      </c>
      <c r="H35" s="617"/>
      <c r="I35" s="617"/>
      <c r="J35" s="617">
        <f>42737+2717</f>
        <v>45454</v>
      </c>
      <c r="K35" s="617">
        <v>47821</v>
      </c>
      <c r="L35" s="618"/>
      <c r="M35" s="618"/>
      <c r="N35" s="618">
        <v>47096</v>
      </c>
      <c r="O35" s="618">
        <v>47096</v>
      </c>
      <c r="P35" s="617"/>
      <c r="Q35" s="618">
        <f t="shared" ref="Q35" si="4">SUM(E35,I35,M35)</f>
        <v>0</v>
      </c>
      <c r="R35" s="617"/>
      <c r="S35" s="618">
        <f>SUM('10. sz. melléklet'!AI18)</f>
        <v>52044000</v>
      </c>
      <c r="T35" s="618">
        <f>SUM('10. sz. melléklet'!AJ18)</f>
        <v>52044365</v>
      </c>
      <c r="U35" s="618">
        <f>SUM('10. sz. melléklet'!AK18)</f>
        <v>52044365</v>
      </c>
      <c r="V35" s="758"/>
    </row>
    <row r="36" spans="1:22" s="422" customFormat="1" ht="15.75" thickBot="1">
      <c r="A36" s="593" t="s">
        <v>335</v>
      </c>
      <c r="B36" s="619" t="s">
        <v>344</v>
      </c>
      <c r="C36" s="620"/>
      <c r="D36" s="277"/>
      <c r="E36" s="277"/>
      <c r="F36" s="277">
        <f>181065-734-12716</f>
        <v>167615</v>
      </c>
      <c r="G36" s="277">
        <v>222862</v>
      </c>
      <c r="H36" s="277"/>
      <c r="I36" s="277"/>
      <c r="J36" s="277">
        <f>12220+734</f>
        <v>12954</v>
      </c>
      <c r="K36" s="277">
        <v>14238</v>
      </c>
      <c r="L36" s="621"/>
      <c r="M36" s="621"/>
      <c r="N36" s="621">
        <v>12716</v>
      </c>
      <c r="O36" s="621">
        <v>12716</v>
      </c>
      <c r="P36" s="277">
        <f>SUM('6. sz. melléklet'!D113)</f>
        <v>327093000</v>
      </c>
      <c r="Q36" s="277">
        <f>SUM('6. sz. melléklet'!E113)</f>
        <v>422939411</v>
      </c>
      <c r="R36" s="277">
        <f>SUM('6. sz. melléklet'!F113)</f>
        <v>481378592</v>
      </c>
      <c r="S36" s="621"/>
      <c r="T36" s="621"/>
      <c r="U36" s="621"/>
      <c r="V36" s="759"/>
    </row>
    <row r="37" spans="1:22" s="614" customFormat="1" ht="15.75" customHeight="1" thickBot="1">
      <c r="A37" s="941" t="s">
        <v>740</v>
      </c>
      <c r="B37" s="942"/>
      <c r="C37" s="622"/>
      <c r="D37" s="279"/>
      <c r="E37" s="279"/>
      <c r="F37" s="279"/>
      <c r="G37" s="279"/>
      <c r="H37" s="279"/>
      <c r="I37" s="279"/>
      <c r="J37" s="279"/>
      <c r="K37" s="279"/>
      <c r="L37" s="280"/>
      <c r="M37" s="280"/>
      <c r="N37" s="280"/>
      <c r="O37" s="280"/>
      <c r="P37" s="279">
        <f>SUM(P35:P36)</f>
        <v>327093000</v>
      </c>
      <c r="Q37" s="279">
        <f t="shared" ref="Q37:U37" si="5">SUM(Q35:Q36)</f>
        <v>422939411</v>
      </c>
      <c r="R37" s="279">
        <f t="shared" si="5"/>
        <v>481378592</v>
      </c>
      <c r="S37" s="279">
        <f t="shared" si="5"/>
        <v>52044000</v>
      </c>
      <c r="T37" s="279">
        <f t="shared" si="5"/>
        <v>52044365</v>
      </c>
      <c r="U37" s="279">
        <f t="shared" si="5"/>
        <v>52044365</v>
      </c>
      <c r="V37" s="757">
        <f>R37-U37</f>
        <v>429334227</v>
      </c>
    </row>
    <row r="38" spans="1:22" ht="15.75" customHeight="1" thickBot="1">
      <c r="A38" s="941" t="s">
        <v>371</v>
      </c>
      <c r="B38" s="942"/>
      <c r="C38" s="278"/>
      <c r="D38" s="279" t="e">
        <f t="shared" ref="D38:O38" si="6">D25+D33</f>
        <v>#REF!</v>
      </c>
      <c r="E38" s="279" t="e">
        <f t="shared" si="6"/>
        <v>#REF!</v>
      </c>
      <c r="F38" s="279" t="e">
        <f t="shared" si="6"/>
        <v>#REF!</v>
      </c>
      <c r="G38" s="279" t="e">
        <f t="shared" si="6"/>
        <v>#REF!</v>
      </c>
      <c r="H38" s="279" t="e">
        <f t="shared" si="6"/>
        <v>#REF!</v>
      </c>
      <c r="I38" s="279" t="e">
        <f t="shared" si="6"/>
        <v>#REF!</v>
      </c>
      <c r="J38" s="279" t="e">
        <f t="shared" si="6"/>
        <v>#REF!</v>
      </c>
      <c r="K38" s="279" t="e">
        <f t="shared" si="6"/>
        <v>#REF!</v>
      </c>
      <c r="L38" s="280" t="e">
        <f t="shared" si="6"/>
        <v>#REF!</v>
      </c>
      <c r="M38" s="279" t="e">
        <f t="shared" si="6"/>
        <v>#REF!</v>
      </c>
      <c r="N38" s="280" t="e">
        <f t="shared" si="6"/>
        <v>#REF!</v>
      </c>
      <c r="O38" s="279" t="e">
        <f t="shared" si="6"/>
        <v>#REF!</v>
      </c>
      <c r="P38" s="279">
        <f>P25+P33+P37</f>
        <v>3055763000</v>
      </c>
      <c r="Q38" s="279">
        <f t="shared" ref="Q38:U38" si="7">Q25+Q33+Q37</f>
        <v>6840352961</v>
      </c>
      <c r="R38" s="279">
        <f t="shared" si="7"/>
        <v>6559353879</v>
      </c>
      <c r="S38" s="279">
        <f t="shared" si="7"/>
        <v>3055763000</v>
      </c>
      <c r="T38" s="279">
        <f t="shared" si="7"/>
        <v>6840352961</v>
      </c>
      <c r="U38" s="279">
        <f t="shared" si="7"/>
        <v>3695581681</v>
      </c>
      <c r="V38" s="279">
        <f>V25+V33+V37</f>
        <v>2863772198</v>
      </c>
    </row>
    <row r="39" spans="1:22">
      <c r="S39" s="25"/>
      <c r="T39" s="25"/>
      <c r="U39" s="25"/>
      <c r="V39" s="25"/>
    </row>
    <row r="40" spans="1:22">
      <c r="S40" s="25"/>
      <c r="T40" s="25"/>
      <c r="U40" s="25"/>
      <c r="V40" s="761"/>
    </row>
    <row r="41" spans="1:22">
      <c r="S41" s="25"/>
      <c r="T41" s="25"/>
      <c r="U41" s="25"/>
      <c r="V41" s="25"/>
    </row>
  </sheetData>
  <mergeCells count="24">
    <mergeCell ref="B3:W3"/>
    <mergeCell ref="A4:W4"/>
    <mergeCell ref="A7:V7"/>
    <mergeCell ref="A8:A10"/>
    <mergeCell ref="B8:C10"/>
    <mergeCell ref="D8:G8"/>
    <mergeCell ref="H8:K8"/>
    <mergeCell ref="L8:O8"/>
    <mergeCell ref="P8:U8"/>
    <mergeCell ref="V8:V10"/>
    <mergeCell ref="P9:R9"/>
    <mergeCell ref="S9:U9"/>
    <mergeCell ref="H9:I9"/>
    <mergeCell ref="N9:O9"/>
    <mergeCell ref="A34:B34"/>
    <mergeCell ref="A37:B37"/>
    <mergeCell ref="A38:B38"/>
    <mergeCell ref="J9:K9"/>
    <mergeCell ref="L9:M9"/>
    <mergeCell ref="A25:B25"/>
    <mergeCell ref="A33:B33"/>
    <mergeCell ref="A12:A16"/>
    <mergeCell ref="D9:E9"/>
    <mergeCell ref="F9:G9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view="pageBreakPreview" zoomScale="112" zoomScaleSheetLayoutView="112" workbookViewId="0"/>
  </sheetViews>
  <sheetFormatPr defaultRowHeight="12.75"/>
  <cols>
    <col min="1" max="1" width="77.42578125" style="20" customWidth="1"/>
    <col min="2" max="4" width="17.140625" style="20" customWidth="1"/>
    <col min="5" max="37" width="9.140625" style="25"/>
    <col min="38" max="256" width="9.140625" style="20"/>
    <col min="257" max="257" width="72" style="20" customWidth="1"/>
    <col min="258" max="260" width="17.140625" style="20" customWidth="1"/>
    <col min="261" max="512" width="9.140625" style="20"/>
    <col min="513" max="513" width="72" style="20" customWidth="1"/>
    <col min="514" max="516" width="17.140625" style="20" customWidth="1"/>
    <col min="517" max="768" width="9.140625" style="20"/>
    <col min="769" max="769" width="72" style="20" customWidth="1"/>
    <col min="770" max="772" width="17.140625" style="20" customWidth="1"/>
    <col min="773" max="1024" width="9.140625" style="20"/>
    <col min="1025" max="1025" width="72" style="20" customWidth="1"/>
    <col min="1026" max="1028" width="17.140625" style="20" customWidth="1"/>
    <col min="1029" max="1280" width="9.140625" style="20"/>
    <col min="1281" max="1281" width="72" style="20" customWidth="1"/>
    <col min="1282" max="1284" width="17.140625" style="20" customWidth="1"/>
    <col min="1285" max="1536" width="9.140625" style="20"/>
    <col min="1537" max="1537" width="72" style="20" customWidth="1"/>
    <col min="1538" max="1540" width="17.140625" style="20" customWidth="1"/>
    <col min="1541" max="1792" width="9.140625" style="20"/>
    <col min="1793" max="1793" width="72" style="20" customWidth="1"/>
    <col min="1794" max="1796" width="17.140625" style="20" customWidth="1"/>
    <col min="1797" max="2048" width="9.140625" style="20"/>
    <col min="2049" max="2049" width="72" style="20" customWidth="1"/>
    <col min="2050" max="2052" width="17.140625" style="20" customWidth="1"/>
    <col min="2053" max="2304" width="9.140625" style="20"/>
    <col min="2305" max="2305" width="72" style="20" customWidth="1"/>
    <col min="2306" max="2308" width="17.140625" style="20" customWidth="1"/>
    <col min="2309" max="2560" width="9.140625" style="20"/>
    <col min="2561" max="2561" width="72" style="20" customWidth="1"/>
    <col min="2562" max="2564" width="17.140625" style="20" customWidth="1"/>
    <col min="2565" max="2816" width="9.140625" style="20"/>
    <col min="2817" max="2817" width="72" style="20" customWidth="1"/>
    <col min="2818" max="2820" width="17.140625" style="20" customWidth="1"/>
    <col min="2821" max="3072" width="9.140625" style="20"/>
    <col min="3073" max="3073" width="72" style="20" customWidth="1"/>
    <col min="3074" max="3076" width="17.140625" style="20" customWidth="1"/>
    <col min="3077" max="3328" width="9.140625" style="20"/>
    <col min="3329" max="3329" width="72" style="20" customWidth="1"/>
    <col min="3330" max="3332" width="17.140625" style="20" customWidth="1"/>
    <col min="3333" max="3584" width="9.140625" style="20"/>
    <col min="3585" max="3585" width="72" style="20" customWidth="1"/>
    <col min="3586" max="3588" width="17.140625" style="20" customWidth="1"/>
    <col min="3589" max="3840" width="9.140625" style="20"/>
    <col min="3841" max="3841" width="72" style="20" customWidth="1"/>
    <col min="3842" max="3844" width="17.140625" style="20" customWidth="1"/>
    <col min="3845" max="4096" width="9.140625" style="20"/>
    <col min="4097" max="4097" width="72" style="20" customWidth="1"/>
    <col min="4098" max="4100" width="17.140625" style="20" customWidth="1"/>
    <col min="4101" max="4352" width="9.140625" style="20"/>
    <col min="4353" max="4353" width="72" style="20" customWidth="1"/>
    <col min="4354" max="4356" width="17.140625" style="20" customWidth="1"/>
    <col min="4357" max="4608" width="9.140625" style="20"/>
    <col min="4609" max="4609" width="72" style="20" customWidth="1"/>
    <col min="4610" max="4612" width="17.140625" style="20" customWidth="1"/>
    <col min="4613" max="4864" width="9.140625" style="20"/>
    <col min="4865" max="4865" width="72" style="20" customWidth="1"/>
    <col min="4866" max="4868" width="17.140625" style="20" customWidth="1"/>
    <col min="4869" max="5120" width="9.140625" style="20"/>
    <col min="5121" max="5121" width="72" style="20" customWidth="1"/>
    <col min="5122" max="5124" width="17.140625" style="20" customWidth="1"/>
    <col min="5125" max="5376" width="9.140625" style="20"/>
    <col min="5377" max="5377" width="72" style="20" customWidth="1"/>
    <col min="5378" max="5380" width="17.140625" style="20" customWidth="1"/>
    <col min="5381" max="5632" width="9.140625" style="20"/>
    <col min="5633" max="5633" width="72" style="20" customWidth="1"/>
    <col min="5634" max="5636" width="17.140625" style="20" customWidth="1"/>
    <col min="5637" max="5888" width="9.140625" style="20"/>
    <col min="5889" max="5889" width="72" style="20" customWidth="1"/>
    <col min="5890" max="5892" width="17.140625" style="20" customWidth="1"/>
    <col min="5893" max="6144" width="9.140625" style="20"/>
    <col min="6145" max="6145" width="72" style="20" customWidth="1"/>
    <col min="6146" max="6148" width="17.140625" style="20" customWidth="1"/>
    <col min="6149" max="6400" width="9.140625" style="20"/>
    <col min="6401" max="6401" width="72" style="20" customWidth="1"/>
    <col min="6402" max="6404" width="17.140625" style="20" customWidth="1"/>
    <col min="6405" max="6656" width="9.140625" style="20"/>
    <col min="6657" max="6657" width="72" style="20" customWidth="1"/>
    <col min="6658" max="6660" width="17.140625" style="20" customWidth="1"/>
    <col min="6661" max="6912" width="9.140625" style="20"/>
    <col min="6913" max="6913" width="72" style="20" customWidth="1"/>
    <col min="6914" max="6916" width="17.140625" style="20" customWidth="1"/>
    <col min="6917" max="7168" width="9.140625" style="20"/>
    <col min="7169" max="7169" width="72" style="20" customWidth="1"/>
    <col min="7170" max="7172" width="17.140625" style="20" customWidth="1"/>
    <col min="7173" max="7424" width="9.140625" style="20"/>
    <col min="7425" max="7425" width="72" style="20" customWidth="1"/>
    <col min="7426" max="7428" width="17.140625" style="20" customWidth="1"/>
    <col min="7429" max="7680" width="9.140625" style="20"/>
    <col min="7681" max="7681" width="72" style="20" customWidth="1"/>
    <col min="7682" max="7684" width="17.140625" style="20" customWidth="1"/>
    <col min="7685" max="7936" width="9.140625" style="20"/>
    <col min="7937" max="7937" width="72" style="20" customWidth="1"/>
    <col min="7938" max="7940" width="17.140625" style="20" customWidth="1"/>
    <col min="7941" max="8192" width="9.140625" style="20"/>
    <col min="8193" max="8193" width="72" style="20" customWidth="1"/>
    <col min="8194" max="8196" width="17.140625" style="20" customWidth="1"/>
    <col min="8197" max="8448" width="9.140625" style="20"/>
    <col min="8449" max="8449" width="72" style="20" customWidth="1"/>
    <col min="8450" max="8452" width="17.140625" style="20" customWidth="1"/>
    <col min="8453" max="8704" width="9.140625" style="20"/>
    <col min="8705" max="8705" width="72" style="20" customWidth="1"/>
    <col min="8706" max="8708" width="17.140625" style="20" customWidth="1"/>
    <col min="8709" max="8960" width="9.140625" style="20"/>
    <col min="8961" max="8961" width="72" style="20" customWidth="1"/>
    <col min="8962" max="8964" width="17.140625" style="20" customWidth="1"/>
    <col min="8965" max="9216" width="9.140625" style="20"/>
    <col min="9217" max="9217" width="72" style="20" customWidth="1"/>
    <col min="9218" max="9220" width="17.140625" style="20" customWidth="1"/>
    <col min="9221" max="9472" width="9.140625" style="20"/>
    <col min="9473" max="9473" width="72" style="20" customWidth="1"/>
    <col min="9474" max="9476" width="17.140625" style="20" customWidth="1"/>
    <col min="9477" max="9728" width="9.140625" style="20"/>
    <col min="9729" max="9729" width="72" style="20" customWidth="1"/>
    <col min="9730" max="9732" width="17.140625" style="20" customWidth="1"/>
    <col min="9733" max="9984" width="9.140625" style="20"/>
    <col min="9985" max="9985" width="72" style="20" customWidth="1"/>
    <col min="9986" max="9988" width="17.140625" style="20" customWidth="1"/>
    <col min="9989" max="10240" width="9.140625" style="20"/>
    <col min="10241" max="10241" width="72" style="20" customWidth="1"/>
    <col min="10242" max="10244" width="17.140625" style="20" customWidth="1"/>
    <col min="10245" max="10496" width="9.140625" style="20"/>
    <col min="10497" max="10497" width="72" style="20" customWidth="1"/>
    <col min="10498" max="10500" width="17.140625" style="20" customWidth="1"/>
    <col min="10501" max="10752" width="9.140625" style="20"/>
    <col min="10753" max="10753" width="72" style="20" customWidth="1"/>
    <col min="10754" max="10756" width="17.140625" style="20" customWidth="1"/>
    <col min="10757" max="11008" width="9.140625" style="20"/>
    <col min="11009" max="11009" width="72" style="20" customWidth="1"/>
    <col min="11010" max="11012" width="17.140625" style="20" customWidth="1"/>
    <col min="11013" max="11264" width="9.140625" style="20"/>
    <col min="11265" max="11265" width="72" style="20" customWidth="1"/>
    <col min="11266" max="11268" width="17.140625" style="20" customWidth="1"/>
    <col min="11269" max="11520" width="9.140625" style="20"/>
    <col min="11521" max="11521" width="72" style="20" customWidth="1"/>
    <col min="11522" max="11524" width="17.140625" style="20" customWidth="1"/>
    <col min="11525" max="11776" width="9.140625" style="20"/>
    <col min="11777" max="11777" width="72" style="20" customWidth="1"/>
    <col min="11778" max="11780" width="17.140625" style="20" customWidth="1"/>
    <col min="11781" max="12032" width="9.140625" style="20"/>
    <col min="12033" max="12033" width="72" style="20" customWidth="1"/>
    <col min="12034" max="12036" width="17.140625" style="20" customWidth="1"/>
    <col min="12037" max="12288" width="9.140625" style="20"/>
    <col min="12289" max="12289" width="72" style="20" customWidth="1"/>
    <col min="12290" max="12292" width="17.140625" style="20" customWidth="1"/>
    <col min="12293" max="12544" width="9.140625" style="20"/>
    <col min="12545" max="12545" width="72" style="20" customWidth="1"/>
    <col min="12546" max="12548" width="17.140625" style="20" customWidth="1"/>
    <col min="12549" max="12800" width="9.140625" style="20"/>
    <col min="12801" max="12801" width="72" style="20" customWidth="1"/>
    <col min="12802" max="12804" width="17.140625" style="20" customWidth="1"/>
    <col min="12805" max="13056" width="9.140625" style="20"/>
    <col min="13057" max="13057" width="72" style="20" customWidth="1"/>
    <col min="13058" max="13060" width="17.140625" style="20" customWidth="1"/>
    <col min="13061" max="13312" width="9.140625" style="20"/>
    <col min="13313" max="13313" width="72" style="20" customWidth="1"/>
    <col min="13314" max="13316" width="17.140625" style="20" customWidth="1"/>
    <col min="13317" max="13568" width="9.140625" style="20"/>
    <col min="13569" max="13569" width="72" style="20" customWidth="1"/>
    <col min="13570" max="13572" width="17.140625" style="20" customWidth="1"/>
    <col min="13573" max="13824" width="9.140625" style="20"/>
    <col min="13825" max="13825" width="72" style="20" customWidth="1"/>
    <col min="13826" max="13828" width="17.140625" style="20" customWidth="1"/>
    <col min="13829" max="14080" width="9.140625" style="20"/>
    <col min="14081" max="14081" width="72" style="20" customWidth="1"/>
    <col min="14082" max="14084" width="17.140625" style="20" customWidth="1"/>
    <col min="14085" max="14336" width="9.140625" style="20"/>
    <col min="14337" max="14337" width="72" style="20" customWidth="1"/>
    <col min="14338" max="14340" width="17.140625" style="20" customWidth="1"/>
    <col min="14341" max="14592" width="9.140625" style="20"/>
    <col min="14593" max="14593" width="72" style="20" customWidth="1"/>
    <col min="14594" max="14596" width="17.140625" style="20" customWidth="1"/>
    <col min="14597" max="14848" width="9.140625" style="20"/>
    <col min="14849" max="14849" width="72" style="20" customWidth="1"/>
    <col min="14850" max="14852" width="17.140625" style="20" customWidth="1"/>
    <col min="14853" max="15104" width="9.140625" style="20"/>
    <col min="15105" max="15105" width="72" style="20" customWidth="1"/>
    <col min="15106" max="15108" width="17.140625" style="20" customWidth="1"/>
    <col min="15109" max="15360" width="9.140625" style="20"/>
    <col min="15361" max="15361" width="72" style="20" customWidth="1"/>
    <col min="15362" max="15364" width="17.140625" style="20" customWidth="1"/>
    <col min="15365" max="15616" width="9.140625" style="20"/>
    <col min="15617" max="15617" width="72" style="20" customWidth="1"/>
    <col min="15618" max="15620" width="17.140625" style="20" customWidth="1"/>
    <col min="15621" max="15872" width="9.140625" style="20"/>
    <col min="15873" max="15873" width="72" style="20" customWidth="1"/>
    <col min="15874" max="15876" width="17.140625" style="20" customWidth="1"/>
    <col min="15877" max="16128" width="9.140625" style="20"/>
    <col min="16129" max="16129" width="72" style="20" customWidth="1"/>
    <col min="16130" max="16132" width="17.140625" style="20" customWidth="1"/>
    <col min="16133" max="16384" width="9.140625" style="20"/>
  </cols>
  <sheetData>
    <row r="1" spans="1:37" s="1" customFormat="1" ht="15.75">
      <c r="A1" s="1" t="s">
        <v>958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" customFormat="1" ht="15.7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1" customFormat="1" ht="15.7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2" customFormat="1" ht="16.5">
      <c r="A4" s="786" t="s">
        <v>727</v>
      </c>
      <c r="B4" s="786"/>
      <c r="C4" s="786"/>
      <c r="D4" s="78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5.75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" customFormat="1" ht="15.75">
      <c r="D6" s="4" t="s">
        <v>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18" customFormat="1" ht="31.5">
      <c r="A7" s="15" t="s">
        <v>0</v>
      </c>
      <c r="B7" s="15" t="s">
        <v>1</v>
      </c>
      <c r="C7" s="15" t="s">
        <v>2</v>
      </c>
      <c r="D7" s="1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19" customFormat="1" ht="21.75" customHeight="1">
      <c r="A8" s="10" t="s">
        <v>68</v>
      </c>
      <c r="B8" s="11">
        <v>612740687</v>
      </c>
      <c r="C8" s="11">
        <v>0</v>
      </c>
      <c r="D8" s="495">
        <v>612740687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9" customFormat="1" ht="21.75" customHeight="1">
      <c r="A9" s="10" t="s">
        <v>69</v>
      </c>
      <c r="B9" s="11">
        <v>112673994</v>
      </c>
      <c r="C9" s="11">
        <v>0</v>
      </c>
      <c r="D9" s="495">
        <v>112673994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9" customFormat="1" ht="21.75" customHeight="1">
      <c r="A10" s="10" t="s">
        <v>70</v>
      </c>
      <c r="B10" s="11">
        <v>198857875</v>
      </c>
      <c r="C10" s="11">
        <v>0</v>
      </c>
      <c r="D10" s="495">
        <v>198857875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9" customFormat="1" ht="21.75" customHeight="1">
      <c r="A11" s="13" t="s">
        <v>71</v>
      </c>
      <c r="B11" s="14">
        <f>SUM(B8:B10)</f>
        <v>924272556</v>
      </c>
      <c r="C11" s="496">
        <f t="shared" ref="C11" si="0">SUM(C8:C10)</f>
        <v>0</v>
      </c>
      <c r="D11" s="496">
        <f>SUM(D8:D10)</f>
        <v>924272556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9" customFormat="1" ht="21.75" customHeight="1">
      <c r="A12" s="10" t="s">
        <v>78</v>
      </c>
      <c r="B12" s="11">
        <v>-7379878</v>
      </c>
      <c r="C12" s="11">
        <v>0</v>
      </c>
      <c r="D12" s="495">
        <v>-7379878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9" customFormat="1" ht="21.75" customHeight="1">
      <c r="A13" s="10" t="s">
        <v>79</v>
      </c>
      <c r="B13" s="11">
        <v>16712997</v>
      </c>
      <c r="C13" s="11">
        <v>0</v>
      </c>
      <c r="D13" s="495">
        <v>16712997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9" customFormat="1" ht="21.75" customHeight="1">
      <c r="A14" s="13" t="s">
        <v>92</v>
      </c>
      <c r="B14" s="14">
        <f>SUM(B12:B13)</f>
        <v>9333119</v>
      </c>
      <c r="C14" s="496">
        <f t="shared" ref="C14" si="1">SUM(C12:C13)</f>
        <v>0</v>
      </c>
      <c r="D14" s="496">
        <f>SUM(D12:D13)</f>
        <v>9333119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9" customFormat="1" ht="21.75" customHeight="1">
      <c r="A15" s="10" t="s">
        <v>72</v>
      </c>
      <c r="B15" s="11">
        <v>3099907522</v>
      </c>
      <c r="C15" s="11">
        <v>-1306299585</v>
      </c>
      <c r="D15" s="495">
        <f>SUM(B15:C15)</f>
        <v>1793607937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9" customFormat="1" ht="21.75" customHeight="1">
      <c r="A16" s="10" t="s">
        <v>73</v>
      </c>
      <c r="B16" s="11">
        <v>581026952</v>
      </c>
      <c r="C16" s="11">
        <v>0</v>
      </c>
      <c r="D16" s="495">
        <v>581026952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9" customFormat="1" ht="21.75" customHeight="1">
      <c r="A17" s="10" t="s">
        <v>80</v>
      </c>
      <c r="B17" s="11">
        <v>120186603</v>
      </c>
      <c r="C17" s="11">
        <v>0</v>
      </c>
      <c r="D17" s="495">
        <v>120186603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9" customFormat="1" ht="21.75" customHeight="1">
      <c r="A18" s="10" t="s">
        <v>81</v>
      </c>
      <c r="B18" s="11">
        <v>88686893</v>
      </c>
      <c r="C18" s="11">
        <v>0</v>
      </c>
      <c r="D18" s="495">
        <v>88686893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9" customFormat="1" ht="21.75" customHeight="1">
      <c r="A19" s="13" t="s">
        <v>74</v>
      </c>
      <c r="B19" s="14">
        <f>SUM(B15:B18)</f>
        <v>3889807970</v>
      </c>
      <c r="C19" s="496">
        <f>SUM(C15:C18)</f>
        <v>-1306299585</v>
      </c>
      <c r="D19" s="496">
        <f>SUM(D15:D18)</f>
        <v>2583508385</v>
      </c>
      <c r="E19" s="49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9" customFormat="1" ht="21.75" customHeight="1">
      <c r="A20" s="10" t="s">
        <v>82</v>
      </c>
      <c r="B20" s="11">
        <v>108540882</v>
      </c>
      <c r="C20" s="11">
        <v>0</v>
      </c>
      <c r="D20" s="495">
        <v>108540882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9" customFormat="1" ht="21.75" customHeight="1">
      <c r="A21" s="10" t="s">
        <v>83</v>
      </c>
      <c r="B21" s="11">
        <v>459149278</v>
      </c>
      <c r="C21" s="11">
        <v>0</v>
      </c>
      <c r="D21" s="495">
        <v>459149278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9" customFormat="1" ht="21.75" customHeight="1">
      <c r="A22" s="10" t="s">
        <v>84</v>
      </c>
      <c r="B22" s="11">
        <v>194000</v>
      </c>
      <c r="C22" s="11">
        <v>0</v>
      </c>
      <c r="D22" s="495">
        <v>194000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9" customFormat="1" ht="21.75" customHeight="1">
      <c r="A23" s="10" t="s">
        <v>85</v>
      </c>
      <c r="B23" s="11">
        <v>5456370</v>
      </c>
      <c r="C23" s="11">
        <v>0</v>
      </c>
      <c r="D23" s="495">
        <v>5456370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9" customFormat="1" ht="21.75" customHeight="1">
      <c r="A24" s="13" t="s">
        <v>75</v>
      </c>
      <c r="B24" s="14">
        <f>SUM(B20:B23)</f>
        <v>573340530</v>
      </c>
      <c r="C24" s="14">
        <v>0</v>
      </c>
      <c r="D24" s="496">
        <f>SUM(D20:D23)</f>
        <v>573340530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9" customFormat="1" ht="21.75" customHeight="1">
      <c r="A25" s="10" t="s">
        <v>86</v>
      </c>
      <c r="B25" s="11">
        <v>1102956172</v>
      </c>
      <c r="C25" s="11">
        <v>0</v>
      </c>
      <c r="D25" s="495">
        <v>1102956172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9" customFormat="1" ht="21.75" customHeight="1">
      <c r="A26" s="10" t="s">
        <v>87</v>
      </c>
      <c r="B26" s="11">
        <v>134504137</v>
      </c>
      <c r="C26" s="11">
        <v>0</v>
      </c>
      <c r="D26" s="495">
        <v>134504137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9" customFormat="1" ht="21.75" customHeight="1">
      <c r="A27" s="10" t="s">
        <v>88</v>
      </c>
      <c r="B27" s="11">
        <v>244153653</v>
      </c>
      <c r="C27" s="11">
        <v>0</v>
      </c>
      <c r="D27" s="495">
        <v>244153653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9" customFormat="1" ht="21.75" customHeight="1">
      <c r="A28" s="13" t="s">
        <v>93</v>
      </c>
      <c r="B28" s="14">
        <f>SUM(B25:B27)</f>
        <v>1481613962</v>
      </c>
      <c r="C28" s="14">
        <v>0</v>
      </c>
      <c r="D28" s="496">
        <f>SUM(D25:D27)</f>
        <v>1481613962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9" customFormat="1" ht="21.75" customHeight="1">
      <c r="A29" s="13" t="s">
        <v>89</v>
      </c>
      <c r="B29" s="14">
        <v>526955463</v>
      </c>
      <c r="C29" s="14">
        <v>0</v>
      </c>
      <c r="D29" s="496">
        <v>526955463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9" customFormat="1" ht="21.75" customHeight="1">
      <c r="A30" s="13" t="s">
        <v>76</v>
      </c>
      <c r="B30" s="14">
        <v>2699965834</v>
      </c>
      <c r="C30" s="14">
        <v>-1306299585</v>
      </c>
      <c r="D30" s="496">
        <f>SUM(B30:C30)</f>
        <v>1393666249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9" customFormat="1" ht="21.75" customHeight="1">
      <c r="A31" s="16" t="s">
        <v>94</v>
      </c>
      <c r="B31" s="17">
        <f>SUM(B11+B14+B19-B24-B28-B29-B30)</f>
        <v>-458462144</v>
      </c>
      <c r="C31" s="17">
        <v>0</v>
      </c>
      <c r="D31" s="17">
        <f>SUM(D11+D14+D19-D24-D28-D29-D30)</f>
        <v>-458462144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9" customFormat="1" ht="21.75" customHeight="1">
      <c r="A32" s="10" t="s">
        <v>90</v>
      </c>
      <c r="B32" s="11">
        <v>13612300</v>
      </c>
      <c r="C32" s="11">
        <v>0</v>
      </c>
      <c r="D32" s="495">
        <v>13612300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9" customFormat="1" ht="21.75" customHeight="1">
      <c r="A33" s="13" t="s">
        <v>91</v>
      </c>
      <c r="B33" s="14">
        <f>SUM(B32)</f>
        <v>13612300</v>
      </c>
      <c r="C33" s="14">
        <v>0</v>
      </c>
      <c r="D33" s="496">
        <f>SUM(D32)</f>
        <v>13612300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9" customFormat="1" ht="21.75" customHeight="1">
      <c r="A34" s="10" t="s">
        <v>95</v>
      </c>
      <c r="B34" s="11">
        <v>28337</v>
      </c>
      <c r="C34" s="11">
        <v>0</v>
      </c>
      <c r="D34" s="495">
        <v>28337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9" customFormat="1" ht="34.5" customHeight="1">
      <c r="A35" s="10" t="s">
        <v>77</v>
      </c>
      <c r="B35" s="11">
        <v>28337</v>
      </c>
      <c r="C35" s="11">
        <v>0</v>
      </c>
      <c r="D35" s="495">
        <v>28337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9" customFormat="1" ht="21.75" customHeight="1">
      <c r="A36" s="13" t="s">
        <v>96</v>
      </c>
      <c r="B36" s="14">
        <f>SUM(B34)</f>
        <v>28337</v>
      </c>
      <c r="C36" s="14">
        <v>0</v>
      </c>
      <c r="D36" s="496">
        <f>SUM(D34)</f>
        <v>28337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9" customFormat="1" ht="21.75" customHeight="1">
      <c r="A37" s="16" t="s">
        <v>97</v>
      </c>
      <c r="B37" s="17">
        <f>SUM(B33-B36)</f>
        <v>13583963</v>
      </c>
      <c r="C37" s="17">
        <v>0</v>
      </c>
      <c r="D37" s="17">
        <f>SUM(D33-D36)</f>
        <v>13583963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9" customFormat="1" ht="21.75" customHeight="1">
      <c r="A38" s="16" t="s">
        <v>98</v>
      </c>
      <c r="B38" s="17">
        <f>SUM(B31+B37)</f>
        <v>-444878181</v>
      </c>
      <c r="C38" s="17">
        <v>0</v>
      </c>
      <c r="D38" s="17">
        <f>SUM(D31+D37)</f>
        <v>-444878181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</sheetData>
  <mergeCells count="1">
    <mergeCell ref="A4:D4"/>
  </mergeCells>
  <pageMargins left="0.7" right="0.7" top="0.75" bottom="0.75" header="0.3" footer="0.3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4"/>
  <sheetViews>
    <sheetView view="pageBreakPreview" zoomScale="93" zoomScaleSheetLayoutView="93" workbookViewId="0"/>
  </sheetViews>
  <sheetFormatPr defaultRowHeight="15.75"/>
  <cols>
    <col min="1" max="1" width="13.140625" style="8" customWidth="1"/>
    <col min="2" max="2" width="85.140625" style="1" customWidth="1"/>
    <col min="3" max="3" width="17.5703125" style="1" customWidth="1"/>
    <col min="4" max="4" width="15.5703125" style="1" customWidth="1"/>
    <col min="5" max="5" width="17.5703125" style="1" customWidth="1"/>
    <col min="6" max="6" width="9.140625" style="21" customWidth="1"/>
    <col min="7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>
      <c r="A1" s="1" t="s">
        <v>959</v>
      </c>
    </row>
    <row r="4" spans="1:37" s="2" customFormat="1" ht="16.5">
      <c r="A4" s="786" t="s">
        <v>728</v>
      </c>
      <c r="B4" s="786"/>
      <c r="C4" s="786"/>
      <c r="D4" s="786"/>
      <c r="E4" s="78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>
      <c r="E6" s="4" t="s">
        <v>7</v>
      </c>
    </row>
    <row r="7" spans="1:37" s="26" customFormat="1" ht="30.75" customHeight="1">
      <c r="A7" s="30" t="s">
        <v>8</v>
      </c>
      <c r="B7" s="5" t="s">
        <v>0</v>
      </c>
      <c r="C7" s="5" t="s">
        <v>100</v>
      </c>
      <c r="D7" s="5" t="s">
        <v>99</v>
      </c>
      <c r="E7" s="5" t="s">
        <v>729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>
      <c r="A8" s="9" t="s">
        <v>101</v>
      </c>
      <c r="B8" s="10" t="s">
        <v>187</v>
      </c>
      <c r="C8" s="495">
        <v>575501</v>
      </c>
      <c r="D8" s="11">
        <v>0</v>
      </c>
      <c r="E8" s="11">
        <v>265577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7" customFormat="1" ht="24.75" customHeight="1">
      <c r="A9" s="9" t="s">
        <v>102</v>
      </c>
      <c r="B9" s="10" t="s">
        <v>188</v>
      </c>
      <c r="C9" s="495">
        <v>3708744</v>
      </c>
      <c r="D9" s="11">
        <v>0</v>
      </c>
      <c r="E9" s="11">
        <v>29420310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7" customFormat="1" ht="24.75" customHeight="1">
      <c r="A10" s="12" t="s">
        <v>103</v>
      </c>
      <c r="B10" s="13" t="s">
        <v>189</v>
      </c>
      <c r="C10" s="496">
        <v>4284245</v>
      </c>
      <c r="D10" s="14">
        <v>0</v>
      </c>
      <c r="E10" s="14">
        <f>SUM(E8:E9)</f>
        <v>29685887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7" customFormat="1" ht="24.75" customHeight="1">
      <c r="A11" s="9" t="s">
        <v>104</v>
      </c>
      <c r="B11" s="10" t="s">
        <v>190</v>
      </c>
      <c r="C11" s="495">
        <v>14632988563</v>
      </c>
      <c r="D11" s="11">
        <v>0</v>
      </c>
      <c r="E11" s="11">
        <v>14736177590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7" customFormat="1" ht="24.75" customHeight="1">
      <c r="A12" s="9" t="s">
        <v>105</v>
      </c>
      <c r="B12" s="10" t="s">
        <v>191</v>
      </c>
      <c r="C12" s="495">
        <v>462361288</v>
      </c>
      <c r="D12" s="11">
        <v>0</v>
      </c>
      <c r="E12" s="11">
        <v>487672224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7" customFormat="1" ht="24.75" customHeight="1">
      <c r="A13" s="9" t="s">
        <v>106</v>
      </c>
      <c r="B13" s="10" t="s">
        <v>192</v>
      </c>
      <c r="C13" s="495">
        <v>138795</v>
      </c>
      <c r="D13" s="11">
        <v>0</v>
      </c>
      <c r="E13" s="11">
        <v>296465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7" customFormat="1" ht="24.75" customHeight="1">
      <c r="A14" s="9" t="s">
        <v>107</v>
      </c>
      <c r="B14" s="10" t="s">
        <v>193</v>
      </c>
      <c r="C14" s="495">
        <v>77451681</v>
      </c>
      <c r="D14" s="11">
        <v>0</v>
      </c>
      <c r="E14" s="11">
        <v>97390167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7" customFormat="1" ht="24.75" customHeight="1">
      <c r="A15" s="12" t="s">
        <v>108</v>
      </c>
      <c r="B15" s="13" t="s">
        <v>44</v>
      </c>
      <c r="C15" s="496">
        <v>15172940327</v>
      </c>
      <c r="D15" s="14">
        <v>0</v>
      </c>
      <c r="E15" s="14">
        <f>SUM(E11:E14)</f>
        <v>15321536446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7" customFormat="1" ht="24.75" customHeight="1">
      <c r="A16" s="9" t="s">
        <v>109</v>
      </c>
      <c r="B16" s="10" t="s">
        <v>195</v>
      </c>
      <c r="C16" s="495">
        <v>129626200</v>
      </c>
      <c r="D16" s="11">
        <v>0</v>
      </c>
      <c r="E16" s="11">
        <v>131926200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7" customFormat="1" ht="24.75" customHeight="1">
      <c r="A17" s="9" t="s">
        <v>110</v>
      </c>
      <c r="B17" s="10" t="s">
        <v>194</v>
      </c>
      <c r="C17" s="495">
        <v>129626200</v>
      </c>
      <c r="D17" s="11">
        <v>0</v>
      </c>
      <c r="E17" s="11">
        <v>131926200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7" customFormat="1" ht="24.75" customHeight="1">
      <c r="A18" s="12" t="s">
        <v>111</v>
      </c>
      <c r="B18" s="13" t="s">
        <v>198</v>
      </c>
      <c r="C18" s="496">
        <v>129626200</v>
      </c>
      <c r="D18" s="14">
        <v>0</v>
      </c>
      <c r="E18" s="14">
        <f>SUM(E16)</f>
        <v>131926200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7" customFormat="1" ht="24.75" customHeight="1">
      <c r="A19" s="9" t="s">
        <v>112</v>
      </c>
      <c r="B19" s="10" t="s">
        <v>197</v>
      </c>
      <c r="C19" s="495">
        <v>90894925</v>
      </c>
      <c r="D19" s="11">
        <v>0</v>
      </c>
      <c r="E19" s="11">
        <v>87367159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7" customFormat="1" ht="24.75" customHeight="1">
      <c r="A20" s="9" t="s">
        <v>113</v>
      </c>
      <c r="B20" s="10" t="s">
        <v>196</v>
      </c>
      <c r="C20" s="495">
        <v>90894925</v>
      </c>
      <c r="D20" s="11">
        <v>0</v>
      </c>
      <c r="E20" s="11">
        <v>87367159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7" customFormat="1" ht="24.75" customHeight="1">
      <c r="A21" s="12" t="s">
        <v>114</v>
      </c>
      <c r="B21" s="13" t="s">
        <v>197</v>
      </c>
      <c r="C21" s="496">
        <v>90894925</v>
      </c>
      <c r="D21" s="14">
        <v>0</v>
      </c>
      <c r="E21" s="14">
        <f>SUM(E19)</f>
        <v>87367159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7" customFormat="1" ht="24.75" customHeight="1">
      <c r="A22" s="12" t="s">
        <v>9</v>
      </c>
      <c r="B22" s="13" t="s">
        <v>199</v>
      </c>
      <c r="C22" s="496">
        <v>15397745697</v>
      </c>
      <c r="D22" s="14">
        <v>0</v>
      </c>
      <c r="E22" s="14">
        <f>SUM(E10+E15+E18+E21)</f>
        <v>15570515692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7" customFormat="1" ht="24.75" customHeight="1">
      <c r="A23" s="9" t="s">
        <v>115</v>
      </c>
      <c r="B23" s="10" t="s">
        <v>200</v>
      </c>
      <c r="C23" s="495">
        <v>6350811</v>
      </c>
      <c r="D23" s="11">
        <v>0</v>
      </c>
      <c r="E23" s="11">
        <v>6198081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7" customFormat="1" ht="24.75" customHeight="1">
      <c r="A24" s="9" t="s">
        <v>116</v>
      </c>
      <c r="B24" s="10" t="s">
        <v>201</v>
      </c>
      <c r="C24" s="495">
        <v>16639802</v>
      </c>
      <c r="D24" s="11">
        <v>0</v>
      </c>
      <c r="E24" s="11">
        <v>8325657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7" customFormat="1" ht="24.75" customHeight="1">
      <c r="A25" s="9" t="s">
        <v>117</v>
      </c>
      <c r="B25" s="10" t="s">
        <v>202</v>
      </c>
      <c r="C25" s="495">
        <v>297500</v>
      </c>
      <c r="D25" s="11">
        <v>0</v>
      </c>
      <c r="E25" s="11">
        <v>126750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7" customFormat="1" ht="24.75" customHeight="1">
      <c r="A26" s="12" t="s">
        <v>10</v>
      </c>
      <c r="B26" s="13" t="s">
        <v>48</v>
      </c>
      <c r="C26" s="496">
        <v>23288113</v>
      </c>
      <c r="D26" s="14">
        <v>0</v>
      </c>
      <c r="E26" s="14">
        <f>SUM(E23:E25)</f>
        <v>14650488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7" customFormat="1" ht="24.75" customHeight="1">
      <c r="A27" s="12" t="s">
        <v>11</v>
      </c>
      <c r="B27" s="13" t="s">
        <v>203</v>
      </c>
      <c r="C27" s="496">
        <v>23288113</v>
      </c>
      <c r="D27" s="14">
        <v>0</v>
      </c>
      <c r="E27" s="14">
        <f>SUM(E26)</f>
        <v>14650488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s="7" customFormat="1" ht="24.75" customHeight="1">
      <c r="A28" s="9" t="s">
        <v>118</v>
      </c>
      <c r="B28" s="10" t="s">
        <v>204</v>
      </c>
      <c r="C28" s="495">
        <v>716760</v>
      </c>
      <c r="D28" s="11">
        <v>0</v>
      </c>
      <c r="E28" s="11">
        <v>1212130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7" customFormat="1" ht="24.75" customHeight="1">
      <c r="A29" s="9" t="s">
        <v>119</v>
      </c>
      <c r="B29" s="10" t="s">
        <v>205</v>
      </c>
      <c r="C29" s="495">
        <v>186702</v>
      </c>
      <c r="D29" s="11">
        <v>0</v>
      </c>
      <c r="E29" s="11">
        <v>281411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7" customFormat="1" ht="24.75" customHeight="1">
      <c r="A30" s="12" t="s">
        <v>12</v>
      </c>
      <c r="B30" s="13" t="s">
        <v>206</v>
      </c>
      <c r="C30" s="496">
        <v>903462</v>
      </c>
      <c r="D30" s="14">
        <v>0</v>
      </c>
      <c r="E30" s="14">
        <f>SUM(E28:E29)</f>
        <v>1493541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7" customFormat="1" ht="24.75" customHeight="1">
      <c r="A31" s="9" t="s">
        <v>120</v>
      </c>
      <c r="B31" s="10" t="s">
        <v>207</v>
      </c>
      <c r="C31" s="495">
        <v>368842125</v>
      </c>
      <c r="D31" s="11">
        <v>0</v>
      </c>
      <c r="E31" s="11">
        <v>1460167841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7" customFormat="1" ht="24.75" customHeight="1">
      <c r="A32" s="493" t="s">
        <v>730</v>
      </c>
      <c r="B32" s="494" t="s">
        <v>731</v>
      </c>
      <c r="C32" s="495">
        <v>0</v>
      </c>
      <c r="D32" s="495">
        <v>0</v>
      </c>
      <c r="E32" s="495">
        <v>1327036135</v>
      </c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</row>
    <row r="33" spans="1:37" s="7" customFormat="1" ht="24.75" customHeight="1">
      <c r="A33" s="12" t="s">
        <v>122</v>
      </c>
      <c r="B33" s="13" t="s">
        <v>208</v>
      </c>
      <c r="C33" s="496">
        <v>368842125</v>
      </c>
      <c r="D33" s="14">
        <v>0</v>
      </c>
      <c r="E33" s="14">
        <f>SUM(E31:E32)</f>
        <v>2787203976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s="7" customFormat="1" ht="24.75" customHeight="1">
      <c r="A34" s="9" t="s">
        <v>121</v>
      </c>
      <c r="B34" s="10" t="s">
        <v>209</v>
      </c>
      <c r="C34" s="495">
        <v>9854383</v>
      </c>
      <c r="D34" s="11">
        <v>0</v>
      </c>
      <c r="E34" s="11">
        <v>9826501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7" customFormat="1" ht="24.75" customHeight="1">
      <c r="A35" s="12" t="s">
        <v>123</v>
      </c>
      <c r="B35" s="13" t="s">
        <v>210</v>
      </c>
      <c r="C35" s="496">
        <v>9854383</v>
      </c>
      <c r="D35" s="14">
        <v>0</v>
      </c>
      <c r="E35" s="14">
        <f>SUM(E34)</f>
        <v>9826501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7" customFormat="1" ht="24.75" customHeight="1">
      <c r="A36" s="12" t="s">
        <v>124</v>
      </c>
      <c r="B36" s="13" t="s">
        <v>52</v>
      </c>
      <c r="C36" s="496">
        <v>379599970</v>
      </c>
      <c r="D36" s="14">
        <v>0</v>
      </c>
      <c r="E36" s="14">
        <f>SUM(E33+E35+E30)</f>
        <v>2798524018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7" customFormat="1" ht="24.75" customHeight="1">
      <c r="A37" s="9" t="s">
        <v>125</v>
      </c>
      <c r="B37" s="10" t="s">
        <v>211</v>
      </c>
      <c r="C37" s="495">
        <v>52067887</v>
      </c>
      <c r="D37" s="11">
        <v>0</v>
      </c>
      <c r="E37" s="11">
        <v>28820194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7" customFormat="1" ht="24.75" customHeight="1">
      <c r="A38" s="9" t="s">
        <v>126</v>
      </c>
      <c r="B38" s="10" t="s">
        <v>212</v>
      </c>
      <c r="C38" s="495">
        <v>51</v>
      </c>
      <c r="D38" s="11">
        <v>0</v>
      </c>
      <c r="E38" s="11">
        <v>0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s="7" customFormat="1" ht="24.75" customHeight="1">
      <c r="A39" s="9" t="s">
        <v>127</v>
      </c>
      <c r="B39" s="10" t="s">
        <v>213</v>
      </c>
      <c r="C39" s="495">
        <v>34796734</v>
      </c>
      <c r="D39" s="11">
        <v>0</v>
      </c>
      <c r="E39" s="11">
        <v>13171517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7" customFormat="1" ht="24.75" customHeight="1">
      <c r="A40" s="9" t="s">
        <v>128</v>
      </c>
      <c r="B40" s="10" t="s">
        <v>214</v>
      </c>
      <c r="C40" s="495">
        <v>17271102</v>
      </c>
      <c r="D40" s="11">
        <v>0</v>
      </c>
      <c r="E40" s="11">
        <v>15648677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7" customFormat="1" ht="24.75" customHeight="1">
      <c r="A41" s="9" t="s">
        <v>129</v>
      </c>
      <c r="B41" s="10" t="s">
        <v>215</v>
      </c>
      <c r="C41" s="495">
        <v>216758378</v>
      </c>
      <c r="D41" s="11">
        <v>0</v>
      </c>
      <c r="E41" s="11">
        <v>176906379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7" customFormat="1" ht="16.5" customHeight="1">
      <c r="A42" s="31" t="s">
        <v>130</v>
      </c>
      <c r="B42" s="32" t="s">
        <v>218</v>
      </c>
      <c r="C42" s="787">
        <v>7711971</v>
      </c>
      <c r="D42" s="787">
        <v>0</v>
      </c>
      <c r="E42" s="787">
        <v>3651350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7" customFormat="1" ht="17.25" customHeight="1">
      <c r="A43" s="33"/>
      <c r="B43" s="34" t="s">
        <v>217</v>
      </c>
      <c r="C43" s="788"/>
      <c r="D43" s="788"/>
      <c r="E43" s="78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7" customFormat="1" ht="24.75" customHeight="1">
      <c r="A44" s="9" t="s">
        <v>131</v>
      </c>
      <c r="B44" s="10" t="s">
        <v>216</v>
      </c>
      <c r="C44" s="495">
        <v>82349082</v>
      </c>
      <c r="D44" s="11">
        <v>0</v>
      </c>
      <c r="E44" s="11">
        <v>36844281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7" customFormat="1" ht="24.75" customHeight="1">
      <c r="A45" s="9" t="s">
        <v>132</v>
      </c>
      <c r="B45" s="10" t="s">
        <v>219</v>
      </c>
      <c r="C45" s="495">
        <v>2922590</v>
      </c>
      <c r="D45" s="11">
        <v>0</v>
      </c>
      <c r="E45" s="11">
        <v>3379842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7" customFormat="1" ht="24.75" customHeight="1">
      <c r="A46" s="9" t="s">
        <v>133</v>
      </c>
      <c r="B46" s="10" t="s">
        <v>220</v>
      </c>
      <c r="C46" s="495">
        <v>1826622</v>
      </c>
      <c r="D46" s="11">
        <v>0</v>
      </c>
      <c r="E46" s="11">
        <v>2155597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7" customFormat="1" ht="39" customHeight="1">
      <c r="A47" s="9" t="s">
        <v>135</v>
      </c>
      <c r="B47" s="10" t="s">
        <v>222</v>
      </c>
      <c r="C47" s="495">
        <v>68343132</v>
      </c>
      <c r="D47" s="11">
        <v>0</v>
      </c>
      <c r="E47" s="11">
        <v>81029122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7" customFormat="1" ht="24.75" customHeight="1">
      <c r="A48" s="9" t="s">
        <v>134</v>
      </c>
      <c r="B48" s="10" t="s">
        <v>221</v>
      </c>
      <c r="C48" s="495">
        <v>53604981</v>
      </c>
      <c r="D48" s="11">
        <v>0</v>
      </c>
      <c r="E48" s="11">
        <v>49846187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7" customFormat="1" ht="24.75" customHeight="1">
      <c r="A49" s="9" t="s">
        <v>136</v>
      </c>
      <c r="B49" s="10" t="s">
        <v>223</v>
      </c>
      <c r="C49" s="495">
        <v>49893</v>
      </c>
      <c r="D49" s="11">
        <v>0</v>
      </c>
      <c r="E49" s="11">
        <v>2607913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7" customFormat="1" ht="24.75" customHeight="1">
      <c r="A50" s="9" t="s">
        <v>137</v>
      </c>
      <c r="B50" s="10" t="s">
        <v>224</v>
      </c>
      <c r="C50" s="495">
        <v>49893</v>
      </c>
      <c r="D50" s="11">
        <v>0</v>
      </c>
      <c r="E50" s="11">
        <v>2607913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7" customFormat="1" ht="24.75" customHeight="1">
      <c r="A51" s="9" t="s">
        <v>138</v>
      </c>
      <c r="B51" s="10" t="s">
        <v>225</v>
      </c>
      <c r="C51" s="495">
        <v>14664338</v>
      </c>
      <c r="D51" s="11">
        <v>0</v>
      </c>
      <c r="E51" s="495">
        <v>5186945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s="26" customFormat="1" ht="30.75" customHeight="1">
      <c r="A52" s="30" t="s">
        <v>8</v>
      </c>
      <c r="B52" s="5" t="s">
        <v>0</v>
      </c>
      <c r="C52" s="5" t="s">
        <v>100</v>
      </c>
      <c r="D52" s="5" t="s">
        <v>99</v>
      </c>
      <c r="E52" s="5" t="s">
        <v>729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s="7" customFormat="1" ht="18" customHeight="1">
      <c r="A53" s="31" t="s">
        <v>139</v>
      </c>
      <c r="B53" s="32" t="s">
        <v>226</v>
      </c>
      <c r="C53" s="787">
        <v>14664338</v>
      </c>
      <c r="D53" s="787">
        <v>0</v>
      </c>
      <c r="E53" s="787">
        <v>5186945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7" customFormat="1" ht="18" customHeight="1">
      <c r="A54" s="33"/>
      <c r="B54" s="34" t="s">
        <v>227</v>
      </c>
      <c r="C54" s="788"/>
      <c r="D54" s="788"/>
      <c r="E54" s="78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7" customFormat="1" ht="24.75" customHeight="1">
      <c r="A55" s="12" t="s">
        <v>14</v>
      </c>
      <c r="B55" s="13" t="s">
        <v>53</v>
      </c>
      <c r="C55" s="496">
        <v>283540496</v>
      </c>
      <c r="D55" s="14">
        <v>0</v>
      </c>
      <c r="E55" s="14">
        <f>SUM(E37+E41+E49+E51)</f>
        <v>213521431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7" customFormat="1" ht="24.75" customHeight="1">
      <c r="A56" s="9" t="s">
        <v>140</v>
      </c>
      <c r="B56" s="10" t="s">
        <v>228</v>
      </c>
      <c r="C56" s="495">
        <v>0</v>
      </c>
      <c r="D56" s="11">
        <v>0</v>
      </c>
      <c r="E56" s="11">
        <v>325124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s="7" customFormat="1" ht="23.25" customHeight="1">
      <c r="A57" s="493" t="s">
        <v>141</v>
      </c>
      <c r="B57" s="494" t="s">
        <v>732</v>
      </c>
      <c r="C57" s="495">
        <v>0</v>
      </c>
      <c r="D57" s="495">
        <v>0</v>
      </c>
      <c r="E57" s="495">
        <v>30450</v>
      </c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</row>
    <row r="58" spans="1:37" s="7" customFormat="1" ht="23.25" customHeight="1">
      <c r="A58" s="9" t="s">
        <v>141</v>
      </c>
      <c r="B58" s="10" t="s">
        <v>733</v>
      </c>
      <c r="C58" s="495">
        <v>0</v>
      </c>
      <c r="D58" s="11">
        <v>0</v>
      </c>
      <c r="E58" s="11">
        <v>294674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s="7" customFormat="1" ht="24.75" customHeight="1">
      <c r="A59" s="9" t="s">
        <v>142</v>
      </c>
      <c r="B59" s="10" t="s">
        <v>229</v>
      </c>
      <c r="C59" s="495">
        <v>4335361</v>
      </c>
      <c r="D59" s="11">
        <v>0</v>
      </c>
      <c r="E59" s="11">
        <v>3227710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7" customFormat="1" ht="24.75" customHeight="1">
      <c r="A60" s="9" t="s">
        <v>143</v>
      </c>
      <c r="B60" s="10" t="s">
        <v>230</v>
      </c>
      <c r="C60" s="495">
        <v>4335361</v>
      </c>
      <c r="D60" s="11">
        <v>0</v>
      </c>
      <c r="E60" s="11">
        <v>3227710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s="7" customFormat="1" ht="24.75" customHeight="1">
      <c r="A61" s="9" t="s">
        <v>144</v>
      </c>
      <c r="B61" s="10" t="s">
        <v>231</v>
      </c>
      <c r="C61" s="495">
        <v>22847000</v>
      </c>
      <c r="D61" s="11">
        <v>0</v>
      </c>
      <c r="E61" s="11">
        <v>17847000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7" customFormat="1" ht="18" customHeight="1">
      <c r="A62" s="31" t="s">
        <v>145</v>
      </c>
      <c r="B62" s="32" t="s">
        <v>270</v>
      </c>
      <c r="C62" s="787">
        <v>22847000</v>
      </c>
      <c r="D62" s="787">
        <v>0</v>
      </c>
      <c r="E62" s="787">
        <v>17847000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7" customFormat="1" ht="18" customHeight="1">
      <c r="A63" s="33"/>
      <c r="B63" s="34" t="s">
        <v>269</v>
      </c>
      <c r="C63" s="788"/>
      <c r="D63" s="788"/>
      <c r="E63" s="78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7" customFormat="1" ht="24.75" customHeight="1">
      <c r="A64" s="9" t="s">
        <v>146</v>
      </c>
      <c r="B64" s="10" t="s">
        <v>232</v>
      </c>
      <c r="C64" s="495">
        <v>197093000</v>
      </c>
      <c r="D64" s="11">
        <v>0</v>
      </c>
      <c r="E64" s="11">
        <v>176878828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s="26" customFormat="1" ht="18.75" customHeight="1">
      <c r="A65" s="31" t="s">
        <v>147</v>
      </c>
      <c r="B65" s="32" t="s">
        <v>271</v>
      </c>
      <c r="C65" s="787">
        <v>197093000</v>
      </c>
      <c r="D65" s="787">
        <v>0</v>
      </c>
      <c r="E65" s="787">
        <v>176878828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1:37" s="7" customFormat="1" ht="18" customHeight="1">
      <c r="A66" s="33"/>
      <c r="B66" s="34" t="s">
        <v>269</v>
      </c>
      <c r="C66" s="788"/>
      <c r="D66" s="788"/>
      <c r="E66" s="78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7" customFormat="1" ht="24.75" customHeight="1">
      <c r="A67" s="12" t="s">
        <v>148</v>
      </c>
      <c r="B67" s="13" t="s">
        <v>233</v>
      </c>
      <c r="C67" s="496">
        <v>224275361</v>
      </c>
      <c r="D67" s="14">
        <v>0</v>
      </c>
      <c r="E67" s="14">
        <f>SUM(E56+E59+E61+E64)</f>
        <v>198278662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7" customFormat="1" ht="24.75" customHeight="1">
      <c r="A68" s="9" t="s">
        <v>149</v>
      </c>
      <c r="B68" s="10" t="s">
        <v>234</v>
      </c>
      <c r="C68" s="495">
        <v>11425333</v>
      </c>
      <c r="D68" s="11">
        <v>0</v>
      </c>
      <c r="E68" s="11">
        <v>55145203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7" customFormat="1" ht="24.75" customHeight="1">
      <c r="A69" s="9" t="s">
        <v>150</v>
      </c>
      <c r="B69" s="10" t="s">
        <v>235</v>
      </c>
      <c r="C69" s="495">
        <v>10767599</v>
      </c>
      <c r="D69" s="11">
        <v>0</v>
      </c>
      <c r="E69" s="11">
        <v>43066579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7" customFormat="1" ht="24.75" customHeight="1">
      <c r="A70" s="493" t="s">
        <v>734</v>
      </c>
      <c r="B70" s="494" t="s">
        <v>735</v>
      </c>
      <c r="C70" s="495">
        <v>0</v>
      </c>
      <c r="D70" s="495">
        <v>0</v>
      </c>
      <c r="E70" s="495">
        <v>11343529</v>
      </c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</row>
    <row r="71" spans="1:37" s="7" customFormat="1" ht="24.75" customHeight="1">
      <c r="A71" s="9" t="s">
        <v>151</v>
      </c>
      <c r="B71" s="10" t="s">
        <v>236</v>
      </c>
      <c r="C71" s="495">
        <v>406665</v>
      </c>
      <c r="D71" s="11">
        <v>0</v>
      </c>
      <c r="E71" s="11">
        <v>694999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7" customFormat="1" ht="24.75" customHeight="1">
      <c r="A72" s="9" t="s">
        <v>152</v>
      </c>
      <c r="B72" s="10" t="s">
        <v>237</v>
      </c>
      <c r="C72" s="495">
        <v>251069</v>
      </c>
      <c r="D72" s="11">
        <v>0</v>
      </c>
      <c r="E72" s="11">
        <v>40096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s="7" customFormat="1" ht="24.75" customHeight="1">
      <c r="A73" s="493" t="s">
        <v>736</v>
      </c>
      <c r="B73" s="494" t="s">
        <v>737</v>
      </c>
      <c r="C73" s="495">
        <v>0</v>
      </c>
      <c r="D73" s="495">
        <v>0</v>
      </c>
      <c r="E73" s="495">
        <v>350859</v>
      </c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</row>
    <row r="74" spans="1:37" s="7" customFormat="1" ht="24.75" customHeight="1">
      <c r="A74" s="9" t="s">
        <v>153</v>
      </c>
      <c r="B74" s="10" t="s">
        <v>238</v>
      </c>
      <c r="C74" s="495">
        <v>3102000</v>
      </c>
      <c r="D74" s="11">
        <v>0</v>
      </c>
      <c r="E74" s="11">
        <v>3102000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s="7" customFormat="1" ht="24.75" customHeight="1">
      <c r="A75" s="9" t="s">
        <v>154</v>
      </c>
      <c r="B75" s="10" t="s">
        <v>239</v>
      </c>
      <c r="C75" s="495">
        <v>328616</v>
      </c>
      <c r="D75" s="11">
        <v>0</v>
      </c>
      <c r="E75" s="11">
        <v>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s="7" customFormat="1" ht="24.75" customHeight="1">
      <c r="A76" s="12" t="s">
        <v>155</v>
      </c>
      <c r="B76" s="13" t="s">
        <v>240</v>
      </c>
      <c r="C76" s="496">
        <v>14855949</v>
      </c>
      <c r="D76" s="14">
        <v>0</v>
      </c>
      <c r="E76" s="14">
        <f>SUM(E68+E73+E74+E75)</f>
        <v>58598062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s="7" customFormat="1" ht="24.75" customHeight="1">
      <c r="A77" s="12" t="s">
        <v>156</v>
      </c>
      <c r="B77" s="13" t="s">
        <v>241</v>
      </c>
      <c r="C77" s="496">
        <v>522671806</v>
      </c>
      <c r="D77" s="14">
        <v>0</v>
      </c>
      <c r="E77" s="14">
        <f>SUM(E55+E67+E76)</f>
        <v>470398155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s="7" customFormat="1" ht="24.75" customHeight="1">
      <c r="A78" s="9" t="s">
        <v>157</v>
      </c>
      <c r="B78" s="10" t="s">
        <v>242</v>
      </c>
      <c r="C78" s="495">
        <v>2355000</v>
      </c>
      <c r="D78" s="11">
        <v>0</v>
      </c>
      <c r="E78" s="11">
        <v>374000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7" customFormat="1" ht="24.75" customHeight="1">
      <c r="A79" s="12" t="s">
        <v>158</v>
      </c>
      <c r="B79" s="13" t="s">
        <v>243</v>
      </c>
      <c r="C79" s="496">
        <v>2355000</v>
      </c>
      <c r="D79" s="14">
        <v>0</v>
      </c>
      <c r="E79" s="14">
        <f>SUM(E78)</f>
        <v>374000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7" customFormat="1" ht="24.75" customHeight="1">
      <c r="A80" s="9" t="s">
        <v>159</v>
      </c>
      <c r="B80" s="10" t="s">
        <v>244</v>
      </c>
      <c r="C80" s="495">
        <v>-3585650</v>
      </c>
      <c r="D80" s="11">
        <v>0</v>
      </c>
      <c r="E80" s="11">
        <v>-6804733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s="27" customFormat="1" ht="24.75" customHeight="1">
      <c r="A81" s="12" t="s">
        <v>160</v>
      </c>
      <c r="B81" s="13" t="s">
        <v>245</v>
      </c>
      <c r="C81" s="496">
        <v>-3585650</v>
      </c>
      <c r="D81" s="14">
        <v>0</v>
      </c>
      <c r="E81" s="14">
        <f>SUM(E80)</f>
        <v>-6804733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7" customFormat="1" ht="24.75" customHeight="1">
      <c r="A82" s="9" t="s">
        <v>161</v>
      </c>
      <c r="B82" s="10" t="s">
        <v>246</v>
      </c>
      <c r="C82" s="495">
        <v>766127</v>
      </c>
      <c r="D82" s="11">
        <v>0</v>
      </c>
      <c r="E82" s="11">
        <v>668127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7" customFormat="1" ht="24.75" customHeight="1">
      <c r="A83" s="9" t="s">
        <v>162</v>
      </c>
      <c r="B83" s="10" t="s">
        <v>272</v>
      </c>
      <c r="C83" s="495">
        <v>10000</v>
      </c>
      <c r="D83" s="11">
        <v>0</v>
      </c>
      <c r="E83" s="11">
        <v>367500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7" customFormat="1" ht="24.75" customHeight="1">
      <c r="A84" s="12" t="s">
        <v>163</v>
      </c>
      <c r="B84" s="13" t="s">
        <v>247</v>
      </c>
      <c r="C84" s="496">
        <v>776127</v>
      </c>
      <c r="D84" s="14">
        <v>0</v>
      </c>
      <c r="E84" s="14">
        <f>SUM(E82:E83)</f>
        <v>1035627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s="7" customFormat="1" ht="24.75" customHeight="1">
      <c r="A85" s="12" t="s">
        <v>164</v>
      </c>
      <c r="B85" s="13" t="s">
        <v>248</v>
      </c>
      <c r="C85" s="496">
        <v>-454523</v>
      </c>
      <c r="D85" s="14">
        <v>0</v>
      </c>
      <c r="E85" s="14">
        <v>-5395106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s="7" customFormat="1" ht="24.75" customHeight="1">
      <c r="A86" s="9" t="s">
        <v>165</v>
      </c>
      <c r="B86" s="10" t="s">
        <v>249</v>
      </c>
      <c r="C86" s="495">
        <v>1522850</v>
      </c>
      <c r="D86" s="11">
        <v>0</v>
      </c>
      <c r="E86" s="11">
        <v>14180303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s="7" customFormat="1" ht="24.75" customHeight="1">
      <c r="A87" s="12" t="s">
        <v>166</v>
      </c>
      <c r="B87" s="13" t="s">
        <v>250</v>
      </c>
      <c r="C87" s="496">
        <v>1522850</v>
      </c>
      <c r="D87" s="14">
        <v>0</v>
      </c>
      <c r="E87" s="14">
        <f>SUM(E86)</f>
        <v>14180303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s="7" customFormat="1" ht="24.75" customHeight="1">
      <c r="A88" s="15" t="s">
        <v>167</v>
      </c>
      <c r="B88" s="16" t="s">
        <v>4</v>
      </c>
      <c r="C88" s="17">
        <v>16324373913</v>
      </c>
      <c r="D88" s="17">
        <v>0</v>
      </c>
      <c r="E88" s="17">
        <f>SUM(E22+E27+E36+E77+E85+E87)</f>
        <v>18862873550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s="7" customFormat="1" ht="24.75" customHeight="1">
      <c r="A89" s="9" t="s">
        <v>168</v>
      </c>
      <c r="B89" s="10" t="s">
        <v>251</v>
      </c>
      <c r="C89" s="495">
        <v>16561591404</v>
      </c>
      <c r="D89" s="11">
        <v>0</v>
      </c>
      <c r="E89" s="11">
        <v>16561591404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s="7" customFormat="1" ht="24.75" customHeight="1">
      <c r="A90" s="9" t="s">
        <v>169</v>
      </c>
      <c r="B90" s="10" t="s">
        <v>252</v>
      </c>
      <c r="C90" s="495">
        <v>2581828356</v>
      </c>
      <c r="D90" s="11">
        <v>0</v>
      </c>
      <c r="E90" s="11">
        <v>3018969624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s="7" customFormat="1" ht="24.75" customHeight="1">
      <c r="A91" s="9" t="s">
        <v>170</v>
      </c>
      <c r="B91" s="10" t="s">
        <v>253</v>
      </c>
      <c r="C91" s="495">
        <v>407955406</v>
      </c>
      <c r="D91" s="11">
        <v>0</v>
      </c>
      <c r="E91" s="11">
        <v>407955406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s="7" customFormat="1" ht="24.75" customHeight="1">
      <c r="A92" s="12" t="s">
        <v>171</v>
      </c>
      <c r="B92" s="13" t="s">
        <v>254</v>
      </c>
      <c r="C92" s="496">
        <v>407955406</v>
      </c>
      <c r="D92" s="14">
        <v>0</v>
      </c>
      <c r="E92" s="14">
        <f>SUM(E91)</f>
        <v>407955406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s="7" customFormat="1" ht="24.75" customHeight="1">
      <c r="A93" s="9" t="s">
        <v>15</v>
      </c>
      <c r="B93" s="10" t="s">
        <v>60</v>
      </c>
      <c r="C93" s="495">
        <v>-3877918047</v>
      </c>
      <c r="D93" s="11">
        <v>0</v>
      </c>
      <c r="E93" s="11">
        <v>-4390459590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s="7" customFormat="1" ht="24.75" customHeight="1">
      <c r="A94" s="9" t="s">
        <v>172</v>
      </c>
      <c r="B94" s="10" t="s">
        <v>61</v>
      </c>
      <c r="C94" s="495">
        <v>-512541543</v>
      </c>
      <c r="D94" s="11">
        <v>0</v>
      </c>
      <c r="E94" s="11">
        <v>-444878181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s="7" customFormat="1" ht="24.75" customHeight="1">
      <c r="A95" s="12" t="s">
        <v>37</v>
      </c>
      <c r="B95" s="13" t="s">
        <v>255</v>
      </c>
      <c r="C95" s="496">
        <v>15160915576</v>
      </c>
      <c r="D95" s="14">
        <v>0</v>
      </c>
      <c r="E95" s="14">
        <f>SUM(E89+E90+E92+E93+E94)</f>
        <v>15153178663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s="7" customFormat="1" ht="24.75" customHeight="1">
      <c r="A96" s="9" t="s">
        <v>173</v>
      </c>
      <c r="B96" s="10" t="s">
        <v>256</v>
      </c>
      <c r="C96" s="495">
        <v>3702669</v>
      </c>
      <c r="D96" s="11">
        <v>0</v>
      </c>
      <c r="E96" s="11">
        <v>26109645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s="7" customFormat="1" ht="24.75" customHeight="1">
      <c r="A97" s="9" t="s">
        <v>174</v>
      </c>
      <c r="B97" s="10" t="s">
        <v>257</v>
      </c>
      <c r="C97" s="495">
        <v>0</v>
      </c>
      <c r="D97" s="11">
        <v>0</v>
      </c>
      <c r="E97" s="11">
        <v>1397000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s="7" customFormat="1" ht="24.75" customHeight="1">
      <c r="A98" s="12" t="s">
        <v>175</v>
      </c>
      <c r="B98" s="13" t="s">
        <v>258</v>
      </c>
      <c r="C98" s="496">
        <v>3702669</v>
      </c>
      <c r="D98" s="14">
        <v>0</v>
      </c>
      <c r="E98" s="14">
        <f>SUM(E96:E97)</f>
        <v>27506645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s="7" customFormat="1" ht="24.75" customHeight="1">
      <c r="A99" s="9" t="s">
        <v>176</v>
      </c>
      <c r="B99" s="10" t="s">
        <v>259</v>
      </c>
      <c r="C99" s="495">
        <v>9206175</v>
      </c>
      <c r="D99" s="11">
        <v>0</v>
      </c>
      <c r="E99" s="11">
        <v>984619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s="7" customFormat="1" ht="24.75" customHeight="1">
      <c r="A100" s="9" t="s">
        <v>177</v>
      </c>
      <c r="B100" s="10" t="s">
        <v>260</v>
      </c>
      <c r="C100" s="495">
        <v>52044365</v>
      </c>
      <c r="D100" s="11">
        <v>0</v>
      </c>
      <c r="E100" s="11">
        <v>58439181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1:37" s="7" customFormat="1" ht="24.75" customHeight="1">
      <c r="A101" s="9" t="s">
        <v>178</v>
      </c>
      <c r="B101" s="10" t="s">
        <v>273</v>
      </c>
      <c r="C101" s="495">
        <v>52044365</v>
      </c>
      <c r="D101" s="11">
        <v>0</v>
      </c>
      <c r="E101" s="11">
        <v>58439181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s="7" customFormat="1" ht="24.75" customHeight="1">
      <c r="A102" s="12" t="s">
        <v>16</v>
      </c>
      <c r="B102" s="13" t="s">
        <v>6</v>
      </c>
      <c r="C102" s="496">
        <v>61250540</v>
      </c>
      <c r="D102" s="14">
        <v>0</v>
      </c>
      <c r="E102" s="14">
        <f>SUM(E99:E100)</f>
        <v>59423800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s="7" customFormat="1" ht="24.75" customHeight="1">
      <c r="A103" s="9" t="s">
        <v>179</v>
      </c>
      <c r="B103" s="10" t="s">
        <v>261</v>
      </c>
      <c r="C103" s="495">
        <v>19114753</v>
      </c>
      <c r="D103" s="11">
        <v>0</v>
      </c>
      <c r="E103" s="11">
        <v>41217394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s="7" customFormat="1" ht="24.75" customHeight="1">
      <c r="A104" s="9" t="s">
        <v>180</v>
      </c>
      <c r="B104" s="10" t="s">
        <v>262</v>
      </c>
      <c r="C104" s="495">
        <v>1052234</v>
      </c>
      <c r="D104" s="11">
        <v>0</v>
      </c>
      <c r="E104" s="11">
        <v>1459450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s="26" customFormat="1" ht="30.75" customHeight="1">
      <c r="A105" s="30" t="s">
        <v>8</v>
      </c>
      <c r="B105" s="5" t="s">
        <v>0</v>
      </c>
      <c r="C105" s="5" t="s">
        <v>100</v>
      </c>
      <c r="D105" s="5" t="s">
        <v>99</v>
      </c>
      <c r="E105" s="5" t="s">
        <v>729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s="27" customFormat="1" ht="24.75" customHeight="1">
      <c r="A106" s="9" t="s">
        <v>181</v>
      </c>
      <c r="B106" s="10" t="s">
        <v>263</v>
      </c>
      <c r="C106" s="495">
        <v>1486524</v>
      </c>
      <c r="D106" s="11">
        <v>0</v>
      </c>
      <c r="E106" s="11">
        <v>1097878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1:37" s="7" customFormat="1" ht="24.75" customHeight="1">
      <c r="A107" s="12" t="s">
        <v>17</v>
      </c>
      <c r="B107" s="13" t="s">
        <v>264</v>
      </c>
      <c r="C107" s="496">
        <v>21653511</v>
      </c>
      <c r="D107" s="14">
        <v>0</v>
      </c>
      <c r="E107" s="14">
        <f>SUM(E103+E104+E106)</f>
        <v>43774722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ht="24.75" customHeight="1">
      <c r="A108" s="12" t="s">
        <v>182</v>
      </c>
      <c r="B108" s="13" t="s">
        <v>265</v>
      </c>
      <c r="C108" s="496">
        <v>86606720</v>
      </c>
      <c r="D108" s="14">
        <v>0</v>
      </c>
      <c r="E108" s="14">
        <f>SUM(E98+E102+E107)</f>
        <v>130705167</v>
      </c>
    </row>
    <row r="109" spans="1:37" ht="24.75" customHeight="1">
      <c r="A109" s="9" t="s">
        <v>183</v>
      </c>
      <c r="B109" s="10" t="s">
        <v>266</v>
      </c>
      <c r="C109" s="495">
        <v>955078387</v>
      </c>
      <c r="D109" s="11">
        <v>0</v>
      </c>
      <c r="E109" s="11">
        <v>3328758679</v>
      </c>
    </row>
    <row r="110" spans="1:37" ht="24.75" customHeight="1">
      <c r="A110" s="9" t="s">
        <v>184</v>
      </c>
      <c r="B110" s="10" t="s">
        <v>267</v>
      </c>
      <c r="C110" s="495">
        <v>116321487</v>
      </c>
      <c r="D110" s="11">
        <v>0</v>
      </c>
      <c r="E110" s="11">
        <v>130707428</v>
      </c>
    </row>
    <row r="111" spans="1:37" ht="24.75" customHeight="1">
      <c r="A111" s="9" t="s">
        <v>185</v>
      </c>
      <c r="B111" s="10" t="s">
        <v>268</v>
      </c>
      <c r="C111" s="495">
        <v>5451743</v>
      </c>
      <c r="D111" s="11">
        <v>0</v>
      </c>
      <c r="E111" s="11">
        <v>119523613</v>
      </c>
    </row>
    <row r="112" spans="1:37" ht="24.75" customHeight="1">
      <c r="A112" s="12" t="s">
        <v>186</v>
      </c>
      <c r="B112" s="13" t="s">
        <v>67</v>
      </c>
      <c r="C112" s="496">
        <v>1076851617</v>
      </c>
      <c r="D112" s="14">
        <v>0</v>
      </c>
      <c r="E112" s="14">
        <f>SUM(E109:E111)</f>
        <v>3578989720</v>
      </c>
    </row>
    <row r="113" spans="1:5" ht="24.75" customHeight="1">
      <c r="A113" s="15" t="s">
        <v>42</v>
      </c>
      <c r="B113" s="16" t="s">
        <v>5</v>
      </c>
      <c r="C113" s="17">
        <v>16324373913</v>
      </c>
      <c r="D113" s="17">
        <v>0</v>
      </c>
      <c r="E113" s="17">
        <f>SUM(E95+E108+E112)</f>
        <v>18862873550</v>
      </c>
    </row>
    <row r="114" spans="1:5">
      <c r="E114" s="284">
        <f>SUM(E88-E113)</f>
        <v>0</v>
      </c>
    </row>
  </sheetData>
  <mergeCells count="13">
    <mergeCell ref="A4:E4"/>
    <mergeCell ref="C42:C43"/>
    <mergeCell ref="D42:D43"/>
    <mergeCell ref="E42:E43"/>
    <mergeCell ref="C65:C66"/>
    <mergeCell ref="D65:D66"/>
    <mergeCell ref="E65:E66"/>
    <mergeCell ref="C53:C54"/>
    <mergeCell ref="D53:D54"/>
    <mergeCell ref="E53:E54"/>
    <mergeCell ref="C62:C63"/>
    <mergeCell ref="D62:D63"/>
    <mergeCell ref="E62:E63"/>
  </mergeCells>
  <pageMargins left="0.7" right="0.7" top="0.75" bottom="0.75" header="0.3" footer="0.3"/>
  <pageSetup paperSize="9" scale="58" orientation="portrait" horizontalDpi="300" verticalDpi="300" r:id="rId1"/>
  <rowBreaks count="2" manualBreakCount="2">
    <brk id="51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9"/>
  <sheetViews>
    <sheetView view="pageBreakPreview" zoomScale="98" zoomScaleNormal="98" zoomScaleSheetLayoutView="98" workbookViewId="0"/>
  </sheetViews>
  <sheetFormatPr defaultRowHeight="15.75"/>
  <cols>
    <col min="1" max="1" width="13.140625" style="8" customWidth="1"/>
    <col min="2" max="2" width="85.140625" style="1" customWidth="1"/>
    <col min="3" max="4" width="30.85546875" style="1" customWidth="1"/>
    <col min="5" max="35" width="9.140625" style="21"/>
    <col min="36" max="255" width="9.140625" style="1"/>
    <col min="256" max="256" width="82" style="1" customWidth="1"/>
    <col min="257" max="257" width="17.5703125" style="1" customWidth="1"/>
    <col min="258" max="258" width="13.7109375" style="1" customWidth="1"/>
    <col min="259" max="259" width="17.5703125" style="1" customWidth="1"/>
    <col min="260" max="511" width="9.140625" style="1"/>
    <col min="512" max="512" width="82" style="1" customWidth="1"/>
    <col min="513" max="513" width="17.5703125" style="1" customWidth="1"/>
    <col min="514" max="514" width="13.7109375" style="1" customWidth="1"/>
    <col min="515" max="515" width="17.5703125" style="1" customWidth="1"/>
    <col min="516" max="767" width="9.140625" style="1"/>
    <col min="768" max="768" width="82" style="1" customWidth="1"/>
    <col min="769" max="769" width="17.5703125" style="1" customWidth="1"/>
    <col min="770" max="770" width="13.7109375" style="1" customWidth="1"/>
    <col min="771" max="771" width="17.5703125" style="1" customWidth="1"/>
    <col min="772" max="1023" width="9.140625" style="1"/>
    <col min="1024" max="1024" width="82" style="1" customWidth="1"/>
    <col min="1025" max="1025" width="17.5703125" style="1" customWidth="1"/>
    <col min="1026" max="1026" width="13.7109375" style="1" customWidth="1"/>
    <col min="1027" max="1027" width="17.5703125" style="1" customWidth="1"/>
    <col min="1028" max="1279" width="9.140625" style="1"/>
    <col min="1280" max="1280" width="82" style="1" customWidth="1"/>
    <col min="1281" max="1281" width="17.5703125" style="1" customWidth="1"/>
    <col min="1282" max="1282" width="13.7109375" style="1" customWidth="1"/>
    <col min="1283" max="1283" width="17.5703125" style="1" customWidth="1"/>
    <col min="1284" max="1535" width="9.140625" style="1"/>
    <col min="1536" max="1536" width="82" style="1" customWidth="1"/>
    <col min="1537" max="1537" width="17.5703125" style="1" customWidth="1"/>
    <col min="1538" max="1538" width="13.7109375" style="1" customWidth="1"/>
    <col min="1539" max="1539" width="17.5703125" style="1" customWidth="1"/>
    <col min="1540" max="1791" width="9.140625" style="1"/>
    <col min="1792" max="1792" width="82" style="1" customWidth="1"/>
    <col min="1793" max="1793" width="17.5703125" style="1" customWidth="1"/>
    <col min="1794" max="1794" width="13.7109375" style="1" customWidth="1"/>
    <col min="1795" max="1795" width="17.5703125" style="1" customWidth="1"/>
    <col min="1796" max="2047" width="9.140625" style="1"/>
    <col min="2048" max="2048" width="82" style="1" customWidth="1"/>
    <col min="2049" max="2049" width="17.5703125" style="1" customWidth="1"/>
    <col min="2050" max="2050" width="13.7109375" style="1" customWidth="1"/>
    <col min="2051" max="2051" width="17.5703125" style="1" customWidth="1"/>
    <col min="2052" max="2303" width="9.140625" style="1"/>
    <col min="2304" max="2304" width="82" style="1" customWidth="1"/>
    <col min="2305" max="2305" width="17.5703125" style="1" customWidth="1"/>
    <col min="2306" max="2306" width="13.7109375" style="1" customWidth="1"/>
    <col min="2307" max="2307" width="17.5703125" style="1" customWidth="1"/>
    <col min="2308" max="2559" width="9.140625" style="1"/>
    <col min="2560" max="2560" width="82" style="1" customWidth="1"/>
    <col min="2561" max="2561" width="17.5703125" style="1" customWidth="1"/>
    <col min="2562" max="2562" width="13.7109375" style="1" customWidth="1"/>
    <col min="2563" max="2563" width="17.5703125" style="1" customWidth="1"/>
    <col min="2564" max="2815" width="9.140625" style="1"/>
    <col min="2816" max="2816" width="82" style="1" customWidth="1"/>
    <col min="2817" max="2817" width="17.5703125" style="1" customWidth="1"/>
    <col min="2818" max="2818" width="13.7109375" style="1" customWidth="1"/>
    <col min="2819" max="2819" width="17.5703125" style="1" customWidth="1"/>
    <col min="2820" max="3071" width="9.140625" style="1"/>
    <col min="3072" max="3072" width="82" style="1" customWidth="1"/>
    <col min="3073" max="3073" width="17.5703125" style="1" customWidth="1"/>
    <col min="3074" max="3074" width="13.7109375" style="1" customWidth="1"/>
    <col min="3075" max="3075" width="17.5703125" style="1" customWidth="1"/>
    <col min="3076" max="3327" width="9.140625" style="1"/>
    <col min="3328" max="3328" width="82" style="1" customWidth="1"/>
    <col min="3329" max="3329" width="17.5703125" style="1" customWidth="1"/>
    <col min="3330" max="3330" width="13.7109375" style="1" customWidth="1"/>
    <col min="3331" max="3331" width="17.5703125" style="1" customWidth="1"/>
    <col min="3332" max="3583" width="9.140625" style="1"/>
    <col min="3584" max="3584" width="82" style="1" customWidth="1"/>
    <col min="3585" max="3585" width="17.5703125" style="1" customWidth="1"/>
    <col min="3586" max="3586" width="13.7109375" style="1" customWidth="1"/>
    <col min="3587" max="3587" width="17.5703125" style="1" customWidth="1"/>
    <col min="3588" max="3839" width="9.140625" style="1"/>
    <col min="3840" max="3840" width="82" style="1" customWidth="1"/>
    <col min="3841" max="3841" width="17.5703125" style="1" customWidth="1"/>
    <col min="3842" max="3842" width="13.7109375" style="1" customWidth="1"/>
    <col min="3843" max="3843" width="17.5703125" style="1" customWidth="1"/>
    <col min="3844" max="4095" width="9.140625" style="1"/>
    <col min="4096" max="4096" width="82" style="1" customWidth="1"/>
    <col min="4097" max="4097" width="17.5703125" style="1" customWidth="1"/>
    <col min="4098" max="4098" width="13.7109375" style="1" customWidth="1"/>
    <col min="4099" max="4099" width="17.5703125" style="1" customWidth="1"/>
    <col min="4100" max="4351" width="9.140625" style="1"/>
    <col min="4352" max="4352" width="82" style="1" customWidth="1"/>
    <col min="4353" max="4353" width="17.5703125" style="1" customWidth="1"/>
    <col min="4354" max="4354" width="13.7109375" style="1" customWidth="1"/>
    <col min="4355" max="4355" width="17.5703125" style="1" customWidth="1"/>
    <col min="4356" max="4607" width="9.140625" style="1"/>
    <col min="4608" max="4608" width="82" style="1" customWidth="1"/>
    <col min="4609" max="4609" width="17.5703125" style="1" customWidth="1"/>
    <col min="4610" max="4610" width="13.7109375" style="1" customWidth="1"/>
    <col min="4611" max="4611" width="17.5703125" style="1" customWidth="1"/>
    <col min="4612" max="4863" width="9.140625" style="1"/>
    <col min="4864" max="4864" width="82" style="1" customWidth="1"/>
    <col min="4865" max="4865" width="17.5703125" style="1" customWidth="1"/>
    <col min="4866" max="4866" width="13.7109375" style="1" customWidth="1"/>
    <col min="4867" max="4867" width="17.5703125" style="1" customWidth="1"/>
    <col min="4868" max="5119" width="9.140625" style="1"/>
    <col min="5120" max="5120" width="82" style="1" customWidth="1"/>
    <col min="5121" max="5121" width="17.5703125" style="1" customWidth="1"/>
    <col min="5122" max="5122" width="13.7109375" style="1" customWidth="1"/>
    <col min="5123" max="5123" width="17.5703125" style="1" customWidth="1"/>
    <col min="5124" max="5375" width="9.140625" style="1"/>
    <col min="5376" max="5376" width="82" style="1" customWidth="1"/>
    <col min="5377" max="5377" width="17.5703125" style="1" customWidth="1"/>
    <col min="5378" max="5378" width="13.7109375" style="1" customWidth="1"/>
    <col min="5379" max="5379" width="17.5703125" style="1" customWidth="1"/>
    <col min="5380" max="5631" width="9.140625" style="1"/>
    <col min="5632" max="5632" width="82" style="1" customWidth="1"/>
    <col min="5633" max="5633" width="17.5703125" style="1" customWidth="1"/>
    <col min="5634" max="5634" width="13.7109375" style="1" customWidth="1"/>
    <col min="5635" max="5635" width="17.5703125" style="1" customWidth="1"/>
    <col min="5636" max="5887" width="9.140625" style="1"/>
    <col min="5888" max="5888" width="82" style="1" customWidth="1"/>
    <col min="5889" max="5889" width="17.5703125" style="1" customWidth="1"/>
    <col min="5890" max="5890" width="13.7109375" style="1" customWidth="1"/>
    <col min="5891" max="5891" width="17.5703125" style="1" customWidth="1"/>
    <col min="5892" max="6143" width="9.140625" style="1"/>
    <col min="6144" max="6144" width="82" style="1" customWidth="1"/>
    <col min="6145" max="6145" width="17.5703125" style="1" customWidth="1"/>
    <col min="6146" max="6146" width="13.7109375" style="1" customWidth="1"/>
    <col min="6147" max="6147" width="17.5703125" style="1" customWidth="1"/>
    <col min="6148" max="6399" width="9.140625" style="1"/>
    <col min="6400" max="6400" width="82" style="1" customWidth="1"/>
    <col min="6401" max="6401" width="17.5703125" style="1" customWidth="1"/>
    <col min="6402" max="6402" width="13.7109375" style="1" customWidth="1"/>
    <col min="6403" max="6403" width="17.5703125" style="1" customWidth="1"/>
    <col min="6404" max="6655" width="9.140625" style="1"/>
    <col min="6656" max="6656" width="82" style="1" customWidth="1"/>
    <col min="6657" max="6657" width="17.5703125" style="1" customWidth="1"/>
    <col min="6658" max="6658" width="13.7109375" style="1" customWidth="1"/>
    <col min="6659" max="6659" width="17.5703125" style="1" customWidth="1"/>
    <col min="6660" max="6911" width="9.140625" style="1"/>
    <col min="6912" max="6912" width="82" style="1" customWidth="1"/>
    <col min="6913" max="6913" width="17.5703125" style="1" customWidth="1"/>
    <col min="6914" max="6914" width="13.7109375" style="1" customWidth="1"/>
    <col min="6915" max="6915" width="17.5703125" style="1" customWidth="1"/>
    <col min="6916" max="7167" width="9.140625" style="1"/>
    <col min="7168" max="7168" width="82" style="1" customWidth="1"/>
    <col min="7169" max="7169" width="17.5703125" style="1" customWidth="1"/>
    <col min="7170" max="7170" width="13.7109375" style="1" customWidth="1"/>
    <col min="7171" max="7171" width="17.5703125" style="1" customWidth="1"/>
    <col min="7172" max="7423" width="9.140625" style="1"/>
    <col min="7424" max="7424" width="82" style="1" customWidth="1"/>
    <col min="7425" max="7425" width="17.5703125" style="1" customWidth="1"/>
    <col min="7426" max="7426" width="13.7109375" style="1" customWidth="1"/>
    <col min="7427" max="7427" width="17.5703125" style="1" customWidth="1"/>
    <col min="7428" max="7679" width="9.140625" style="1"/>
    <col min="7680" max="7680" width="82" style="1" customWidth="1"/>
    <col min="7681" max="7681" width="17.5703125" style="1" customWidth="1"/>
    <col min="7682" max="7682" width="13.7109375" style="1" customWidth="1"/>
    <col min="7683" max="7683" width="17.5703125" style="1" customWidth="1"/>
    <col min="7684" max="7935" width="9.140625" style="1"/>
    <col min="7936" max="7936" width="82" style="1" customWidth="1"/>
    <col min="7937" max="7937" width="17.5703125" style="1" customWidth="1"/>
    <col min="7938" max="7938" width="13.7109375" style="1" customWidth="1"/>
    <col min="7939" max="7939" width="17.5703125" style="1" customWidth="1"/>
    <col min="7940" max="8191" width="9.140625" style="1"/>
    <col min="8192" max="8192" width="82" style="1" customWidth="1"/>
    <col min="8193" max="8193" width="17.5703125" style="1" customWidth="1"/>
    <col min="8194" max="8194" width="13.7109375" style="1" customWidth="1"/>
    <col min="8195" max="8195" width="17.5703125" style="1" customWidth="1"/>
    <col min="8196" max="8447" width="9.140625" style="1"/>
    <col min="8448" max="8448" width="82" style="1" customWidth="1"/>
    <col min="8449" max="8449" width="17.5703125" style="1" customWidth="1"/>
    <col min="8450" max="8450" width="13.7109375" style="1" customWidth="1"/>
    <col min="8451" max="8451" width="17.5703125" style="1" customWidth="1"/>
    <col min="8452" max="8703" width="9.140625" style="1"/>
    <col min="8704" max="8704" width="82" style="1" customWidth="1"/>
    <col min="8705" max="8705" width="17.5703125" style="1" customWidth="1"/>
    <col min="8706" max="8706" width="13.7109375" style="1" customWidth="1"/>
    <col min="8707" max="8707" width="17.5703125" style="1" customWidth="1"/>
    <col min="8708" max="8959" width="9.140625" style="1"/>
    <col min="8960" max="8960" width="82" style="1" customWidth="1"/>
    <col min="8961" max="8961" width="17.5703125" style="1" customWidth="1"/>
    <col min="8962" max="8962" width="13.7109375" style="1" customWidth="1"/>
    <col min="8963" max="8963" width="17.5703125" style="1" customWidth="1"/>
    <col min="8964" max="9215" width="9.140625" style="1"/>
    <col min="9216" max="9216" width="82" style="1" customWidth="1"/>
    <col min="9217" max="9217" width="17.5703125" style="1" customWidth="1"/>
    <col min="9218" max="9218" width="13.7109375" style="1" customWidth="1"/>
    <col min="9219" max="9219" width="17.5703125" style="1" customWidth="1"/>
    <col min="9220" max="9471" width="9.140625" style="1"/>
    <col min="9472" max="9472" width="82" style="1" customWidth="1"/>
    <col min="9473" max="9473" width="17.5703125" style="1" customWidth="1"/>
    <col min="9474" max="9474" width="13.7109375" style="1" customWidth="1"/>
    <col min="9475" max="9475" width="17.5703125" style="1" customWidth="1"/>
    <col min="9476" max="9727" width="9.140625" style="1"/>
    <col min="9728" max="9728" width="82" style="1" customWidth="1"/>
    <col min="9729" max="9729" width="17.5703125" style="1" customWidth="1"/>
    <col min="9730" max="9730" width="13.7109375" style="1" customWidth="1"/>
    <col min="9731" max="9731" width="17.5703125" style="1" customWidth="1"/>
    <col min="9732" max="9983" width="9.140625" style="1"/>
    <col min="9984" max="9984" width="82" style="1" customWidth="1"/>
    <col min="9985" max="9985" width="17.5703125" style="1" customWidth="1"/>
    <col min="9986" max="9986" width="13.7109375" style="1" customWidth="1"/>
    <col min="9987" max="9987" width="17.5703125" style="1" customWidth="1"/>
    <col min="9988" max="10239" width="9.140625" style="1"/>
    <col min="10240" max="10240" width="82" style="1" customWidth="1"/>
    <col min="10241" max="10241" width="17.5703125" style="1" customWidth="1"/>
    <col min="10242" max="10242" width="13.7109375" style="1" customWidth="1"/>
    <col min="10243" max="10243" width="17.5703125" style="1" customWidth="1"/>
    <col min="10244" max="10495" width="9.140625" style="1"/>
    <col min="10496" max="10496" width="82" style="1" customWidth="1"/>
    <col min="10497" max="10497" width="17.5703125" style="1" customWidth="1"/>
    <col min="10498" max="10498" width="13.7109375" style="1" customWidth="1"/>
    <col min="10499" max="10499" width="17.5703125" style="1" customWidth="1"/>
    <col min="10500" max="10751" width="9.140625" style="1"/>
    <col min="10752" max="10752" width="82" style="1" customWidth="1"/>
    <col min="10753" max="10753" width="17.5703125" style="1" customWidth="1"/>
    <col min="10754" max="10754" width="13.7109375" style="1" customWidth="1"/>
    <col min="10755" max="10755" width="17.5703125" style="1" customWidth="1"/>
    <col min="10756" max="11007" width="9.140625" style="1"/>
    <col min="11008" max="11008" width="82" style="1" customWidth="1"/>
    <col min="11009" max="11009" width="17.5703125" style="1" customWidth="1"/>
    <col min="11010" max="11010" width="13.7109375" style="1" customWidth="1"/>
    <col min="11011" max="11011" width="17.5703125" style="1" customWidth="1"/>
    <col min="11012" max="11263" width="9.140625" style="1"/>
    <col min="11264" max="11264" width="82" style="1" customWidth="1"/>
    <col min="11265" max="11265" width="17.5703125" style="1" customWidth="1"/>
    <col min="11266" max="11266" width="13.7109375" style="1" customWidth="1"/>
    <col min="11267" max="11267" width="17.5703125" style="1" customWidth="1"/>
    <col min="11268" max="11519" width="9.140625" style="1"/>
    <col min="11520" max="11520" width="82" style="1" customWidth="1"/>
    <col min="11521" max="11521" width="17.5703125" style="1" customWidth="1"/>
    <col min="11522" max="11522" width="13.7109375" style="1" customWidth="1"/>
    <col min="11523" max="11523" width="17.5703125" style="1" customWidth="1"/>
    <col min="11524" max="11775" width="9.140625" style="1"/>
    <col min="11776" max="11776" width="82" style="1" customWidth="1"/>
    <col min="11777" max="11777" width="17.5703125" style="1" customWidth="1"/>
    <col min="11778" max="11778" width="13.7109375" style="1" customWidth="1"/>
    <col min="11779" max="11779" width="17.5703125" style="1" customWidth="1"/>
    <col min="11780" max="12031" width="9.140625" style="1"/>
    <col min="12032" max="12032" width="82" style="1" customWidth="1"/>
    <col min="12033" max="12033" width="17.5703125" style="1" customWidth="1"/>
    <col min="12034" max="12034" width="13.7109375" style="1" customWidth="1"/>
    <col min="12035" max="12035" width="17.5703125" style="1" customWidth="1"/>
    <col min="12036" max="12287" width="9.140625" style="1"/>
    <col min="12288" max="12288" width="82" style="1" customWidth="1"/>
    <col min="12289" max="12289" width="17.5703125" style="1" customWidth="1"/>
    <col min="12290" max="12290" width="13.7109375" style="1" customWidth="1"/>
    <col min="12291" max="12291" width="17.5703125" style="1" customWidth="1"/>
    <col min="12292" max="12543" width="9.140625" style="1"/>
    <col min="12544" max="12544" width="82" style="1" customWidth="1"/>
    <col min="12545" max="12545" width="17.5703125" style="1" customWidth="1"/>
    <col min="12546" max="12546" width="13.7109375" style="1" customWidth="1"/>
    <col min="12547" max="12547" width="17.5703125" style="1" customWidth="1"/>
    <col min="12548" max="12799" width="9.140625" style="1"/>
    <col min="12800" max="12800" width="82" style="1" customWidth="1"/>
    <col min="12801" max="12801" width="17.5703125" style="1" customWidth="1"/>
    <col min="12802" max="12802" width="13.7109375" style="1" customWidth="1"/>
    <col min="12803" max="12803" width="17.5703125" style="1" customWidth="1"/>
    <col min="12804" max="13055" width="9.140625" style="1"/>
    <col min="13056" max="13056" width="82" style="1" customWidth="1"/>
    <col min="13057" max="13057" width="17.5703125" style="1" customWidth="1"/>
    <col min="13058" max="13058" width="13.7109375" style="1" customWidth="1"/>
    <col min="13059" max="13059" width="17.5703125" style="1" customWidth="1"/>
    <col min="13060" max="13311" width="9.140625" style="1"/>
    <col min="13312" max="13312" width="82" style="1" customWidth="1"/>
    <col min="13313" max="13313" width="17.5703125" style="1" customWidth="1"/>
    <col min="13314" max="13314" width="13.7109375" style="1" customWidth="1"/>
    <col min="13315" max="13315" width="17.5703125" style="1" customWidth="1"/>
    <col min="13316" max="13567" width="9.140625" style="1"/>
    <col min="13568" max="13568" width="82" style="1" customWidth="1"/>
    <col min="13569" max="13569" width="17.5703125" style="1" customWidth="1"/>
    <col min="13570" max="13570" width="13.7109375" style="1" customWidth="1"/>
    <col min="13571" max="13571" width="17.5703125" style="1" customWidth="1"/>
    <col min="13572" max="13823" width="9.140625" style="1"/>
    <col min="13824" max="13824" width="82" style="1" customWidth="1"/>
    <col min="13825" max="13825" width="17.5703125" style="1" customWidth="1"/>
    <col min="13826" max="13826" width="13.7109375" style="1" customWidth="1"/>
    <col min="13827" max="13827" width="17.5703125" style="1" customWidth="1"/>
    <col min="13828" max="14079" width="9.140625" style="1"/>
    <col min="14080" max="14080" width="82" style="1" customWidth="1"/>
    <col min="14081" max="14081" width="17.5703125" style="1" customWidth="1"/>
    <col min="14082" max="14082" width="13.7109375" style="1" customWidth="1"/>
    <col min="14083" max="14083" width="17.5703125" style="1" customWidth="1"/>
    <col min="14084" max="14335" width="9.140625" style="1"/>
    <col min="14336" max="14336" width="82" style="1" customWidth="1"/>
    <col min="14337" max="14337" width="17.5703125" style="1" customWidth="1"/>
    <col min="14338" max="14338" width="13.7109375" style="1" customWidth="1"/>
    <col min="14339" max="14339" width="17.5703125" style="1" customWidth="1"/>
    <col min="14340" max="14591" width="9.140625" style="1"/>
    <col min="14592" max="14592" width="82" style="1" customWidth="1"/>
    <col min="14593" max="14593" width="17.5703125" style="1" customWidth="1"/>
    <col min="14594" max="14594" width="13.7109375" style="1" customWidth="1"/>
    <col min="14595" max="14595" width="17.5703125" style="1" customWidth="1"/>
    <col min="14596" max="14847" width="9.140625" style="1"/>
    <col min="14848" max="14848" width="82" style="1" customWidth="1"/>
    <col min="14849" max="14849" width="17.5703125" style="1" customWidth="1"/>
    <col min="14850" max="14850" width="13.7109375" style="1" customWidth="1"/>
    <col min="14851" max="14851" width="17.5703125" style="1" customWidth="1"/>
    <col min="14852" max="15103" width="9.140625" style="1"/>
    <col min="15104" max="15104" width="82" style="1" customWidth="1"/>
    <col min="15105" max="15105" width="17.5703125" style="1" customWidth="1"/>
    <col min="15106" max="15106" width="13.7109375" style="1" customWidth="1"/>
    <col min="15107" max="15107" width="17.5703125" style="1" customWidth="1"/>
    <col min="15108" max="15359" width="9.140625" style="1"/>
    <col min="15360" max="15360" width="82" style="1" customWidth="1"/>
    <col min="15361" max="15361" width="17.5703125" style="1" customWidth="1"/>
    <col min="15362" max="15362" width="13.7109375" style="1" customWidth="1"/>
    <col min="15363" max="15363" width="17.5703125" style="1" customWidth="1"/>
    <col min="15364" max="15615" width="9.140625" style="1"/>
    <col min="15616" max="15616" width="82" style="1" customWidth="1"/>
    <col min="15617" max="15617" width="17.5703125" style="1" customWidth="1"/>
    <col min="15618" max="15618" width="13.7109375" style="1" customWidth="1"/>
    <col min="15619" max="15619" width="17.5703125" style="1" customWidth="1"/>
    <col min="15620" max="15871" width="9.140625" style="1"/>
    <col min="15872" max="15872" width="82" style="1" customWidth="1"/>
    <col min="15873" max="15873" width="17.5703125" style="1" customWidth="1"/>
    <col min="15874" max="15874" width="13.7109375" style="1" customWidth="1"/>
    <col min="15875" max="15875" width="17.5703125" style="1" customWidth="1"/>
    <col min="15876" max="16127" width="9.140625" style="1"/>
    <col min="16128" max="16128" width="82" style="1" customWidth="1"/>
    <col min="16129" max="16129" width="17.5703125" style="1" customWidth="1"/>
    <col min="16130" max="16130" width="13.7109375" style="1" customWidth="1"/>
    <col min="16131" max="16131" width="17.5703125" style="1" customWidth="1"/>
    <col min="16132" max="16384" width="9.140625" style="1"/>
  </cols>
  <sheetData>
    <row r="1" spans="1:35">
      <c r="A1" s="770" t="s">
        <v>960</v>
      </c>
    </row>
    <row r="4" spans="1:35" s="2" customFormat="1">
      <c r="A4" s="791" t="s">
        <v>862</v>
      </c>
      <c r="B4" s="791"/>
      <c r="C4" s="791"/>
      <c r="D4" s="79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s="2" customFormat="1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>
      <c r="D6" s="4" t="s">
        <v>7</v>
      </c>
    </row>
    <row r="7" spans="1:35" s="26" customFormat="1" ht="30.75" customHeight="1">
      <c r="A7" s="30" t="s">
        <v>8</v>
      </c>
      <c r="B7" s="5" t="s">
        <v>0</v>
      </c>
      <c r="C7" s="5" t="s">
        <v>953</v>
      </c>
      <c r="D7" s="5" t="s">
        <v>863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21" customFormat="1" ht="25.5" customHeight="1">
      <c r="A8" s="771" t="s">
        <v>865</v>
      </c>
      <c r="B8" s="772" t="s">
        <v>866</v>
      </c>
      <c r="C8" s="773">
        <v>23323373</v>
      </c>
      <c r="D8" s="773">
        <v>265577</v>
      </c>
    </row>
    <row r="9" spans="1:35" s="21" customFormat="1" ht="25.5" customHeight="1">
      <c r="A9" s="771"/>
      <c r="B9" s="772" t="s">
        <v>867</v>
      </c>
      <c r="C9" s="773">
        <v>13679935</v>
      </c>
      <c r="D9" s="773">
        <v>149562</v>
      </c>
    </row>
    <row r="10" spans="1:35" s="21" customFormat="1" ht="25.5" customHeight="1">
      <c r="A10" s="771"/>
      <c r="B10" s="772" t="s">
        <v>868</v>
      </c>
      <c r="C10" s="773">
        <v>0</v>
      </c>
      <c r="D10" s="773">
        <v>0</v>
      </c>
    </row>
    <row r="11" spans="1:35" s="21" customFormat="1" ht="25.5" customHeight="1">
      <c r="A11" s="771"/>
      <c r="B11" s="772" t="s">
        <v>869</v>
      </c>
      <c r="C11" s="773">
        <v>13679935</v>
      </c>
      <c r="D11" s="773">
        <v>149562</v>
      </c>
    </row>
    <row r="12" spans="1:35" s="21" customFormat="1" ht="25.5" customHeight="1">
      <c r="A12" s="774"/>
      <c r="B12" s="775" t="s">
        <v>870</v>
      </c>
      <c r="C12" s="776">
        <v>545800</v>
      </c>
      <c r="D12" s="776">
        <v>119694</v>
      </c>
    </row>
    <row r="13" spans="1:35" s="21" customFormat="1" ht="25.5" customHeight="1">
      <c r="A13" s="774"/>
      <c r="B13" s="775" t="s">
        <v>871</v>
      </c>
      <c r="C13" s="776">
        <v>95000</v>
      </c>
      <c r="D13" s="776">
        <v>29868</v>
      </c>
    </row>
    <row r="14" spans="1:35" s="21" customFormat="1" ht="25.5" customHeight="1">
      <c r="A14" s="774"/>
      <c r="B14" s="775" t="s">
        <v>872</v>
      </c>
      <c r="C14" s="776">
        <v>9820605</v>
      </c>
      <c r="D14" s="776"/>
    </row>
    <row r="15" spans="1:35" s="21" customFormat="1" ht="25.5" customHeight="1">
      <c r="A15" s="774"/>
      <c r="B15" s="775" t="s">
        <v>873</v>
      </c>
      <c r="C15" s="776">
        <v>3218530</v>
      </c>
      <c r="D15" s="776">
        <v>0</v>
      </c>
    </row>
    <row r="16" spans="1:35" s="21" customFormat="1" ht="25.5" customHeight="1">
      <c r="A16" s="771"/>
      <c r="B16" s="772" t="s">
        <v>874</v>
      </c>
      <c r="C16" s="773">
        <v>9643438</v>
      </c>
      <c r="D16" s="773">
        <v>116015</v>
      </c>
    </row>
    <row r="17" spans="1:4" s="21" customFormat="1" ht="25.5" customHeight="1">
      <c r="A17" s="774"/>
      <c r="B17" s="775" t="s">
        <v>875</v>
      </c>
      <c r="C17" s="776">
        <v>589686</v>
      </c>
      <c r="D17" s="776">
        <v>116015</v>
      </c>
    </row>
    <row r="18" spans="1:4" s="21" customFormat="1" ht="25.5" customHeight="1">
      <c r="A18" s="774"/>
      <c r="B18" s="775" t="s">
        <v>876</v>
      </c>
      <c r="C18" s="776">
        <v>8696902</v>
      </c>
      <c r="D18" s="776">
        <v>0</v>
      </c>
    </row>
    <row r="19" spans="1:4" s="21" customFormat="1" ht="25.5" customHeight="1">
      <c r="A19" s="774"/>
      <c r="B19" s="775" t="s">
        <v>877</v>
      </c>
      <c r="C19" s="776">
        <v>356850</v>
      </c>
      <c r="D19" s="776">
        <v>0</v>
      </c>
    </row>
    <row r="20" spans="1:4" s="21" customFormat="1" ht="25.5" customHeight="1">
      <c r="A20" s="771" t="s">
        <v>878</v>
      </c>
      <c r="B20" s="772" t="s">
        <v>879</v>
      </c>
      <c r="C20" s="773">
        <v>65457388</v>
      </c>
      <c r="D20" s="773">
        <v>29420310</v>
      </c>
    </row>
    <row r="21" spans="1:4" s="21" customFormat="1" ht="25.5" customHeight="1">
      <c r="A21" s="771"/>
      <c r="B21" s="772" t="s">
        <v>867</v>
      </c>
      <c r="C21" s="773">
        <v>1688510</v>
      </c>
      <c r="D21" s="773">
        <v>1381599</v>
      </c>
    </row>
    <row r="22" spans="1:4" s="21" customFormat="1" ht="25.5" customHeight="1">
      <c r="A22" s="771"/>
      <c r="B22" s="772" t="s">
        <v>880</v>
      </c>
      <c r="C22" s="773">
        <v>0</v>
      </c>
      <c r="D22" s="773">
        <v>0</v>
      </c>
    </row>
    <row r="23" spans="1:4" s="21" customFormat="1" ht="25.5" customHeight="1">
      <c r="A23" s="771"/>
      <c r="B23" s="772" t="s">
        <v>881</v>
      </c>
      <c r="C23" s="773">
        <v>1688510</v>
      </c>
      <c r="D23" s="773">
        <v>1381599</v>
      </c>
    </row>
    <row r="24" spans="1:4" s="21" customFormat="1" ht="25.5" customHeight="1">
      <c r="A24" s="774"/>
      <c r="B24" s="775" t="s">
        <v>882</v>
      </c>
      <c r="C24" s="776">
        <v>1531800</v>
      </c>
      <c r="D24" s="776">
        <v>1381599</v>
      </c>
    </row>
    <row r="25" spans="1:4" s="21" customFormat="1" ht="25.5" customHeight="1">
      <c r="A25" s="774"/>
      <c r="B25" s="775" t="s">
        <v>883</v>
      </c>
      <c r="C25" s="776">
        <v>156710</v>
      </c>
      <c r="D25" s="776">
        <v>0</v>
      </c>
    </row>
    <row r="26" spans="1:4" s="21" customFormat="1" ht="25.5" customHeight="1">
      <c r="A26" s="771"/>
      <c r="B26" s="772" t="s">
        <v>874</v>
      </c>
      <c r="C26" s="773">
        <v>63768878</v>
      </c>
      <c r="D26" s="773">
        <v>28038711</v>
      </c>
    </row>
    <row r="27" spans="1:4" s="21" customFormat="1" ht="25.5" customHeight="1">
      <c r="A27" s="774"/>
      <c r="B27" s="775" t="s">
        <v>884</v>
      </c>
      <c r="C27" s="776">
        <v>42323007</v>
      </c>
      <c r="D27" s="776">
        <v>28038711</v>
      </c>
    </row>
    <row r="28" spans="1:4" s="21" customFormat="1" ht="25.5" customHeight="1">
      <c r="A28" s="774"/>
      <c r="B28" s="775" t="s">
        <v>885</v>
      </c>
      <c r="C28" s="776">
        <v>8284746</v>
      </c>
      <c r="D28" s="776">
        <v>0</v>
      </c>
    </row>
    <row r="29" spans="1:4" s="21" customFormat="1" ht="25.5" customHeight="1">
      <c r="A29" s="774"/>
      <c r="B29" s="775" t="s">
        <v>886</v>
      </c>
      <c r="C29" s="776">
        <v>13161125</v>
      </c>
      <c r="D29" s="776">
        <v>0</v>
      </c>
    </row>
    <row r="30" spans="1:4" s="21" customFormat="1" ht="25.5" customHeight="1">
      <c r="A30" s="771" t="s">
        <v>954</v>
      </c>
      <c r="B30" s="772" t="s">
        <v>189</v>
      </c>
      <c r="C30" s="773">
        <f>SUM(C20+C8)</f>
        <v>88780761</v>
      </c>
      <c r="D30" s="773">
        <f>SUM(D20+D8)</f>
        <v>29685887</v>
      </c>
    </row>
    <row r="31" spans="1:4" s="21" customFormat="1" ht="25.5" customHeight="1">
      <c r="A31" s="771" t="s">
        <v>888</v>
      </c>
      <c r="B31" s="772" t="s">
        <v>889</v>
      </c>
      <c r="C31" s="773">
        <v>18804150706</v>
      </c>
      <c r="D31" s="773">
        <v>14736177590</v>
      </c>
    </row>
    <row r="32" spans="1:4" s="21" customFormat="1" ht="25.5" customHeight="1">
      <c r="A32" s="771"/>
      <c r="B32" s="772" t="s">
        <v>867</v>
      </c>
      <c r="C32" s="773">
        <v>16356884966</v>
      </c>
      <c r="D32" s="773">
        <v>12557419419</v>
      </c>
    </row>
    <row r="33" spans="1:4" s="21" customFormat="1" ht="25.5" customHeight="1">
      <c r="A33" s="777"/>
      <c r="B33" s="772" t="s">
        <v>890</v>
      </c>
      <c r="C33" s="773">
        <v>11982754412</v>
      </c>
      <c r="D33" s="773">
        <v>9106550066</v>
      </c>
    </row>
    <row r="34" spans="1:4" s="21" customFormat="1" ht="25.5" customHeight="1">
      <c r="A34" s="777"/>
      <c r="B34" s="775" t="s">
        <v>891</v>
      </c>
      <c r="C34" s="776">
        <v>655970605</v>
      </c>
      <c r="D34" s="776">
        <v>655970605</v>
      </c>
    </row>
    <row r="35" spans="1:4" s="21" customFormat="1" ht="25.5" customHeight="1">
      <c r="A35" s="777"/>
      <c r="B35" s="775" t="s">
        <v>892</v>
      </c>
      <c r="C35" s="776">
        <v>42308900</v>
      </c>
      <c r="D35" s="776">
        <v>42308900</v>
      </c>
    </row>
    <row r="36" spans="1:4" s="21" customFormat="1" ht="25.5" customHeight="1">
      <c r="A36" s="777"/>
      <c r="B36" s="775" t="s">
        <v>893</v>
      </c>
      <c r="C36" s="776">
        <v>1668578990</v>
      </c>
      <c r="D36" s="776">
        <v>1668578990</v>
      </c>
    </row>
    <row r="37" spans="1:4" s="21" customFormat="1" ht="25.5" customHeight="1">
      <c r="A37" s="777"/>
      <c r="B37" s="775" t="s">
        <v>894</v>
      </c>
      <c r="C37" s="776">
        <v>2395000</v>
      </c>
      <c r="D37" s="776">
        <v>2395000</v>
      </c>
    </row>
    <row r="38" spans="1:4" s="21" customFormat="1" ht="25.5" customHeight="1">
      <c r="A38" s="777"/>
      <c r="B38" s="775" t="s">
        <v>895</v>
      </c>
      <c r="C38" s="776">
        <v>1728065</v>
      </c>
      <c r="D38" s="776">
        <v>762449</v>
      </c>
    </row>
    <row r="39" spans="1:4" s="21" customFormat="1" ht="25.5" customHeight="1">
      <c r="A39" s="777"/>
      <c r="B39" s="775" t="s">
        <v>896</v>
      </c>
      <c r="C39" s="776">
        <v>173162435</v>
      </c>
      <c r="D39" s="776">
        <v>167727415</v>
      </c>
    </row>
    <row r="40" spans="1:4" s="21" customFormat="1" ht="25.5" customHeight="1">
      <c r="A40" s="777"/>
      <c r="B40" s="775" t="s">
        <v>897</v>
      </c>
      <c r="C40" s="776">
        <v>6234498221</v>
      </c>
      <c r="D40" s="776">
        <v>3694399321</v>
      </c>
    </row>
    <row r="41" spans="1:4" s="21" customFormat="1" ht="25.5" customHeight="1">
      <c r="A41" s="777"/>
      <c r="B41" s="775" t="s">
        <v>898</v>
      </c>
      <c r="C41" s="776">
        <v>3201944196</v>
      </c>
      <c r="D41" s="776">
        <v>2874407386</v>
      </c>
    </row>
    <row r="42" spans="1:4" s="21" customFormat="1" ht="25.5" customHeight="1">
      <c r="A42" s="777"/>
      <c r="B42" s="775" t="s">
        <v>899</v>
      </c>
      <c r="C42" s="776">
        <v>362000</v>
      </c>
      <c r="D42" s="776">
        <v>0</v>
      </c>
    </row>
    <row r="43" spans="1:4" s="21" customFormat="1" ht="25.5" customHeight="1">
      <c r="A43" s="777"/>
      <c r="B43" s="775" t="s">
        <v>900</v>
      </c>
      <c r="C43" s="776">
        <v>496000</v>
      </c>
      <c r="D43" s="776">
        <v>0</v>
      </c>
    </row>
    <row r="44" spans="1:4" s="21" customFormat="1" ht="25.5" customHeight="1">
      <c r="A44" s="777"/>
      <c r="B44" s="775" t="s">
        <v>901</v>
      </c>
      <c r="C44" s="776">
        <v>1310000</v>
      </c>
      <c r="D44" s="776">
        <v>0</v>
      </c>
    </row>
    <row r="45" spans="1:4" s="21" customFormat="1" ht="25.5" customHeight="1">
      <c r="A45" s="777"/>
      <c r="B45" s="772" t="s">
        <v>870</v>
      </c>
      <c r="C45" s="773">
        <v>4374130554</v>
      </c>
      <c r="D45" s="773">
        <v>3450869353</v>
      </c>
    </row>
    <row r="46" spans="1:4" s="21" customFormat="1" ht="25.5" customHeight="1">
      <c r="A46" s="777"/>
      <c r="B46" s="775" t="s">
        <v>891</v>
      </c>
      <c r="C46" s="776">
        <v>614750</v>
      </c>
      <c r="D46" s="776">
        <v>614750</v>
      </c>
    </row>
    <row r="47" spans="1:4" s="21" customFormat="1" ht="25.5" customHeight="1">
      <c r="A47" s="777"/>
      <c r="B47" s="775" t="s">
        <v>892</v>
      </c>
      <c r="C47" s="776">
        <v>516050</v>
      </c>
      <c r="D47" s="776">
        <v>516050</v>
      </c>
    </row>
    <row r="48" spans="1:4" s="21" customFormat="1" ht="25.5" customHeight="1">
      <c r="A48" s="777"/>
      <c r="B48" s="775" t="s">
        <v>893</v>
      </c>
      <c r="C48" s="776">
        <v>154392796</v>
      </c>
      <c r="D48" s="776">
        <v>154392796</v>
      </c>
    </row>
    <row r="49" spans="1:35" s="21" customFormat="1" ht="25.5" customHeight="1">
      <c r="A49" s="777"/>
      <c r="B49" s="775" t="s">
        <v>894</v>
      </c>
      <c r="C49" s="776">
        <v>303591181</v>
      </c>
      <c r="D49" s="776">
        <v>303591181</v>
      </c>
    </row>
    <row r="50" spans="1:35" s="21" customFormat="1" ht="25.5" customHeight="1">
      <c r="A50" s="777"/>
      <c r="B50" s="775" t="s">
        <v>895</v>
      </c>
      <c r="C50" s="776">
        <v>1338895895</v>
      </c>
      <c r="D50" s="776">
        <v>1107523468</v>
      </c>
    </row>
    <row r="51" spans="1:35" s="21" customFormat="1" ht="25.5" customHeight="1">
      <c r="A51" s="777"/>
      <c r="B51" s="775" t="s">
        <v>896</v>
      </c>
      <c r="C51" s="776">
        <v>1839651304</v>
      </c>
      <c r="D51" s="776">
        <v>1383745047</v>
      </c>
    </row>
    <row r="52" spans="1:35" s="21" customFormat="1" ht="25.5" customHeight="1">
      <c r="A52" s="777"/>
      <c r="B52" s="775" t="s">
        <v>902</v>
      </c>
      <c r="C52" s="776">
        <v>1750</v>
      </c>
      <c r="D52" s="776">
        <v>1750</v>
      </c>
    </row>
    <row r="53" spans="1:35" s="21" customFormat="1" ht="25.5" customHeight="1">
      <c r="A53" s="777"/>
      <c r="B53" s="775" t="s">
        <v>903</v>
      </c>
      <c r="C53" s="776">
        <v>36720000</v>
      </c>
      <c r="D53" s="776">
        <v>20196000</v>
      </c>
    </row>
    <row r="54" spans="1:35" s="21" customFormat="1" ht="25.5" customHeight="1">
      <c r="A54" s="777"/>
      <c r="B54" s="775" t="s">
        <v>897</v>
      </c>
      <c r="C54" s="776">
        <v>286919174</v>
      </c>
      <c r="D54" s="776">
        <v>227970468</v>
      </c>
    </row>
    <row r="55" spans="1:35" s="21" customFormat="1" ht="25.5" customHeight="1">
      <c r="A55" s="777"/>
      <c r="B55" s="775" t="s">
        <v>898</v>
      </c>
      <c r="C55" s="776">
        <v>402001322</v>
      </c>
      <c r="D55" s="776">
        <v>252317843</v>
      </c>
    </row>
    <row r="56" spans="1:35" s="21" customFormat="1" ht="25.5" customHeight="1">
      <c r="A56" s="777"/>
      <c r="B56" s="775" t="s">
        <v>899</v>
      </c>
      <c r="C56" s="776">
        <v>19000</v>
      </c>
      <c r="D56" s="776">
        <v>0</v>
      </c>
    </row>
    <row r="57" spans="1:35" s="21" customFormat="1" ht="25.5" customHeight="1">
      <c r="A57" s="777"/>
      <c r="B57" s="775" t="s">
        <v>900</v>
      </c>
      <c r="C57" s="776">
        <v>2203000</v>
      </c>
      <c r="D57" s="776">
        <v>0</v>
      </c>
    </row>
    <row r="58" spans="1:35" s="21" customFormat="1" ht="25.5" customHeight="1">
      <c r="A58" s="777"/>
      <c r="B58" s="775" t="s">
        <v>904</v>
      </c>
      <c r="C58" s="776">
        <v>3228500</v>
      </c>
      <c r="D58" s="776">
        <v>0</v>
      </c>
    </row>
    <row r="59" spans="1:35" s="21" customFormat="1" ht="25.5" customHeight="1">
      <c r="A59" s="777"/>
      <c r="B59" s="775" t="s">
        <v>901</v>
      </c>
      <c r="C59" s="776">
        <v>5375832</v>
      </c>
      <c r="D59" s="776">
        <v>0</v>
      </c>
    </row>
    <row r="60" spans="1:35" s="26" customFormat="1" ht="30.75" customHeight="1">
      <c r="A60" s="30" t="s">
        <v>8</v>
      </c>
      <c r="B60" s="5" t="s">
        <v>0</v>
      </c>
      <c r="C60" s="5" t="s">
        <v>953</v>
      </c>
      <c r="D60" s="5" t="s">
        <v>863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s="21" customFormat="1" ht="25.5" customHeight="1">
      <c r="A61" s="777"/>
      <c r="B61" s="772" t="s">
        <v>874</v>
      </c>
      <c r="C61" s="773">
        <v>2447265740</v>
      </c>
      <c r="D61" s="773">
        <v>2178758171</v>
      </c>
    </row>
    <row r="62" spans="1:35" s="21" customFormat="1" ht="25.5" customHeight="1">
      <c r="A62" s="777"/>
      <c r="B62" s="775" t="s">
        <v>891</v>
      </c>
      <c r="C62" s="776">
        <v>214191946</v>
      </c>
      <c r="D62" s="776">
        <v>214191946</v>
      </c>
    </row>
    <row r="63" spans="1:35" s="21" customFormat="1" ht="25.5" customHeight="1">
      <c r="A63" s="777"/>
      <c r="B63" s="775" t="s">
        <v>892</v>
      </c>
      <c r="C63" s="776">
        <v>13515000</v>
      </c>
      <c r="D63" s="776">
        <v>13515000</v>
      </c>
    </row>
    <row r="64" spans="1:35" s="21" customFormat="1" ht="25.5" customHeight="1">
      <c r="A64" s="777"/>
      <c r="B64" s="775" t="s">
        <v>893</v>
      </c>
      <c r="C64" s="776">
        <v>1077780385</v>
      </c>
      <c r="D64" s="776">
        <v>1077780385</v>
      </c>
    </row>
    <row r="65" spans="1:4" s="21" customFormat="1" ht="25.5" customHeight="1">
      <c r="A65" s="777"/>
      <c r="B65" s="775" t="s">
        <v>894</v>
      </c>
      <c r="C65" s="776">
        <v>146224333</v>
      </c>
      <c r="D65" s="776">
        <v>146224333</v>
      </c>
    </row>
    <row r="66" spans="1:4" s="21" customFormat="1" ht="25.5" customHeight="1">
      <c r="A66" s="774"/>
      <c r="B66" s="775" t="s">
        <v>895</v>
      </c>
      <c r="C66" s="776">
        <v>374336403</v>
      </c>
      <c r="D66" s="776">
        <v>289869320</v>
      </c>
    </row>
    <row r="67" spans="1:4" s="21" customFormat="1" ht="25.5" customHeight="1">
      <c r="A67" s="774"/>
      <c r="B67" s="775" t="s">
        <v>896</v>
      </c>
      <c r="C67" s="776">
        <v>388943261</v>
      </c>
      <c r="D67" s="776">
        <v>260363264</v>
      </c>
    </row>
    <row r="68" spans="1:4" s="21" customFormat="1" ht="25.5" customHeight="1">
      <c r="A68" s="774"/>
      <c r="B68" s="775" t="s">
        <v>902</v>
      </c>
      <c r="C68" s="776">
        <v>77615040</v>
      </c>
      <c r="D68" s="776">
        <v>77615040</v>
      </c>
    </row>
    <row r="69" spans="1:4" s="21" customFormat="1" ht="25.5" customHeight="1">
      <c r="A69" s="774"/>
      <c r="B69" s="775" t="s">
        <v>905</v>
      </c>
      <c r="C69" s="776">
        <v>14385000</v>
      </c>
      <c r="D69" s="776">
        <v>14385000</v>
      </c>
    </row>
    <row r="70" spans="1:4" s="21" customFormat="1" ht="25.5" customHeight="1">
      <c r="A70" s="774"/>
      <c r="B70" s="775" t="s">
        <v>897</v>
      </c>
      <c r="C70" s="776">
        <v>56609935</v>
      </c>
      <c r="D70" s="776">
        <v>38707832</v>
      </c>
    </row>
    <row r="71" spans="1:4" s="21" customFormat="1" ht="25.5" customHeight="1">
      <c r="A71" s="774"/>
      <c r="B71" s="775" t="s">
        <v>898</v>
      </c>
      <c r="C71" s="776">
        <v>73522970</v>
      </c>
      <c r="D71" s="776">
        <v>46106051</v>
      </c>
    </row>
    <row r="72" spans="1:4" s="21" customFormat="1" ht="25.5" customHeight="1">
      <c r="A72" s="774"/>
      <c r="B72" s="775" t="s">
        <v>899</v>
      </c>
      <c r="C72" s="776">
        <v>216000</v>
      </c>
      <c r="D72" s="776">
        <v>0</v>
      </c>
    </row>
    <row r="73" spans="1:4" s="21" customFormat="1" ht="25.5" customHeight="1">
      <c r="A73" s="774"/>
      <c r="B73" s="775" t="s">
        <v>900</v>
      </c>
      <c r="C73" s="776">
        <v>862000</v>
      </c>
      <c r="D73" s="776">
        <v>0</v>
      </c>
    </row>
    <row r="74" spans="1:4" s="21" customFormat="1" ht="25.5" customHeight="1">
      <c r="A74" s="774"/>
      <c r="B74" s="775" t="s">
        <v>906</v>
      </c>
      <c r="C74" s="776">
        <v>8826967</v>
      </c>
      <c r="D74" s="776">
        <v>0</v>
      </c>
    </row>
    <row r="75" spans="1:4" s="21" customFormat="1" ht="25.5" customHeight="1">
      <c r="A75" s="774"/>
      <c r="B75" s="775" t="s">
        <v>901</v>
      </c>
      <c r="C75" s="776">
        <v>236500</v>
      </c>
      <c r="D75" s="776">
        <v>0</v>
      </c>
    </row>
    <row r="76" spans="1:4" s="21" customFormat="1" ht="25.5" customHeight="1">
      <c r="A76" s="771" t="s">
        <v>907</v>
      </c>
      <c r="B76" s="772" t="s">
        <v>908</v>
      </c>
      <c r="C76" s="773">
        <v>1312571243</v>
      </c>
      <c r="D76" s="773">
        <v>487672224</v>
      </c>
    </row>
    <row r="77" spans="1:4" s="21" customFormat="1" ht="25.5" customHeight="1">
      <c r="A77" s="771"/>
      <c r="B77" s="772" t="s">
        <v>867</v>
      </c>
      <c r="C77" s="773">
        <v>1083220798</v>
      </c>
      <c r="D77" s="773">
        <v>463027251</v>
      </c>
    </row>
    <row r="78" spans="1:4" s="21" customFormat="1" ht="25.5" customHeight="1">
      <c r="A78" s="771"/>
      <c r="B78" s="772" t="s">
        <v>909</v>
      </c>
      <c r="C78" s="773">
        <v>525801521</v>
      </c>
      <c r="D78" s="773">
        <v>356175024</v>
      </c>
    </row>
    <row r="79" spans="1:4" s="21" customFormat="1" ht="25.5" customHeight="1">
      <c r="A79" s="774"/>
      <c r="B79" s="775" t="s">
        <v>910</v>
      </c>
      <c r="C79" s="776">
        <v>0</v>
      </c>
      <c r="D79" s="776">
        <v>0</v>
      </c>
    </row>
    <row r="80" spans="1:4" s="21" customFormat="1" ht="25.5" customHeight="1">
      <c r="A80" s="774"/>
      <c r="B80" s="775" t="s">
        <v>911</v>
      </c>
      <c r="C80" s="776">
        <v>73002739</v>
      </c>
      <c r="D80" s="776">
        <v>28448607</v>
      </c>
    </row>
    <row r="81" spans="1:4" s="21" customFormat="1" ht="25.5" customHeight="1">
      <c r="A81" s="774"/>
      <c r="B81" s="775" t="s">
        <v>912</v>
      </c>
      <c r="C81" s="776">
        <v>0</v>
      </c>
      <c r="D81" s="776">
        <v>0</v>
      </c>
    </row>
    <row r="82" spans="1:4" s="21" customFormat="1" ht="25.5" customHeight="1">
      <c r="A82" s="777"/>
      <c r="B82" s="775" t="s">
        <v>913</v>
      </c>
      <c r="C82" s="776">
        <v>452673918</v>
      </c>
      <c r="D82" s="776">
        <v>327726417</v>
      </c>
    </row>
    <row r="83" spans="1:4" s="21" customFormat="1" ht="25.5" customHeight="1">
      <c r="A83" s="777"/>
      <c r="B83" s="775" t="s">
        <v>914</v>
      </c>
      <c r="C83" s="776">
        <v>0</v>
      </c>
      <c r="D83" s="776">
        <v>0</v>
      </c>
    </row>
    <row r="84" spans="1:4" s="21" customFormat="1" ht="25.5" customHeight="1">
      <c r="A84" s="777"/>
      <c r="B84" s="775" t="s">
        <v>915</v>
      </c>
      <c r="C84" s="776">
        <v>124864</v>
      </c>
      <c r="D84" s="776">
        <v>0</v>
      </c>
    </row>
    <row r="85" spans="1:4" s="21" customFormat="1" ht="25.5" customHeight="1">
      <c r="A85" s="777"/>
      <c r="B85" s="772" t="s">
        <v>916</v>
      </c>
      <c r="C85" s="773">
        <v>557419277</v>
      </c>
      <c r="D85" s="773">
        <v>106852227</v>
      </c>
    </row>
    <row r="86" spans="1:4" s="21" customFormat="1" ht="25.5" customHeight="1">
      <c r="A86" s="777"/>
      <c r="B86" s="775" t="s">
        <v>917</v>
      </c>
      <c r="C86" s="776">
        <v>234645</v>
      </c>
      <c r="D86" s="776">
        <v>59628</v>
      </c>
    </row>
    <row r="87" spans="1:4" s="21" customFormat="1" ht="25.5" customHeight="1">
      <c r="A87" s="777"/>
      <c r="B87" s="775" t="s">
        <v>918</v>
      </c>
      <c r="C87" s="776">
        <v>250000</v>
      </c>
      <c r="D87" s="776">
        <v>143775</v>
      </c>
    </row>
    <row r="88" spans="1:4" s="21" customFormat="1" ht="25.5" customHeight="1">
      <c r="A88" s="777"/>
      <c r="B88" s="775" t="s">
        <v>919</v>
      </c>
      <c r="C88" s="776">
        <v>68288511</v>
      </c>
      <c r="D88" s="776">
        <v>34191259</v>
      </c>
    </row>
    <row r="89" spans="1:4" s="21" customFormat="1" ht="25.5" customHeight="1">
      <c r="A89" s="777"/>
      <c r="B89" s="775" t="s">
        <v>920</v>
      </c>
      <c r="C89" s="776">
        <v>31519800</v>
      </c>
      <c r="D89" s="776">
        <v>31519800</v>
      </c>
    </row>
    <row r="90" spans="1:4" s="21" customFormat="1" ht="25.5" customHeight="1">
      <c r="A90" s="777"/>
      <c r="B90" s="775" t="s">
        <v>921</v>
      </c>
      <c r="C90" s="776">
        <v>5295291</v>
      </c>
      <c r="D90" s="776">
        <v>795616</v>
      </c>
    </row>
    <row r="91" spans="1:4" s="21" customFormat="1" ht="25.5" customHeight="1">
      <c r="A91" s="777"/>
      <c r="B91" s="775" t="s">
        <v>922</v>
      </c>
      <c r="C91" s="776">
        <v>2555000</v>
      </c>
      <c r="D91" s="776">
        <v>2555000</v>
      </c>
    </row>
    <row r="92" spans="1:4" s="21" customFormat="1" ht="25.5" customHeight="1">
      <c r="A92" s="777"/>
      <c r="B92" s="775" t="s">
        <v>923</v>
      </c>
      <c r="C92" s="776">
        <v>95252375</v>
      </c>
      <c r="D92" s="776">
        <v>37587149</v>
      </c>
    </row>
    <row r="93" spans="1:4" s="21" customFormat="1" ht="25.5" customHeight="1">
      <c r="A93" s="777"/>
      <c r="B93" s="775" t="s">
        <v>924</v>
      </c>
      <c r="C93" s="776">
        <v>23947811</v>
      </c>
      <c r="D93" s="776">
        <v>0</v>
      </c>
    </row>
    <row r="94" spans="1:4" s="21" customFormat="1" ht="25.5" customHeight="1">
      <c r="A94" s="777"/>
      <c r="B94" s="775" t="s">
        <v>925</v>
      </c>
      <c r="C94" s="776">
        <v>1775050</v>
      </c>
      <c r="D94" s="776">
        <v>0</v>
      </c>
    </row>
    <row r="95" spans="1:4" s="21" customFormat="1" ht="25.5" customHeight="1">
      <c r="A95" s="777"/>
      <c r="B95" s="775" t="s">
        <v>926</v>
      </c>
      <c r="C95" s="776">
        <v>99061395</v>
      </c>
      <c r="D95" s="776">
        <v>0</v>
      </c>
    </row>
    <row r="96" spans="1:4" s="21" customFormat="1" ht="25.5" customHeight="1">
      <c r="A96" s="777"/>
      <c r="B96" s="775" t="s">
        <v>927</v>
      </c>
      <c r="C96" s="776">
        <v>133536143</v>
      </c>
      <c r="D96" s="776">
        <v>0</v>
      </c>
    </row>
    <row r="97" spans="1:4" s="21" customFormat="1" ht="25.5" customHeight="1">
      <c r="A97" s="777"/>
      <c r="B97" s="775" t="s">
        <v>928</v>
      </c>
      <c r="C97" s="776">
        <v>55261756</v>
      </c>
      <c r="D97" s="776">
        <v>0</v>
      </c>
    </row>
    <row r="98" spans="1:4" s="21" customFormat="1" ht="25.5" customHeight="1">
      <c r="A98" s="774"/>
      <c r="B98" s="775" t="s">
        <v>929</v>
      </c>
      <c r="C98" s="776">
        <v>40441500</v>
      </c>
      <c r="D98" s="776">
        <v>0</v>
      </c>
    </row>
    <row r="99" spans="1:4" s="21" customFormat="1" ht="25.5" customHeight="1">
      <c r="A99" s="771"/>
      <c r="B99" s="772" t="s">
        <v>874</v>
      </c>
      <c r="C99" s="773">
        <v>229350445</v>
      </c>
      <c r="D99" s="773">
        <v>24644973</v>
      </c>
    </row>
    <row r="100" spans="1:4" s="21" customFormat="1" ht="25.5" customHeight="1">
      <c r="A100" s="774"/>
      <c r="B100" s="775" t="s">
        <v>930</v>
      </c>
      <c r="C100" s="776">
        <v>0</v>
      </c>
      <c r="D100" s="776">
        <v>0</v>
      </c>
    </row>
    <row r="101" spans="1:4" s="21" customFormat="1" ht="25.5" customHeight="1">
      <c r="A101" s="774"/>
      <c r="B101" s="775" t="s">
        <v>931</v>
      </c>
      <c r="C101" s="776">
        <v>49216966</v>
      </c>
      <c r="D101" s="776">
        <v>20740541</v>
      </c>
    </row>
    <row r="102" spans="1:4" s="21" customFormat="1" ht="25.5" customHeight="1">
      <c r="A102" s="774"/>
      <c r="B102" s="775" t="s">
        <v>932</v>
      </c>
      <c r="C102" s="776">
        <v>474000</v>
      </c>
      <c r="D102" s="776">
        <v>474000</v>
      </c>
    </row>
    <row r="103" spans="1:4" s="21" customFormat="1" ht="25.5" customHeight="1">
      <c r="A103" s="774"/>
      <c r="B103" s="775" t="s">
        <v>933</v>
      </c>
      <c r="C103" s="776">
        <v>17388230</v>
      </c>
      <c r="D103" s="776">
        <v>3430432</v>
      </c>
    </row>
    <row r="104" spans="1:4" s="21" customFormat="1" ht="25.5" customHeight="1">
      <c r="A104" s="774"/>
      <c r="B104" s="775" t="s">
        <v>934</v>
      </c>
      <c r="C104" s="776">
        <v>24627488</v>
      </c>
      <c r="D104" s="776">
        <v>0</v>
      </c>
    </row>
    <row r="105" spans="1:4" s="21" customFormat="1" ht="25.5" customHeight="1">
      <c r="A105" s="774"/>
      <c r="B105" s="775" t="s">
        <v>935</v>
      </c>
      <c r="C105" s="776">
        <v>58770342</v>
      </c>
      <c r="D105" s="776">
        <v>0</v>
      </c>
    </row>
    <row r="106" spans="1:4" s="21" customFormat="1" ht="25.5" customHeight="1">
      <c r="A106" s="774"/>
      <c r="B106" s="775" t="s">
        <v>936</v>
      </c>
      <c r="C106" s="776">
        <v>28219416</v>
      </c>
      <c r="D106" s="776">
        <v>0</v>
      </c>
    </row>
    <row r="107" spans="1:4" s="21" customFormat="1" ht="25.5" customHeight="1">
      <c r="A107" s="774"/>
      <c r="B107" s="775" t="s">
        <v>937</v>
      </c>
      <c r="C107" s="776">
        <v>50654003</v>
      </c>
      <c r="D107" s="776">
        <v>0</v>
      </c>
    </row>
    <row r="108" spans="1:4" s="21" customFormat="1" ht="25.5" customHeight="1">
      <c r="A108" s="771" t="s">
        <v>938</v>
      </c>
      <c r="B108" s="772" t="s">
        <v>192</v>
      </c>
      <c r="C108" s="773">
        <v>540457</v>
      </c>
      <c r="D108" s="773">
        <v>296465</v>
      </c>
    </row>
    <row r="109" spans="1:4" s="21" customFormat="1" ht="25.5" customHeight="1">
      <c r="A109" s="771"/>
      <c r="B109" s="772" t="s">
        <v>867</v>
      </c>
      <c r="C109" s="773">
        <v>540457</v>
      </c>
      <c r="D109" s="773">
        <v>296465</v>
      </c>
    </row>
    <row r="110" spans="1:4" s="21" customFormat="1" ht="25.5" customHeight="1">
      <c r="A110" s="771"/>
      <c r="B110" s="772" t="s">
        <v>939</v>
      </c>
      <c r="C110" s="773">
        <v>540457</v>
      </c>
      <c r="D110" s="773">
        <v>296465</v>
      </c>
    </row>
    <row r="111" spans="1:4" s="21" customFormat="1" ht="25.5" customHeight="1">
      <c r="A111" s="771" t="s">
        <v>940</v>
      </c>
      <c r="B111" s="772" t="s">
        <v>193</v>
      </c>
      <c r="C111" s="773">
        <v>97390167</v>
      </c>
      <c r="D111" s="773">
        <v>97390167</v>
      </c>
    </row>
    <row r="112" spans="1:4" s="21" customFormat="1" ht="25.5" customHeight="1">
      <c r="A112" s="771" t="s">
        <v>864</v>
      </c>
      <c r="B112" s="772" t="s">
        <v>887</v>
      </c>
      <c r="C112" s="773">
        <f>SUM(C31+C76+C108+C111)</f>
        <v>20214652573</v>
      </c>
      <c r="D112" s="773">
        <f>SUM(D31+D76+D108+D111)</f>
        <v>15321536446</v>
      </c>
    </row>
    <row r="113" spans="1:35" s="21" customFormat="1" ht="25.5" customHeight="1">
      <c r="A113" s="771" t="s">
        <v>942</v>
      </c>
      <c r="B113" s="772" t="s">
        <v>195</v>
      </c>
      <c r="C113" s="773">
        <v>248778584</v>
      </c>
      <c r="D113" s="773">
        <v>131926200</v>
      </c>
    </row>
    <row r="114" spans="1:35" s="21" customFormat="1" ht="25.5" customHeight="1">
      <c r="A114" s="771" t="s">
        <v>941</v>
      </c>
      <c r="B114" s="772" t="s">
        <v>198</v>
      </c>
      <c r="C114" s="773">
        <f>SUM(C113)</f>
        <v>248778584</v>
      </c>
      <c r="D114" s="773">
        <f>SUM(D113)</f>
        <v>131926200</v>
      </c>
    </row>
    <row r="115" spans="1:35" s="26" customFormat="1" ht="30.75" customHeight="1">
      <c r="A115" s="30" t="s">
        <v>8</v>
      </c>
      <c r="B115" s="5" t="s">
        <v>0</v>
      </c>
      <c r="C115" s="5" t="s">
        <v>953</v>
      </c>
      <c r="D115" s="5" t="s">
        <v>863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s="21" customFormat="1" ht="25.5" customHeight="1">
      <c r="A116" s="771" t="s">
        <v>112</v>
      </c>
      <c r="B116" s="772" t="s">
        <v>945</v>
      </c>
      <c r="C116" s="775"/>
      <c r="D116" s="775"/>
    </row>
    <row r="117" spans="1:35" s="21" customFormat="1" ht="25.5" customHeight="1">
      <c r="A117" s="774"/>
      <c r="B117" s="772" t="s">
        <v>867</v>
      </c>
      <c r="C117" s="773">
        <v>257498203</v>
      </c>
      <c r="D117" s="773">
        <v>87367159</v>
      </c>
    </row>
    <row r="118" spans="1:35" s="21" customFormat="1" ht="25.5" customHeight="1">
      <c r="A118" s="774"/>
      <c r="B118" s="772" t="s">
        <v>946</v>
      </c>
      <c r="C118" s="773">
        <v>0</v>
      </c>
      <c r="D118" s="773">
        <v>0</v>
      </c>
    </row>
    <row r="119" spans="1:35" s="21" customFormat="1" ht="25.5" customHeight="1">
      <c r="A119" s="774"/>
      <c r="B119" s="772" t="s">
        <v>947</v>
      </c>
      <c r="C119" s="773">
        <v>257498203</v>
      </c>
      <c r="D119" s="773">
        <v>87367159</v>
      </c>
    </row>
    <row r="120" spans="1:35" s="21" customFormat="1" ht="25.5" customHeight="1">
      <c r="A120" s="774"/>
      <c r="B120" s="775" t="s">
        <v>948</v>
      </c>
      <c r="C120" s="776">
        <v>7480860</v>
      </c>
      <c r="D120" s="776">
        <v>7480860</v>
      </c>
    </row>
    <row r="121" spans="1:35" s="21" customFormat="1" ht="25.5" customHeight="1">
      <c r="A121" s="774"/>
      <c r="B121" s="775" t="s">
        <v>949</v>
      </c>
      <c r="C121" s="776">
        <v>4315768</v>
      </c>
      <c r="D121" s="776">
        <v>1886550</v>
      </c>
    </row>
    <row r="122" spans="1:35" s="21" customFormat="1" ht="25.5" customHeight="1">
      <c r="A122" s="774"/>
      <c r="B122" s="775" t="s">
        <v>950</v>
      </c>
      <c r="C122" s="776">
        <v>190681575</v>
      </c>
      <c r="D122" s="776">
        <v>77999749</v>
      </c>
    </row>
    <row r="123" spans="1:35" s="21" customFormat="1" ht="25.5" customHeight="1">
      <c r="A123" s="774"/>
      <c r="B123" s="775" t="s">
        <v>951</v>
      </c>
      <c r="C123" s="776">
        <v>18000000</v>
      </c>
      <c r="D123" s="776">
        <v>0</v>
      </c>
    </row>
    <row r="124" spans="1:35" s="21" customFormat="1" ht="25.5" customHeight="1">
      <c r="A124" s="774"/>
      <c r="B124" s="775" t="s">
        <v>952</v>
      </c>
      <c r="C124" s="776">
        <v>37020000</v>
      </c>
      <c r="D124" s="776">
        <v>0</v>
      </c>
    </row>
    <row r="125" spans="1:35" s="21" customFormat="1" ht="25.5" customHeight="1">
      <c r="A125" s="774"/>
      <c r="B125" s="772" t="s">
        <v>874</v>
      </c>
      <c r="C125" s="773">
        <v>0</v>
      </c>
      <c r="D125" s="773">
        <v>0</v>
      </c>
    </row>
    <row r="126" spans="1:35" s="21" customFormat="1" ht="25.5" customHeight="1">
      <c r="A126" s="771" t="s">
        <v>943</v>
      </c>
      <c r="B126" s="772" t="s">
        <v>944</v>
      </c>
      <c r="C126" s="773">
        <f>SUM(C117)</f>
        <v>257498203</v>
      </c>
      <c r="D126" s="773">
        <f>SUM(D117)</f>
        <v>87367159</v>
      </c>
    </row>
    <row r="127" spans="1:35" s="497" customFormat="1" ht="25.5" customHeight="1">
      <c r="A127" s="778" t="s">
        <v>9</v>
      </c>
      <c r="B127" s="779" t="s">
        <v>199</v>
      </c>
      <c r="C127" s="348">
        <f>SUM(C126+C114+C112+C30)</f>
        <v>20809710121</v>
      </c>
      <c r="D127" s="348">
        <f>SUM(D126+D114+D112+D30)</f>
        <v>15570515692</v>
      </c>
    </row>
    <row r="128" spans="1:35" s="497" customFormat="1" ht="24.75" customHeight="1">
      <c r="A128" s="780" t="s">
        <v>115</v>
      </c>
      <c r="B128" s="781" t="s">
        <v>200</v>
      </c>
      <c r="C128" s="782"/>
      <c r="D128" s="495">
        <v>6198081</v>
      </c>
    </row>
    <row r="129" spans="1:4" s="497" customFormat="1" ht="24.75" customHeight="1">
      <c r="A129" s="780" t="s">
        <v>116</v>
      </c>
      <c r="B129" s="781" t="s">
        <v>201</v>
      </c>
      <c r="C129" s="782"/>
      <c r="D129" s="495">
        <v>8325657</v>
      </c>
    </row>
    <row r="130" spans="1:4" s="497" customFormat="1" ht="24.75" customHeight="1">
      <c r="A130" s="780" t="s">
        <v>117</v>
      </c>
      <c r="B130" s="781" t="s">
        <v>202</v>
      </c>
      <c r="C130" s="782"/>
      <c r="D130" s="495">
        <v>126750</v>
      </c>
    </row>
    <row r="131" spans="1:4" s="497" customFormat="1" ht="24.75" customHeight="1">
      <c r="A131" s="778" t="s">
        <v>10</v>
      </c>
      <c r="B131" s="779" t="s">
        <v>48</v>
      </c>
      <c r="C131" s="348"/>
      <c r="D131" s="496">
        <f>SUM(D128:D130)</f>
        <v>14650488</v>
      </c>
    </row>
    <row r="132" spans="1:4" s="497" customFormat="1" ht="24.75" customHeight="1">
      <c r="A132" s="778" t="s">
        <v>11</v>
      </c>
      <c r="B132" s="779" t="s">
        <v>203</v>
      </c>
      <c r="C132" s="348"/>
      <c r="D132" s="496">
        <f>SUM(D131)</f>
        <v>14650488</v>
      </c>
    </row>
    <row r="133" spans="1:4" s="497" customFormat="1" ht="24.75" customHeight="1">
      <c r="A133" s="780" t="s">
        <v>118</v>
      </c>
      <c r="B133" s="781" t="s">
        <v>204</v>
      </c>
      <c r="C133" s="782"/>
      <c r="D133" s="495">
        <v>1212130</v>
      </c>
    </row>
    <row r="134" spans="1:4" s="497" customFormat="1" ht="24.75" customHeight="1">
      <c r="A134" s="780" t="s">
        <v>119</v>
      </c>
      <c r="B134" s="781" t="s">
        <v>205</v>
      </c>
      <c r="C134" s="782"/>
      <c r="D134" s="495">
        <v>281411</v>
      </c>
    </row>
    <row r="135" spans="1:4" s="497" customFormat="1" ht="24.75" customHeight="1">
      <c r="A135" s="778" t="s">
        <v>12</v>
      </c>
      <c r="B135" s="779" t="s">
        <v>206</v>
      </c>
      <c r="C135" s="348"/>
      <c r="D135" s="496">
        <f>SUM(D133:D134)</f>
        <v>1493541</v>
      </c>
    </row>
    <row r="136" spans="1:4" s="497" customFormat="1" ht="24.75" customHeight="1">
      <c r="A136" s="780" t="s">
        <v>120</v>
      </c>
      <c r="B136" s="781" t="s">
        <v>207</v>
      </c>
      <c r="C136" s="782"/>
      <c r="D136" s="495">
        <v>1460167841</v>
      </c>
    </row>
    <row r="137" spans="1:4" s="497" customFormat="1" ht="24.75" customHeight="1">
      <c r="A137" s="780" t="s">
        <v>730</v>
      </c>
      <c r="B137" s="781" t="s">
        <v>731</v>
      </c>
      <c r="C137" s="782"/>
      <c r="D137" s="495">
        <v>1327036135</v>
      </c>
    </row>
    <row r="138" spans="1:4" s="497" customFormat="1" ht="24.75" customHeight="1">
      <c r="A138" s="778" t="s">
        <v>122</v>
      </c>
      <c r="B138" s="779" t="s">
        <v>208</v>
      </c>
      <c r="C138" s="348"/>
      <c r="D138" s="496">
        <f>SUM(D136:D137)</f>
        <v>2787203976</v>
      </c>
    </row>
    <row r="139" spans="1:4" s="497" customFormat="1" ht="24.75" customHeight="1">
      <c r="A139" s="780" t="s">
        <v>121</v>
      </c>
      <c r="B139" s="781" t="s">
        <v>209</v>
      </c>
      <c r="C139" s="782"/>
      <c r="D139" s="495">
        <v>9826501</v>
      </c>
    </row>
    <row r="140" spans="1:4" s="497" customFormat="1" ht="24.75" customHeight="1">
      <c r="A140" s="778" t="s">
        <v>123</v>
      </c>
      <c r="B140" s="779" t="s">
        <v>210</v>
      </c>
      <c r="C140" s="348"/>
      <c r="D140" s="496">
        <f>SUM(D139)</f>
        <v>9826501</v>
      </c>
    </row>
    <row r="141" spans="1:4" s="497" customFormat="1" ht="24.75" customHeight="1">
      <c r="A141" s="778" t="s">
        <v>124</v>
      </c>
      <c r="B141" s="779" t="s">
        <v>52</v>
      </c>
      <c r="C141" s="348"/>
      <c r="D141" s="496">
        <f>SUM(D138+D140+D135)</f>
        <v>2798524018</v>
      </c>
    </row>
    <row r="142" spans="1:4" s="497" customFormat="1" ht="24.75" customHeight="1">
      <c r="A142" s="780" t="s">
        <v>125</v>
      </c>
      <c r="B142" s="781" t="s">
        <v>211</v>
      </c>
      <c r="C142" s="782"/>
      <c r="D142" s="495">
        <v>28820194</v>
      </c>
    </row>
    <row r="143" spans="1:4" s="497" customFormat="1" ht="24.75" hidden="1" customHeight="1">
      <c r="A143" s="780" t="s">
        <v>126</v>
      </c>
      <c r="B143" s="781" t="s">
        <v>212</v>
      </c>
      <c r="C143" s="782"/>
      <c r="D143" s="495">
        <v>0</v>
      </c>
    </row>
    <row r="144" spans="1:4" s="497" customFormat="1" ht="24.75" hidden="1" customHeight="1">
      <c r="A144" s="780" t="s">
        <v>127</v>
      </c>
      <c r="B144" s="781" t="s">
        <v>213</v>
      </c>
      <c r="C144" s="782"/>
      <c r="D144" s="495">
        <v>13171517</v>
      </c>
    </row>
    <row r="145" spans="1:4" s="497" customFormat="1" ht="24.75" hidden="1" customHeight="1">
      <c r="A145" s="780" t="s">
        <v>128</v>
      </c>
      <c r="B145" s="781" t="s">
        <v>214</v>
      </c>
      <c r="C145" s="782"/>
      <c r="D145" s="495">
        <v>15648677</v>
      </c>
    </row>
    <row r="146" spans="1:4" s="497" customFormat="1" ht="24.75" customHeight="1">
      <c r="A146" s="780" t="s">
        <v>129</v>
      </c>
      <c r="B146" s="781" t="s">
        <v>215</v>
      </c>
      <c r="C146" s="782"/>
      <c r="D146" s="495">
        <v>176906379</v>
      </c>
    </row>
    <row r="147" spans="1:4" s="497" customFormat="1" ht="16.5" hidden="1" customHeight="1">
      <c r="A147" s="780" t="s">
        <v>130</v>
      </c>
      <c r="B147" s="781" t="s">
        <v>218</v>
      </c>
      <c r="C147" s="789"/>
      <c r="D147" s="790">
        <v>3651350</v>
      </c>
    </row>
    <row r="148" spans="1:4" s="497" customFormat="1" ht="17.25" hidden="1" customHeight="1">
      <c r="A148" s="780"/>
      <c r="B148" s="781" t="s">
        <v>217</v>
      </c>
      <c r="C148" s="789"/>
      <c r="D148" s="790"/>
    </row>
    <row r="149" spans="1:4" s="497" customFormat="1" ht="24.75" hidden="1" customHeight="1">
      <c r="A149" s="780" t="s">
        <v>131</v>
      </c>
      <c r="B149" s="781" t="s">
        <v>216</v>
      </c>
      <c r="C149" s="782"/>
      <c r="D149" s="495">
        <v>36844281</v>
      </c>
    </row>
    <row r="150" spans="1:4" s="497" customFormat="1" ht="24.75" hidden="1" customHeight="1">
      <c r="A150" s="780" t="s">
        <v>132</v>
      </c>
      <c r="B150" s="781" t="s">
        <v>219</v>
      </c>
      <c r="C150" s="782"/>
      <c r="D150" s="495">
        <v>3379842</v>
      </c>
    </row>
    <row r="151" spans="1:4" s="497" customFormat="1" ht="24.75" hidden="1" customHeight="1">
      <c r="A151" s="780" t="s">
        <v>133</v>
      </c>
      <c r="B151" s="781" t="s">
        <v>220</v>
      </c>
      <c r="C151" s="782"/>
      <c r="D151" s="495">
        <v>2155597</v>
      </c>
    </row>
    <row r="152" spans="1:4" s="497" customFormat="1" ht="39" hidden="1" customHeight="1">
      <c r="A152" s="780" t="s">
        <v>135</v>
      </c>
      <c r="B152" s="781" t="s">
        <v>222</v>
      </c>
      <c r="C152" s="782"/>
      <c r="D152" s="495">
        <v>81029122</v>
      </c>
    </row>
    <row r="153" spans="1:4" s="497" customFormat="1" ht="24.75" hidden="1" customHeight="1">
      <c r="A153" s="780" t="s">
        <v>134</v>
      </c>
      <c r="B153" s="781" t="s">
        <v>221</v>
      </c>
      <c r="C153" s="782"/>
      <c r="D153" s="495">
        <v>49846187</v>
      </c>
    </row>
    <row r="154" spans="1:4" s="497" customFormat="1" ht="24.75" customHeight="1">
      <c r="A154" s="780" t="s">
        <v>136</v>
      </c>
      <c r="B154" s="781" t="s">
        <v>223</v>
      </c>
      <c r="C154" s="782"/>
      <c r="D154" s="495">
        <v>2607913</v>
      </c>
    </row>
    <row r="155" spans="1:4" s="497" customFormat="1" ht="24.75" hidden="1" customHeight="1">
      <c r="A155" s="780" t="s">
        <v>137</v>
      </c>
      <c r="B155" s="781" t="s">
        <v>224</v>
      </c>
      <c r="C155" s="782"/>
      <c r="D155" s="495">
        <v>2607913</v>
      </c>
    </row>
    <row r="156" spans="1:4" s="497" customFormat="1" ht="24.75" customHeight="1">
      <c r="A156" s="780" t="s">
        <v>138</v>
      </c>
      <c r="B156" s="781" t="s">
        <v>225</v>
      </c>
      <c r="C156" s="782"/>
      <c r="D156" s="495">
        <v>5186945</v>
      </c>
    </row>
    <row r="157" spans="1:4" s="497" customFormat="1" ht="18" hidden="1" customHeight="1">
      <c r="A157" s="780" t="s">
        <v>139</v>
      </c>
      <c r="B157" s="781" t="s">
        <v>226</v>
      </c>
      <c r="C157" s="789"/>
      <c r="D157" s="790">
        <v>5186945</v>
      </c>
    </row>
    <row r="158" spans="1:4" s="497" customFormat="1" ht="18" hidden="1" customHeight="1">
      <c r="A158" s="780"/>
      <c r="B158" s="781" t="s">
        <v>227</v>
      </c>
      <c r="C158" s="789"/>
      <c r="D158" s="790"/>
    </row>
    <row r="159" spans="1:4" s="497" customFormat="1" ht="24.75" customHeight="1">
      <c r="A159" s="778" t="s">
        <v>14</v>
      </c>
      <c r="B159" s="779" t="s">
        <v>53</v>
      </c>
      <c r="C159" s="348"/>
      <c r="D159" s="496">
        <f>SUM(D142+D146+D154+D156)</f>
        <v>213521431</v>
      </c>
    </row>
    <row r="160" spans="1:4" s="497" customFormat="1" ht="24.75" customHeight="1">
      <c r="A160" s="780" t="s">
        <v>140</v>
      </c>
      <c r="B160" s="781" t="s">
        <v>228</v>
      </c>
      <c r="C160" s="782"/>
      <c r="D160" s="495">
        <v>325124</v>
      </c>
    </row>
    <row r="161" spans="1:4" s="497" customFormat="1" ht="23.25" hidden="1" customHeight="1">
      <c r="A161" s="780" t="s">
        <v>141</v>
      </c>
      <c r="B161" s="781" t="s">
        <v>732</v>
      </c>
      <c r="C161" s="782"/>
      <c r="D161" s="495">
        <v>30450</v>
      </c>
    </row>
    <row r="162" spans="1:4" s="497" customFormat="1" ht="23.25" hidden="1" customHeight="1">
      <c r="A162" s="780" t="s">
        <v>141</v>
      </c>
      <c r="B162" s="781" t="s">
        <v>733</v>
      </c>
      <c r="C162" s="782"/>
      <c r="D162" s="495">
        <v>294674</v>
      </c>
    </row>
    <row r="163" spans="1:4" s="497" customFormat="1" ht="24.75" customHeight="1">
      <c r="A163" s="780" t="s">
        <v>142</v>
      </c>
      <c r="B163" s="781" t="s">
        <v>229</v>
      </c>
      <c r="C163" s="782"/>
      <c r="D163" s="495">
        <v>3227710</v>
      </c>
    </row>
    <row r="164" spans="1:4" s="497" customFormat="1" ht="24.75" hidden="1" customHeight="1">
      <c r="A164" s="780" t="s">
        <v>143</v>
      </c>
      <c r="B164" s="781" t="s">
        <v>230</v>
      </c>
      <c r="C164" s="782"/>
      <c r="D164" s="495">
        <v>3227710</v>
      </c>
    </row>
    <row r="165" spans="1:4" s="497" customFormat="1" ht="24.75" customHeight="1">
      <c r="A165" s="780" t="s">
        <v>144</v>
      </c>
      <c r="B165" s="781" t="s">
        <v>231</v>
      </c>
      <c r="C165" s="782"/>
      <c r="D165" s="495">
        <v>17847000</v>
      </c>
    </row>
    <row r="166" spans="1:4" s="497" customFormat="1" ht="18" hidden="1" customHeight="1">
      <c r="A166" s="780" t="s">
        <v>145</v>
      </c>
      <c r="B166" s="781" t="s">
        <v>270</v>
      </c>
      <c r="C166" s="789"/>
      <c r="D166" s="790">
        <v>17847000</v>
      </c>
    </row>
    <row r="167" spans="1:4" s="497" customFormat="1" ht="18" hidden="1" customHeight="1">
      <c r="A167" s="780"/>
      <c r="B167" s="781" t="s">
        <v>269</v>
      </c>
      <c r="C167" s="789"/>
      <c r="D167" s="790"/>
    </row>
    <row r="168" spans="1:4" s="497" customFormat="1" ht="24.75" customHeight="1">
      <c r="A168" s="780" t="s">
        <v>146</v>
      </c>
      <c r="B168" s="781" t="s">
        <v>232</v>
      </c>
      <c r="C168" s="782"/>
      <c r="D168" s="495">
        <v>176878828</v>
      </c>
    </row>
    <row r="169" spans="1:4" s="28" customFormat="1" ht="18.75" hidden="1" customHeight="1">
      <c r="A169" s="780" t="s">
        <v>147</v>
      </c>
      <c r="B169" s="781" t="s">
        <v>271</v>
      </c>
      <c r="C169" s="789"/>
      <c r="D169" s="790">
        <v>176878828</v>
      </c>
    </row>
    <row r="170" spans="1:4" s="497" customFormat="1" ht="18" hidden="1" customHeight="1">
      <c r="A170" s="780"/>
      <c r="B170" s="781" t="s">
        <v>269</v>
      </c>
      <c r="C170" s="789"/>
      <c r="D170" s="790"/>
    </row>
    <row r="171" spans="1:4" s="497" customFormat="1" ht="24.75" customHeight="1">
      <c r="A171" s="778" t="s">
        <v>148</v>
      </c>
      <c r="B171" s="779" t="s">
        <v>233</v>
      </c>
      <c r="C171" s="348"/>
      <c r="D171" s="496">
        <f>SUM(D160+D163+D165+D168)</f>
        <v>198278662</v>
      </c>
    </row>
    <row r="172" spans="1:4" s="497" customFormat="1" ht="24.75" customHeight="1">
      <c r="A172" s="780" t="s">
        <v>149</v>
      </c>
      <c r="B172" s="781" t="s">
        <v>234</v>
      </c>
      <c r="C172" s="782"/>
      <c r="D172" s="495">
        <v>55145203</v>
      </c>
    </row>
    <row r="173" spans="1:4" s="497" customFormat="1" ht="24.75" hidden="1" customHeight="1">
      <c r="A173" s="780" t="s">
        <v>150</v>
      </c>
      <c r="B173" s="781" t="s">
        <v>235</v>
      </c>
      <c r="C173" s="782"/>
      <c r="D173" s="495">
        <v>43066579</v>
      </c>
    </row>
    <row r="174" spans="1:4" s="497" customFormat="1" ht="24.75" hidden="1" customHeight="1">
      <c r="A174" s="780" t="s">
        <v>734</v>
      </c>
      <c r="B174" s="781" t="s">
        <v>735</v>
      </c>
      <c r="C174" s="782"/>
      <c r="D174" s="495">
        <v>11343529</v>
      </c>
    </row>
    <row r="175" spans="1:4" s="497" customFormat="1" ht="24.75" hidden="1" customHeight="1">
      <c r="A175" s="780" t="s">
        <v>151</v>
      </c>
      <c r="B175" s="781" t="s">
        <v>236</v>
      </c>
      <c r="C175" s="782"/>
      <c r="D175" s="495">
        <v>694999</v>
      </c>
    </row>
    <row r="176" spans="1:4" s="497" customFormat="1" ht="24.75" hidden="1" customHeight="1">
      <c r="A176" s="780" t="s">
        <v>152</v>
      </c>
      <c r="B176" s="781" t="s">
        <v>237</v>
      </c>
      <c r="C176" s="782"/>
      <c r="D176" s="495">
        <v>40096</v>
      </c>
    </row>
    <row r="177" spans="1:4" s="497" customFormat="1" ht="24.75" customHeight="1">
      <c r="A177" s="780" t="s">
        <v>736</v>
      </c>
      <c r="B177" s="781" t="s">
        <v>737</v>
      </c>
      <c r="C177" s="782"/>
      <c r="D177" s="495">
        <v>350859</v>
      </c>
    </row>
    <row r="178" spans="1:4" s="497" customFormat="1" ht="24.75" customHeight="1">
      <c r="A178" s="780" t="s">
        <v>153</v>
      </c>
      <c r="B178" s="781" t="s">
        <v>238</v>
      </c>
      <c r="C178" s="782"/>
      <c r="D178" s="495">
        <v>3102000</v>
      </c>
    </row>
    <row r="179" spans="1:4" s="497" customFormat="1" ht="24.75" customHeight="1">
      <c r="A179" s="780" t="s">
        <v>154</v>
      </c>
      <c r="B179" s="781" t="s">
        <v>239</v>
      </c>
      <c r="C179" s="782"/>
      <c r="D179" s="495">
        <v>0</v>
      </c>
    </row>
    <row r="180" spans="1:4" s="497" customFormat="1" ht="24.75" customHeight="1">
      <c r="A180" s="778" t="s">
        <v>155</v>
      </c>
      <c r="B180" s="779" t="s">
        <v>240</v>
      </c>
      <c r="C180" s="348"/>
      <c r="D180" s="496">
        <f>SUM(D172+D177+D178+D179)</f>
        <v>58598062</v>
      </c>
    </row>
    <row r="181" spans="1:4" s="497" customFormat="1" ht="24.75" customHeight="1">
      <c r="A181" s="778" t="s">
        <v>156</v>
      </c>
      <c r="B181" s="779" t="s">
        <v>241</v>
      </c>
      <c r="C181" s="348"/>
      <c r="D181" s="496">
        <f>SUM(D159+D171+D180)</f>
        <v>470398155</v>
      </c>
    </row>
    <row r="182" spans="1:4" s="497" customFormat="1" ht="24.75" customHeight="1">
      <c r="A182" s="780" t="s">
        <v>157</v>
      </c>
      <c r="B182" s="781" t="s">
        <v>242</v>
      </c>
      <c r="C182" s="782"/>
      <c r="D182" s="495">
        <v>374000</v>
      </c>
    </row>
    <row r="183" spans="1:4" s="497" customFormat="1" ht="24.75" customHeight="1">
      <c r="A183" s="778" t="s">
        <v>158</v>
      </c>
      <c r="B183" s="779" t="s">
        <v>243</v>
      </c>
      <c r="C183" s="348"/>
      <c r="D183" s="496">
        <f>SUM(D182)</f>
        <v>374000</v>
      </c>
    </row>
    <row r="184" spans="1:4" s="497" customFormat="1" ht="24.75" customHeight="1">
      <c r="A184" s="780" t="s">
        <v>159</v>
      </c>
      <c r="B184" s="781" t="s">
        <v>244</v>
      </c>
      <c r="C184" s="782"/>
      <c r="D184" s="495">
        <v>-6804733</v>
      </c>
    </row>
    <row r="185" spans="1:4" s="497" customFormat="1" ht="24.75" customHeight="1">
      <c r="A185" s="778" t="s">
        <v>160</v>
      </c>
      <c r="B185" s="779" t="s">
        <v>245</v>
      </c>
      <c r="C185" s="348"/>
      <c r="D185" s="496">
        <f>SUM(D184)</f>
        <v>-6804733</v>
      </c>
    </row>
    <row r="186" spans="1:4" s="497" customFormat="1" ht="24.75" customHeight="1">
      <c r="A186" s="780" t="s">
        <v>161</v>
      </c>
      <c r="B186" s="781" t="s">
        <v>246</v>
      </c>
      <c r="C186" s="782"/>
      <c r="D186" s="495">
        <v>668127</v>
      </c>
    </row>
    <row r="187" spans="1:4" s="497" customFormat="1" ht="24.75" customHeight="1">
      <c r="A187" s="780" t="s">
        <v>162</v>
      </c>
      <c r="B187" s="781" t="s">
        <v>272</v>
      </c>
      <c r="C187" s="782"/>
      <c r="D187" s="495">
        <v>367500</v>
      </c>
    </row>
    <row r="188" spans="1:4" s="497" customFormat="1" ht="24" customHeight="1">
      <c r="A188" s="778" t="s">
        <v>163</v>
      </c>
      <c r="B188" s="779" t="s">
        <v>247</v>
      </c>
      <c r="C188" s="348"/>
      <c r="D188" s="496">
        <f>SUM(D186:D187)</f>
        <v>1035627</v>
      </c>
    </row>
    <row r="189" spans="1:4" s="497" customFormat="1" ht="24.75" customHeight="1">
      <c r="A189" s="778" t="s">
        <v>164</v>
      </c>
      <c r="B189" s="779" t="s">
        <v>248</v>
      </c>
      <c r="C189" s="348"/>
      <c r="D189" s="496">
        <v>-5395106</v>
      </c>
    </row>
    <row r="190" spans="1:4" s="497" customFormat="1" ht="24.75" customHeight="1">
      <c r="A190" s="780" t="s">
        <v>165</v>
      </c>
      <c r="B190" s="781" t="s">
        <v>249</v>
      </c>
      <c r="C190" s="782"/>
      <c r="D190" s="495">
        <v>14180303</v>
      </c>
    </row>
    <row r="191" spans="1:4" s="497" customFormat="1" ht="24.75" customHeight="1">
      <c r="A191" s="778" t="s">
        <v>166</v>
      </c>
      <c r="B191" s="779" t="s">
        <v>250</v>
      </c>
      <c r="C191" s="348"/>
      <c r="D191" s="496">
        <f>SUM(D190)</f>
        <v>14180303</v>
      </c>
    </row>
    <row r="192" spans="1:4" s="27" customFormat="1" ht="24.75" customHeight="1">
      <c r="A192" s="15" t="s">
        <v>167</v>
      </c>
      <c r="B192" s="16" t="s">
        <v>4</v>
      </c>
      <c r="C192" s="17"/>
      <c r="D192" s="17">
        <f>SUM(D127+D132+D141+D181+D189+D191)</f>
        <v>18862873550</v>
      </c>
    </row>
    <row r="193" spans="1:35" s="497" customFormat="1" ht="24.75" customHeight="1">
      <c r="A193" s="780" t="s">
        <v>168</v>
      </c>
      <c r="B193" s="781" t="s">
        <v>251</v>
      </c>
      <c r="C193" s="782"/>
      <c r="D193" s="495">
        <v>16561591404</v>
      </c>
    </row>
    <row r="194" spans="1:35" s="497" customFormat="1" ht="24.75" customHeight="1">
      <c r="A194" s="780" t="s">
        <v>169</v>
      </c>
      <c r="B194" s="781" t="s">
        <v>252</v>
      </c>
      <c r="C194" s="782"/>
      <c r="D194" s="495">
        <v>3018969624</v>
      </c>
    </row>
    <row r="195" spans="1:35" s="497" customFormat="1" ht="24.75" customHeight="1">
      <c r="A195" s="780" t="s">
        <v>170</v>
      </c>
      <c r="B195" s="781" t="s">
        <v>253</v>
      </c>
      <c r="C195" s="782"/>
      <c r="D195" s="495">
        <v>407955406</v>
      </c>
    </row>
    <row r="196" spans="1:35" s="497" customFormat="1" ht="24.75" customHeight="1">
      <c r="A196" s="778" t="s">
        <v>171</v>
      </c>
      <c r="B196" s="779" t="s">
        <v>254</v>
      </c>
      <c r="C196" s="348"/>
      <c r="D196" s="496">
        <f>SUM(D195)</f>
        <v>407955406</v>
      </c>
    </row>
    <row r="197" spans="1:35" s="497" customFormat="1" ht="24.75" customHeight="1">
      <c r="A197" s="780" t="s">
        <v>15</v>
      </c>
      <c r="B197" s="781" t="s">
        <v>60</v>
      </c>
      <c r="C197" s="782"/>
      <c r="D197" s="495">
        <v>-4390459590</v>
      </c>
    </row>
    <row r="198" spans="1:35" s="26" customFormat="1" ht="30.75" customHeight="1">
      <c r="A198" s="30" t="s">
        <v>8</v>
      </c>
      <c r="B198" s="5" t="s">
        <v>0</v>
      </c>
      <c r="C198" s="5" t="s">
        <v>953</v>
      </c>
      <c r="D198" s="5" t="s">
        <v>863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s="497" customFormat="1" ht="24.75" customHeight="1">
      <c r="A199" s="780" t="s">
        <v>172</v>
      </c>
      <c r="B199" s="781" t="s">
        <v>61</v>
      </c>
      <c r="C199" s="782"/>
      <c r="D199" s="495">
        <v>-444878181</v>
      </c>
    </row>
    <row r="200" spans="1:35" s="497" customFormat="1" ht="24.75" customHeight="1">
      <c r="A200" s="778" t="s">
        <v>37</v>
      </c>
      <c r="B200" s="779" t="s">
        <v>255</v>
      </c>
      <c r="C200" s="348"/>
      <c r="D200" s="496">
        <f>SUM(D193+D194+D196+D197+D199)</f>
        <v>15153178663</v>
      </c>
    </row>
    <row r="201" spans="1:35" s="497" customFormat="1" ht="24.75" customHeight="1">
      <c r="A201" s="780" t="s">
        <v>173</v>
      </c>
      <c r="B201" s="781" t="s">
        <v>256</v>
      </c>
      <c r="C201" s="782"/>
      <c r="D201" s="495">
        <v>26109645</v>
      </c>
    </row>
    <row r="202" spans="1:35" s="497" customFormat="1" ht="24.75" customHeight="1">
      <c r="A202" s="780" t="s">
        <v>174</v>
      </c>
      <c r="B202" s="781" t="s">
        <v>257</v>
      </c>
      <c r="C202" s="782"/>
      <c r="D202" s="495">
        <v>1397000</v>
      </c>
    </row>
    <row r="203" spans="1:35" s="497" customFormat="1" ht="24.75" customHeight="1">
      <c r="A203" s="778" t="s">
        <v>175</v>
      </c>
      <c r="B203" s="779" t="s">
        <v>258</v>
      </c>
      <c r="C203" s="348"/>
      <c r="D203" s="496">
        <f>SUM(D201:D202)</f>
        <v>27506645</v>
      </c>
    </row>
    <row r="204" spans="1:35" s="497" customFormat="1" ht="24.75" customHeight="1">
      <c r="A204" s="780" t="s">
        <v>176</v>
      </c>
      <c r="B204" s="781" t="s">
        <v>259</v>
      </c>
      <c r="C204" s="782"/>
      <c r="D204" s="495">
        <v>984619</v>
      </c>
    </row>
    <row r="205" spans="1:35" s="497" customFormat="1" ht="24.75" customHeight="1">
      <c r="A205" s="780" t="s">
        <v>177</v>
      </c>
      <c r="B205" s="781" t="s">
        <v>260</v>
      </c>
      <c r="C205" s="782"/>
      <c r="D205" s="495">
        <v>58439181</v>
      </c>
    </row>
    <row r="206" spans="1:35" s="497" customFormat="1" ht="24.75" hidden="1" customHeight="1">
      <c r="A206" s="780" t="s">
        <v>178</v>
      </c>
      <c r="B206" s="781" t="s">
        <v>273</v>
      </c>
      <c r="C206" s="782"/>
      <c r="D206" s="495">
        <v>58439181</v>
      </c>
    </row>
    <row r="207" spans="1:35" s="497" customFormat="1" ht="24.75" customHeight="1">
      <c r="A207" s="778" t="s">
        <v>16</v>
      </c>
      <c r="B207" s="779" t="s">
        <v>6</v>
      </c>
      <c r="C207" s="348"/>
      <c r="D207" s="496">
        <f>SUM(D204:D205)</f>
        <v>59423800</v>
      </c>
    </row>
    <row r="208" spans="1:35" s="497" customFormat="1" ht="24.75" customHeight="1">
      <c r="A208" s="780" t="s">
        <v>179</v>
      </c>
      <c r="B208" s="781" t="s">
        <v>261</v>
      </c>
      <c r="C208" s="782"/>
      <c r="D208" s="495">
        <v>41217394</v>
      </c>
    </row>
    <row r="209" spans="1:4" s="497" customFormat="1" ht="24.75" customHeight="1">
      <c r="A209" s="780" t="s">
        <v>180</v>
      </c>
      <c r="B209" s="781" t="s">
        <v>262</v>
      </c>
      <c r="C209" s="782"/>
      <c r="D209" s="495">
        <v>1459450</v>
      </c>
    </row>
    <row r="210" spans="1:4" s="497" customFormat="1" ht="24.75" customHeight="1">
      <c r="A210" s="780" t="s">
        <v>181</v>
      </c>
      <c r="B210" s="781" t="s">
        <v>263</v>
      </c>
      <c r="C210" s="782"/>
      <c r="D210" s="495">
        <v>1097878</v>
      </c>
    </row>
    <row r="211" spans="1:4" s="497" customFormat="1" ht="24.75" customHeight="1">
      <c r="A211" s="778" t="s">
        <v>17</v>
      </c>
      <c r="B211" s="779" t="s">
        <v>264</v>
      </c>
      <c r="C211" s="348"/>
      <c r="D211" s="496">
        <f>SUM(D208+D209+D210)</f>
        <v>43774722</v>
      </c>
    </row>
    <row r="212" spans="1:4" s="21" customFormat="1" ht="24" customHeight="1">
      <c r="A212" s="778" t="s">
        <v>182</v>
      </c>
      <c r="B212" s="779" t="s">
        <v>265</v>
      </c>
      <c r="C212" s="348"/>
      <c r="D212" s="496">
        <f>SUM(D203+D207+D211)</f>
        <v>130705167</v>
      </c>
    </row>
    <row r="213" spans="1:4" s="21" customFormat="1" ht="24.75" customHeight="1">
      <c r="A213" s="780" t="s">
        <v>183</v>
      </c>
      <c r="B213" s="781" t="s">
        <v>266</v>
      </c>
      <c r="C213" s="782"/>
      <c r="D213" s="495">
        <v>3328758679</v>
      </c>
    </row>
    <row r="214" spans="1:4" s="21" customFormat="1" ht="24.75" customHeight="1">
      <c r="A214" s="780" t="s">
        <v>184</v>
      </c>
      <c r="B214" s="781" t="s">
        <v>267</v>
      </c>
      <c r="C214" s="782"/>
      <c r="D214" s="495">
        <v>130707428</v>
      </c>
    </row>
    <row r="215" spans="1:4" s="21" customFormat="1" ht="24.75" customHeight="1">
      <c r="A215" s="780" t="s">
        <v>185</v>
      </c>
      <c r="B215" s="781" t="s">
        <v>268</v>
      </c>
      <c r="C215" s="782"/>
      <c r="D215" s="495">
        <v>119523613</v>
      </c>
    </row>
    <row r="216" spans="1:4" s="21" customFormat="1" ht="24.75" customHeight="1">
      <c r="A216" s="778" t="s">
        <v>186</v>
      </c>
      <c r="B216" s="779" t="s">
        <v>67</v>
      </c>
      <c r="C216" s="348"/>
      <c r="D216" s="496">
        <f>SUM(D213:D215)</f>
        <v>3578989720</v>
      </c>
    </row>
    <row r="217" spans="1:4" s="769" customFormat="1" ht="24.75" customHeight="1">
      <c r="A217" s="15" t="s">
        <v>42</v>
      </c>
      <c r="B217" s="16" t="s">
        <v>5</v>
      </c>
      <c r="C217" s="17"/>
      <c r="D217" s="17">
        <f>SUM(D200+D212+D216)</f>
        <v>18862873550</v>
      </c>
    </row>
    <row r="218" spans="1:4" s="21" customFormat="1">
      <c r="A218" s="783"/>
    </row>
    <row r="219" spans="1:4" s="21" customFormat="1">
      <c r="A219" s="783"/>
    </row>
  </sheetData>
  <mergeCells count="9">
    <mergeCell ref="C166:C167"/>
    <mergeCell ref="D166:D167"/>
    <mergeCell ref="C169:C170"/>
    <mergeCell ref="D169:D170"/>
    <mergeCell ref="A4:D4"/>
    <mergeCell ref="C147:C148"/>
    <mergeCell ref="D147:D148"/>
    <mergeCell ref="C157:C158"/>
    <mergeCell ref="D157:D158"/>
  </mergeCells>
  <pageMargins left="0.7" right="0.7" top="0.75" bottom="0.75" header="0.3" footer="0.3"/>
  <pageSetup paperSize="9" scale="52" orientation="portrait" horizontalDpi="300" verticalDpi="300" r:id="rId1"/>
  <rowBreaks count="1" manualBreakCount="1">
    <brk id="11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"/>
  <sheetViews>
    <sheetView view="pageBreakPreview" zoomScale="95" zoomScaleSheetLayoutView="95" workbookViewId="0"/>
  </sheetViews>
  <sheetFormatPr defaultRowHeight="15.75"/>
  <cols>
    <col min="1" max="1" width="82" style="1" customWidth="1"/>
    <col min="2" max="2" width="22.42578125" style="1" customWidth="1"/>
    <col min="3" max="38" width="9.140625" style="21"/>
    <col min="39" max="256" width="9.140625" style="1"/>
    <col min="257" max="257" width="82" style="1" customWidth="1"/>
    <col min="258" max="258" width="22.42578125" style="1" customWidth="1"/>
    <col min="259" max="512" width="9.140625" style="1"/>
    <col min="513" max="513" width="82" style="1" customWidth="1"/>
    <col min="514" max="514" width="22.42578125" style="1" customWidth="1"/>
    <col min="515" max="768" width="9.140625" style="1"/>
    <col min="769" max="769" width="82" style="1" customWidth="1"/>
    <col min="770" max="770" width="22.42578125" style="1" customWidth="1"/>
    <col min="771" max="1024" width="9.140625" style="1"/>
    <col min="1025" max="1025" width="82" style="1" customWidth="1"/>
    <col min="1026" max="1026" width="22.42578125" style="1" customWidth="1"/>
    <col min="1027" max="1280" width="9.140625" style="1"/>
    <col min="1281" max="1281" width="82" style="1" customWidth="1"/>
    <col min="1282" max="1282" width="22.42578125" style="1" customWidth="1"/>
    <col min="1283" max="1536" width="9.140625" style="1"/>
    <col min="1537" max="1537" width="82" style="1" customWidth="1"/>
    <col min="1538" max="1538" width="22.42578125" style="1" customWidth="1"/>
    <col min="1539" max="1792" width="9.140625" style="1"/>
    <col min="1793" max="1793" width="82" style="1" customWidth="1"/>
    <col min="1794" max="1794" width="22.42578125" style="1" customWidth="1"/>
    <col min="1795" max="2048" width="9.140625" style="1"/>
    <col min="2049" max="2049" width="82" style="1" customWidth="1"/>
    <col min="2050" max="2050" width="22.42578125" style="1" customWidth="1"/>
    <col min="2051" max="2304" width="9.140625" style="1"/>
    <col min="2305" max="2305" width="82" style="1" customWidth="1"/>
    <col min="2306" max="2306" width="22.42578125" style="1" customWidth="1"/>
    <col min="2307" max="2560" width="9.140625" style="1"/>
    <col min="2561" max="2561" width="82" style="1" customWidth="1"/>
    <col min="2562" max="2562" width="22.42578125" style="1" customWidth="1"/>
    <col min="2563" max="2816" width="9.140625" style="1"/>
    <col min="2817" max="2817" width="82" style="1" customWidth="1"/>
    <col min="2818" max="2818" width="22.42578125" style="1" customWidth="1"/>
    <col min="2819" max="3072" width="9.140625" style="1"/>
    <col min="3073" max="3073" width="82" style="1" customWidth="1"/>
    <col min="3074" max="3074" width="22.42578125" style="1" customWidth="1"/>
    <col min="3075" max="3328" width="9.140625" style="1"/>
    <col min="3329" max="3329" width="82" style="1" customWidth="1"/>
    <col min="3330" max="3330" width="22.42578125" style="1" customWidth="1"/>
    <col min="3331" max="3584" width="9.140625" style="1"/>
    <col min="3585" max="3585" width="82" style="1" customWidth="1"/>
    <col min="3586" max="3586" width="22.42578125" style="1" customWidth="1"/>
    <col min="3587" max="3840" width="9.140625" style="1"/>
    <col min="3841" max="3841" width="82" style="1" customWidth="1"/>
    <col min="3842" max="3842" width="22.42578125" style="1" customWidth="1"/>
    <col min="3843" max="4096" width="9.140625" style="1"/>
    <col min="4097" max="4097" width="82" style="1" customWidth="1"/>
    <col min="4098" max="4098" width="22.42578125" style="1" customWidth="1"/>
    <col min="4099" max="4352" width="9.140625" style="1"/>
    <col min="4353" max="4353" width="82" style="1" customWidth="1"/>
    <col min="4354" max="4354" width="22.42578125" style="1" customWidth="1"/>
    <col min="4355" max="4608" width="9.140625" style="1"/>
    <col min="4609" max="4609" width="82" style="1" customWidth="1"/>
    <col min="4610" max="4610" width="22.42578125" style="1" customWidth="1"/>
    <col min="4611" max="4864" width="9.140625" style="1"/>
    <col min="4865" max="4865" width="82" style="1" customWidth="1"/>
    <col min="4866" max="4866" width="22.42578125" style="1" customWidth="1"/>
    <col min="4867" max="5120" width="9.140625" style="1"/>
    <col min="5121" max="5121" width="82" style="1" customWidth="1"/>
    <col min="5122" max="5122" width="22.42578125" style="1" customWidth="1"/>
    <col min="5123" max="5376" width="9.140625" style="1"/>
    <col min="5377" max="5377" width="82" style="1" customWidth="1"/>
    <col min="5378" max="5378" width="22.42578125" style="1" customWidth="1"/>
    <col min="5379" max="5632" width="9.140625" style="1"/>
    <col min="5633" max="5633" width="82" style="1" customWidth="1"/>
    <col min="5634" max="5634" width="22.42578125" style="1" customWidth="1"/>
    <col min="5635" max="5888" width="9.140625" style="1"/>
    <col min="5889" max="5889" width="82" style="1" customWidth="1"/>
    <col min="5890" max="5890" width="22.42578125" style="1" customWidth="1"/>
    <col min="5891" max="6144" width="9.140625" style="1"/>
    <col min="6145" max="6145" width="82" style="1" customWidth="1"/>
    <col min="6146" max="6146" width="22.42578125" style="1" customWidth="1"/>
    <col min="6147" max="6400" width="9.140625" style="1"/>
    <col min="6401" max="6401" width="82" style="1" customWidth="1"/>
    <col min="6402" max="6402" width="22.42578125" style="1" customWidth="1"/>
    <col min="6403" max="6656" width="9.140625" style="1"/>
    <col min="6657" max="6657" width="82" style="1" customWidth="1"/>
    <col min="6658" max="6658" width="22.42578125" style="1" customWidth="1"/>
    <col min="6659" max="6912" width="9.140625" style="1"/>
    <col min="6913" max="6913" width="82" style="1" customWidth="1"/>
    <col min="6914" max="6914" width="22.42578125" style="1" customWidth="1"/>
    <col min="6915" max="7168" width="9.140625" style="1"/>
    <col min="7169" max="7169" width="82" style="1" customWidth="1"/>
    <col min="7170" max="7170" width="22.42578125" style="1" customWidth="1"/>
    <col min="7171" max="7424" width="9.140625" style="1"/>
    <col min="7425" max="7425" width="82" style="1" customWidth="1"/>
    <col min="7426" max="7426" width="22.42578125" style="1" customWidth="1"/>
    <col min="7427" max="7680" width="9.140625" style="1"/>
    <col min="7681" max="7681" width="82" style="1" customWidth="1"/>
    <col min="7682" max="7682" width="22.42578125" style="1" customWidth="1"/>
    <col min="7683" max="7936" width="9.140625" style="1"/>
    <col min="7937" max="7937" width="82" style="1" customWidth="1"/>
    <col min="7938" max="7938" width="22.42578125" style="1" customWidth="1"/>
    <col min="7939" max="8192" width="9.140625" style="1"/>
    <col min="8193" max="8193" width="82" style="1" customWidth="1"/>
    <col min="8194" max="8194" width="22.42578125" style="1" customWidth="1"/>
    <col min="8195" max="8448" width="9.140625" style="1"/>
    <col min="8449" max="8449" width="82" style="1" customWidth="1"/>
    <col min="8450" max="8450" width="22.42578125" style="1" customWidth="1"/>
    <col min="8451" max="8704" width="9.140625" style="1"/>
    <col min="8705" max="8705" width="82" style="1" customWidth="1"/>
    <col min="8706" max="8706" width="22.42578125" style="1" customWidth="1"/>
    <col min="8707" max="8960" width="9.140625" style="1"/>
    <col min="8961" max="8961" width="82" style="1" customWidth="1"/>
    <col min="8962" max="8962" width="22.42578125" style="1" customWidth="1"/>
    <col min="8963" max="9216" width="9.140625" style="1"/>
    <col min="9217" max="9217" width="82" style="1" customWidth="1"/>
    <col min="9218" max="9218" width="22.42578125" style="1" customWidth="1"/>
    <col min="9219" max="9472" width="9.140625" style="1"/>
    <col min="9473" max="9473" width="82" style="1" customWidth="1"/>
    <col min="9474" max="9474" width="22.42578125" style="1" customWidth="1"/>
    <col min="9475" max="9728" width="9.140625" style="1"/>
    <col min="9729" max="9729" width="82" style="1" customWidth="1"/>
    <col min="9730" max="9730" width="22.42578125" style="1" customWidth="1"/>
    <col min="9731" max="9984" width="9.140625" style="1"/>
    <col min="9985" max="9985" width="82" style="1" customWidth="1"/>
    <col min="9986" max="9986" width="22.42578125" style="1" customWidth="1"/>
    <col min="9987" max="10240" width="9.140625" style="1"/>
    <col min="10241" max="10241" width="82" style="1" customWidth="1"/>
    <col min="10242" max="10242" width="22.42578125" style="1" customWidth="1"/>
    <col min="10243" max="10496" width="9.140625" style="1"/>
    <col min="10497" max="10497" width="82" style="1" customWidth="1"/>
    <col min="10498" max="10498" width="22.42578125" style="1" customWidth="1"/>
    <col min="10499" max="10752" width="9.140625" style="1"/>
    <col min="10753" max="10753" width="82" style="1" customWidth="1"/>
    <col min="10754" max="10754" width="22.42578125" style="1" customWidth="1"/>
    <col min="10755" max="11008" width="9.140625" style="1"/>
    <col min="11009" max="11009" width="82" style="1" customWidth="1"/>
    <col min="11010" max="11010" width="22.42578125" style="1" customWidth="1"/>
    <col min="11011" max="11264" width="9.140625" style="1"/>
    <col min="11265" max="11265" width="82" style="1" customWidth="1"/>
    <col min="11266" max="11266" width="22.42578125" style="1" customWidth="1"/>
    <col min="11267" max="11520" width="9.140625" style="1"/>
    <col min="11521" max="11521" width="82" style="1" customWidth="1"/>
    <col min="11522" max="11522" width="22.42578125" style="1" customWidth="1"/>
    <col min="11523" max="11776" width="9.140625" style="1"/>
    <col min="11777" max="11777" width="82" style="1" customWidth="1"/>
    <col min="11778" max="11778" width="22.42578125" style="1" customWidth="1"/>
    <col min="11779" max="12032" width="9.140625" style="1"/>
    <col min="12033" max="12033" width="82" style="1" customWidth="1"/>
    <col min="12034" max="12034" width="22.42578125" style="1" customWidth="1"/>
    <col min="12035" max="12288" width="9.140625" style="1"/>
    <col min="12289" max="12289" width="82" style="1" customWidth="1"/>
    <col min="12290" max="12290" width="22.42578125" style="1" customWidth="1"/>
    <col min="12291" max="12544" width="9.140625" style="1"/>
    <col min="12545" max="12545" width="82" style="1" customWidth="1"/>
    <col min="12546" max="12546" width="22.42578125" style="1" customWidth="1"/>
    <col min="12547" max="12800" width="9.140625" style="1"/>
    <col min="12801" max="12801" width="82" style="1" customWidth="1"/>
    <col min="12802" max="12802" width="22.42578125" style="1" customWidth="1"/>
    <col min="12803" max="13056" width="9.140625" style="1"/>
    <col min="13057" max="13057" width="82" style="1" customWidth="1"/>
    <col min="13058" max="13058" width="22.42578125" style="1" customWidth="1"/>
    <col min="13059" max="13312" width="9.140625" style="1"/>
    <col min="13313" max="13313" width="82" style="1" customWidth="1"/>
    <col min="13314" max="13314" width="22.42578125" style="1" customWidth="1"/>
    <col min="13315" max="13568" width="9.140625" style="1"/>
    <col min="13569" max="13569" width="82" style="1" customWidth="1"/>
    <col min="13570" max="13570" width="22.42578125" style="1" customWidth="1"/>
    <col min="13571" max="13824" width="9.140625" style="1"/>
    <col min="13825" max="13825" width="82" style="1" customWidth="1"/>
    <col min="13826" max="13826" width="22.42578125" style="1" customWidth="1"/>
    <col min="13827" max="14080" width="9.140625" style="1"/>
    <col min="14081" max="14081" width="82" style="1" customWidth="1"/>
    <col min="14082" max="14082" width="22.42578125" style="1" customWidth="1"/>
    <col min="14083" max="14336" width="9.140625" style="1"/>
    <col min="14337" max="14337" width="82" style="1" customWidth="1"/>
    <col min="14338" max="14338" width="22.42578125" style="1" customWidth="1"/>
    <col min="14339" max="14592" width="9.140625" style="1"/>
    <col min="14593" max="14593" width="82" style="1" customWidth="1"/>
    <col min="14594" max="14594" width="22.42578125" style="1" customWidth="1"/>
    <col min="14595" max="14848" width="9.140625" style="1"/>
    <col min="14849" max="14849" width="82" style="1" customWidth="1"/>
    <col min="14850" max="14850" width="22.42578125" style="1" customWidth="1"/>
    <col min="14851" max="15104" width="9.140625" style="1"/>
    <col min="15105" max="15105" width="82" style="1" customWidth="1"/>
    <col min="15106" max="15106" width="22.42578125" style="1" customWidth="1"/>
    <col min="15107" max="15360" width="9.140625" style="1"/>
    <col min="15361" max="15361" width="82" style="1" customWidth="1"/>
    <col min="15362" max="15362" width="22.42578125" style="1" customWidth="1"/>
    <col min="15363" max="15616" width="9.140625" style="1"/>
    <col min="15617" max="15617" width="82" style="1" customWidth="1"/>
    <col min="15618" max="15618" width="22.42578125" style="1" customWidth="1"/>
    <col min="15619" max="15872" width="9.140625" style="1"/>
    <col min="15873" max="15873" width="82" style="1" customWidth="1"/>
    <col min="15874" max="15874" width="22.42578125" style="1" customWidth="1"/>
    <col min="15875" max="16128" width="9.140625" style="1"/>
    <col min="16129" max="16129" width="82" style="1" customWidth="1"/>
    <col min="16130" max="16130" width="22.42578125" style="1" customWidth="1"/>
    <col min="16131" max="16384" width="9.140625" style="1"/>
  </cols>
  <sheetData>
    <row r="1" spans="1:38">
      <c r="A1" s="1" t="s">
        <v>961</v>
      </c>
    </row>
    <row r="4" spans="1:38" s="2" customFormat="1" ht="16.5">
      <c r="A4" s="786" t="s">
        <v>738</v>
      </c>
      <c r="B4" s="78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" customFormat="1">
      <c r="A5" s="3"/>
      <c r="B5" s="3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>
      <c r="B6" s="4" t="s">
        <v>7</v>
      </c>
      <c r="C6" s="37"/>
    </row>
    <row r="7" spans="1:38" s="26" customFormat="1" ht="24" customHeight="1">
      <c r="A7" s="5" t="s">
        <v>0</v>
      </c>
      <c r="B7" s="5" t="s">
        <v>274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7" customFormat="1" ht="24" customHeight="1">
      <c r="A8" s="39" t="s">
        <v>275</v>
      </c>
      <c r="B8" s="11">
        <v>6077975287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7" customFormat="1" ht="24" customHeight="1">
      <c r="A9" s="39" t="s">
        <v>276</v>
      </c>
      <c r="B9" s="11">
        <v>3643537316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7" customFormat="1" ht="24" customHeight="1">
      <c r="A10" s="40" t="s">
        <v>277</v>
      </c>
      <c r="B10" s="14">
        <f>SUM(B8-B9)</f>
        <v>2434437971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7" customFormat="1" ht="24" customHeight="1">
      <c r="A11" s="39" t="s">
        <v>278</v>
      </c>
      <c r="B11" s="11">
        <v>1787678177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7" customFormat="1" ht="24" customHeight="1">
      <c r="A12" s="39" t="s">
        <v>279</v>
      </c>
      <c r="B12" s="11">
        <v>1358343950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7" customFormat="1" ht="24" customHeight="1">
      <c r="A13" s="40" t="s">
        <v>280</v>
      </c>
      <c r="B13" s="14">
        <f>SUM(B11-B12)</f>
        <v>429334227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7" customFormat="1" ht="24" customHeight="1">
      <c r="A14" s="40" t="s">
        <v>281</v>
      </c>
      <c r="B14" s="14">
        <f>SUM(B13,B10)</f>
        <v>2863772198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5" customFormat="1" ht="24" customHeight="1">
      <c r="A15" s="41" t="s">
        <v>282</v>
      </c>
      <c r="B15" s="17">
        <f>SUM(B14)</f>
        <v>2863772198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24" customHeight="1">
      <c r="A16" s="40" t="s">
        <v>283</v>
      </c>
      <c r="B16" s="348">
        <f>SUM(B15)</f>
        <v>2863772198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</sheetData>
  <mergeCells count="1">
    <mergeCell ref="A4:B4"/>
  </mergeCells>
  <pageMargins left="0.7" right="0.7" top="0.75" bottom="0.75" header="0.3" footer="0.3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="95" zoomScaleSheetLayoutView="95" workbookViewId="0">
      <selection sqref="A1:D1"/>
    </sheetView>
  </sheetViews>
  <sheetFormatPr defaultRowHeight="15.75"/>
  <cols>
    <col min="1" max="1" width="74.5703125" style="42" customWidth="1"/>
    <col min="2" max="2" width="16.28515625" style="42" customWidth="1"/>
    <col min="3" max="3" width="19" style="89" customWidth="1"/>
    <col min="4" max="5" width="19.85546875" style="89" customWidth="1"/>
    <col min="6" max="6" width="19" style="89" customWidth="1"/>
    <col min="7" max="7" width="14.140625" style="43" customWidth="1"/>
    <col min="8" max="16384" width="9.140625" style="42"/>
  </cols>
  <sheetData>
    <row r="1" spans="1:7" ht="20.100000000000001" customHeight="1">
      <c r="A1" s="822" t="s">
        <v>962</v>
      </c>
      <c r="B1" s="823"/>
      <c r="C1" s="823"/>
      <c r="D1" s="823"/>
      <c r="E1" s="42"/>
      <c r="F1" s="42"/>
    </row>
    <row r="2" spans="1:7" ht="20.100000000000001" customHeight="1">
      <c r="A2" s="44"/>
      <c r="B2" s="45"/>
      <c r="C2" s="46"/>
      <c r="D2" s="46"/>
      <c r="E2" s="46"/>
      <c r="F2" s="46"/>
      <c r="G2" s="47"/>
    </row>
    <row r="3" spans="1:7" ht="39" customHeight="1">
      <c r="A3" s="824" t="s">
        <v>607</v>
      </c>
      <c r="B3" s="824"/>
      <c r="C3" s="824"/>
      <c r="D3" s="824"/>
      <c r="E3" s="824"/>
      <c r="F3" s="824"/>
      <c r="G3" s="824"/>
    </row>
    <row r="4" spans="1:7" ht="20.100000000000001" customHeight="1">
      <c r="A4" s="44" t="s">
        <v>284</v>
      </c>
      <c r="B4" s="45"/>
      <c r="C4" s="46"/>
      <c r="D4" s="46"/>
      <c r="E4" s="46"/>
      <c r="F4" s="46"/>
      <c r="G4" s="47"/>
    </row>
    <row r="5" spans="1:7" ht="20.100000000000001" customHeight="1" thickBot="1">
      <c r="A5" s="48"/>
      <c r="B5" s="49"/>
      <c r="C5" s="49"/>
      <c r="D5" s="50"/>
      <c r="E5" s="50"/>
      <c r="F5" s="50"/>
      <c r="G5" s="51" t="s">
        <v>7</v>
      </c>
    </row>
    <row r="6" spans="1:7" s="506" customFormat="1" ht="31.5" customHeight="1" thickBot="1">
      <c r="A6" s="820" t="s">
        <v>608</v>
      </c>
      <c r="B6" s="821"/>
      <c r="C6" s="504"/>
      <c r="D6" s="505" t="s">
        <v>286</v>
      </c>
      <c r="E6" s="505" t="s">
        <v>287</v>
      </c>
      <c r="F6" s="505" t="s">
        <v>288</v>
      </c>
      <c r="G6" s="548" t="s">
        <v>289</v>
      </c>
    </row>
    <row r="7" spans="1:7" s="506" customFormat="1" ht="20.100000000000001" customHeight="1">
      <c r="A7" s="52" t="s">
        <v>290</v>
      </c>
      <c r="B7" s="53"/>
      <c r="C7" s="54"/>
      <c r="D7" s="54"/>
      <c r="E7" s="54"/>
      <c r="F7" s="54"/>
      <c r="G7" s="55"/>
    </row>
    <row r="8" spans="1:7" s="506" customFormat="1" ht="20.100000000000001" customHeight="1">
      <c r="A8" s="56" t="s">
        <v>291</v>
      </c>
      <c r="B8" s="57" t="s">
        <v>7</v>
      </c>
      <c r="C8" s="58" t="s">
        <v>7</v>
      </c>
      <c r="D8" s="507"/>
      <c r="E8" s="507"/>
      <c r="F8" s="507"/>
      <c r="G8" s="549"/>
    </row>
    <row r="9" spans="1:7" s="506" customFormat="1" ht="20.100000000000001" customHeight="1">
      <c r="A9" s="56" t="s">
        <v>609</v>
      </c>
      <c r="B9" s="57"/>
      <c r="C9" s="58"/>
      <c r="D9" s="507"/>
      <c r="E9" s="507"/>
      <c r="F9" s="507"/>
      <c r="G9" s="549"/>
    </row>
    <row r="10" spans="1:7" s="506" customFormat="1" ht="20.100000000000001" customHeight="1">
      <c r="A10" s="802" t="s">
        <v>610</v>
      </c>
      <c r="B10" s="803"/>
      <c r="C10" s="61">
        <v>195337000</v>
      </c>
      <c r="D10" s="61">
        <v>195337000</v>
      </c>
      <c r="E10" s="61">
        <v>195337000</v>
      </c>
      <c r="F10" s="61">
        <v>195337000</v>
      </c>
      <c r="G10" s="62">
        <f>SUM(F10/E10)</f>
        <v>1</v>
      </c>
    </row>
    <row r="11" spans="1:7" s="506" customFormat="1" ht="20.100000000000001" customHeight="1">
      <c r="A11" s="802" t="s">
        <v>611</v>
      </c>
      <c r="B11" s="803"/>
      <c r="C11" s="61">
        <v>29491750</v>
      </c>
      <c r="D11" s="61">
        <v>0</v>
      </c>
      <c r="E11" s="61">
        <v>0</v>
      </c>
      <c r="F11" s="61">
        <v>0</v>
      </c>
      <c r="G11" s="62"/>
    </row>
    <row r="12" spans="1:7" s="506" customFormat="1" ht="20.100000000000001" customHeight="1">
      <c r="A12" s="802" t="s">
        <v>612</v>
      </c>
      <c r="B12" s="803"/>
      <c r="C12" s="61">
        <v>0</v>
      </c>
      <c r="D12" s="61"/>
      <c r="E12" s="61"/>
      <c r="F12" s="61"/>
      <c r="G12" s="62"/>
    </row>
    <row r="13" spans="1:7" s="506" customFormat="1" ht="20.100000000000001" customHeight="1">
      <c r="A13" s="500" t="s">
        <v>613</v>
      </c>
      <c r="B13" s="501"/>
      <c r="C13" s="61">
        <v>54560000</v>
      </c>
      <c r="D13" s="61">
        <v>50339000</v>
      </c>
      <c r="E13" s="61">
        <f>50339000-302</f>
        <v>50338698</v>
      </c>
      <c r="F13" s="61">
        <v>50338698</v>
      </c>
      <c r="G13" s="62">
        <f>SUM(F13/E13)</f>
        <v>1</v>
      </c>
    </row>
    <row r="14" spans="1:7" s="506" customFormat="1" ht="20.100000000000001" customHeight="1">
      <c r="A14" s="802" t="s">
        <v>612</v>
      </c>
      <c r="B14" s="803"/>
      <c r="C14" s="61">
        <v>50338698</v>
      </c>
      <c r="D14" s="61"/>
      <c r="E14" s="61"/>
      <c r="F14" s="61"/>
      <c r="G14" s="62"/>
    </row>
    <row r="15" spans="1:7" s="506" customFormat="1" ht="20.100000000000001" customHeight="1">
      <c r="A15" s="500" t="s">
        <v>614</v>
      </c>
      <c r="B15" s="501"/>
      <c r="C15" s="61">
        <v>0</v>
      </c>
      <c r="D15" s="61">
        <v>0</v>
      </c>
      <c r="E15" s="61">
        <v>0</v>
      </c>
      <c r="F15" s="61">
        <v>0</v>
      </c>
      <c r="G15" s="62"/>
    </row>
    <row r="16" spans="1:7" s="506" customFormat="1" ht="20.100000000000001" customHeight="1">
      <c r="A16" s="500" t="s">
        <v>615</v>
      </c>
      <c r="B16" s="501"/>
      <c r="C16" s="61">
        <v>32733200</v>
      </c>
      <c r="D16" s="61">
        <v>32733000</v>
      </c>
      <c r="E16" s="61">
        <f>32733000+200</f>
        <v>32733200</v>
      </c>
      <c r="F16" s="61">
        <v>32733200</v>
      </c>
      <c r="G16" s="62">
        <f>SUM(F16/E16)</f>
        <v>1</v>
      </c>
    </row>
    <row r="17" spans="1:7" s="506" customFormat="1" ht="20.100000000000001" customHeight="1">
      <c r="A17" s="500" t="s">
        <v>616</v>
      </c>
      <c r="B17" s="501"/>
      <c r="C17" s="61">
        <v>55444500</v>
      </c>
      <c r="D17" s="61">
        <v>0</v>
      </c>
      <c r="E17" s="61">
        <v>0</v>
      </c>
      <c r="F17" s="61">
        <v>0</v>
      </c>
      <c r="G17" s="62"/>
    </row>
    <row r="18" spans="1:7" s="506" customFormat="1" ht="20.100000000000001" customHeight="1">
      <c r="A18" s="802" t="s">
        <v>612</v>
      </c>
      <c r="B18" s="803"/>
      <c r="C18" s="61">
        <v>0</v>
      </c>
      <c r="D18" s="61"/>
      <c r="E18" s="61"/>
      <c r="F18" s="61"/>
      <c r="G18" s="62"/>
    </row>
    <row r="19" spans="1:7" s="506" customFormat="1" ht="20.100000000000001" customHeight="1">
      <c r="A19" s="500" t="s">
        <v>617</v>
      </c>
      <c r="B19" s="501"/>
      <c r="C19" s="61">
        <v>1384650</v>
      </c>
      <c r="D19" s="61">
        <v>0</v>
      </c>
      <c r="E19" s="61">
        <v>0</v>
      </c>
      <c r="F19" s="61">
        <v>0</v>
      </c>
      <c r="G19" s="62"/>
    </row>
    <row r="20" spans="1:7" s="506" customFormat="1" ht="20.100000000000001" customHeight="1">
      <c r="A20" s="802" t="s">
        <v>612</v>
      </c>
      <c r="B20" s="803"/>
      <c r="C20" s="61">
        <v>0</v>
      </c>
      <c r="D20" s="61"/>
      <c r="E20" s="61"/>
      <c r="F20" s="61"/>
      <c r="G20" s="62"/>
    </row>
    <row r="21" spans="1:7" s="506" customFormat="1" ht="20.100000000000001" customHeight="1">
      <c r="A21" s="500" t="s">
        <v>618</v>
      </c>
      <c r="B21" s="501"/>
      <c r="C21" s="61">
        <v>3503000</v>
      </c>
      <c r="D21" s="61">
        <v>3503000</v>
      </c>
      <c r="E21" s="61">
        <v>3503000</v>
      </c>
      <c r="F21" s="61">
        <v>3503000</v>
      </c>
      <c r="G21" s="62">
        <f>SUM(F21/E21)</f>
        <v>1</v>
      </c>
    </row>
    <row r="22" spans="1:7" s="506" customFormat="1" ht="20.100000000000001" customHeight="1">
      <c r="A22" s="802" t="s">
        <v>612</v>
      </c>
      <c r="B22" s="803"/>
      <c r="C22" s="61">
        <v>3503000</v>
      </c>
      <c r="D22" s="61"/>
      <c r="E22" s="61"/>
      <c r="F22" s="61"/>
      <c r="G22" s="62"/>
    </row>
    <row r="23" spans="1:7" s="506" customFormat="1" ht="20.100000000000001" customHeight="1">
      <c r="A23" s="500" t="s">
        <v>292</v>
      </c>
      <c r="B23" s="63">
        <f>C11+C13-C14+C17+C19</f>
        <v>90542202</v>
      </c>
      <c r="C23" s="61"/>
      <c r="D23" s="61"/>
      <c r="E23" s="61"/>
      <c r="F23" s="61"/>
      <c r="G23" s="62"/>
    </row>
    <row r="24" spans="1:7" s="506" customFormat="1" ht="20.100000000000001" customHeight="1" thickBot="1">
      <c r="A24" s="508" t="s">
        <v>619</v>
      </c>
      <c r="B24" s="509"/>
      <c r="C24" s="90">
        <v>1448308</v>
      </c>
      <c r="D24" s="90"/>
      <c r="E24" s="90">
        <v>1448308</v>
      </c>
      <c r="F24" s="90">
        <v>1448308</v>
      </c>
      <c r="G24" s="62">
        <f>SUM(F24/E24)</f>
        <v>1</v>
      </c>
    </row>
    <row r="25" spans="1:7" s="506" customFormat="1" ht="19.5" customHeight="1" thickBot="1">
      <c r="A25" s="825" t="s">
        <v>620</v>
      </c>
      <c r="B25" s="826"/>
      <c r="C25" s="510">
        <f>C10+C12+C14+C15+C16+C18+C20+C22+C24</f>
        <v>283360206</v>
      </c>
      <c r="D25" s="510">
        <f>SUM(D10:D24)</f>
        <v>281912000</v>
      </c>
      <c r="E25" s="510">
        <f>SUM(E10:E24)</f>
        <v>283360206</v>
      </c>
      <c r="F25" s="510">
        <f t="shared" ref="F25" si="0">SUM(F10:F24)</f>
        <v>283360206</v>
      </c>
      <c r="G25" s="551">
        <f>SUM(F25/E25)</f>
        <v>1</v>
      </c>
    </row>
    <row r="26" spans="1:7" s="506" customFormat="1" ht="19.5" customHeight="1">
      <c r="A26" s="827" t="s">
        <v>621</v>
      </c>
      <c r="B26" s="828"/>
      <c r="C26" s="507"/>
      <c r="D26" s="507"/>
      <c r="E26" s="507"/>
      <c r="F26" s="507"/>
      <c r="G26" s="549"/>
    </row>
    <row r="27" spans="1:7" s="64" customFormat="1" ht="20.100000000000001" customHeight="1">
      <c r="A27" s="500" t="s">
        <v>622</v>
      </c>
      <c r="B27" s="501"/>
      <c r="C27" s="61">
        <v>370039664</v>
      </c>
      <c r="D27" s="61">
        <v>350135000</v>
      </c>
      <c r="E27" s="61">
        <v>370039664</v>
      </c>
      <c r="F27" s="61">
        <v>370039664</v>
      </c>
      <c r="G27" s="62">
        <f t="shared" ref="G27" si="1">SUM(F27/E27)</f>
        <v>1</v>
      </c>
    </row>
    <row r="28" spans="1:7" s="64" customFormat="1" ht="20.100000000000001" customHeight="1">
      <c r="A28" s="500" t="s">
        <v>623</v>
      </c>
      <c r="B28" s="501"/>
      <c r="C28" s="61"/>
      <c r="D28" s="61"/>
      <c r="E28" s="61"/>
      <c r="F28" s="61"/>
      <c r="G28" s="62"/>
    </row>
    <row r="29" spans="1:7" s="64" customFormat="1" ht="20.100000000000001" customHeight="1">
      <c r="A29" s="500" t="s">
        <v>624</v>
      </c>
      <c r="B29" s="501"/>
      <c r="C29" s="61">
        <v>58388267</v>
      </c>
      <c r="D29" s="61">
        <v>68255000</v>
      </c>
      <c r="E29" s="61">
        <v>58388267</v>
      </c>
      <c r="F29" s="61">
        <v>58388267</v>
      </c>
      <c r="G29" s="62">
        <f>SUM(F29/E29)</f>
        <v>1</v>
      </c>
    </row>
    <row r="30" spans="1:7" s="64" customFormat="1" ht="20.100000000000001" customHeight="1">
      <c r="A30" s="500" t="s">
        <v>625</v>
      </c>
      <c r="B30" s="501"/>
      <c r="C30" s="61"/>
      <c r="D30" s="61"/>
      <c r="E30" s="61"/>
      <c r="F30" s="61"/>
      <c r="G30" s="62"/>
    </row>
    <row r="31" spans="1:7" s="64" customFormat="1" ht="20.100000000000001" customHeight="1">
      <c r="A31" s="508" t="s">
        <v>626</v>
      </c>
      <c r="B31" s="511"/>
      <c r="C31" s="90">
        <f>13673336+167560</f>
        <v>13840896</v>
      </c>
      <c r="D31" s="90"/>
      <c r="E31" s="61">
        <f>SUM(C31)</f>
        <v>13840896</v>
      </c>
      <c r="F31" s="61">
        <v>13840896</v>
      </c>
      <c r="G31" s="62">
        <f>SUM(F31/E31)</f>
        <v>1</v>
      </c>
    </row>
    <row r="32" spans="1:7" s="64" customFormat="1" ht="20.100000000000001" customHeight="1" thickBot="1">
      <c r="A32" s="500" t="s">
        <v>627</v>
      </c>
      <c r="B32" s="501"/>
      <c r="C32" s="61">
        <v>15147091</v>
      </c>
      <c r="D32" s="61"/>
      <c r="E32" s="61">
        <f>SUM(C32)</f>
        <v>15147091</v>
      </c>
      <c r="F32" s="61">
        <v>15147091</v>
      </c>
      <c r="G32" s="62">
        <f>SUM(F32/E32)</f>
        <v>1</v>
      </c>
    </row>
    <row r="33" spans="1:7" s="64" customFormat="1" ht="20.100000000000001" customHeight="1" thickBot="1">
      <c r="A33" s="825" t="s">
        <v>621</v>
      </c>
      <c r="B33" s="826"/>
      <c r="C33" s="510">
        <f>SUM(C27:C32)</f>
        <v>457415918</v>
      </c>
      <c r="D33" s="510">
        <f t="shared" ref="D33:E33" si="2">SUM(D27:D32)</f>
        <v>418390000</v>
      </c>
      <c r="E33" s="510">
        <f t="shared" si="2"/>
        <v>457415918</v>
      </c>
      <c r="F33" s="510">
        <f t="shared" ref="F33" si="3">SUM(F27:F32)</f>
        <v>457415918</v>
      </c>
      <c r="G33" s="551">
        <f>SUM(F33/E33)</f>
        <v>1</v>
      </c>
    </row>
    <row r="34" spans="1:7" s="64" customFormat="1" ht="20.100000000000001" customHeight="1">
      <c r="A34" s="827" t="s">
        <v>628</v>
      </c>
      <c r="B34" s="828"/>
      <c r="C34" s="507"/>
      <c r="D34" s="507"/>
      <c r="E34" s="507"/>
      <c r="F34" s="507"/>
      <c r="G34" s="549"/>
    </row>
    <row r="35" spans="1:7" s="64" customFormat="1" ht="20.100000000000001" customHeight="1">
      <c r="A35" s="72" t="s">
        <v>293</v>
      </c>
      <c r="B35" s="502"/>
      <c r="C35" s="512"/>
      <c r="D35" s="512"/>
      <c r="E35" s="512"/>
      <c r="F35" s="512"/>
      <c r="G35" s="552"/>
    </row>
    <row r="36" spans="1:7" s="64" customFormat="1" ht="20.100000000000001" customHeight="1">
      <c r="A36" s="829" t="s">
        <v>629</v>
      </c>
      <c r="B36" s="830"/>
      <c r="C36" s="61">
        <v>80804000</v>
      </c>
      <c r="D36" s="61">
        <v>80804000</v>
      </c>
      <c r="E36" s="61">
        <v>80804000</v>
      </c>
      <c r="F36" s="61">
        <v>80804000</v>
      </c>
      <c r="G36" s="62">
        <f>SUM(F36/E36)</f>
        <v>1</v>
      </c>
    </row>
    <row r="37" spans="1:7" s="64" customFormat="1" ht="20.100000000000001" customHeight="1">
      <c r="A37" s="500" t="s">
        <v>630</v>
      </c>
      <c r="B37" s="501"/>
      <c r="C37" s="61">
        <f>SUM(B38:B48)</f>
        <v>187364881</v>
      </c>
      <c r="D37" s="61">
        <v>154053000</v>
      </c>
      <c r="E37" s="61">
        <f>SUM(B38:B48)</f>
        <v>187364881</v>
      </c>
      <c r="F37" s="61">
        <v>187364881</v>
      </c>
      <c r="G37" s="62">
        <f>SUM(F37/E37)</f>
        <v>1</v>
      </c>
    </row>
    <row r="38" spans="1:7" s="64" customFormat="1" ht="20.100000000000001" customHeight="1">
      <c r="A38" s="500" t="s">
        <v>631</v>
      </c>
      <c r="B38" s="65">
        <v>14700000</v>
      </c>
      <c r="C38" s="61"/>
      <c r="D38" s="61"/>
      <c r="E38" s="61"/>
      <c r="F38" s="61"/>
      <c r="G38" s="62"/>
    </row>
    <row r="39" spans="1:7" s="64" customFormat="1" ht="20.100000000000001" customHeight="1">
      <c r="A39" s="500" t="s">
        <v>632</v>
      </c>
      <c r="B39" s="65">
        <v>22500000</v>
      </c>
      <c r="C39" s="61"/>
      <c r="D39" s="61"/>
      <c r="E39" s="61"/>
      <c r="F39" s="61"/>
      <c r="G39" s="62"/>
    </row>
    <row r="40" spans="1:7" s="64" customFormat="1" ht="20.100000000000001" customHeight="1">
      <c r="A40" s="500" t="s">
        <v>633</v>
      </c>
      <c r="B40" s="65">
        <f>31117856-1765984+548064</f>
        <v>29899936</v>
      </c>
      <c r="C40" s="61"/>
      <c r="D40" s="61"/>
      <c r="E40" s="61"/>
      <c r="F40" s="61"/>
      <c r="G40" s="62"/>
    </row>
    <row r="41" spans="1:7" s="64" customFormat="1" ht="20.100000000000001" customHeight="1">
      <c r="A41" s="500" t="s">
        <v>634</v>
      </c>
      <c r="B41" s="65">
        <f>775000-50000-550000</f>
        <v>175000</v>
      </c>
      <c r="C41" s="61"/>
      <c r="D41" s="61"/>
      <c r="E41" s="61"/>
      <c r="F41" s="61"/>
      <c r="G41" s="62"/>
    </row>
    <row r="42" spans="1:7" s="64" customFormat="1" ht="20.100000000000001" customHeight="1">
      <c r="A42" s="500" t="s">
        <v>635</v>
      </c>
      <c r="B42" s="65">
        <f>15015000+3276000+8190000</f>
        <v>26481000</v>
      </c>
      <c r="C42" s="61"/>
      <c r="D42" s="61"/>
      <c r="E42" s="61"/>
      <c r="F42" s="61"/>
      <c r="G42" s="62"/>
    </row>
    <row r="43" spans="1:7" s="64" customFormat="1" ht="20.100000000000001" customHeight="1">
      <c r="A43" s="500" t="s">
        <v>636</v>
      </c>
      <c r="B43" s="65">
        <v>2500000</v>
      </c>
      <c r="C43" s="61"/>
      <c r="D43" s="61"/>
      <c r="E43" s="61"/>
      <c r="F43" s="61"/>
      <c r="G43" s="62"/>
    </row>
    <row r="44" spans="1:7" s="64" customFormat="1" ht="20.100000000000001" customHeight="1">
      <c r="A44" s="500" t="s">
        <v>637</v>
      </c>
      <c r="B44" s="65">
        <f>8338500+490500</f>
        <v>8829000</v>
      </c>
      <c r="C44" s="61"/>
      <c r="D44" s="61"/>
      <c r="E44" s="61"/>
      <c r="F44" s="61"/>
      <c r="G44" s="62"/>
    </row>
    <row r="45" spans="1:7" s="64" customFormat="1" ht="20.100000000000001" customHeight="1">
      <c r="A45" s="500" t="s">
        <v>638</v>
      </c>
      <c r="B45" s="65">
        <v>5500000</v>
      </c>
      <c r="C45" s="61"/>
      <c r="D45" s="61"/>
      <c r="E45" s="61"/>
      <c r="F45" s="61"/>
      <c r="G45" s="62"/>
    </row>
    <row r="46" spans="1:7" s="64" customFormat="1" ht="20.100000000000001" customHeight="1">
      <c r="A46" s="500" t="s">
        <v>639</v>
      </c>
      <c r="B46" s="65">
        <f>2976000+744000</f>
        <v>3720000</v>
      </c>
      <c r="C46" s="61"/>
      <c r="D46" s="61"/>
      <c r="E46" s="61"/>
      <c r="F46" s="61"/>
      <c r="G46" s="62"/>
    </row>
    <row r="47" spans="1:7" s="64" customFormat="1" ht="20.100000000000001" customHeight="1">
      <c r="A47" s="500" t="s">
        <v>640</v>
      </c>
      <c r="B47" s="65">
        <v>2604000</v>
      </c>
      <c r="C47" s="61"/>
      <c r="D47" s="61"/>
      <c r="E47" s="61"/>
      <c r="F47" s="61"/>
      <c r="G47" s="62"/>
    </row>
    <row r="48" spans="1:7" s="64" customFormat="1" ht="20.100000000000001" customHeight="1">
      <c r="A48" s="500" t="s">
        <v>641</v>
      </c>
      <c r="B48" s="65">
        <f>48026520+21895465+533960</f>
        <v>70455945</v>
      </c>
      <c r="C48" s="61"/>
      <c r="D48" s="61"/>
      <c r="E48" s="61"/>
      <c r="F48" s="61"/>
      <c r="G48" s="62"/>
    </row>
    <row r="49" spans="1:7" s="64" customFormat="1" ht="20.100000000000001" customHeight="1">
      <c r="A49" s="500" t="s">
        <v>642</v>
      </c>
      <c r="B49" s="501"/>
      <c r="C49" s="61">
        <f>SUM(B51:B52)</f>
        <v>308258120</v>
      </c>
      <c r="D49" s="61">
        <v>305409000</v>
      </c>
      <c r="E49" s="61">
        <f>SUM(B51:B52)</f>
        <v>308258120</v>
      </c>
      <c r="F49" s="61">
        <v>308258120</v>
      </c>
      <c r="G49" s="62">
        <f>SUM(F49/E49)</f>
        <v>1</v>
      </c>
    </row>
    <row r="50" spans="1:7" s="64" customFormat="1" ht="20.100000000000001" customHeight="1">
      <c r="A50" s="829" t="s">
        <v>643</v>
      </c>
      <c r="B50" s="830"/>
      <c r="C50" s="61"/>
      <c r="D50" s="61"/>
      <c r="E50" s="61"/>
      <c r="F50" s="61"/>
      <c r="G50" s="62"/>
    </row>
    <row r="51" spans="1:7" s="64" customFormat="1" ht="20.100000000000001" customHeight="1">
      <c r="A51" s="500" t="s">
        <v>644</v>
      </c>
      <c r="B51" s="67">
        <f>205877160-2606040</f>
        <v>203271120</v>
      </c>
      <c r="C51" s="61"/>
      <c r="D51" s="61"/>
      <c r="E51" s="61"/>
      <c r="F51" s="61"/>
      <c r="G51" s="62"/>
    </row>
    <row r="52" spans="1:7" s="64" customFormat="1" ht="20.100000000000001" customHeight="1">
      <c r="A52" s="500" t="s">
        <v>645</v>
      </c>
      <c r="B52" s="67">
        <f>99532000+5455000</f>
        <v>104987000</v>
      </c>
      <c r="C52" s="61"/>
      <c r="D52" s="61"/>
      <c r="E52" s="61"/>
      <c r="F52" s="61"/>
      <c r="G52" s="62"/>
    </row>
    <row r="53" spans="1:7" s="64" customFormat="1" ht="20.100000000000001" customHeight="1">
      <c r="A53" s="500" t="s">
        <v>646</v>
      </c>
      <c r="B53" s="67"/>
      <c r="C53" s="61">
        <f>SUM(B54:B55)</f>
        <v>167402106</v>
      </c>
      <c r="D53" s="61">
        <v>165391000</v>
      </c>
      <c r="E53" s="61">
        <f>SUM(B54:B55)</f>
        <v>167402106</v>
      </c>
      <c r="F53" s="61">
        <v>167402106</v>
      </c>
      <c r="G53" s="62">
        <f>SUM(F53/E53)</f>
        <v>1</v>
      </c>
    </row>
    <row r="54" spans="1:7" s="64" customFormat="1" ht="20.100000000000001" customHeight="1">
      <c r="A54" s="500" t="s">
        <v>647</v>
      </c>
      <c r="B54" s="67">
        <f>44831040-456960+391680</f>
        <v>44765760</v>
      </c>
      <c r="C54" s="61"/>
      <c r="D54" s="61"/>
      <c r="E54" s="61"/>
      <c r="F54" s="61"/>
      <c r="G54" s="62"/>
    </row>
    <row r="55" spans="1:7" s="64" customFormat="1" ht="20.100000000000001" customHeight="1">
      <c r="A55" s="500" t="s">
        <v>648</v>
      </c>
      <c r="B55" s="67">
        <f>120559456+861273+1+1215616</f>
        <v>122636346</v>
      </c>
      <c r="C55" s="61"/>
      <c r="D55" s="61"/>
      <c r="E55" s="61"/>
      <c r="F55" s="61"/>
      <c r="G55" s="62"/>
    </row>
    <row r="56" spans="1:7" s="64" customFormat="1" ht="20.100000000000001" customHeight="1">
      <c r="A56" s="500" t="s">
        <v>649</v>
      </c>
      <c r="B56" s="67">
        <f>19807390+5420-5173932</f>
        <v>14638878</v>
      </c>
      <c r="C56" s="61">
        <f>SUM(B56)</f>
        <v>14638878</v>
      </c>
      <c r="D56" s="61">
        <v>19807000</v>
      </c>
      <c r="E56" s="61">
        <f>SUM(B56)-390</f>
        <v>14638488</v>
      </c>
      <c r="F56" s="61">
        <v>14638488</v>
      </c>
      <c r="G56" s="62">
        <f t="shared" ref="G56:G57" si="4">SUM(F56/E56)</f>
        <v>1</v>
      </c>
    </row>
    <row r="57" spans="1:7" s="64" customFormat="1" ht="20.100000000000001" customHeight="1">
      <c r="A57" s="66" t="s">
        <v>650</v>
      </c>
      <c r="B57" s="68"/>
      <c r="C57" s="69">
        <v>4526280</v>
      </c>
      <c r="D57" s="61">
        <v>4526000</v>
      </c>
      <c r="E57" s="61">
        <f>SUM(C57)</f>
        <v>4526280</v>
      </c>
      <c r="F57" s="61">
        <v>4526280</v>
      </c>
      <c r="G57" s="62">
        <f t="shared" si="4"/>
        <v>1</v>
      </c>
    </row>
    <row r="58" spans="1:7" s="64" customFormat="1" ht="20.100000000000001" customHeight="1">
      <c r="A58" s="513" t="s">
        <v>651</v>
      </c>
      <c r="B58" s="70"/>
      <c r="C58" s="71"/>
      <c r="D58" s="90"/>
      <c r="E58" s="90"/>
      <c r="F58" s="90"/>
      <c r="G58" s="550"/>
    </row>
    <row r="59" spans="1:7" s="64" customFormat="1" ht="20.100000000000001" customHeight="1">
      <c r="A59" s="66" t="s">
        <v>652</v>
      </c>
      <c r="B59" s="70"/>
      <c r="C59" s="71">
        <f>34645518+27283696+13348400+6610410</f>
        <v>81888024</v>
      </c>
      <c r="D59" s="90"/>
      <c r="E59" s="90">
        <f>SUM(C59)</f>
        <v>81888024</v>
      </c>
      <c r="F59" s="61">
        <v>81888024</v>
      </c>
      <c r="G59" s="62">
        <f t="shared" ref="G59:G60" si="5">SUM(F59/E59)</f>
        <v>1</v>
      </c>
    </row>
    <row r="60" spans="1:7" s="64" customFormat="1" ht="20.100000000000001" customHeight="1">
      <c r="A60" s="66" t="s">
        <v>653</v>
      </c>
      <c r="B60" s="70"/>
      <c r="C60" s="71">
        <f>4240465+4287375+2083345+1045956</f>
        <v>11657141</v>
      </c>
      <c r="D60" s="77"/>
      <c r="E60" s="90">
        <f>SUM(C60)</f>
        <v>11657141</v>
      </c>
      <c r="F60" s="61">
        <v>11657141</v>
      </c>
      <c r="G60" s="62">
        <f t="shared" si="5"/>
        <v>1</v>
      </c>
    </row>
    <row r="61" spans="1:7" s="64" customFormat="1" ht="20.100000000000001" customHeight="1" thickBot="1">
      <c r="A61" s="513" t="s">
        <v>654</v>
      </c>
      <c r="B61" s="70"/>
      <c r="C61" s="71"/>
      <c r="D61" s="74"/>
      <c r="E61" s="514"/>
      <c r="F61" s="514"/>
      <c r="G61" s="553"/>
    </row>
    <row r="62" spans="1:7" s="64" customFormat="1" ht="21" customHeight="1">
      <c r="A62" s="831" t="s">
        <v>628</v>
      </c>
      <c r="B62" s="832"/>
      <c r="C62" s="515">
        <f>SUM(C36:C60)</f>
        <v>856539430</v>
      </c>
      <c r="D62" s="515">
        <f>SUM(D36:D57)</f>
        <v>729990000</v>
      </c>
      <c r="E62" s="515">
        <f>SUM(E36:E60)</f>
        <v>856539040</v>
      </c>
      <c r="F62" s="515">
        <f t="shared" ref="F62" si="6">SUM(F36:F60)</f>
        <v>856539040</v>
      </c>
      <c r="G62" s="555">
        <f>SUM(F62/E62)</f>
        <v>1</v>
      </c>
    </row>
    <row r="63" spans="1:7" s="64" customFormat="1" ht="20.100000000000001" customHeight="1" thickBot="1">
      <c r="A63" s="516" t="s">
        <v>293</v>
      </c>
      <c r="B63" s="517"/>
      <c r="C63" s="518"/>
      <c r="D63" s="518"/>
      <c r="E63" s="518"/>
      <c r="F63" s="518"/>
      <c r="G63" s="554"/>
    </row>
    <row r="64" spans="1:7" s="64" customFormat="1" ht="20.100000000000001" customHeight="1">
      <c r="A64" s="833" t="s">
        <v>655</v>
      </c>
      <c r="B64" s="834"/>
      <c r="C64" s="74"/>
      <c r="D64" s="74"/>
      <c r="E64" s="74"/>
      <c r="F64" s="74"/>
      <c r="G64" s="75"/>
    </row>
    <row r="65" spans="1:7" s="506" customFormat="1" ht="20.100000000000001" customHeight="1">
      <c r="A65" s="519" t="s">
        <v>656</v>
      </c>
      <c r="B65" s="520">
        <v>23409900</v>
      </c>
      <c r="C65" s="521"/>
      <c r="D65" s="521">
        <v>23410000</v>
      </c>
      <c r="E65" s="521">
        <f>SUM(B65)</f>
        <v>23409900</v>
      </c>
      <c r="F65" s="521">
        <v>23409900</v>
      </c>
      <c r="G65" s="557">
        <f t="shared" ref="G65" si="7">SUM(F65/E65)</f>
        <v>1</v>
      </c>
    </row>
    <row r="66" spans="1:7" s="506" customFormat="1" ht="19.5" customHeight="1">
      <c r="A66" s="500" t="s">
        <v>657</v>
      </c>
      <c r="B66" s="67"/>
      <c r="C66" s="61"/>
      <c r="D66" s="61"/>
      <c r="E66" s="61"/>
      <c r="F66" s="61"/>
      <c r="G66" s="62"/>
    </row>
    <row r="67" spans="1:7" s="506" customFormat="1" ht="20.100000000000001" customHeight="1">
      <c r="A67" s="500" t="s">
        <v>658</v>
      </c>
      <c r="B67" s="68">
        <v>15369000</v>
      </c>
      <c r="C67" s="61"/>
      <c r="D67" s="61">
        <v>15369000</v>
      </c>
      <c r="E67" s="61">
        <v>15369000</v>
      </c>
      <c r="F67" s="61">
        <v>15369000</v>
      </c>
      <c r="G67" s="62">
        <f>SUM(F67/E67)</f>
        <v>1</v>
      </c>
    </row>
    <row r="68" spans="1:7" s="506" customFormat="1" ht="20.100000000000001" customHeight="1">
      <c r="A68" s="508" t="s">
        <v>659</v>
      </c>
      <c r="B68" s="70"/>
      <c r="C68" s="90"/>
      <c r="D68" s="90"/>
      <c r="E68" s="90"/>
      <c r="F68" s="90"/>
      <c r="G68" s="550"/>
    </row>
    <row r="69" spans="1:7" s="506" customFormat="1" ht="20.100000000000001" customHeight="1" thickBot="1">
      <c r="A69" s="508" t="s">
        <v>660</v>
      </c>
      <c r="B69" s="70">
        <f>1938735+1977620+957620+488184</f>
        <v>5362159</v>
      </c>
      <c r="C69" s="90"/>
      <c r="D69" s="90"/>
      <c r="E69" s="90">
        <f>SUM(B69)</f>
        <v>5362159</v>
      </c>
      <c r="F69" s="90">
        <v>5362159</v>
      </c>
      <c r="G69" s="550">
        <f t="shared" ref="G69" si="8">SUM(F69/E69)</f>
        <v>1</v>
      </c>
    </row>
    <row r="70" spans="1:7" s="506" customFormat="1" ht="20.100000000000001" customHeight="1" thickBot="1">
      <c r="A70" s="808" t="s">
        <v>655</v>
      </c>
      <c r="B70" s="809"/>
      <c r="C70" s="510">
        <f>SUM(B65:B69)</f>
        <v>44141059</v>
      </c>
      <c r="D70" s="510">
        <f>SUM(D65:D69)</f>
        <v>38779000</v>
      </c>
      <c r="E70" s="510">
        <f>SUM(E65:E69)</f>
        <v>44141059</v>
      </c>
      <c r="F70" s="510">
        <f t="shared" ref="F70" si="9">SUM(F65:F69)</f>
        <v>44141059</v>
      </c>
      <c r="G70" s="556">
        <f>SUM(F70/E70)</f>
        <v>1</v>
      </c>
    </row>
    <row r="71" spans="1:7" s="506" customFormat="1" ht="20.100000000000001" customHeight="1">
      <c r="A71" s="508" t="s">
        <v>661</v>
      </c>
      <c r="B71" s="70">
        <f>5036008+3146380+3058174+245372</f>
        <v>11485934</v>
      </c>
      <c r="C71" s="90"/>
      <c r="D71" s="90"/>
      <c r="E71" s="90">
        <f>SUM(B71)</f>
        <v>11485934</v>
      </c>
      <c r="F71" s="90">
        <v>11485934</v>
      </c>
      <c r="G71" s="75">
        <f>SUM(F71/E71)</f>
        <v>1</v>
      </c>
    </row>
    <row r="72" spans="1:7" s="506" customFormat="1" ht="20.100000000000001" customHeight="1">
      <c r="A72" s="500" t="s">
        <v>662</v>
      </c>
      <c r="B72" s="68">
        <v>1882700</v>
      </c>
      <c r="C72" s="61"/>
      <c r="D72" s="61"/>
      <c r="E72" s="61">
        <f>SUM(B72)</f>
        <v>1882700</v>
      </c>
      <c r="F72" s="61">
        <v>1882700</v>
      </c>
      <c r="G72" s="62">
        <f t="shared" ref="G72:G77" si="10">SUM(F72/E72)</f>
        <v>1</v>
      </c>
    </row>
    <row r="73" spans="1:7" s="506" customFormat="1" ht="20.100000000000001" customHeight="1">
      <c r="A73" s="508" t="s">
        <v>663</v>
      </c>
      <c r="B73" s="70">
        <v>37765112</v>
      </c>
      <c r="C73" s="90"/>
      <c r="D73" s="90"/>
      <c r="E73" s="61">
        <f t="shared" ref="E73:E78" si="11">SUM(B73)</f>
        <v>37765112</v>
      </c>
      <c r="F73" s="61">
        <v>37765112</v>
      </c>
      <c r="G73" s="62">
        <f t="shared" si="10"/>
        <v>1</v>
      </c>
    </row>
    <row r="74" spans="1:7" s="506" customFormat="1" ht="20.100000000000001" customHeight="1">
      <c r="A74" s="508" t="s">
        <v>664</v>
      </c>
      <c r="B74" s="70">
        <v>440000</v>
      </c>
      <c r="C74" s="90"/>
      <c r="D74" s="90"/>
      <c r="E74" s="61">
        <f t="shared" si="11"/>
        <v>440000</v>
      </c>
      <c r="F74" s="61">
        <v>440000</v>
      </c>
      <c r="G74" s="62">
        <f t="shared" si="10"/>
        <v>1</v>
      </c>
    </row>
    <row r="75" spans="1:7" s="506" customFormat="1" ht="20.100000000000001" customHeight="1">
      <c r="A75" s="508" t="s">
        <v>665</v>
      </c>
      <c r="B75" s="70">
        <v>35755000</v>
      </c>
      <c r="C75" s="90"/>
      <c r="D75" s="90"/>
      <c r="E75" s="61">
        <f t="shared" si="11"/>
        <v>35755000</v>
      </c>
      <c r="F75" s="61">
        <v>35755000</v>
      </c>
      <c r="G75" s="62">
        <f t="shared" si="10"/>
        <v>1</v>
      </c>
    </row>
    <row r="76" spans="1:7" s="506" customFormat="1" ht="20.100000000000001" customHeight="1">
      <c r="A76" s="508" t="s">
        <v>666</v>
      </c>
      <c r="B76" s="70">
        <v>12000000</v>
      </c>
      <c r="C76" s="90"/>
      <c r="D76" s="90"/>
      <c r="E76" s="61">
        <f t="shared" si="11"/>
        <v>12000000</v>
      </c>
      <c r="F76" s="61">
        <v>12000000</v>
      </c>
      <c r="G76" s="62">
        <f t="shared" si="10"/>
        <v>1</v>
      </c>
    </row>
    <row r="77" spans="1:7" s="506" customFormat="1" ht="20.100000000000001" customHeight="1">
      <c r="A77" s="508" t="s">
        <v>667</v>
      </c>
      <c r="B77" s="70">
        <v>24655170</v>
      </c>
      <c r="C77" s="90"/>
      <c r="D77" s="90"/>
      <c r="E77" s="61">
        <f t="shared" si="11"/>
        <v>24655170</v>
      </c>
      <c r="F77" s="61">
        <v>24655170</v>
      </c>
      <c r="G77" s="62">
        <f t="shared" si="10"/>
        <v>1</v>
      </c>
    </row>
    <row r="78" spans="1:7" s="506" customFormat="1" ht="20.100000000000001" customHeight="1" thickBot="1">
      <c r="A78" s="508" t="s">
        <v>668</v>
      </c>
      <c r="B78" s="70">
        <v>11250798</v>
      </c>
      <c r="C78" s="90"/>
      <c r="D78" s="90"/>
      <c r="E78" s="61">
        <f t="shared" si="11"/>
        <v>11250798</v>
      </c>
      <c r="F78" s="61">
        <v>11250798</v>
      </c>
      <c r="G78" s="62">
        <f>SUM(F78/E78)</f>
        <v>1</v>
      </c>
    </row>
    <row r="79" spans="1:7" s="506" customFormat="1" ht="20.100000000000001" customHeight="1" thickBot="1">
      <c r="A79" s="808" t="s">
        <v>669</v>
      </c>
      <c r="B79" s="809"/>
      <c r="C79" s="510">
        <f>SUM(B71:B78)</f>
        <v>135234714</v>
      </c>
      <c r="D79" s="510">
        <v>0</v>
      </c>
      <c r="E79" s="510">
        <f>SUM(E71:E78)</f>
        <v>135234714</v>
      </c>
      <c r="F79" s="510">
        <f t="shared" ref="F79" si="12">SUM(F71:F78)</f>
        <v>135234714</v>
      </c>
      <c r="G79" s="551">
        <f>SUM(F79/E79)</f>
        <v>1</v>
      </c>
    </row>
    <row r="80" spans="1:7" s="506" customFormat="1" ht="31.5" customHeight="1" thickBot="1">
      <c r="A80" s="820" t="s">
        <v>608</v>
      </c>
      <c r="B80" s="821"/>
      <c r="C80" s="504"/>
      <c r="D80" s="505" t="s">
        <v>286</v>
      </c>
      <c r="E80" s="505" t="s">
        <v>287</v>
      </c>
      <c r="F80" s="505" t="s">
        <v>287</v>
      </c>
      <c r="G80" s="548" t="s">
        <v>287</v>
      </c>
    </row>
    <row r="81" spans="1:7" s="506" customFormat="1" ht="20.100000000000001" customHeight="1" thickBot="1">
      <c r="A81" s="808" t="s">
        <v>670</v>
      </c>
      <c r="B81" s="809"/>
      <c r="C81" s="510">
        <v>16917000</v>
      </c>
      <c r="D81" s="510">
        <f>SUM(D75:D79)</f>
        <v>0</v>
      </c>
      <c r="E81" s="510">
        <f>SUM(C81)</f>
        <v>16917000</v>
      </c>
      <c r="F81" s="510">
        <v>16917000</v>
      </c>
      <c r="G81" s="551">
        <f>SUM(F81/E81)</f>
        <v>1</v>
      </c>
    </row>
    <row r="82" spans="1:7" s="506" customFormat="1" ht="20.100000000000001" customHeight="1" thickBot="1">
      <c r="A82" s="810" t="s">
        <v>294</v>
      </c>
      <c r="B82" s="811"/>
      <c r="C82" s="522"/>
      <c r="D82" s="523">
        <f>D25+D33+D62+D70+D79+D81</f>
        <v>1469071000</v>
      </c>
      <c r="E82" s="523">
        <f>E25+E33+E62+E70+E79+E81</f>
        <v>1793607937</v>
      </c>
      <c r="F82" s="523">
        <f>F25+F33+F62+F70+F79+F81</f>
        <v>1793607937</v>
      </c>
      <c r="G82" s="551">
        <f>SUM(F82/E82)</f>
        <v>1</v>
      </c>
    </row>
    <row r="83" spans="1:7" s="506" customFormat="1" ht="20.100000000000001" customHeight="1" thickBot="1">
      <c r="A83" s="816" t="s">
        <v>295</v>
      </c>
      <c r="B83" s="817"/>
      <c r="C83" s="525"/>
      <c r="D83" s="526">
        <f>7800000+4000000</f>
        <v>11800000</v>
      </c>
      <c r="E83" s="526">
        <f>7800000+4000000+279181021+154912345+225994567+155982431</f>
        <v>827870364</v>
      </c>
      <c r="F83" s="526">
        <v>631032118</v>
      </c>
      <c r="G83" s="551">
        <f t="shared" ref="G83:G86" si="13">SUM(F83/E83)</f>
        <v>0.7622354240959397</v>
      </c>
    </row>
    <row r="84" spans="1:7" s="506" customFormat="1" ht="20.100000000000001" customHeight="1" thickBot="1">
      <c r="A84" s="816" t="s">
        <v>671</v>
      </c>
      <c r="B84" s="817"/>
      <c r="C84" s="527"/>
      <c r="D84" s="528">
        <v>0</v>
      </c>
      <c r="E84" s="528">
        <v>11119721</v>
      </c>
      <c r="F84" s="528">
        <v>11119721</v>
      </c>
      <c r="G84" s="551">
        <f t="shared" si="13"/>
        <v>1</v>
      </c>
    </row>
    <row r="85" spans="1:7" s="506" customFormat="1" ht="20.100000000000001" customHeight="1" thickBot="1">
      <c r="A85" s="529" t="s">
        <v>296</v>
      </c>
      <c r="B85" s="530"/>
      <c r="C85" s="531"/>
      <c r="D85" s="532">
        <f>SUM(D82:D84)</f>
        <v>1480871000</v>
      </c>
      <c r="E85" s="532">
        <f>SUM(E82:E84)</f>
        <v>2632598022</v>
      </c>
      <c r="F85" s="532">
        <f t="shared" ref="F85" si="14">SUM(F82:F84)</f>
        <v>2435759776</v>
      </c>
      <c r="G85" s="551">
        <f t="shared" si="13"/>
        <v>0.92523042091687779</v>
      </c>
    </row>
    <row r="86" spans="1:7" s="506" customFormat="1" ht="20.100000000000001" customHeight="1" thickBot="1">
      <c r="A86" s="818" t="s">
        <v>297</v>
      </c>
      <c r="B86" s="819"/>
      <c r="C86" s="533"/>
      <c r="D86" s="510">
        <v>0</v>
      </c>
      <c r="E86" s="510">
        <f>963356861+771162000+838906063</f>
        <v>2573424924</v>
      </c>
      <c r="F86" s="510">
        <v>2548424970</v>
      </c>
      <c r="G86" s="551">
        <f t="shared" si="13"/>
        <v>0.99028533773538596</v>
      </c>
    </row>
    <row r="87" spans="1:7" s="506" customFormat="1" ht="20.100000000000001" customHeight="1">
      <c r="A87" s="812" t="s">
        <v>298</v>
      </c>
      <c r="B87" s="813"/>
      <c r="C87" s="73"/>
      <c r="D87" s="74"/>
      <c r="E87" s="74"/>
      <c r="F87" s="74"/>
      <c r="G87" s="75"/>
    </row>
    <row r="88" spans="1:7" s="506" customFormat="1" ht="20.100000000000001" customHeight="1">
      <c r="A88" s="814" t="s">
        <v>299</v>
      </c>
      <c r="B88" s="815"/>
      <c r="C88" s="76"/>
      <c r="D88" s="61"/>
      <c r="E88" s="61"/>
      <c r="F88" s="61"/>
      <c r="G88" s="62"/>
    </row>
    <row r="89" spans="1:7" s="506" customFormat="1" ht="20.100000000000001" customHeight="1">
      <c r="A89" s="802" t="s">
        <v>300</v>
      </c>
      <c r="B89" s="803"/>
      <c r="C89" s="61"/>
      <c r="D89" s="61">
        <v>564500000</v>
      </c>
      <c r="E89" s="61">
        <v>584262000</v>
      </c>
      <c r="F89" s="61">
        <f>SUM(C90+C93)</f>
        <v>584295800</v>
      </c>
      <c r="G89" s="62">
        <f t="shared" ref="G89" si="15">SUM(F89/E89)</f>
        <v>1.000057850758735</v>
      </c>
    </row>
    <row r="90" spans="1:7" s="506" customFormat="1" ht="20.100000000000001" customHeight="1">
      <c r="A90" s="802" t="s">
        <v>301</v>
      </c>
      <c r="B90" s="803"/>
      <c r="C90" s="61">
        <f>B91+B92</f>
        <v>579062440</v>
      </c>
      <c r="D90" s="61"/>
      <c r="E90" s="61"/>
      <c r="F90" s="61"/>
      <c r="G90" s="62"/>
    </row>
    <row r="91" spans="1:7" s="506" customFormat="1" ht="20.100000000000001" customHeight="1">
      <c r="A91" s="500" t="s">
        <v>302</v>
      </c>
      <c r="B91" s="78">
        <v>578687440</v>
      </c>
      <c r="C91" s="61"/>
      <c r="D91" s="61"/>
      <c r="E91" s="61"/>
      <c r="F91" s="61"/>
      <c r="G91" s="62"/>
    </row>
    <row r="92" spans="1:7" s="506" customFormat="1" ht="20.100000000000001" customHeight="1">
      <c r="A92" s="500" t="s">
        <v>303</v>
      </c>
      <c r="B92" s="78">
        <v>375000</v>
      </c>
      <c r="C92" s="61"/>
      <c r="D92" s="61"/>
      <c r="E92" s="61"/>
      <c r="F92" s="61"/>
      <c r="G92" s="62"/>
    </row>
    <row r="93" spans="1:7" s="506" customFormat="1" ht="20.100000000000001" customHeight="1">
      <c r="A93" s="802" t="s">
        <v>304</v>
      </c>
      <c r="B93" s="803"/>
      <c r="C93" s="61">
        <v>5233360</v>
      </c>
      <c r="D93" s="61"/>
      <c r="E93" s="61"/>
      <c r="F93" s="61"/>
      <c r="G93" s="62"/>
    </row>
    <row r="94" spans="1:7" s="506" customFormat="1" ht="20.100000000000001" customHeight="1">
      <c r="A94" s="500" t="s">
        <v>305</v>
      </c>
      <c r="B94" s="79"/>
      <c r="C94" s="61"/>
      <c r="D94" s="61">
        <v>40200000</v>
      </c>
      <c r="E94" s="61">
        <v>42953000</v>
      </c>
      <c r="F94" s="61">
        <f>SUM(C95:C96)</f>
        <v>42785450</v>
      </c>
      <c r="G94" s="62">
        <f t="shared" ref="G94" si="16">SUM(F94/E94)</f>
        <v>0.99609922473401158</v>
      </c>
    </row>
    <row r="95" spans="1:7" s="506" customFormat="1" ht="20.100000000000001" customHeight="1">
      <c r="A95" s="800" t="s">
        <v>306</v>
      </c>
      <c r="B95" s="801"/>
      <c r="C95" s="61">
        <v>42753688</v>
      </c>
      <c r="D95" s="77"/>
      <c r="E95" s="77"/>
      <c r="F95" s="77"/>
      <c r="G95" s="80"/>
    </row>
    <row r="96" spans="1:7" s="506" customFormat="1" ht="20.100000000000001" customHeight="1">
      <c r="A96" s="800" t="s">
        <v>307</v>
      </c>
      <c r="B96" s="801"/>
      <c r="C96" s="61">
        <v>31762</v>
      </c>
      <c r="D96" s="77"/>
      <c r="E96" s="77"/>
      <c r="F96" s="77"/>
      <c r="G96" s="80"/>
    </row>
    <row r="97" spans="1:7" s="506" customFormat="1" ht="20.100000000000001" customHeight="1">
      <c r="A97" s="802" t="s">
        <v>308</v>
      </c>
      <c r="B97" s="803"/>
      <c r="C97" s="61"/>
      <c r="D97" s="61">
        <v>3000000</v>
      </c>
      <c r="E97" s="61">
        <v>3000000</v>
      </c>
      <c r="F97" s="61">
        <f>SUM(C98:C99)</f>
        <v>3121245</v>
      </c>
      <c r="G97" s="62">
        <f t="shared" ref="G97" si="17">SUM(F97/E97)</f>
        <v>1.0404150000000001</v>
      </c>
    </row>
    <row r="98" spans="1:7" s="506" customFormat="1" ht="20.100000000000001" customHeight="1">
      <c r="A98" s="500" t="s">
        <v>309</v>
      </c>
      <c r="B98" s="501"/>
      <c r="C98" s="61">
        <f>199130+1026806+1474676</f>
        <v>2700612</v>
      </c>
      <c r="D98" s="61"/>
      <c r="E98" s="61"/>
      <c r="F98" s="61"/>
      <c r="G98" s="62"/>
    </row>
    <row r="99" spans="1:7" s="506" customFormat="1" ht="20.100000000000001" customHeight="1">
      <c r="A99" s="500" t="s">
        <v>310</v>
      </c>
      <c r="B99" s="501"/>
      <c r="C99" s="61">
        <v>420633</v>
      </c>
      <c r="D99" s="61"/>
      <c r="E99" s="61"/>
      <c r="F99" s="61"/>
      <c r="G99" s="62"/>
    </row>
    <row r="100" spans="1:7" s="506" customFormat="1" ht="20.100000000000001" customHeight="1" thickBot="1">
      <c r="A100" s="72" t="s">
        <v>311</v>
      </c>
      <c r="B100" s="81"/>
      <c r="C100" s="82">
        <f>12994624+3600</f>
        <v>12998224</v>
      </c>
      <c r="D100" s="82">
        <v>9040000</v>
      </c>
      <c r="E100" s="82">
        <v>13040000</v>
      </c>
      <c r="F100" s="82">
        <f>12994624+3600</f>
        <v>12998224</v>
      </c>
      <c r="G100" s="62">
        <f t="shared" ref="G100" si="18">SUM(F100/E100)</f>
        <v>0.99679631901840493</v>
      </c>
    </row>
    <row r="101" spans="1:7" s="506" customFormat="1" ht="20.100000000000001" customHeight="1" thickBot="1">
      <c r="A101" s="798" t="s">
        <v>312</v>
      </c>
      <c r="B101" s="799"/>
      <c r="C101" s="510"/>
      <c r="D101" s="510">
        <f>SUM(D88:D100)</f>
        <v>616740000</v>
      </c>
      <c r="E101" s="510">
        <f>SUM(E88:E100)</f>
        <v>643255000</v>
      </c>
      <c r="F101" s="510">
        <f t="shared" ref="F101" si="19">SUM(F88:F100)</f>
        <v>643200719</v>
      </c>
      <c r="G101" s="551">
        <f t="shared" ref="G101" si="20">SUM(F101/E101)</f>
        <v>0.99991561511375737</v>
      </c>
    </row>
    <row r="102" spans="1:7" s="506" customFormat="1" ht="20.100000000000001" customHeight="1" thickBot="1">
      <c r="A102" s="534" t="s">
        <v>313</v>
      </c>
      <c r="B102" s="535"/>
      <c r="C102" s="510"/>
      <c r="D102" s="510">
        <f>309247000+164845000</f>
        <v>474092000</v>
      </c>
      <c r="E102" s="510">
        <f>309247000+164845000+10000000-19551727-12750865</f>
        <v>451789408</v>
      </c>
      <c r="F102" s="510">
        <v>422608793</v>
      </c>
      <c r="G102" s="551">
        <f t="shared" ref="G102" si="21">SUM(F102/E102)</f>
        <v>0.93541102450989733</v>
      </c>
    </row>
    <row r="103" spans="1:7" s="506" customFormat="1" ht="20.100000000000001" customHeight="1">
      <c r="A103" s="804" t="s">
        <v>314</v>
      </c>
      <c r="B103" s="805"/>
      <c r="C103" s="83"/>
      <c r="D103" s="84"/>
      <c r="E103" s="84"/>
      <c r="F103" s="84"/>
      <c r="G103" s="85"/>
    </row>
    <row r="104" spans="1:7" s="506" customFormat="1" ht="20.100000000000001" customHeight="1">
      <c r="A104" s="806" t="s">
        <v>315</v>
      </c>
      <c r="B104" s="807"/>
      <c r="C104" s="536"/>
      <c r="D104" s="537">
        <v>95543000</v>
      </c>
      <c r="E104" s="537">
        <f>95543000-6515000+15080196</f>
        <v>104108196</v>
      </c>
      <c r="F104" s="537">
        <v>17107545</v>
      </c>
      <c r="G104" s="557">
        <f t="shared" ref="G104" si="22">SUM(F104/E104)</f>
        <v>0.16432467046110374</v>
      </c>
    </row>
    <row r="105" spans="1:7" s="506" customFormat="1" ht="20.100000000000001" customHeight="1" thickBot="1">
      <c r="A105" s="538" t="s">
        <v>672</v>
      </c>
      <c r="B105" s="539"/>
      <c r="C105" s="540"/>
      <c r="D105" s="541">
        <v>20000000</v>
      </c>
      <c r="E105" s="541">
        <f>20000000-20000000</f>
        <v>0</v>
      </c>
      <c r="F105" s="541">
        <v>700000</v>
      </c>
      <c r="G105" s="62">
        <v>0</v>
      </c>
    </row>
    <row r="106" spans="1:7" s="506" customFormat="1" ht="20.100000000000001" customHeight="1" thickBot="1">
      <c r="A106" s="796" t="s">
        <v>316</v>
      </c>
      <c r="B106" s="797"/>
      <c r="C106" s="542"/>
      <c r="D106" s="532">
        <f>SUM(D104:D105)</f>
        <v>115543000</v>
      </c>
      <c r="E106" s="532">
        <f>SUM(E104:E105)</f>
        <v>104108196</v>
      </c>
      <c r="F106" s="532">
        <f t="shared" ref="F106" si="23">SUM(F104:F105)</f>
        <v>17807545</v>
      </c>
      <c r="G106" s="551">
        <f t="shared" ref="G106:G109" si="24">SUM(F106/E106)</f>
        <v>0.17104844463926741</v>
      </c>
    </row>
    <row r="107" spans="1:7" s="86" customFormat="1" ht="20.100000000000001" customHeight="1" thickBot="1">
      <c r="A107" s="792" t="s">
        <v>317</v>
      </c>
      <c r="B107" s="793"/>
      <c r="C107" s="543"/>
      <c r="D107" s="515">
        <f>25328000</f>
        <v>25328000</v>
      </c>
      <c r="E107" s="515">
        <f>25328000-6050000-9551727-268273+240000</f>
        <v>9698000</v>
      </c>
      <c r="F107" s="515">
        <v>2942850</v>
      </c>
      <c r="G107" s="551">
        <f t="shared" si="24"/>
        <v>0.30344916477624251</v>
      </c>
    </row>
    <row r="108" spans="1:7" s="86" customFormat="1" ht="20.100000000000001" customHeight="1" thickBot="1">
      <c r="A108" s="794" t="s">
        <v>318</v>
      </c>
      <c r="B108" s="795"/>
      <c r="C108" s="544"/>
      <c r="D108" s="545">
        <f>16096000</f>
        <v>16096000</v>
      </c>
      <c r="E108" s="545">
        <f>16096000-7366000-6190000</f>
        <v>2540000</v>
      </c>
      <c r="F108" s="545">
        <v>7230634</v>
      </c>
      <c r="G108" s="551">
        <f t="shared" si="24"/>
        <v>2.8467062992125984</v>
      </c>
    </row>
    <row r="109" spans="1:7" s="506" customFormat="1" ht="20.100000000000001" customHeight="1" thickBot="1">
      <c r="A109" s="796" t="s">
        <v>319</v>
      </c>
      <c r="B109" s="797"/>
      <c r="C109" s="542"/>
      <c r="D109" s="532">
        <f>SUM(D85+D86+D101+D102+D106+D107+D108)</f>
        <v>2728670000</v>
      </c>
      <c r="E109" s="532">
        <f>SUM(E85+E86+E101+E102+E106+E107+E108)</f>
        <v>6417413550</v>
      </c>
      <c r="F109" s="532">
        <f t="shared" ref="F109" si="25">SUM(F85+F86+F101+F102+F106+F107+F108)</f>
        <v>6077975287</v>
      </c>
      <c r="G109" s="551">
        <f t="shared" si="24"/>
        <v>0.94710668708579637</v>
      </c>
    </row>
    <row r="110" spans="1:7" s="506" customFormat="1" ht="20.100000000000001" customHeight="1">
      <c r="A110" s="498" t="s">
        <v>320</v>
      </c>
      <c r="B110" s="499"/>
      <c r="C110" s="59"/>
      <c r="D110" s="59"/>
      <c r="E110" s="59"/>
      <c r="F110" s="59"/>
      <c r="G110" s="60"/>
    </row>
    <row r="111" spans="1:7" s="506" customFormat="1" ht="20.100000000000001" customHeight="1">
      <c r="A111" s="750" t="s">
        <v>321</v>
      </c>
      <c r="B111" s="751"/>
      <c r="C111" s="61"/>
      <c r="D111" s="763">
        <f>273553000+53540000</f>
        <v>327093000</v>
      </c>
      <c r="E111" s="763">
        <f>273553000+53540000+95846411</f>
        <v>422939411</v>
      </c>
      <c r="F111" s="763">
        <f t="shared" ref="F111" si="26">273553000+53540000+95846411</f>
        <v>422939411</v>
      </c>
      <c r="G111" s="80">
        <f t="shared" ref="G111" si="27">SUM(F111/E111)</f>
        <v>1</v>
      </c>
    </row>
    <row r="112" spans="1:7" s="506" customFormat="1" ht="20.100000000000001" customHeight="1" thickBot="1">
      <c r="A112" s="764" t="s">
        <v>859</v>
      </c>
      <c r="B112" s="765"/>
      <c r="C112" s="766"/>
      <c r="D112" s="768"/>
      <c r="E112" s="767"/>
      <c r="F112" s="767">
        <v>58439181</v>
      </c>
      <c r="G112" s="553">
        <v>0</v>
      </c>
    </row>
    <row r="113" spans="1:7" s="506" customFormat="1" ht="20.100000000000001" customHeight="1" thickBot="1">
      <c r="A113" s="546" t="s">
        <v>322</v>
      </c>
      <c r="B113" s="547"/>
      <c r="C113" s="542"/>
      <c r="D113" s="532">
        <f>SUM(D111:D112)</f>
        <v>327093000</v>
      </c>
      <c r="E113" s="532">
        <f t="shared" ref="E113" si="28">SUM(E111:E112)</f>
        <v>422939411</v>
      </c>
      <c r="F113" s="532">
        <f>SUM(F111:F112)</f>
        <v>481378592</v>
      </c>
      <c r="G113" s="551">
        <f t="shared" ref="G113:G114" si="29">SUM(F113/E113)</f>
        <v>1.1381738837291755</v>
      </c>
    </row>
    <row r="114" spans="1:7" s="506" customFormat="1" ht="20.100000000000001" customHeight="1" thickBot="1">
      <c r="A114" s="796" t="s">
        <v>323</v>
      </c>
      <c r="B114" s="797"/>
      <c r="C114" s="542"/>
      <c r="D114" s="532">
        <f>D109+D113</f>
        <v>3055763000</v>
      </c>
      <c r="E114" s="532">
        <f>E109+E113</f>
        <v>6840352961</v>
      </c>
      <c r="F114" s="532">
        <f>F109+F113</f>
        <v>6559353879</v>
      </c>
      <c r="G114" s="551">
        <f t="shared" si="29"/>
        <v>0.95892038267584945</v>
      </c>
    </row>
  </sheetData>
  <mergeCells count="42">
    <mergeCell ref="A70:B70"/>
    <mergeCell ref="A12:B12"/>
    <mergeCell ref="A25:B25"/>
    <mergeCell ref="A26:B26"/>
    <mergeCell ref="A33:B33"/>
    <mergeCell ref="A34:B34"/>
    <mergeCell ref="A36:B36"/>
    <mergeCell ref="A50:B50"/>
    <mergeCell ref="A62:B62"/>
    <mergeCell ref="A64:B64"/>
    <mergeCell ref="A14:B14"/>
    <mergeCell ref="A18:B18"/>
    <mergeCell ref="A20:B20"/>
    <mergeCell ref="A22:B22"/>
    <mergeCell ref="A1:D1"/>
    <mergeCell ref="A3:G3"/>
    <mergeCell ref="A6:B6"/>
    <mergeCell ref="A10:B10"/>
    <mergeCell ref="A11:B11"/>
    <mergeCell ref="A93:B93"/>
    <mergeCell ref="A79:B79"/>
    <mergeCell ref="A81:B81"/>
    <mergeCell ref="A82:B82"/>
    <mergeCell ref="A87:B87"/>
    <mergeCell ref="A88:B88"/>
    <mergeCell ref="A89:B89"/>
    <mergeCell ref="A83:B83"/>
    <mergeCell ref="A84:B84"/>
    <mergeCell ref="A86:B86"/>
    <mergeCell ref="A90:B90"/>
    <mergeCell ref="A80:B80"/>
    <mergeCell ref="A95:B95"/>
    <mergeCell ref="A96:B96"/>
    <mergeCell ref="A97:B97"/>
    <mergeCell ref="A103:B103"/>
    <mergeCell ref="A104:B104"/>
    <mergeCell ref="A107:B107"/>
    <mergeCell ref="A108:B108"/>
    <mergeCell ref="A109:B109"/>
    <mergeCell ref="A114:B114"/>
    <mergeCell ref="A101:B101"/>
    <mergeCell ref="A106:B106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SheetLayoutView="100" workbookViewId="0">
      <selection sqref="A1:D1"/>
    </sheetView>
  </sheetViews>
  <sheetFormatPr defaultRowHeight="15.75"/>
  <cols>
    <col min="1" max="1" width="74.5703125" style="42" customWidth="1"/>
    <col min="2" max="2" width="17.85546875" style="42" customWidth="1"/>
    <col min="3" max="3" width="16.7109375" style="89" customWidth="1"/>
    <col min="4" max="5" width="20" style="89" customWidth="1"/>
    <col min="6" max="6" width="20" style="42" customWidth="1"/>
    <col min="7" max="7" width="12.5703125" style="42" customWidth="1"/>
    <col min="8" max="16384" width="9.140625" style="42"/>
  </cols>
  <sheetData>
    <row r="1" spans="1:7" ht="20.100000000000001" customHeight="1">
      <c r="A1" s="822" t="s">
        <v>963</v>
      </c>
      <c r="B1" s="822"/>
      <c r="C1" s="822"/>
      <c r="D1" s="822"/>
      <c r="E1" s="42"/>
    </row>
    <row r="2" spans="1:7" ht="20.100000000000001" customHeight="1">
      <c r="A2" s="44"/>
      <c r="B2" s="45"/>
      <c r="C2" s="46"/>
      <c r="D2" s="46"/>
      <c r="E2" s="46"/>
    </row>
    <row r="3" spans="1:7" ht="38.25" customHeight="1">
      <c r="A3" s="824" t="s">
        <v>700</v>
      </c>
      <c r="B3" s="824"/>
      <c r="C3" s="824"/>
      <c r="D3" s="824"/>
      <c r="E3" s="824"/>
      <c r="F3" s="824"/>
      <c r="G3" s="824"/>
    </row>
    <row r="4" spans="1:7" ht="20.100000000000001" customHeight="1">
      <c r="A4" s="44"/>
      <c r="B4" s="45"/>
      <c r="C4" s="46"/>
      <c r="D4" s="46"/>
      <c r="E4" s="46"/>
    </row>
    <row r="5" spans="1:7" ht="20.100000000000001" customHeight="1" thickBot="1">
      <c r="A5" s="48"/>
      <c r="B5" s="49"/>
      <c r="C5" s="49"/>
      <c r="D5" s="503"/>
      <c r="E5" s="503"/>
      <c r="F5" s="503"/>
      <c r="G5" s="51" t="s">
        <v>7</v>
      </c>
    </row>
    <row r="6" spans="1:7" s="506" customFormat="1" ht="31.5" customHeight="1" thickBot="1">
      <c r="A6" s="820" t="s">
        <v>608</v>
      </c>
      <c r="B6" s="821"/>
      <c r="C6" s="504"/>
      <c r="D6" s="505" t="s">
        <v>286</v>
      </c>
      <c r="E6" s="505" t="s">
        <v>287</v>
      </c>
      <c r="F6" s="505" t="s">
        <v>288</v>
      </c>
      <c r="G6" s="548" t="s">
        <v>289</v>
      </c>
    </row>
    <row r="7" spans="1:7" s="506" customFormat="1" ht="20.100000000000001" customHeight="1">
      <c r="A7" s="52" t="s">
        <v>290</v>
      </c>
      <c r="B7" s="53"/>
      <c r="C7" s="54"/>
      <c r="D7" s="54"/>
      <c r="E7" s="54"/>
      <c r="F7" s="54"/>
      <c r="G7" s="55"/>
    </row>
    <row r="8" spans="1:7" s="506" customFormat="1" ht="20.100000000000001" customHeight="1">
      <c r="A8" s="56" t="s">
        <v>291</v>
      </c>
      <c r="B8" s="57" t="s">
        <v>7</v>
      </c>
      <c r="C8" s="58" t="s">
        <v>7</v>
      </c>
      <c r="D8" s="507"/>
      <c r="E8" s="507"/>
      <c r="F8" s="507"/>
      <c r="G8" s="549"/>
    </row>
    <row r="9" spans="1:7" s="506" customFormat="1" ht="20.100000000000001" customHeight="1">
      <c r="A9" s="56" t="s">
        <v>609</v>
      </c>
      <c r="B9" s="57"/>
      <c r="C9" s="58"/>
      <c r="D9" s="507"/>
      <c r="E9" s="507"/>
      <c r="F9" s="507"/>
      <c r="G9" s="549"/>
    </row>
    <row r="10" spans="1:7" s="506" customFormat="1" ht="20.100000000000001" customHeight="1">
      <c r="A10" s="802" t="s">
        <v>610</v>
      </c>
      <c r="B10" s="803"/>
      <c r="C10" s="61">
        <v>195337000</v>
      </c>
      <c r="D10" s="61">
        <v>195337000</v>
      </c>
      <c r="E10" s="61">
        <v>195337000</v>
      </c>
      <c r="F10" s="61">
        <v>195337000</v>
      </c>
      <c r="G10" s="62">
        <f>SUM(F10/E10)</f>
        <v>1</v>
      </c>
    </row>
    <row r="11" spans="1:7" s="506" customFormat="1" ht="20.100000000000001" customHeight="1">
      <c r="A11" s="802" t="s">
        <v>611</v>
      </c>
      <c r="B11" s="803"/>
      <c r="C11" s="61">
        <v>29491750</v>
      </c>
      <c r="D11" s="61">
        <v>0</v>
      </c>
      <c r="E11" s="61">
        <v>0</v>
      </c>
      <c r="F11" s="61">
        <v>0</v>
      </c>
      <c r="G11" s="62"/>
    </row>
    <row r="12" spans="1:7" s="506" customFormat="1" ht="20.100000000000001" customHeight="1">
      <c r="A12" s="802" t="s">
        <v>612</v>
      </c>
      <c r="B12" s="803"/>
      <c r="C12" s="61">
        <v>0</v>
      </c>
      <c r="D12" s="61"/>
      <c r="E12" s="61"/>
      <c r="F12" s="61"/>
      <c r="G12" s="62"/>
    </row>
    <row r="13" spans="1:7" s="506" customFormat="1" ht="20.100000000000001" customHeight="1">
      <c r="A13" s="500" t="s">
        <v>613</v>
      </c>
      <c r="B13" s="501"/>
      <c r="C13" s="61">
        <v>54560000</v>
      </c>
      <c r="D13" s="61">
        <v>50339000</v>
      </c>
      <c r="E13" s="61">
        <v>50338698</v>
      </c>
      <c r="F13" s="61">
        <v>50338698</v>
      </c>
      <c r="G13" s="62">
        <f>SUM(F13/E13)</f>
        <v>1</v>
      </c>
    </row>
    <row r="14" spans="1:7" s="506" customFormat="1" ht="20.100000000000001" customHeight="1">
      <c r="A14" s="802" t="s">
        <v>612</v>
      </c>
      <c r="B14" s="803"/>
      <c r="C14" s="61">
        <v>50338698</v>
      </c>
      <c r="D14" s="61"/>
      <c r="E14" s="61"/>
      <c r="F14" s="61"/>
      <c r="G14" s="62"/>
    </row>
    <row r="15" spans="1:7" s="506" customFormat="1" ht="20.100000000000001" customHeight="1">
      <c r="A15" s="500" t="s">
        <v>614</v>
      </c>
      <c r="B15" s="501"/>
      <c r="C15" s="61">
        <v>0</v>
      </c>
      <c r="D15" s="61">
        <v>0</v>
      </c>
      <c r="E15" s="61">
        <v>0</v>
      </c>
      <c r="F15" s="61">
        <v>0</v>
      </c>
      <c r="G15" s="62"/>
    </row>
    <row r="16" spans="1:7" s="506" customFormat="1" ht="20.100000000000001" customHeight="1">
      <c r="A16" s="500" t="s">
        <v>615</v>
      </c>
      <c r="B16" s="501"/>
      <c r="C16" s="61">
        <v>32733200</v>
      </c>
      <c r="D16" s="61">
        <v>32733000</v>
      </c>
      <c r="E16" s="61">
        <v>32733200</v>
      </c>
      <c r="F16" s="61">
        <v>32733200</v>
      </c>
      <c r="G16" s="62">
        <f>SUM(F16/E16)</f>
        <v>1</v>
      </c>
    </row>
    <row r="17" spans="1:7" s="506" customFormat="1" ht="20.100000000000001" customHeight="1">
      <c r="A17" s="500" t="s">
        <v>616</v>
      </c>
      <c r="B17" s="501"/>
      <c r="C17" s="61">
        <v>55444500</v>
      </c>
      <c r="D17" s="61">
        <v>0</v>
      </c>
      <c r="E17" s="61">
        <v>0</v>
      </c>
      <c r="F17" s="61">
        <v>0</v>
      </c>
      <c r="G17" s="62"/>
    </row>
    <row r="18" spans="1:7" s="506" customFormat="1" ht="20.100000000000001" customHeight="1">
      <c r="A18" s="802" t="s">
        <v>612</v>
      </c>
      <c r="B18" s="803"/>
      <c r="C18" s="61">
        <v>0</v>
      </c>
      <c r="D18" s="61"/>
      <c r="E18" s="61"/>
      <c r="F18" s="61"/>
      <c r="G18" s="62"/>
    </row>
    <row r="19" spans="1:7" s="506" customFormat="1" ht="20.100000000000001" customHeight="1">
      <c r="A19" s="500" t="s">
        <v>617</v>
      </c>
      <c r="B19" s="501"/>
      <c r="C19" s="61">
        <v>1384650</v>
      </c>
      <c r="D19" s="61">
        <v>0</v>
      </c>
      <c r="E19" s="61">
        <v>0</v>
      </c>
      <c r="F19" s="61">
        <v>0</v>
      </c>
      <c r="G19" s="62"/>
    </row>
    <row r="20" spans="1:7" s="506" customFormat="1" ht="20.100000000000001" customHeight="1">
      <c r="A20" s="802" t="s">
        <v>612</v>
      </c>
      <c r="B20" s="803"/>
      <c r="C20" s="61">
        <v>0</v>
      </c>
      <c r="D20" s="61"/>
      <c r="E20" s="61"/>
      <c r="F20" s="61"/>
      <c r="G20" s="62"/>
    </row>
    <row r="21" spans="1:7" s="506" customFormat="1" ht="20.100000000000001" customHeight="1">
      <c r="A21" s="500" t="s">
        <v>618</v>
      </c>
      <c r="B21" s="501"/>
      <c r="C21" s="61">
        <v>3503000</v>
      </c>
      <c r="D21" s="61">
        <v>3503000</v>
      </c>
      <c r="E21" s="61">
        <v>3503000</v>
      </c>
      <c r="F21" s="61">
        <v>3503000</v>
      </c>
      <c r="G21" s="62">
        <f>SUM(F21/E21)</f>
        <v>1</v>
      </c>
    </row>
    <row r="22" spans="1:7" s="506" customFormat="1" ht="20.100000000000001" customHeight="1">
      <c r="A22" s="802" t="s">
        <v>612</v>
      </c>
      <c r="B22" s="803"/>
      <c r="C22" s="61">
        <v>3503000</v>
      </c>
      <c r="D22" s="61"/>
      <c r="E22" s="61"/>
      <c r="F22" s="61"/>
      <c r="G22" s="62"/>
    </row>
    <row r="23" spans="1:7" s="506" customFormat="1" ht="20.100000000000001" customHeight="1">
      <c r="A23" s="500" t="s">
        <v>292</v>
      </c>
      <c r="B23" s="63">
        <f>C11+C13-C14+C17+C19</f>
        <v>90542202</v>
      </c>
      <c r="C23" s="61"/>
      <c r="D23" s="61"/>
      <c r="E23" s="61"/>
      <c r="F23" s="61"/>
      <c r="G23" s="62"/>
    </row>
    <row r="24" spans="1:7" s="506" customFormat="1" ht="20.100000000000001" customHeight="1" thickBot="1">
      <c r="A24" s="508" t="s">
        <v>619</v>
      </c>
      <c r="B24" s="509"/>
      <c r="C24" s="90">
        <v>1448308</v>
      </c>
      <c r="D24" s="90"/>
      <c r="E24" s="90">
        <v>1448308</v>
      </c>
      <c r="F24" s="90">
        <v>1448308</v>
      </c>
      <c r="G24" s="62">
        <f>SUM(F24/E24)</f>
        <v>1</v>
      </c>
    </row>
    <row r="25" spans="1:7" s="506" customFormat="1" ht="19.5" customHeight="1" thickBot="1">
      <c r="A25" s="825" t="s">
        <v>620</v>
      </c>
      <c r="B25" s="826"/>
      <c r="C25" s="510">
        <f>C10+C12+C14+C15+C16+C18+C20+C22+C24</f>
        <v>283360206</v>
      </c>
      <c r="D25" s="510">
        <f>SUM(D10:D24)</f>
        <v>281912000</v>
      </c>
      <c r="E25" s="510">
        <f>SUM(E10:E24)</f>
        <v>283360206</v>
      </c>
      <c r="F25" s="510">
        <f t="shared" ref="F25" si="0">SUM(F10:F24)</f>
        <v>283360206</v>
      </c>
      <c r="G25" s="551">
        <f>SUM(F25/E25)</f>
        <v>1</v>
      </c>
    </row>
    <row r="26" spans="1:7" s="506" customFormat="1" ht="19.5" customHeight="1">
      <c r="A26" s="827" t="s">
        <v>621</v>
      </c>
      <c r="B26" s="828"/>
      <c r="C26" s="507"/>
      <c r="D26" s="507"/>
      <c r="E26" s="507"/>
      <c r="F26" s="507"/>
      <c r="G26" s="549"/>
    </row>
    <row r="27" spans="1:7" s="64" customFormat="1" ht="20.100000000000001" customHeight="1">
      <c r="A27" s="500" t="s">
        <v>622</v>
      </c>
      <c r="B27" s="501"/>
      <c r="C27" s="61">
        <v>370039664</v>
      </c>
      <c r="D27" s="61">
        <v>350135000</v>
      </c>
      <c r="E27" s="61">
        <v>370039664</v>
      </c>
      <c r="F27" s="61">
        <v>370039664</v>
      </c>
      <c r="G27" s="62">
        <f t="shared" ref="G27" si="1">SUM(F27/E27)</f>
        <v>1</v>
      </c>
    </row>
    <row r="28" spans="1:7" s="64" customFormat="1" ht="20.100000000000001" customHeight="1">
      <c r="A28" s="500" t="s">
        <v>623</v>
      </c>
      <c r="B28" s="501"/>
      <c r="C28" s="61"/>
      <c r="D28" s="61"/>
      <c r="E28" s="61"/>
      <c r="F28" s="61"/>
      <c r="G28" s="62"/>
    </row>
    <row r="29" spans="1:7" s="64" customFormat="1" ht="20.100000000000001" customHeight="1">
      <c r="A29" s="500" t="s">
        <v>624</v>
      </c>
      <c r="B29" s="501"/>
      <c r="C29" s="61">
        <v>58388267</v>
      </c>
      <c r="D29" s="61">
        <v>68255000</v>
      </c>
      <c r="E29" s="61">
        <v>58388267</v>
      </c>
      <c r="F29" s="61">
        <v>58388267</v>
      </c>
      <c r="G29" s="62">
        <f>SUM(F29/E29)</f>
        <v>1</v>
      </c>
    </row>
    <row r="30" spans="1:7" s="64" customFormat="1" ht="20.100000000000001" customHeight="1">
      <c r="A30" s="500" t="s">
        <v>625</v>
      </c>
      <c r="B30" s="501"/>
      <c r="C30" s="61"/>
      <c r="D30" s="61"/>
      <c r="E30" s="61"/>
      <c r="F30" s="61"/>
      <c r="G30" s="62"/>
    </row>
    <row r="31" spans="1:7" s="64" customFormat="1" ht="20.100000000000001" customHeight="1">
      <c r="A31" s="508" t="s">
        <v>626</v>
      </c>
      <c r="B31" s="511"/>
      <c r="C31" s="90">
        <f>13673336+167560</f>
        <v>13840896</v>
      </c>
      <c r="D31" s="90"/>
      <c r="E31" s="61">
        <v>13840896</v>
      </c>
      <c r="F31" s="61">
        <v>13840896</v>
      </c>
      <c r="G31" s="62">
        <f>SUM(F31/E31)</f>
        <v>1</v>
      </c>
    </row>
    <row r="32" spans="1:7" s="64" customFormat="1" ht="20.100000000000001" customHeight="1" thickBot="1">
      <c r="A32" s="500" t="s">
        <v>627</v>
      </c>
      <c r="B32" s="501"/>
      <c r="C32" s="61">
        <v>15147091</v>
      </c>
      <c r="D32" s="61"/>
      <c r="E32" s="61">
        <v>15147091</v>
      </c>
      <c r="F32" s="61">
        <v>15147091</v>
      </c>
      <c r="G32" s="62">
        <f>SUM(F32/E32)</f>
        <v>1</v>
      </c>
    </row>
    <row r="33" spans="1:7" s="64" customFormat="1" ht="20.100000000000001" customHeight="1" thickBot="1">
      <c r="A33" s="825" t="s">
        <v>621</v>
      </c>
      <c r="B33" s="826"/>
      <c r="C33" s="510">
        <f>SUM(C27:C32)</f>
        <v>457415918</v>
      </c>
      <c r="D33" s="510">
        <f t="shared" ref="D33:E33" si="2">SUM(D27:D32)</f>
        <v>418390000</v>
      </c>
      <c r="E33" s="510">
        <f t="shared" si="2"/>
        <v>457415918</v>
      </c>
      <c r="F33" s="510">
        <f t="shared" ref="F33" si="3">SUM(F27:F32)</f>
        <v>457415918</v>
      </c>
      <c r="G33" s="551">
        <f>SUM(F33/E33)</f>
        <v>1</v>
      </c>
    </row>
    <row r="34" spans="1:7" s="64" customFormat="1" ht="20.100000000000001" customHeight="1">
      <c r="A34" s="827" t="s">
        <v>628</v>
      </c>
      <c r="B34" s="828"/>
      <c r="C34" s="507"/>
      <c r="D34" s="507"/>
      <c r="E34" s="507"/>
      <c r="F34" s="507"/>
      <c r="G34" s="549"/>
    </row>
    <row r="35" spans="1:7" s="64" customFormat="1" ht="20.100000000000001" customHeight="1">
      <c r="A35" s="72" t="s">
        <v>293</v>
      </c>
      <c r="B35" s="502"/>
      <c r="C35" s="512"/>
      <c r="D35" s="512"/>
      <c r="E35" s="512"/>
      <c r="F35" s="512"/>
      <c r="G35" s="552"/>
    </row>
    <row r="36" spans="1:7" s="64" customFormat="1" ht="20.100000000000001" customHeight="1">
      <c r="A36" s="829" t="s">
        <v>629</v>
      </c>
      <c r="B36" s="830"/>
      <c r="C36" s="61">
        <v>80804000</v>
      </c>
      <c r="D36" s="61">
        <v>80804000</v>
      </c>
      <c r="E36" s="61">
        <v>80804000</v>
      </c>
      <c r="F36" s="61">
        <v>80804000</v>
      </c>
      <c r="G36" s="62">
        <f>SUM(F36/E36)</f>
        <v>1</v>
      </c>
    </row>
    <row r="37" spans="1:7" s="64" customFormat="1" ht="20.100000000000001" customHeight="1">
      <c r="A37" s="500" t="s">
        <v>630</v>
      </c>
      <c r="B37" s="501"/>
      <c r="C37" s="61">
        <f>SUM(B38:B48)</f>
        <v>187364881</v>
      </c>
      <c r="D37" s="61">
        <v>154053000</v>
      </c>
      <c r="E37" s="61">
        <v>187364881</v>
      </c>
      <c r="F37" s="61">
        <v>187364881</v>
      </c>
      <c r="G37" s="62">
        <f>SUM(F37/E37)</f>
        <v>1</v>
      </c>
    </row>
    <row r="38" spans="1:7" s="64" customFormat="1" ht="20.100000000000001" customHeight="1">
      <c r="A38" s="500" t="s">
        <v>631</v>
      </c>
      <c r="B38" s="65">
        <v>14700000</v>
      </c>
      <c r="C38" s="61"/>
      <c r="D38" s="61"/>
      <c r="E38" s="61"/>
      <c r="F38" s="61"/>
      <c r="G38" s="62"/>
    </row>
    <row r="39" spans="1:7" s="64" customFormat="1" ht="20.100000000000001" customHeight="1">
      <c r="A39" s="500" t="s">
        <v>632</v>
      </c>
      <c r="B39" s="65">
        <v>22500000</v>
      </c>
      <c r="C39" s="61"/>
      <c r="D39" s="61"/>
      <c r="E39" s="61"/>
      <c r="F39" s="61"/>
      <c r="G39" s="62"/>
    </row>
    <row r="40" spans="1:7" s="64" customFormat="1" ht="20.100000000000001" customHeight="1">
      <c r="A40" s="500" t="s">
        <v>633</v>
      </c>
      <c r="B40" s="65">
        <f>31117856-1765984+548064</f>
        <v>29899936</v>
      </c>
      <c r="C40" s="61"/>
      <c r="D40" s="61"/>
      <c r="E40" s="61"/>
      <c r="F40" s="61"/>
      <c r="G40" s="62"/>
    </row>
    <row r="41" spans="1:7" s="64" customFormat="1" ht="20.100000000000001" customHeight="1">
      <c r="A41" s="500" t="s">
        <v>634</v>
      </c>
      <c r="B41" s="65">
        <f>775000-50000-550000</f>
        <v>175000</v>
      </c>
      <c r="C41" s="61"/>
      <c r="D41" s="61"/>
      <c r="E41" s="61"/>
      <c r="F41" s="61"/>
      <c r="G41" s="62"/>
    </row>
    <row r="42" spans="1:7" s="64" customFormat="1" ht="20.100000000000001" customHeight="1">
      <c r="A42" s="500" t="s">
        <v>635</v>
      </c>
      <c r="B42" s="65">
        <f>15015000+3276000+8190000</f>
        <v>26481000</v>
      </c>
      <c r="C42" s="61"/>
      <c r="D42" s="61"/>
      <c r="E42" s="61"/>
      <c r="F42" s="61"/>
      <c r="G42" s="62"/>
    </row>
    <row r="43" spans="1:7" s="64" customFormat="1" ht="20.100000000000001" customHeight="1">
      <c r="A43" s="500" t="s">
        <v>636</v>
      </c>
      <c r="B43" s="65">
        <v>2500000</v>
      </c>
      <c r="C43" s="61"/>
      <c r="D43" s="61"/>
      <c r="E43" s="61"/>
      <c r="F43" s="61"/>
      <c r="G43" s="62"/>
    </row>
    <row r="44" spans="1:7" s="64" customFormat="1" ht="20.100000000000001" customHeight="1">
      <c r="A44" s="500" t="s">
        <v>637</v>
      </c>
      <c r="B44" s="65">
        <f>8338500+490500</f>
        <v>8829000</v>
      </c>
      <c r="C44" s="61"/>
      <c r="D44" s="61"/>
      <c r="E44" s="61"/>
      <c r="F44" s="61"/>
      <c r="G44" s="62"/>
    </row>
    <row r="45" spans="1:7" s="64" customFormat="1" ht="20.100000000000001" customHeight="1">
      <c r="A45" s="500" t="s">
        <v>638</v>
      </c>
      <c r="B45" s="65">
        <v>5500000</v>
      </c>
      <c r="C45" s="61"/>
      <c r="D45" s="61"/>
      <c r="E45" s="61"/>
      <c r="F45" s="61"/>
      <c r="G45" s="62"/>
    </row>
    <row r="46" spans="1:7" s="64" customFormat="1" ht="20.100000000000001" customHeight="1">
      <c r="A46" s="500" t="s">
        <v>639</v>
      </c>
      <c r="B46" s="65">
        <f>2976000+744000</f>
        <v>3720000</v>
      </c>
      <c r="C46" s="61"/>
      <c r="D46" s="61"/>
      <c r="E46" s="61"/>
      <c r="F46" s="61"/>
      <c r="G46" s="62"/>
    </row>
    <row r="47" spans="1:7" s="64" customFormat="1" ht="20.100000000000001" customHeight="1">
      <c r="A47" s="500" t="s">
        <v>640</v>
      </c>
      <c r="B47" s="65">
        <v>2604000</v>
      </c>
      <c r="C47" s="61"/>
      <c r="D47" s="61"/>
      <c r="E47" s="61"/>
      <c r="F47" s="61"/>
      <c r="G47" s="62"/>
    </row>
    <row r="48" spans="1:7" s="64" customFormat="1" ht="20.100000000000001" customHeight="1">
      <c r="A48" s="500" t="s">
        <v>641</v>
      </c>
      <c r="B48" s="65">
        <f>48026520+21895465+533960</f>
        <v>70455945</v>
      </c>
      <c r="C48" s="61"/>
      <c r="D48" s="61"/>
      <c r="E48" s="61"/>
      <c r="F48" s="61"/>
      <c r="G48" s="62"/>
    </row>
    <row r="49" spans="1:7" s="64" customFormat="1" ht="20.100000000000001" customHeight="1">
      <c r="A49" s="500" t="s">
        <v>642</v>
      </c>
      <c r="B49" s="501"/>
      <c r="C49" s="61">
        <f>SUM(B51:B52)</f>
        <v>308258120</v>
      </c>
      <c r="D49" s="61">
        <v>305409000</v>
      </c>
      <c r="E49" s="61">
        <v>308258120</v>
      </c>
      <c r="F49" s="61">
        <v>308258120</v>
      </c>
      <c r="G49" s="62">
        <f>SUM(F49/E49)</f>
        <v>1</v>
      </c>
    </row>
    <row r="50" spans="1:7" s="64" customFormat="1" ht="20.100000000000001" customHeight="1">
      <c r="A50" s="829" t="s">
        <v>643</v>
      </c>
      <c r="B50" s="830"/>
      <c r="C50" s="61"/>
      <c r="D50" s="61"/>
      <c r="E50" s="61"/>
      <c r="F50" s="61"/>
      <c r="G50" s="62"/>
    </row>
    <row r="51" spans="1:7" s="64" customFormat="1" ht="20.100000000000001" customHeight="1">
      <c r="A51" s="500" t="s">
        <v>644</v>
      </c>
      <c r="B51" s="67">
        <f>205877160-2606040</f>
        <v>203271120</v>
      </c>
      <c r="C51" s="61"/>
      <c r="D51" s="61"/>
      <c r="E51" s="61"/>
      <c r="F51" s="61"/>
      <c r="G51" s="62"/>
    </row>
    <row r="52" spans="1:7" s="64" customFormat="1" ht="20.100000000000001" customHeight="1">
      <c r="A52" s="500" t="s">
        <v>645</v>
      </c>
      <c r="B52" s="67">
        <f>99532000+5455000</f>
        <v>104987000</v>
      </c>
      <c r="C52" s="61"/>
      <c r="D52" s="61"/>
      <c r="E52" s="61"/>
      <c r="F52" s="61"/>
      <c r="G52" s="62"/>
    </row>
    <row r="53" spans="1:7" s="64" customFormat="1" ht="20.100000000000001" customHeight="1">
      <c r="A53" s="500" t="s">
        <v>646</v>
      </c>
      <c r="B53" s="67"/>
      <c r="C53" s="61">
        <f>SUM(B54:B55)</f>
        <v>167402106</v>
      </c>
      <c r="D53" s="61">
        <v>165391000</v>
      </c>
      <c r="E53" s="61">
        <v>167402106</v>
      </c>
      <c r="F53" s="61">
        <v>167402106</v>
      </c>
      <c r="G53" s="62">
        <f>SUM(F53/E53)</f>
        <v>1</v>
      </c>
    </row>
    <row r="54" spans="1:7" s="64" customFormat="1" ht="20.100000000000001" customHeight="1">
      <c r="A54" s="500" t="s">
        <v>647</v>
      </c>
      <c r="B54" s="67">
        <f>44831040-456960+391680</f>
        <v>44765760</v>
      </c>
      <c r="C54" s="61"/>
      <c r="D54" s="61"/>
      <c r="E54" s="61"/>
      <c r="F54" s="61"/>
      <c r="G54" s="62"/>
    </row>
    <row r="55" spans="1:7" s="64" customFormat="1" ht="20.100000000000001" customHeight="1">
      <c r="A55" s="500" t="s">
        <v>648</v>
      </c>
      <c r="B55" s="67">
        <f>120559456+861273+1+1215616</f>
        <v>122636346</v>
      </c>
      <c r="C55" s="61"/>
      <c r="D55" s="61"/>
      <c r="E55" s="61"/>
      <c r="F55" s="61"/>
      <c r="G55" s="62"/>
    </row>
    <row r="56" spans="1:7" s="64" customFormat="1" ht="20.100000000000001" customHeight="1">
      <c r="A56" s="500" t="s">
        <v>649</v>
      </c>
      <c r="B56" s="67">
        <f>19807390+5420-5173932</f>
        <v>14638878</v>
      </c>
      <c r="C56" s="61">
        <f>SUM(B56)</f>
        <v>14638878</v>
      </c>
      <c r="D56" s="61">
        <v>19807000</v>
      </c>
      <c r="E56" s="61">
        <v>14638488</v>
      </c>
      <c r="F56" s="61">
        <v>14638488</v>
      </c>
      <c r="G56" s="62">
        <f t="shared" ref="G56:G57" si="4">SUM(F56/E56)</f>
        <v>1</v>
      </c>
    </row>
    <row r="57" spans="1:7" s="64" customFormat="1" ht="20.100000000000001" customHeight="1">
      <c r="A57" s="66" t="s">
        <v>650</v>
      </c>
      <c r="B57" s="68"/>
      <c r="C57" s="69">
        <v>4526280</v>
      </c>
      <c r="D57" s="61">
        <v>4526000</v>
      </c>
      <c r="E57" s="61">
        <v>4526280</v>
      </c>
      <c r="F57" s="61">
        <v>4526280</v>
      </c>
      <c r="G57" s="62">
        <f t="shared" si="4"/>
        <v>1</v>
      </c>
    </row>
    <row r="58" spans="1:7" s="64" customFormat="1" ht="20.100000000000001" customHeight="1">
      <c r="A58" s="513" t="s">
        <v>651</v>
      </c>
      <c r="B58" s="70"/>
      <c r="C58" s="71"/>
      <c r="D58" s="90"/>
      <c r="E58" s="90"/>
      <c r="F58" s="90"/>
      <c r="G58" s="550"/>
    </row>
    <row r="59" spans="1:7" s="64" customFormat="1" ht="20.100000000000001" customHeight="1">
      <c r="A59" s="66" t="s">
        <v>652</v>
      </c>
      <c r="B59" s="70"/>
      <c r="C59" s="71">
        <f>34645518+27283696+13348400+6610410</f>
        <v>81888024</v>
      </c>
      <c r="D59" s="90"/>
      <c r="E59" s="90">
        <v>81888024</v>
      </c>
      <c r="F59" s="61">
        <v>81888024</v>
      </c>
      <c r="G59" s="62">
        <f t="shared" ref="G59:G60" si="5">SUM(F59/E59)</f>
        <v>1</v>
      </c>
    </row>
    <row r="60" spans="1:7" s="64" customFormat="1" ht="20.100000000000001" customHeight="1">
      <c r="A60" s="66" t="s">
        <v>653</v>
      </c>
      <c r="B60" s="70"/>
      <c r="C60" s="71">
        <f>4240465+4287375+2083345+1045956</f>
        <v>11657141</v>
      </c>
      <c r="D60" s="77"/>
      <c r="E60" s="90">
        <v>11657141</v>
      </c>
      <c r="F60" s="61">
        <v>11657141</v>
      </c>
      <c r="G60" s="62">
        <f t="shared" si="5"/>
        <v>1</v>
      </c>
    </row>
    <row r="61" spans="1:7" s="64" customFormat="1" ht="20.100000000000001" customHeight="1" thickBot="1">
      <c r="A61" s="513" t="s">
        <v>654</v>
      </c>
      <c r="B61" s="70"/>
      <c r="C61" s="71"/>
      <c r="D61" s="74"/>
      <c r="E61" s="514"/>
      <c r="F61" s="514"/>
      <c r="G61" s="553"/>
    </row>
    <row r="62" spans="1:7" s="64" customFormat="1" ht="21" customHeight="1">
      <c r="A62" s="831" t="s">
        <v>628</v>
      </c>
      <c r="B62" s="832"/>
      <c r="C62" s="515">
        <f>SUM(C36:C60)</f>
        <v>856539430</v>
      </c>
      <c r="D62" s="515">
        <f>SUM(D36:D57)</f>
        <v>729990000</v>
      </c>
      <c r="E62" s="515">
        <f>SUM(E36:E60)</f>
        <v>856539040</v>
      </c>
      <c r="F62" s="515">
        <f t="shared" ref="F62" si="6">SUM(F36:F60)</f>
        <v>856539040</v>
      </c>
      <c r="G62" s="555">
        <f>SUM(F62/E62)</f>
        <v>1</v>
      </c>
    </row>
    <row r="63" spans="1:7" s="64" customFormat="1" ht="20.100000000000001" customHeight="1" thickBot="1">
      <c r="A63" s="516" t="s">
        <v>293</v>
      </c>
      <c r="B63" s="517"/>
      <c r="C63" s="518"/>
      <c r="D63" s="518"/>
      <c r="E63" s="518"/>
      <c r="F63" s="518"/>
      <c r="G63" s="554"/>
    </row>
    <row r="64" spans="1:7" s="64" customFormat="1" ht="20.100000000000001" customHeight="1">
      <c r="A64" s="833" t="s">
        <v>655</v>
      </c>
      <c r="B64" s="834"/>
      <c r="C64" s="74"/>
      <c r="D64" s="74"/>
      <c r="E64" s="74"/>
      <c r="F64" s="74"/>
      <c r="G64" s="75"/>
    </row>
    <row r="65" spans="1:7" s="506" customFormat="1" ht="20.100000000000001" customHeight="1">
      <c r="A65" s="519" t="s">
        <v>656</v>
      </c>
      <c r="B65" s="520">
        <v>23409900</v>
      </c>
      <c r="C65" s="521"/>
      <c r="D65" s="521">
        <v>23410000</v>
      </c>
      <c r="E65" s="521">
        <v>23409900</v>
      </c>
      <c r="F65" s="521">
        <v>23409900</v>
      </c>
      <c r="G65" s="557">
        <f t="shared" ref="G65" si="7">SUM(F65/E65)</f>
        <v>1</v>
      </c>
    </row>
    <row r="66" spans="1:7" s="506" customFormat="1" ht="19.5" customHeight="1">
      <c r="A66" s="500" t="s">
        <v>657</v>
      </c>
      <c r="B66" s="67"/>
      <c r="C66" s="61"/>
      <c r="D66" s="61"/>
      <c r="E66" s="61"/>
      <c r="F66" s="61"/>
      <c r="G66" s="62"/>
    </row>
    <row r="67" spans="1:7" s="506" customFormat="1" ht="20.100000000000001" customHeight="1">
      <c r="A67" s="500" t="s">
        <v>658</v>
      </c>
      <c r="B67" s="68">
        <v>15369000</v>
      </c>
      <c r="C67" s="61"/>
      <c r="D67" s="61">
        <v>15369000</v>
      </c>
      <c r="E67" s="61">
        <v>15369000</v>
      </c>
      <c r="F67" s="61">
        <v>15369000</v>
      </c>
      <c r="G67" s="62">
        <f>SUM(F67/E67)</f>
        <v>1</v>
      </c>
    </row>
    <row r="68" spans="1:7" s="506" customFormat="1" ht="20.100000000000001" customHeight="1">
      <c r="A68" s="508" t="s">
        <v>659</v>
      </c>
      <c r="B68" s="70"/>
      <c r="C68" s="90"/>
      <c r="D68" s="90"/>
      <c r="E68" s="90"/>
      <c r="F68" s="90"/>
      <c r="G68" s="550"/>
    </row>
    <row r="69" spans="1:7" s="506" customFormat="1" ht="20.100000000000001" customHeight="1" thickBot="1">
      <c r="A69" s="508" t="s">
        <v>660</v>
      </c>
      <c r="B69" s="70">
        <f>1938735+1977620+957620+488184</f>
        <v>5362159</v>
      </c>
      <c r="C69" s="90"/>
      <c r="D69" s="90"/>
      <c r="E69" s="90">
        <v>5362159</v>
      </c>
      <c r="F69" s="90">
        <v>5362159</v>
      </c>
      <c r="G69" s="550">
        <f t="shared" ref="G69" si="8">SUM(F69/E69)</f>
        <v>1</v>
      </c>
    </row>
    <row r="70" spans="1:7" s="506" customFormat="1" ht="20.100000000000001" customHeight="1" thickBot="1">
      <c r="A70" s="808" t="s">
        <v>655</v>
      </c>
      <c r="B70" s="809"/>
      <c r="C70" s="510">
        <f>SUM(B65:B69)</f>
        <v>44141059</v>
      </c>
      <c r="D70" s="510">
        <f>SUM(D65:D69)</f>
        <v>38779000</v>
      </c>
      <c r="E70" s="510">
        <f>SUM(E65:E69)</f>
        <v>44141059</v>
      </c>
      <c r="F70" s="510">
        <f t="shared" ref="F70" si="9">SUM(F65:F69)</f>
        <v>44141059</v>
      </c>
      <c r="G70" s="556">
        <f>SUM(F70/E70)</f>
        <v>1</v>
      </c>
    </row>
    <row r="71" spans="1:7" s="506" customFormat="1" ht="20.100000000000001" customHeight="1">
      <c r="A71" s="508" t="s">
        <v>661</v>
      </c>
      <c r="B71" s="70">
        <f>5036008+3146380+3058174+245372</f>
        <v>11485934</v>
      </c>
      <c r="C71" s="90"/>
      <c r="D71" s="90"/>
      <c r="E71" s="90">
        <v>11485934</v>
      </c>
      <c r="F71" s="90">
        <v>11485934</v>
      </c>
      <c r="G71" s="75">
        <f>SUM(F71/E71)</f>
        <v>1</v>
      </c>
    </row>
    <row r="72" spans="1:7" s="506" customFormat="1" ht="20.100000000000001" customHeight="1">
      <c r="A72" s="500" t="s">
        <v>662</v>
      </c>
      <c r="B72" s="68">
        <v>1882700</v>
      </c>
      <c r="C72" s="61"/>
      <c r="D72" s="61"/>
      <c r="E72" s="61">
        <v>1882700</v>
      </c>
      <c r="F72" s="61">
        <v>1882700</v>
      </c>
      <c r="G72" s="62">
        <f t="shared" ref="G72:G77" si="10">SUM(F72/E72)</f>
        <v>1</v>
      </c>
    </row>
    <row r="73" spans="1:7" s="506" customFormat="1" ht="20.100000000000001" customHeight="1">
      <c r="A73" s="508" t="s">
        <v>663</v>
      </c>
      <c r="B73" s="70">
        <v>37765112</v>
      </c>
      <c r="C73" s="90"/>
      <c r="D73" s="90"/>
      <c r="E73" s="61">
        <v>37765112</v>
      </c>
      <c r="F73" s="61">
        <v>37765112</v>
      </c>
      <c r="G73" s="62">
        <f t="shared" si="10"/>
        <v>1</v>
      </c>
    </row>
    <row r="74" spans="1:7" s="506" customFormat="1" ht="20.100000000000001" customHeight="1">
      <c r="A74" s="508" t="s">
        <v>664</v>
      </c>
      <c r="B74" s="70">
        <v>440000</v>
      </c>
      <c r="C74" s="90"/>
      <c r="D74" s="90"/>
      <c r="E74" s="61">
        <v>440000</v>
      </c>
      <c r="F74" s="61">
        <v>440000</v>
      </c>
      <c r="G74" s="62">
        <f t="shared" si="10"/>
        <v>1</v>
      </c>
    </row>
    <row r="75" spans="1:7" s="506" customFormat="1" ht="20.100000000000001" customHeight="1">
      <c r="A75" s="508" t="s">
        <v>665</v>
      </c>
      <c r="B75" s="70">
        <v>35755000</v>
      </c>
      <c r="C75" s="90"/>
      <c r="D75" s="90"/>
      <c r="E75" s="61">
        <v>35755000</v>
      </c>
      <c r="F75" s="61">
        <v>35755000</v>
      </c>
      <c r="G75" s="62">
        <f t="shared" si="10"/>
        <v>1</v>
      </c>
    </row>
    <row r="76" spans="1:7" s="506" customFormat="1" ht="20.100000000000001" customHeight="1">
      <c r="A76" s="508" t="s">
        <v>666</v>
      </c>
      <c r="B76" s="70">
        <v>12000000</v>
      </c>
      <c r="C76" s="90"/>
      <c r="D76" s="90"/>
      <c r="E76" s="61">
        <v>12000000</v>
      </c>
      <c r="F76" s="61">
        <v>12000000</v>
      </c>
      <c r="G76" s="62">
        <f t="shared" si="10"/>
        <v>1</v>
      </c>
    </row>
    <row r="77" spans="1:7" s="506" customFormat="1" ht="20.100000000000001" customHeight="1">
      <c r="A77" s="508" t="s">
        <v>667</v>
      </c>
      <c r="B77" s="70">
        <v>24655170</v>
      </c>
      <c r="C77" s="90"/>
      <c r="D77" s="90"/>
      <c r="E77" s="61">
        <v>24655170</v>
      </c>
      <c r="F77" s="61">
        <v>24655170</v>
      </c>
      <c r="G77" s="62">
        <f t="shared" si="10"/>
        <v>1</v>
      </c>
    </row>
    <row r="78" spans="1:7" s="506" customFormat="1" ht="20.100000000000001" customHeight="1" thickBot="1">
      <c r="A78" s="508" t="s">
        <v>668</v>
      </c>
      <c r="B78" s="70">
        <v>11250798</v>
      </c>
      <c r="C78" s="90"/>
      <c r="D78" s="90"/>
      <c r="E78" s="61">
        <v>11250798</v>
      </c>
      <c r="F78" s="61">
        <v>11250798</v>
      </c>
      <c r="G78" s="62">
        <f>SUM(F78/E78)</f>
        <v>1</v>
      </c>
    </row>
    <row r="79" spans="1:7" s="506" customFormat="1" ht="20.100000000000001" customHeight="1" thickBot="1">
      <c r="A79" s="808" t="s">
        <v>669</v>
      </c>
      <c r="B79" s="809"/>
      <c r="C79" s="510">
        <f>SUM(B71:B78)</f>
        <v>135234714</v>
      </c>
      <c r="D79" s="510">
        <v>0</v>
      </c>
      <c r="E79" s="510">
        <f>SUM(E71:E78)</f>
        <v>135234714</v>
      </c>
      <c r="F79" s="510">
        <f>SUM(F71:F78)</f>
        <v>135234714</v>
      </c>
      <c r="G79" s="551">
        <f>SUM(F79/E79)</f>
        <v>1</v>
      </c>
    </row>
    <row r="80" spans="1:7" s="506" customFormat="1" ht="31.5" customHeight="1" thickBot="1">
      <c r="A80" s="820" t="s">
        <v>608</v>
      </c>
      <c r="B80" s="821"/>
      <c r="C80" s="504"/>
      <c r="D80" s="505" t="s">
        <v>286</v>
      </c>
      <c r="E80" s="505" t="s">
        <v>287</v>
      </c>
      <c r="F80" s="505" t="s">
        <v>287</v>
      </c>
      <c r="G80" s="548" t="s">
        <v>287</v>
      </c>
    </row>
    <row r="81" spans="1:7" s="506" customFormat="1" ht="20.100000000000001" customHeight="1" thickBot="1">
      <c r="A81" s="808" t="s">
        <v>670</v>
      </c>
      <c r="B81" s="809"/>
      <c r="C81" s="510">
        <v>16917000</v>
      </c>
      <c r="D81" s="510">
        <f>SUM(D75:D79)</f>
        <v>0</v>
      </c>
      <c r="E81" s="510">
        <v>16917000</v>
      </c>
      <c r="F81" s="510">
        <v>16917000</v>
      </c>
      <c r="G81" s="551">
        <f>SUM(F81/E81)</f>
        <v>1</v>
      </c>
    </row>
    <row r="82" spans="1:7" s="506" customFormat="1" ht="20.100000000000001" customHeight="1" thickBot="1">
      <c r="A82" s="810" t="s">
        <v>294</v>
      </c>
      <c r="B82" s="811"/>
      <c r="C82" s="522"/>
      <c r="D82" s="523">
        <f>SUM(D25+D33+D62+D70+D79+D81)</f>
        <v>1469071000</v>
      </c>
      <c r="E82" s="523">
        <f>SUM(E25+E33+E62+E70+E79+E81)</f>
        <v>1793607937</v>
      </c>
      <c r="F82" s="523">
        <f>F25+F33+F62+F70+F79+F81</f>
        <v>1793607937</v>
      </c>
      <c r="G82" s="551">
        <f>SUM(F82/E82)</f>
        <v>1</v>
      </c>
    </row>
    <row r="83" spans="1:7" s="506" customFormat="1" ht="20.100000000000001" customHeight="1" thickBot="1">
      <c r="A83" s="816" t="s">
        <v>295</v>
      </c>
      <c r="B83" s="817"/>
      <c r="C83" s="525"/>
      <c r="D83" s="528">
        <v>7800000</v>
      </c>
      <c r="E83" s="526">
        <f>7800000+85015021+50000</f>
        <v>92865021</v>
      </c>
      <c r="F83" s="526">
        <v>92802851</v>
      </c>
      <c r="G83" s="551">
        <f t="shared" ref="G83:G86" si="11">SUM(F83/E83)</f>
        <v>0.99933053372162595</v>
      </c>
    </row>
    <row r="84" spans="1:7" s="506" customFormat="1" ht="20.100000000000001" customHeight="1" thickBot="1">
      <c r="A84" s="816" t="s">
        <v>671</v>
      </c>
      <c r="B84" s="817"/>
      <c r="C84" s="527"/>
      <c r="D84" s="545">
        <v>0</v>
      </c>
      <c r="E84" s="528">
        <v>11119721</v>
      </c>
      <c r="F84" s="528">
        <v>11119721</v>
      </c>
      <c r="G84" s="551">
        <f t="shared" si="11"/>
        <v>1</v>
      </c>
    </row>
    <row r="85" spans="1:7" s="506" customFormat="1" ht="20.100000000000001" customHeight="1" thickBot="1">
      <c r="A85" s="529" t="s">
        <v>296</v>
      </c>
      <c r="B85" s="530"/>
      <c r="C85" s="531"/>
      <c r="D85" s="532">
        <f>SUM(D82:D84)</f>
        <v>1476871000</v>
      </c>
      <c r="E85" s="532">
        <f>SUM(E82:E84)</f>
        <v>1897592679</v>
      </c>
      <c r="F85" s="532">
        <f t="shared" ref="F85" si="12">SUM(F82:F84)</f>
        <v>1897530509</v>
      </c>
      <c r="G85" s="551">
        <f t="shared" si="11"/>
        <v>0.9999672374368388</v>
      </c>
    </row>
    <row r="86" spans="1:7" s="506" customFormat="1" ht="20.100000000000001" customHeight="1" thickBot="1">
      <c r="A86" s="818" t="s">
        <v>297</v>
      </c>
      <c r="B86" s="819"/>
      <c r="C86" s="533"/>
      <c r="D86" s="510">
        <v>0</v>
      </c>
      <c r="E86" s="510">
        <f>963356861+651162000+838906063</f>
        <v>2453424924</v>
      </c>
      <c r="F86" s="510">
        <v>2428424970</v>
      </c>
      <c r="G86" s="551">
        <f t="shared" si="11"/>
        <v>0.98981018177672997</v>
      </c>
    </row>
    <row r="87" spans="1:7" s="506" customFormat="1" ht="20.100000000000001" customHeight="1">
      <c r="A87" s="812" t="s">
        <v>298</v>
      </c>
      <c r="B87" s="813"/>
      <c r="C87" s="73"/>
      <c r="D87" s="74"/>
      <c r="E87" s="74"/>
      <c r="F87" s="74"/>
      <c r="G87" s="75"/>
    </row>
    <row r="88" spans="1:7" s="506" customFormat="1" ht="20.100000000000001" customHeight="1">
      <c r="A88" s="814" t="s">
        <v>299</v>
      </c>
      <c r="B88" s="815"/>
      <c r="C88" s="76"/>
      <c r="D88" s="61"/>
      <c r="E88" s="61"/>
      <c r="F88" s="61"/>
      <c r="G88" s="62"/>
    </row>
    <row r="89" spans="1:7" s="506" customFormat="1" ht="20.100000000000001" customHeight="1">
      <c r="A89" s="802" t="s">
        <v>300</v>
      </c>
      <c r="B89" s="803"/>
      <c r="C89" s="61"/>
      <c r="D89" s="61">
        <v>564500000</v>
      </c>
      <c r="E89" s="61">
        <v>584262000</v>
      </c>
      <c r="F89" s="61">
        <f>SUM(C90+C93)</f>
        <v>584295800</v>
      </c>
      <c r="G89" s="62">
        <f t="shared" ref="G89" si="13">SUM(F89/E89)</f>
        <v>1.000057850758735</v>
      </c>
    </row>
    <row r="90" spans="1:7" s="506" customFormat="1" ht="20.100000000000001" customHeight="1">
      <c r="A90" s="802" t="s">
        <v>301</v>
      </c>
      <c r="B90" s="803"/>
      <c r="C90" s="61">
        <f>B91+B92</f>
        <v>579062440</v>
      </c>
      <c r="D90" s="61"/>
      <c r="E90" s="61"/>
      <c r="F90" s="61"/>
      <c r="G90" s="62"/>
    </row>
    <row r="91" spans="1:7" s="506" customFormat="1" ht="20.100000000000001" customHeight="1">
      <c r="A91" s="500" t="s">
        <v>302</v>
      </c>
      <c r="B91" s="78">
        <v>578687440</v>
      </c>
      <c r="C91" s="61"/>
      <c r="D91" s="61"/>
      <c r="E91" s="61"/>
      <c r="F91" s="61"/>
      <c r="G91" s="62"/>
    </row>
    <row r="92" spans="1:7" s="506" customFormat="1" ht="20.100000000000001" customHeight="1">
      <c r="A92" s="500" t="s">
        <v>303</v>
      </c>
      <c r="B92" s="78">
        <v>375000</v>
      </c>
      <c r="C92" s="61"/>
      <c r="D92" s="61"/>
      <c r="E92" s="61"/>
      <c r="F92" s="61"/>
      <c r="G92" s="62"/>
    </row>
    <row r="93" spans="1:7" s="506" customFormat="1" ht="20.100000000000001" customHeight="1">
      <c r="A93" s="802" t="s">
        <v>304</v>
      </c>
      <c r="B93" s="803"/>
      <c r="C93" s="61">
        <v>5233360</v>
      </c>
      <c r="D93" s="61"/>
      <c r="E93" s="61"/>
      <c r="F93" s="61"/>
      <c r="G93" s="62"/>
    </row>
    <row r="94" spans="1:7" s="506" customFormat="1" ht="20.100000000000001" customHeight="1">
      <c r="A94" s="500" t="s">
        <v>305</v>
      </c>
      <c r="B94" s="79"/>
      <c r="C94" s="61"/>
      <c r="D94" s="61">
        <v>40200000</v>
      </c>
      <c r="E94" s="61">
        <v>42953000</v>
      </c>
      <c r="F94" s="61">
        <f>SUM(C95:C96)</f>
        <v>42785450</v>
      </c>
      <c r="G94" s="62">
        <f t="shared" ref="G94" si="14">SUM(F94/E94)</f>
        <v>0.99609922473401158</v>
      </c>
    </row>
    <row r="95" spans="1:7" s="506" customFormat="1" ht="20.100000000000001" customHeight="1">
      <c r="A95" s="800" t="s">
        <v>306</v>
      </c>
      <c r="B95" s="801"/>
      <c r="C95" s="61">
        <v>42753688</v>
      </c>
      <c r="D95" s="77"/>
      <c r="E95" s="77"/>
      <c r="F95" s="77"/>
      <c r="G95" s="80"/>
    </row>
    <row r="96" spans="1:7" s="506" customFormat="1" ht="20.100000000000001" customHeight="1">
      <c r="A96" s="800" t="s">
        <v>307</v>
      </c>
      <c r="B96" s="801"/>
      <c r="C96" s="61">
        <v>31762</v>
      </c>
      <c r="D96" s="77"/>
      <c r="E96" s="77"/>
      <c r="F96" s="77"/>
      <c r="G96" s="80"/>
    </row>
    <row r="97" spans="1:7" s="506" customFormat="1" ht="20.100000000000001" customHeight="1">
      <c r="A97" s="802" t="s">
        <v>308</v>
      </c>
      <c r="B97" s="803"/>
      <c r="C97" s="61"/>
      <c r="D97" s="61">
        <v>3000000</v>
      </c>
      <c r="E97" s="61">
        <v>3000000</v>
      </c>
      <c r="F97" s="61">
        <f>SUM(C98:C99)</f>
        <v>3121245</v>
      </c>
      <c r="G97" s="62">
        <f t="shared" ref="G97" si="15">SUM(F97/E97)</f>
        <v>1.0404150000000001</v>
      </c>
    </row>
    <row r="98" spans="1:7" s="506" customFormat="1" ht="20.100000000000001" customHeight="1">
      <c r="A98" s="500" t="s">
        <v>309</v>
      </c>
      <c r="B98" s="501"/>
      <c r="C98" s="61">
        <f>199130+1026806+1474676</f>
        <v>2700612</v>
      </c>
      <c r="D98" s="61"/>
      <c r="E98" s="61"/>
      <c r="F98" s="61"/>
      <c r="G98" s="62"/>
    </row>
    <row r="99" spans="1:7" s="506" customFormat="1" ht="20.100000000000001" customHeight="1">
      <c r="A99" s="500" t="s">
        <v>310</v>
      </c>
      <c r="B99" s="501"/>
      <c r="C99" s="61">
        <v>420633</v>
      </c>
      <c r="D99" s="61"/>
      <c r="E99" s="61"/>
      <c r="F99" s="61"/>
      <c r="G99" s="62"/>
    </row>
    <row r="100" spans="1:7" s="506" customFormat="1" ht="20.100000000000001" customHeight="1" thickBot="1">
      <c r="A100" s="72" t="s">
        <v>311</v>
      </c>
      <c r="B100" s="81"/>
      <c r="C100" s="82">
        <f>12994624+3600</f>
        <v>12998224</v>
      </c>
      <c r="D100" s="82">
        <v>9000000</v>
      </c>
      <c r="E100" s="82">
        <v>13000000</v>
      </c>
      <c r="F100" s="82">
        <f>12994624+3600</f>
        <v>12998224</v>
      </c>
      <c r="G100" s="62">
        <f t="shared" ref="G100" si="16">SUM(F100/E100)</f>
        <v>0.9998633846153846</v>
      </c>
    </row>
    <row r="101" spans="1:7" s="506" customFormat="1" ht="20.100000000000001" customHeight="1" thickBot="1">
      <c r="A101" s="798" t="s">
        <v>312</v>
      </c>
      <c r="B101" s="799"/>
      <c r="C101" s="510"/>
      <c r="D101" s="510">
        <f>SUM(D88:D100)</f>
        <v>616700000</v>
      </c>
      <c r="E101" s="510">
        <f>SUM(E88:E100)</f>
        <v>643215000</v>
      </c>
      <c r="F101" s="510">
        <f t="shared" ref="F101" si="17">SUM(F88:F100)</f>
        <v>643200719</v>
      </c>
      <c r="G101" s="551">
        <f t="shared" ref="G101:G102" si="18">SUM(F101/E101)</f>
        <v>0.99997779747051918</v>
      </c>
    </row>
    <row r="102" spans="1:7" s="506" customFormat="1" ht="20.100000000000001" customHeight="1" thickBot="1">
      <c r="A102" s="534" t="s">
        <v>313</v>
      </c>
      <c r="B102" s="535"/>
      <c r="C102" s="510"/>
      <c r="D102" s="510">
        <v>309247000</v>
      </c>
      <c r="E102" s="510">
        <f>309247000+448273+1811100+61560</f>
        <v>311567933</v>
      </c>
      <c r="F102" s="510">
        <v>286658998</v>
      </c>
      <c r="G102" s="551">
        <f t="shared" si="18"/>
        <v>0.92005295679770738</v>
      </c>
    </row>
    <row r="103" spans="1:7" s="506" customFormat="1" ht="20.100000000000001" customHeight="1">
      <c r="A103" s="804" t="s">
        <v>314</v>
      </c>
      <c r="B103" s="805"/>
      <c r="C103" s="83"/>
      <c r="D103" s="84"/>
      <c r="E103" s="84"/>
      <c r="F103" s="84"/>
      <c r="G103" s="85"/>
    </row>
    <row r="104" spans="1:7" s="506" customFormat="1" ht="20.100000000000001" customHeight="1">
      <c r="A104" s="806" t="s">
        <v>315</v>
      </c>
      <c r="B104" s="807"/>
      <c r="C104" s="536"/>
      <c r="D104" s="537">
        <v>95543000</v>
      </c>
      <c r="E104" s="537">
        <f>95543000-6515000+15080196</f>
        <v>104108196</v>
      </c>
      <c r="F104" s="537">
        <v>17107545</v>
      </c>
      <c r="G104" s="557">
        <f t="shared" ref="G104" si="19">SUM(F104/E104)</f>
        <v>0.16432467046110374</v>
      </c>
    </row>
    <row r="105" spans="1:7" s="506" customFormat="1" ht="20.100000000000001" customHeight="1" thickBot="1">
      <c r="A105" s="538" t="s">
        <v>672</v>
      </c>
      <c r="B105" s="539"/>
      <c r="C105" s="540"/>
      <c r="D105" s="541">
        <v>20000000</v>
      </c>
      <c r="E105" s="541">
        <f>20000000-20000000</f>
        <v>0</v>
      </c>
      <c r="F105" s="541">
        <v>700000</v>
      </c>
      <c r="G105" s="62">
        <v>0</v>
      </c>
    </row>
    <row r="106" spans="1:7" s="506" customFormat="1" ht="20.100000000000001" customHeight="1" thickBot="1">
      <c r="A106" s="796" t="s">
        <v>316</v>
      </c>
      <c r="B106" s="797"/>
      <c r="C106" s="542"/>
      <c r="D106" s="532">
        <f>SUM(D104:D105)</f>
        <v>115543000</v>
      </c>
      <c r="E106" s="532">
        <f>SUM(E104:E105)</f>
        <v>104108196</v>
      </c>
      <c r="F106" s="532">
        <f t="shared" ref="F106" si="20">SUM(F104:F105)</f>
        <v>17807545</v>
      </c>
      <c r="G106" s="551">
        <f t="shared" ref="G106:G109" si="21">SUM(F106/E106)</f>
        <v>0.17104844463926741</v>
      </c>
    </row>
    <row r="107" spans="1:7" s="86" customFormat="1" ht="20.100000000000001" customHeight="1" thickBot="1">
      <c r="A107" s="792" t="s">
        <v>317</v>
      </c>
      <c r="B107" s="793"/>
      <c r="C107" s="543"/>
      <c r="D107" s="558">
        <v>25328000</v>
      </c>
      <c r="E107" s="515">
        <f>25328000-6050000-9551727-448273</f>
        <v>9278000</v>
      </c>
      <c r="F107" s="515">
        <v>2522850</v>
      </c>
      <c r="G107" s="551">
        <f t="shared" si="21"/>
        <v>0.271917439103255</v>
      </c>
    </row>
    <row r="108" spans="1:7" s="86" customFormat="1" ht="20.100000000000001" customHeight="1" thickBot="1">
      <c r="A108" s="794" t="s">
        <v>318</v>
      </c>
      <c r="B108" s="795"/>
      <c r="C108" s="544"/>
      <c r="D108" s="559">
        <v>16096000</v>
      </c>
      <c r="E108" s="545">
        <f>16096000-7366000-6190000</f>
        <v>2540000</v>
      </c>
      <c r="F108" s="545">
        <v>6904710</v>
      </c>
      <c r="G108" s="551">
        <f t="shared" si="21"/>
        <v>2.7183897637795273</v>
      </c>
    </row>
    <row r="109" spans="1:7" s="506" customFormat="1" ht="20.100000000000001" customHeight="1" thickBot="1">
      <c r="A109" s="796" t="s">
        <v>319</v>
      </c>
      <c r="B109" s="797"/>
      <c r="C109" s="542"/>
      <c r="D109" s="532">
        <f>SUM(D84+D86+D101+D102+D106+D107+D108+D85)</f>
        <v>2559785000</v>
      </c>
      <c r="E109" s="532">
        <f>SUM(E85+E86+E101+E102+E106+E107+E108)</f>
        <v>5421726732</v>
      </c>
      <c r="F109" s="532">
        <f t="shared" ref="F109" si="22">SUM(F85+F86+F101+F102+F106+F107+F108)</f>
        <v>5283050301</v>
      </c>
      <c r="G109" s="551">
        <f t="shared" si="21"/>
        <v>0.97442209136408386</v>
      </c>
    </row>
    <row r="110" spans="1:7" s="506" customFormat="1" ht="20.100000000000001" customHeight="1">
      <c r="A110" s="498" t="s">
        <v>320</v>
      </c>
      <c r="B110" s="499"/>
      <c r="C110" s="59"/>
      <c r="D110" s="59"/>
      <c r="E110" s="59"/>
      <c r="F110" s="59"/>
      <c r="G110" s="60"/>
    </row>
    <row r="111" spans="1:7" s="506" customFormat="1" ht="20.100000000000001" customHeight="1" thickBot="1">
      <c r="A111" s="87" t="s">
        <v>321</v>
      </c>
      <c r="B111" s="88"/>
      <c r="C111" s="74"/>
      <c r="D111" s="82">
        <v>273553000</v>
      </c>
      <c r="E111" s="82">
        <f>273553000+75162308</f>
        <v>348715308</v>
      </c>
      <c r="F111" s="82">
        <v>407154489</v>
      </c>
      <c r="G111" s="557">
        <f t="shared" ref="G111" si="23">SUM(F111/E111)</f>
        <v>1.1675842145708155</v>
      </c>
    </row>
    <row r="112" spans="1:7" s="506" customFormat="1" ht="20.100000000000001" customHeight="1" thickBot="1">
      <c r="A112" s="546" t="s">
        <v>322</v>
      </c>
      <c r="B112" s="547"/>
      <c r="C112" s="542"/>
      <c r="D112" s="532">
        <f>SUM(D111:D111)</f>
        <v>273553000</v>
      </c>
      <c r="E112" s="532">
        <f>SUM(E111:E111)</f>
        <v>348715308</v>
      </c>
      <c r="F112" s="532">
        <f t="shared" ref="F112" si="24">SUM(F111:F111)</f>
        <v>407154489</v>
      </c>
      <c r="G112" s="551">
        <f t="shared" ref="G112:G113" si="25">SUM(F112/E112)</f>
        <v>1.1675842145708155</v>
      </c>
    </row>
    <row r="113" spans="1:7" s="506" customFormat="1" ht="20.100000000000001" customHeight="1" thickBot="1">
      <c r="A113" s="796" t="s">
        <v>323</v>
      </c>
      <c r="B113" s="797"/>
      <c r="C113" s="542"/>
      <c r="D113" s="532">
        <f>D109+D112</f>
        <v>2833338000</v>
      </c>
      <c r="E113" s="532">
        <f>E109+E112</f>
        <v>5770442040</v>
      </c>
      <c r="F113" s="532">
        <f t="shared" ref="F113" si="26">F109+F112</f>
        <v>5690204790</v>
      </c>
      <c r="G113" s="551">
        <f t="shared" si="25"/>
        <v>0.98609512937764465</v>
      </c>
    </row>
    <row r="114" spans="1:7">
      <c r="D114" s="524"/>
      <c r="E114" s="506"/>
    </row>
    <row r="115" spans="1:7">
      <c r="D115" s="524"/>
      <c r="E115" s="506"/>
    </row>
    <row r="116" spans="1:7">
      <c r="D116" s="524"/>
      <c r="E116" s="506"/>
    </row>
    <row r="117" spans="1:7">
      <c r="D117" s="524"/>
      <c r="E117" s="506"/>
    </row>
    <row r="118" spans="1:7">
      <c r="D118" s="524"/>
      <c r="E118" s="506"/>
    </row>
    <row r="119" spans="1:7">
      <c r="D119" s="524"/>
      <c r="E119" s="506"/>
    </row>
    <row r="120" spans="1:7">
      <c r="D120" s="524"/>
      <c r="E120" s="506"/>
    </row>
    <row r="121" spans="1:7">
      <c r="D121" s="524"/>
      <c r="E121" s="506"/>
    </row>
    <row r="122" spans="1:7">
      <c r="D122" s="524"/>
      <c r="E122" s="506"/>
    </row>
    <row r="123" spans="1:7">
      <c r="D123" s="524"/>
      <c r="E123" s="506"/>
    </row>
    <row r="124" spans="1:7">
      <c r="D124" s="524"/>
      <c r="E124" s="506"/>
    </row>
    <row r="125" spans="1:7">
      <c r="D125" s="524"/>
      <c r="E125" s="506"/>
    </row>
    <row r="126" spans="1:7">
      <c r="D126" s="524"/>
      <c r="E126" s="506"/>
    </row>
    <row r="127" spans="1:7">
      <c r="D127" s="524"/>
      <c r="E127" s="506"/>
    </row>
    <row r="128" spans="1:7">
      <c r="D128" s="524"/>
      <c r="E128" s="506"/>
    </row>
    <row r="129" spans="4:5">
      <c r="D129" s="524"/>
      <c r="E129" s="506"/>
    </row>
    <row r="130" spans="4:5">
      <c r="D130" s="524"/>
      <c r="E130" s="506"/>
    </row>
    <row r="131" spans="4:5">
      <c r="D131" s="524"/>
      <c r="E131" s="506"/>
    </row>
    <row r="132" spans="4:5">
      <c r="D132" s="524"/>
      <c r="E132" s="506"/>
    </row>
    <row r="133" spans="4:5">
      <c r="D133" s="524"/>
      <c r="E133" s="506"/>
    </row>
    <row r="134" spans="4:5">
      <c r="D134" s="524"/>
      <c r="E134" s="506"/>
    </row>
    <row r="135" spans="4:5">
      <c r="D135" s="524"/>
      <c r="E135" s="506"/>
    </row>
    <row r="136" spans="4:5">
      <c r="D136" s="524"/>
      <c r="E136" s="506"/>
    </row>
    <row r="137" spans="4:5">
      <c r="D137" s="524"/>
      <c r="E137" s="506"/>
    </row>
    <row r="138" spans="4:5">
      <c r="D138" s="524"/>
      <c r="E138" s="506"/>
    </row>
    <row r="139" spans="4:5">
      <c r="D139" s="524"/>
      <c r="E139" s="506"/>
    </row>
    <row r="140" spans="4:5">
      <c r="D140" s="524"/>
      <c r="E140" s="506"/>
    </row>
    <row r="141" spans="4:5">
      <c r="D141" s="524"/>
      <c r="E141" s="506"/>
    </row>
    <row r="142" spans="4:5">
      <c r="D142" s="524"/>
      <c r="E142" s="506"/>
    </row>
    <row r="143" spans="4:5">
      <c r="D143" s="524"/>
      <c r="E143" s="506"/>
    </row>
    <row r="144" spans="4:5">
      <c r="D144" s="524"/>
      <c r="E144" s="506"/>
    </row>
    <row r="145" spans="4:5">
      <c r="D145" s="524"/>
      <c r="E145" s="506"/>
    </row>
    <row r="146" spans="4:5">
      <c r="D146" s="524"/>
      <c r="E146" s="506"/>
    </row>
    <row r="147" spans="4:5">
      <c r="D147" s="524"/>
      <c r="E147" s="506"/>
    </row>
    <row r="148" spans="4:5">
      <c r="D148" s="524"/>
      <c r="E148" s="506"/>
    </row>
    <row r="149" spans="4:5">
      <c r="D149" s="524"/>
      <c r="E149" s="506"/>
    </row>
    <row r="150" spans="4:5">
      <c r="D150" s="524"/>
      <c r="E150" s="506"/>
    </row>
    <row r="151" spans="4:5">
      <c r="D151" s="524"/>
      <c r="E151" s="506"/>
    </row>
    <row r="152" spans="4:5">
      <c r="D152" s="524"/>
      <c r="E152" s="506"/>
    </row>
    <row r="153" spans="4:5">
      <c r="D153" s="524"/>
      <c r="E153" s="506"/>
    </row>
    <row r="154" spans="4:5">
      <c r="D154" s="524"/>
      <c r="E154" s="506"/>
    </row>
    <row r="155" spans="4:5">
      <c r="D155" s="524"/>
      <c r="E155" s="506"/>
    </row>
    <row r="156" spans="4:5">
      <c r="D156" s="524"/>
      <c r="E156" s="506"/>
    </row>
    <row r="157" spans="4:5">
      <c r="D157" s="524"/>
      <c r="E157" s="506"/>
    </row>
    <row r="158" spans="4:5">
      <c r="D158" s="524"/>
      <c r="E158" s="506"/>
    </row>
    <row r="159" spans="4:5">
      <c r="D159" s="524"/>
      <c r="E159" s="506"/>
    </row>
    <row r="160" spans="4:5">
      <c r="D160" s="524"/>
      <c r="E160" s="506"/>
    </row>
    <row r="161" spans="4:5">
      <c r="D161" s="524"/>
      <c r="E161" s="506"/>
    </row>
    <row r="162" spans="4:5">
      <c r="D162" s="524"/>
      <c r="E162" s="506"/>
    </row>
    <row r="163" spans="4:5">
      <c r="D163" s="524"/>
      <c r="E163" s="506"/>
    </row>
    <row r="164" spans="4:5">
      <c r="D164" s="524"/>
      <c r="E164" s="506"/>
    </row>
    <row r="165" spans="4:5">
      <c r="D165" s="524"/>
      <c r="E165" s="506"/>
    </row>
    <row r="166" spans="4:5">
      <c r="D166" s="524"/>
      <c r="E166" s="506"/>
    </row>
    <row r="167" spans="4:5">
      <c r="D167" s="524"/>
      <c r="E167" s="506"/>
    </row>
    <row r="168" spans="4:5">
      <c r="D168" s="524"/>
      <c r="E168" s="506"/>
    </row>
  </sheetData>
  <mergeCells count="42">
    <mergeCell ref="A90:B90"/>
    <mergeCell ref="A101:B101"/>
    <mergeCell ref="A106:B106"/>
    <mergeCell ref="A103:B103"/>
    <mergeCell ref="A104:B104"/>
    <mergeCell ref="A25:B25"/>
    <mergeCell ref="A26:B26"/>
    <mergeCell ref="A33:B33"/>
    <mergeCell ref="A34:B34"/>
    <mergeCell ref="A88:B88"/>
    <mergeCell ref="A79:B79"/>
    <mergeCell ref="A81:B81"/>
    <mergeCell ref="A82:B82"/>
    <mergeCell ref="A87:B87"/>
    <mergeCell ref="A84:B84"/>
    <mergeCell ref="A86:B86"/>
    <mergeCell ref="A1:D1"/>
    <mergeCell ref="A6:B6"/>
    <mergeCell ref="A10:B10"/>
    <mergeCell ref="A11:B11"/>
    <mergeCell ref="A3:G3"/>
    <mergeCell ref="A12:B12"/>
    <mergeCell ref="A14:B14"/>
    <mergeCell ref="A18:B18"/>
    <mergeCell ref="A20:B20"/>
    <mergeCell ref="A22:B22"/>
    <mergeCell ref="A107:B107"/>
    <mergeCell ref="A108:B108"/>
    <mergeCell ref="A109:B109"/>
    <mergeCell ref="A113:B113"/>
    <mergeCell ref="A36:B36"/>
    <mergeCell ref="A50:B50"/>
    <mergeCell ref="A62:B62"/>
    <mergeCell ref="A64:B64"/>
    <mergeCell ref="A83:B83"/>
    <mergeCell ref="A80:B80"/>
    <mergeCell ref="A70:B70"/>
    <mergeCell ref="A89:B89"/>
    <mergeCell ref="A93:B93"/>
    <mergeCell ref="A95:B95"/>
    <mergeCell ref="A96:B96"/>
    <mergeCell ref="A97:B97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K63"/>
  <sheetViews>
    <sheetView view="pageBreakPreview" topLeftCell="AS1" zoomScale="60" workbookViewId="0">
      <selection activeCell="AQ3" sqref="AQ3:AT4"/>
    </sheetView>
  </sheetViews>
  <sheetFormatPr defaultRowHeight="20.25"/>
  <cols>
    <col min="1" max="1" width="69.85546875" style="91" customWidth="1"/>
    <col min="2" max="4" width="20.85546875" style="92" customWidth="1"/>
    <col min="5" max="5" width="19.140625" style="93" customWidth="1"/>
    <col min="6" max="6" width="19.140625" style="91" customWidth="1"/>
    <col min="7" max="7" width="21" style="91" customWidth="1"/>
    <col min="8" max="8" width="22.28515625" style="92" customWidth="1"/>
    <col min="9" max="9" width="19.140625" style="93" customWidth="1"/>
    <col min="10" max="11" width="19.140625" style="91" customWidth="1"/>
    <col min="12" max="12" width="19.140625" style="92" customWidth="1"/>
    <col min="13" max="13" width="19.140625" style="93" customWidth="1"/>
    <col min="14" max="15" width="19.140625" style="91" customWidth="1"/>
    <col min="16" max="16" width="19.140625" style="92" customWidth="1"/>
    <col min="17" max="17" width="19.140625" style="93" customWidth="1"/>
    <col min="18" max="19" width="19.140625" style="91" customWidth="1"/>
    <col min="20" max="20" width="19.140625" style="92" customWidth="1"/>
    <col min="21" max="21" width="19.140625" style="93" customWidth="1"/>
    <col min="22" max="22" width="69.85546875" style="91" customWidth="1"/>
    <col min="23" max="24" width="19.140625" style="91" customWidth="1"/>
    <col min="25" max="25" width="19.140625" style="92" customWidth="1"/>
    <col min="26" max="26" width="19.140625" style="93" customWidth="1"/>
    <col min="27" max="28" width="19.140625" style="91" customWidth="1"/>
    <col min="29" max="29" width="19.140625" style="92" customWidth="1"/>
    <col min="30" max="30" width="19.140625" style="93" customWidth="1"/>
    <col min="31" max="32" width="19.140625" style="91" customWidth="1"/>
    <col min="33" max="33" width="19.140625" style="92" customWidth="1"/>
    <col min="34" max="34" width="19.140625" style="93" customWidth="1"/>
    <col min="35" max="36" width="19.140625" style="91" customWidth="1"/>
    <col min="37" max="37" width="19.140625" style="92" customWidth="1"/>
    <col min="38" max="38" width="19.140625" style="93" customWidth="1"/>
    <col min="39" max="40" width="19.140625" style="91" customWidth="1"/>
    <col min="41" max="41" width="19.140625" style="92" customWidth="1"/>
    <col min="42" max="42" width="19.140625" style="93" customWidth="1"/>
    <col min="43" max="43" width="69.85546875" style="91" customWidth="1"/>
    <col min="44" max="45" width="23.42578125" style="91" customWidth="1"/>
    <col min="46" max="46" width="23.42578125" style="92" customWidth="1"/>
    <col min="47" max="47" width="19.140625" style="93" customWidth="1"/>
    <col min="48" max="48" width="19.140625" style="91" customWidth="1"/>
    <col min="49" max="49" width="21" style="91" customWidth="1"/>
    <col min="50" max="50" width="21" style="92" customWidth="1"/>
    <col min="51" max="51" width="20.5703125" style="93" customWidth="1"/>
    <col min="52" max="53" width="23.42578125" style="91" customWidth="1"/>
    <col min="54" max="54" width="23.42578125" style="92" customWidth="1"/>
    <col min="55" max="55" width="19.140625" style="93" customWidth="1"/>
    <col min="56" max="56" width="10.42578125" style="91" bestFit="1" customWidth="1"/>
    <col min="57" max="16384" width="9.140625" style="91"/>
  </cols>
  <sheetData>
    <row r="2" spans="1:63">
      <c r="AB2" s="94"/>
      <c r="BA2" s="94"/>
    </row>
    <row r="3" spans="1:63" s="98" customFormat="1" ht="26.25">
      <c r="A3" s="95" t="s">
        <v>964</v>
      </c>
      <c r="B3" s="96"/>
      <c r="C3" s="96"/>
      <c r="D3" s="96"/>
      <c r="E3" s="97"/>
      <c r="H3" s="96"/>
      <c r="I3" s="97"/>
      <c r="L3" s="96"/>
      <c r="M3" s="97"/>
      <c r="P3" s="96"/>
      <c r="Q3" s="97"/>
      <c r="T3" s="96"/>
      <c r="U3" s="99" t="s">
        <v>324</v>
      </c>
      <c r="V3" s="95" t="s">
        <v>964</v>
      </c>
      <c r="Y3" s="96" t="s">
        <v>955</v>
      </c>
      <c r="Z3" s="97"/>
      <c r="AC3" s="96"/>
      <c r="AD3" s="97"/>
      <c r="AG3" s="96"/>
      <c r="AH3" s="97"/>
      <c r="AK3" s="96"/>
      <c r="AL3" s="97"/>
      <c r="AO3" s="96"/>
      <c r="AP3" s="99" t="s">
        <v>325</v>
      </c>
      <c r="AQ3" s="95" t="s">
        <v>973</v>
      </c>
      <c r="AT3" s="96"/>
      <c r="AU3" s="97"/>
      <c r="AX3" s="96"/>
      <c r="AY3" s="97"/>
      <c r="BB3" s="96"/>
      <c r="BC3" s="99" t="s">
        <v>326</v>
      </c>
    </row>
    <row r="4" spans="1:63" s="98" customFormat="1" ht="26.25">
      <c r="A4" s="100"/>
      <c r="B4" s="96"/>
      <c r="C4" s="96"/>
      <c r="D4" s="96"/>
      <c r="E4" s="97"/>
      <c r="H4" s="96"/>
      <c r="I4" s="97"/>
      <c r="L4" s="96"/>
      <c r="M4" s="97"/>
      <c r="P4" s="96"/>
      <c r="Q4" s="97"/>
      <c r="T4" s="96"/>
      <c r="U4" s="97"/>
      <c r="V4" s="100"/>
      <c r="Y4" s="96"/>
      <c r="Z4" s="97"/>
      <c r="AC4" s="96"/>
      <c r="AD4" s="97"/>
      <c r="AG4" s="96"/>
      <c r="AH4" s="97"/>
      <c r="AK4" s="96"/>
      <c r="AL4" s="97"/>
      <c r="AO4" s="96"/>
      <c r="AP4" s="97"/>
      <c r="AQ4" s="100"/>
      <c r="AT4" s="96"/>
      <c r="AU4" s="97"/>
      <c r="AX4" s="96"/>
      <c r="AY4" s="97"/>
      <c r="BB4" s="96"/>
      <c r="BC4" s="97"/>
    </row>
    <row r="5" spans="1:63" s="98" customFormat="1" ht="26.25">
      <c r="A5" s="858" t="s">
        <v>701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 t="s">
        <v>701</v>
      </c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 t="s">
        <v>701</v>
      </c>
      <c r="AR5" s="858"/>
      <c r="AS5" s="858"/>
      <c r="AT5" s="858"/>
      <c r="AU5" s="858"/>
      <c r="AV5" s="858"/>
      <c r="AW5" s="858"/>
      <c r="AX5" s="858"/>
      <c r="AY5" s="858"/>
      <c r="AZ5" s="858"/>
      <c r="BA5" s="858"/>
      <c r="BB5" s="858"/>
      <c r="BC5" s="858"/>
      <c r="BD5" s="101"/>
      <c r="BE5" s="101"/>
      <c r="BF5" s="101"/>
      <c r="BG5" s="101"/>
      <c r="BH5" s="101"/>
      <c r="BI5" s="101"/>
      <c r="BJ5" s="101"/>
      <c r="BK5" s="101"/>
    </row>
    <row r="6" spans="1:63" s="98" customFormat="1" ht="26.25">
      <c r="A6" s="858" t="s">
        <v>327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 t="s">
        <v>327</v>
      </c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 t="s">
        <v>327</v>
      </c>
      <c r="AR6" s="858"/>
      <c r="AS6" s="858"/>
      <c r="AT6" s="858"/>
      <c r="AU6" s="858"/>
      <c r="AV6" s="858"/>
      <c r="AW6" s="858"/>
      <c r="AX6" s="858"/>
      <c r="AY6" s="858"/>
      <c r="AZ6" s="858"/>
      <c r="BA6" s="858"/>
      <c r="BB6" s="858"/>
      <c r="BC6" s="858"/>
      <c r="BD6" s="101"/>
      <c r="BE6" s="101"/>
      <c r="BF6" s="101"/>
      <c r="BG6" s="101"/>
      <c r="BH6" s="101"/>
      <c r="BI6" s="101"/>
      <c r="BJ6" s="101"/>
      <c r="BK6" s="101"/>
    </row>
    <row r="7" spans="1:63">
      <c r="A7" s="102"/>
      <c r="B7" s="102"/>
      <c r="C7" s="102"/>
      <c r="D7" s="102"/>
      <c r="E7" s="103"/>
      <c r="H7" s="102"/>
      <c r="I7" s="103"/>
      <c r="L7" s="102"/>
      <c r="M7" s="103"/>
      <c r="P7" s="102"/>
      <c r="Q7" s="103"/>
      <c r="T7" s="102"/>
      <c r="U7" s="103"/>
      <c r="V7" s="102"/>
      <c r="Y7" s="102"/>
      <c r="Z7" s="103"/>
      <c r="AC7" s="102"/>
      <c r="AD7" s="103"/>
      <c r="AG7" s="102"/>
      <c r="AH7" s="103"/>
      <c r="AK7" s="102"/>
      <c r="AL7" s="103"/>
      <c r="AO7" s="102"/>
      <c r="AP7" s="103"/>
      <c r="AQ7" s="102"/>
      <c r="AT7" s="102"/>
      <c r="AU7" s="103"/>
      <c r="AX7" s="102"/>
      <c r="AY7" s="103"/>
      <c r="BB7" s="102"/>
      <c r="BC7" s="103"/>
    </row>
    <row r="8" spans="1:63" ht="21" thickBot="1">
      <c r="A8" s="104"/>
      <c r="V8" s="104"/>
      <c r="AQ8" s="104"/>
      <c r="AV8" s="845"/>
      <c r="AW8" s="845"/>
      <c r="AX8" s="845"/>
      <c r="AY8" s="845"/>
      <c r="AZ8" s="845"/>
      <c r="BA8" s="105"/>
      <c r="BB8" s="105"/>
      <c r="BC8" s="105" t="s">
        <v>702</v>
      </c>
    </row>
    <row r="9" spans="1:63" s="107" customFormat="1" ht="21" thickBot="1">
      <c r="A9" s="846" t="s">
        <v>0</v>
      </c>
      <c r="B9" s="849" t="s">
        <v>328</v>
      </c>
      <c r="C9" s="850"/>
      <c r="D9" s="850"/>
      <c r="E9" s="851"/>
      <c r="F9" s="849" t="s">
        <v>329</v>
      </c>
      <c r="G9" s="850"/>
      <c r="H9" s="850"/>
      <c r="I9" s="851"/>
      <c r="J9" s="849" t="s">
        <v>330</v>
      </c>
      <c r="K9" s="850"/>
      <c r="L9" s="850"/>
      <c r="M9" s="851"/>
      <c r="N9" s="849" t="s">
        <v>331</v>
      </c>
      <c r="O9" s="850"/>
      <c r="P9" s="850"/>
      <c r="Q9" s="851"/>
      <c r="R9" s="849" t="s">
        <v>332</v>
      </c>
      <c r="S9" s="850"/>
      <c r="T9" s="850"/>
      <c r="U9" s="851"/>
      <c r="V9" s="846" t="s">
        <v>0</v>
      </c>
      <c r="W9" s="849" t="s">
        <v>333</v>
      </c>
      <c r="X9" s="850"/>
      <c r="Y9" s="850"/>
      <c r="Z9" s="851"/>
      <c r="AA9" s="852" t="s">
        <v>334</v>
      </c>
      <c r="AB9" s="853"/>
      <c r="AC9" s="853"/>
      <c r="AD9" s="854"/>
      <c r="AE9" s="855" t="s">
        <v>335</v>
      </c>
      <c r="AF9" s="856"/>
      <c r="AG9" s="856"/>
      <c r="AH9" s="856"/>
      <c r="AI9" s="856"/>
      <c r="AJ9" s="856"/>
      <c r="AK9" s="856"/>
      <c r="AL9" s="856"/>
      <c r="AM9" s="856"/>
      <c r="AN9" s="856"/>
      <c r="AO9" s="106"/>
      <c r="AP9" s="762"/>
      <c r="AQ9" s="846" t="s">
        <v>0</v>
      </c>
      <c r="AR9" s="857" t="s">
        <v>336</v>
      </c>
      <c r="AS9" s="857"/>
      <c r="AT9" s="857"/>
      <c r="AU9" s="857"/>
      <c r="AV9" s="857"/>
      <c r="AW9" s="857"/>
      <c r="AX9" s="857"/>
      <c r="AY9" s="857"/>
      <c r="AZ9" s="857"/>
      <c r="BA9" s="857"/>
      <c r="BB9" s="857"/>
      <c r="BC9" s="857"/>
    </row>
    <row r="10" spans="1:63" s="107" customFormat="1" ht="21" thickBot="1">
      <c r="A10" s="847"/>
      <c r="B10" s="839" t="s">
        <v>337</v>
      </c>
      <c r="C10" s="840"/>
      <c r="D10" s="840"/>
      <c r="E10" s="841"/>
      <c r="F10" s="839" t="s">
        <v>338</v>
      </c>
      <c r="G10" s="840"/>
      <c r="H10" s="840"/>
      <c r="I10" s="841"/>
      <c r="J10" s="839" t="s">
        <v>339</v>
      </c>
      <c r="K10" s="840"/>
      <c r="L10" s="840"/>
      <c r="M10" s="841"/>
      <c r="N10" s="839" t="s">
        <v>340</v>
      </c>
      <c r="O10" s="840"/>
      <c r="P10" s="840"/>
      <c r="Q10" s="841"/>
      <c r="R10" s="839" t="s">
        <v>341</v>
      </c>
      <c r="S10" s="840"/>
      <c r="T10" s="840"/>
      <c r="U10" s="841"/>
      <c r="V10" s="847"/>
      <c r="W10" s="839" t="s">
        <v>342</v>
      </c>
      <c r="X10" s="840"/>
      <c r="Y10" s="840"/>
      <c r="Z10" s="841"/>
      <c r="AA10" s="839" t="s">
        <v>343</v>
      </c>
      <c r="AB10" s="840"/>
      <c r="AC10" s="840"/>
      <c r="AD10" s="841"/>
      <c r="AE10" s="836" t="s">
        <v>344</v>
      </c>
      <c r="AF10" s="837"/>
      <c r="AG10" s="837"/>
      <c r="AH10" s="837"/>
      <c r="AI10" s="837"/>
      <c r="AJ10" s="837"/>
      <c r="AK10" s="837"/>
      <c r="AL10" s="837"/>
      <c r="AM10" s="837"/>
      <c r="AN10" s="837"/>
      <c r="AO10" s="837"/>
      <c r="AP10" s="838"/>
      <c r="AQ10" s="847"/>
      <c r="AR10" s="835" t="s">
        <v>345</v>
      </c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  <c r="BC10" s="835"/>
    </row>
    <row r="11" spans="1:63" s="107" customFormat="1" ht="21" thickBot="1">
      <c r="A11" s="847"/>
      <c r="B11" s="842"/>
      <c r="C11" s="843"/>
      <c r="D11" s="843"/>
      <c r="E11" s="844"/>
      <c r="F11" s="842"/>
      <c r="G11" s="843"/>
      <c r="H11" s="843"/>
      <c r="I11" s="844"/>
      <c r="J11" s="842"/>
      <c r="K11" s="843"/>
      <c r="L11" s="843"/>
      <c r="M11" s="844"/>
      <c r="N11" s="842"/>
      <c r="O11" s="843"/>
      <c r="P11" s="843"/>
      <c r="Q11" s="844"/>
      <c r="R11" s="842"/>
      <c r="S11" s="843"/>
      <c r="T11" s="843"/>
      <c r="U11" s="844"/>
      <c r="V11" s="847"/>
      <c r="W11" s="842"/>
      <c r="X11" s="843"/>
      <c r="Y11" s="843"/>
      <c r="Z11" s="844"/>
      <c r="AA11" s="842"/>
      <c r="AB11" s="843"/>
      <c r="AC11" s="843"/>
      <c r="AD11" s="844"/>
      <c r="AE11" s="836" t="s">
        <v>346</v>
      </c>
      <c r="AF11" s="837"/>
      <c r="AG11" s="837"/>
      <c r="AH11" s="838"/>
      <c r="AI11" s="836" t="s">
        <v>347</v>
      </c>
      <c r="AJ11" s="837"/>
      <c r="AK11" s="837"/>
      <c r="AL11" s="838"/>
      <c r="AM11" s="836" t="s">
        <v>462</v>
      </c>
      <c r="AN11" s="837"/>
      <c r="AO11" s="837"/>
      <c r="AP11" s="838"/>
      <c r="AQ11" s="847"/>
      <c r="AR11" s="835" t="s">
        <v>348</v>
      </c>
      <c r="AS11" s="835"/>
      <c r="AT11" s="835"/>
      <c r="AU11" s="835"/>
      <c r="AV11" s="835" t="s">
        <v>349</v>
      </c>
      <c r="AW11" s="835"/>
      <c r="AX11" s="835"/>
      <c r="AY11" s="835"/>
      <c r="AZ11" s="835" t="s">
        <v>345</v>
      </c>
      <c r="BA11" s="835"/>
      <c r="BB11" s="835"/>
      <c r="BC11" s="835"/>
    </row>
    <row r="12" spans="1:63" s="107" customFormat="1" ht="41.25" thickBot="1">
      <c r="A12" s="848"/>
      <c r="B12" s="108" t="s">
        <v>350</v>
      </c>
      <c r="C12" s="108" t="s">
        <v>351</v>
      </c>
      <c r="D12" s="108" t="s">
        <v>288</v>
      </c>
      <c r="E12" s="109" t="s">
        <v>289</v>
      </c>
      <c r="F12" s="108" t="s">
        <v>350</v>
      </c>
      <c r="G12" s="108" t="s">
        <v>351</v>
      </c>
      <c r="H12" s="108" t="s">
        <v>288</v>
      </c>
      <c r="I12" s="109" t="s">
        <v>289</v>
      </c>
      <c r="J12" s="108" t="s">
        <v>350</v>
      </c>
      <c r="K12" s="108" t="s">
        <v>351</v>
      </c>
      <c r="L12" s="108" t="s">
        <v>288</v>
      </c>
      <c r="M12" s="109" t="s">
        <v>289</v>
      </c>
      <c r="N12" s="108" t="s">
        <v>350</v>
      </c>
      <c r="O12" s="108" t="s">
        <v>351</v>
      </c>
      <c r="P12" s="108" t="s">
        <v>288</v>
      </c>
      <c r="Q12" s="109" t="s">
        <v>289</v>
      </c>
      <c r="R12" s="108" t="s">
        <v>350</v>
      </c>
      <c r="S12" s="108" t="s">
        <v>351</v>
      </c>
      <c r="T12" s="108" t="s">
        <v>288</v>
      </c>
      <c r="U12" s="109" t="s">
        <v>289</v>
      </c>
      <c r="V12" s="848"/>
      <c r="W12" s="108" t="s">
        <v>350</v>
      </c>
      <c r="X12" s="108" t="s">
        <v>351</v>
      </c>
      <c r="Y12" s="108" t="s">
        <v>288</v>
      </c>
      <c r="Z12" s="109" t="s">
        <v>289</v>
      </c>
      <c r="AA12" s="108" t="s">
        <v>350</v>
      </c>
      <c r="AB12" s="108" t="s">
        <v>351</v>
      </c>
      <c r="AC12" s="108" t="s">
        <v>288</v>
      </c>
      <c r="AD12" s="109" t="s">
        <v>289</v>
      </c>
      <c r="AE12" s="108" t="s">
        <v>350</v>
      </c>
      <c r="AF12" s="108" t="s">
        <v>351</v>
      </c>
      <c r="AG12" s="108" t="s">
        <v>288</v>
      </c>
      <c r="AH12" s="109" t="s">
        <v>289</v>
      </c>
      <c r="AI12" s="108" t="s">
        <v>350</v>
      </c>
      <c r="AJ12" s="108" t="s">
        <v>351</v>
      </c>
      <c r="AK12" s="108" t="s">
        <v>288</v>
      </c>
      <c r="AL12" s="109" t="s">
        <v>289</v>
      </c>
      <c r="AM12" s="108" t="s">
        <v>350</v>
      </c>
      <c r="AN12" s="108" t="s">
        <v>351</v>
      </c>
      <c r="AO12" s="108" t="s">
        <v>288</v>
      </c>
      <c r="AP12" s="109" t="s">
        <v>289</v>
      </c>
      <c r="AQ12" s="848"/>
      <c r="AR12" s="108" t="s">
        <v>350</v>
      </c>
      <c r="AS12" s="108" t="s">
        <v>351</v>
      </c>
      <c r="AT12" s="108" t="s">
        <v>288</v>
      </c>
      <c r="AU12" s="109" t="s">
        <v>289</v>
      </c>
      <c r="AV12" s="108" t="s">
        <v>350</v>
      </c>
      <c r="AW12" s="108" t="s">
        <v>351</v>
      </c>
      <c r="AX12" s="108" t="s">
        <v>288</v>
      </c>
      <c r="AY12" s="109" t="s">
        <v>289</v>
      </c>
      <c r="AZ12" s="108" t="s">
        <v>350</v>
      </c>
      <c r="BA12" s="108" t="s">
        <v>351</v>
      </c>
      <c r="BB12" s="108" t="s">
        <v>288</v>
      </c>
      <c r="BC12" s="109" t="s">
        <v>289</v>
      </c>
    </row>
    <row r="13" spans="1:63">
      <c r="A13" s="560" t="s">
        <v>697</v>
      </c>
      <c r="B13" s="561"/>
      <c r="C13" s="561"/>
      <c r="D13" s="561"/>
      <c r="E13" s="578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78"/>
      <c r="R13" s="561"/>
      <c r="S13" s="561"/>
      <c r="T13" s="561"/>
      <c r="U13" s="578"/>
      <c r="V13" s="560" t="s">
        <v>697</v>
      </c>
      <c r="W13" s="110"/>
      <c r="X13" s="110"/>
      <c r="Y13" s="110"/>
      <c r="Z13" s="110"/>
      <c r="AA13" s="561"/>
      <c r="AB13" s="561"/>
      <c r="AC13" s="561"/>
      <c r="AD13" s="578"/>
      <c r="AE13" s="561"/>
      <c r="AF13" s="561"/>
      <c r="AG13" s="561"/>
      <c r="AH13" s="578"/>
      <c r="AI13" s="561"/>
      <c r="AJ13" s="561"/>
      <c r="AK13" s="561"/>
      <c r="AL13" s="578"/>
      <c r="AM13" s="561"/>
      <c r="AN13" s="561"/>
      <c r="AO13" s="561"/>
      <c r="AP13" s="578"/>
      <c r="AQ13" s="560" t="s">
        <v>697</v>
      </c>
      <c r="AR13" s="110"/>
      <c r="AS13" s="110"/>
      <c r="AT13" s="110"/>
      <c r="AU13" s="111"/>
      <c r="AV13" s="110"/>
      <c r="AW13" s="110"/>
      <c r="AX13" s="110"/>
      <c r="AY13" s="111"/>
      <c r="AZ13" s="110"/>
      <c r="BA13" s="110"/>
      <c r="BB13" s="110"/>
      <c r="BC13" s="111"/>
    </row>
    <row r="14" spans="1:63" ht="40.5">
      <c r="A14" s="562" t="s">
        <v>353</v>
      </c>
      <c r="B14" s="563">
        <v>1469071000</v>
      </c>
      <c r="C14" s="563">
        <v>1793607937</v>
      </c>
      <c r="D14" s="563">
        <v>1793607937</v>
      </c>
      <c r="E14" s="579">
        <f>SUM(D14/C14)</f>
        <v>1</v>
      </c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87"/>
      <c r="R14" s="572"/>
      <c r="S14" s="572"/>
      <c r="T14" s="572"/>
      <c r="U14" s="587"/>
      <c r="V14" s="562" t="s">
        <v>353</v>
      </c>
      <c r="W14" s="114"/>
      <c r="X14" s="114"/>
      <c r="Y14" s="114"/>
      <c r="Z14" s="114"/>
      <c r="AA14" s="572"/>
      <c r="AB14" s="572"/>
      <c r="AC14" s="572"/>
      <c r="AD14" s="587"/>
      <c r="AE14" s="572"/>
      <c r="AF14" s="572"/>
      <c r="AG14" s="572"/>
      <c r="AH14" s="587"/>
      <c r="AI14" s="572"/>
      <c r="AJ14" s="572"/>
      <c r="AK14" s="572"/>
      <c r="AL14" s="587"/>
      <c r="AM14" s="572"/>
      <c r="AN14" s="572"/>
      <c r="AO14" s="572"/>
      <c r="AP14" s="587"/>
      <c r="AQ14" s="562" t="s">
        <v>353</v>
      </c>
      <c r="AR14" s="112">
        <f t="shared" ref="AR14:AR27" si="0">SUM(B14+J14+N14+W14+AE14+AM14)</f>
        <v>1469071000</v>
      </c>
      <c r="AS14" s="112">
        <f t="shared" ref="AS14:AT27" si="1">SUM(C14+K14+O14+X14+AF14+AN14)</f>
        <v>1793607937</v>
      </c>
      <c r="AT14" s="112">
        <f t="shared" si="1"/>
        <v>1793607937</v>
      </c>
      <c r="AU14" s="113">
        <f>SUM(AT14/AS14)</f>
        <v>1</v>
      </c>
      <c r="AV14" s="112">
        <f t="shared" ref="AV14:AX27" si="2">SUM(F14+R14+AA14+AI14)</f>
        <v>0</v>
      </c>
      <c r="AW14" s="112">
        <f t="shared" si="2"/>
        <v>0</v>
      </c>
      <c r="AX14" s="112">
        <f t="shared" si="2"/>
        <v>0</v>
      </c>
      <c r="AY14" s="113">
        <v>0</v>
      </c>
      <c r="AZ14" s="114">
        <f t="shared" ref="AZ14:BB27" si="3">SUM(B14+F14+J14+N14+R14+W14+AA14+AE14+AI14+AM14)</f>
        <v>1469071000</v>
      </c>
      <c r="BA14" s="114">
        <f t="shared" si="3"/>
        <v>1793607937</v>
      </c>
      <c r="BB14" s="114">
        <f t="shared" si="3"/>
        <v>1793607937</v>
      </c>
      <c r="BC14" s="115">
        <f>BB14/BA14</f>
        <v>1</v>
      </c>
      <c r="BD14" s="116"/>
    </row>
    <row r="15" spans="1:63">
      <c r="A15" s="562" t="s">
        <v>354</v>
      </c>
      <c r="B15" s="563">
        <v>6800000</v>
      </c>
      <c r="C15" s="563">
        <v>6800000</v>
      </c>
      <c r="D15" s="563">
        <v>7252000</v>
      </c>
      <c r="E15" s="579">
        <f t="shared" ref="E15:E17" si="4">SUM(D15/C15)</f>
        <v>1.0664705882352941</v>
      </c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87"/>
      <c r="R15" s="572"/>
      <c r="S15" s="572"/>
      <c r="T15" s="572"/>
      <c r="U15" s="587"/>
      <c r="V15" s="562" t="s">
        <v>354</v>
      </c>
      <c r="W15" s="114"/>
      <c r="X15" s="114"/>
      <c r="Y15" s="114"/>
      <c r="Z15" s="114"/>
      <c r="AA15" s="572"/>
      <c r="AB15" s="572"/>
      <c r="AC15" s="572"/>
      <c r="AD15" s="587"/>
      <c r="AE15" s="572"/>
      <c r="AF15" s="572"/>
      <c r="AG15" s="572"/>
      <c r="AH15" s="587"/>
      <c r="AI15" s="572"/>
      <c r="AJ15" s="572"/>
      <c r="AK15" s="572"/>
      <c r="AL15" s="587"/>
      <c r="AM15" s="572"/>
      <c r="AN15" s="572"/>
      <c r="AO15" s="572"/>
      <c r="AP15" s="587"/>
      <c r="AQ15" s="562" t="s">
        <v>354</v>
      </c>
      <c r="AR15" s="112">
        <f t="shared" si="0"/>
        <v>6800000</v>
      </c>
      <c r="AS15" s="112">
        <f t="shared" si="1"/>
        <v>6800000</v>
      </c>
      <c r="AT15" s="112">
        <f t="shared" si="1"/>
        <v>7252000</v>
      </c>
      <c r="AU15" s="113">
        <f t="shared" ref="AU15:AU28" si="5">SUM(AT15/AS15)</f>
        <v>1.0664705882352941</v>
      </c>
      <c r="AV15" s="112">
        <f t="shared" si="2"/>
        <v>0</v>
      </c>
      <c r="AW15" s="112">
        <f t="shared" si="2"/>
        <v>0</v>
      </c>
      <c r="AX15" s="112">
        <f t="shared" si="2"/>
        <v>0</v>
      </c>
      <c r="AY15" s="113">
        <v>0</v>
      </c>
      <c r="AZ15" s="114">
        <f t="shared" si="3"/>
        <v>6800000</v>
      </c>
      <c r="BA15" s="114">
        <f t="shared" si="3"/>
        <v>6800000</v>
      </c>
      <c r="BB15" s="114">
        <f t="shared" si="3"/>
        <v>7252000</v>
      </c>
      <c r="BC15" s="115">
        <f t="shared" ref="BC15:BC57" si="6">BB15/BA15</f>
        <v>1.0664705882352941</v>
      </c>
      <c r="BD15" s="116"/>
    </row>
    <row r="16" spans="1:63">
      <c r="A16" s="562" t="s">
        <v>355</v>
      </c>
      <c r="B16" s="564">
        <v>1000000</v>
      </c>
      <c r="C16" s="564">
        <v>1000000</v>
      </c>
      <c r="D16" s="564">
        <v>134971</v>
      </c>
      <c r="E16" s="579">
        <f t="shared" si="4"/>
        <v>0.13497100000000001</v>
      </c>
      <c r="F16" s="572"/>
      <c r="G16" s="572"/>
      <c r="H16" s="572"/>
      <c r="I16" s="572"/>
      <c r="J16" s="572"/>
      <c r="K16" s="572"/>
      <c r="L16" s="572"/>
      <c r="M16" s="572"/>
      <c r="N16" s="563"/>
      <c r="O16" s="563"/>
      <c r="P16" s="563"/>
      <c r="Q16" s="579"/>
      <c r="R16" s="572"/>
      <c r="S16" s="572"/>
      <c r="T16" s="572"/>
      <c r="U16" s="587"/>
      <c r="V16" s="562" t="s">
        <v>355</v>
      </c>
      <c r="W16" s="114"/>
      <c r="X16" s="114"/>
      <c r="Y16" s="114"/>
      <c r="Z16" s="114"/>
      <c r="AA16" s="572"/>
      <c r="AB16" s="572"/>
      <c r="AC16" s="572"/>
      <c r="AD16" s="587"/>
      <c r="AE16" s="572"/>
      <c r="AF16" s="572"/>
      <c r="AG16" s="572"/>
      <c r="AH16" s="587"/>
      <c r="AI16" s="572"/>
      <c r="AJ16" s="572"/>
      <c r="AK16" s="572"/>
      <c r="AL16" s="587"/>
      <c r="AM16" s="572"/>
      <c r="AN16" s="572"/>
      <c r="AO16" s="572"/>
      <c r="AP16" s="587"/>
      <c r="AQ16" s="562" t="s">
        <v>355</v>
      </c>
      <c r="AR16" s="112">
        <f t="shared" si="0"/>
        <v>1000000</v>
      </c>
      <c r="AS16" s="112">
        <f t="shared" si="1"/>
        <v>1000000</v>
      </c>
      <c r="AT16" s="112">
        <f t="shared" si="1"/>
        <v>134971</v>
      </c>
      <c r="AU16" s="113">
        <f t="shared" si="5"/>
        <v>0.13497100000000001</v>
      </c>
      <c r="AV16" s="112">
        <f t="shared" si="2"/>
        <v>0</v>
      </c>
      <c r="AW16" s="112">
        <f t="shared" si="2"/>
        <v>0</v>
      </c>
      <c r="AX16" s="112">
        <f t="shared" si="2"/>
        <v>0</v>
      </c>
      <c r="AY16" s="113">
        <v>0</v>
      </c>
      <c r="AZ16" s="114">
        <f t="shared" si="3"/>
        <v>1000000</v>
      </c>
      <c r="BA16" s="114">
        <f t="shared" si="3"/>
        <v>1000000</v>
      </c>
      <c r="BB16" s="114">
        <f t="shared" si="3"/>
        <v>134971</v>
      </c>
      <c r="BC16" s="115">
        <f t="shared" si="6"/>
        <v>0.13497100000000001</v>
      </c>
      <c r="BD16" s="116"/>
    </row>
    <row r="17" spans="1:56" ht="40.5">
      <c r="A17" s="562" t="s">
        <v>673</v>
      </c>
      <c r="B17" s="564"/>
      <c r="C17" s="564">
        <v>85015021</v>
      </c>
      <c r="D17" s="564">
        <v>85015021</v>
      </c>
      <c r="E17" s="579">
        <f t="shared" si="4"/>
        <v>1</v>
      </c>
      <c r="F17" s="572"/>
      <c r="G17" s="572"/>
      <c r="H17" s="572"/>
      <c r="I17" s="572"/>
      <c r="J17" s="572"/>
      <c r="K17" s="572"/>
      <c r="L17" s="572"/>
      <c r="M17" s="572"/>
      <c r="N17" s="563"/>
      <c r="O17" s="563"/>
      <c r="P17" s="563"/>
      <c r="Q17" s="579"/>
      <c r="R17" s="572"/>
      <c r="S17" s="572"/>
      <c r="T17" s="572"/>
      <c r="U17" s="587"/>
      <c r="V17" s="562" t="s">
        <v>673</v>
      </c>
      <c r="W17" s="114"/>
      <c r="X17" s="114"/>
      <c r="Y17" s="114"/>
      <c r="Z17" s="114"/>
      <c r="AA17" s="572"/>
      <c r="AB17" s="572"/>
      <c r="AC17" s="572"/>
      <c r="AD17" s="587"/>
      <c r="AE17" s="572"/>
      <c r="AF17" s="572"/>
      <c r="AG17" s="572"/>
      <c r="AH17" s="587"/>
      <c r="AI17" s="572"/>
      <c r="AJ17" s="572"/>
      <c r="AK17" s="572"/>
      <c r="AL17" s="587"/>
      <c r="AM17" s="572"/>
      <c r="AN17" s="572"/>
      <c r="AO17" s="572"/>
      <c r="AP17" s="587"/>
      <c r="AQ17" s="562" t="s">
        <v>673</v>
      </c>
      <c r="AR17" s="112">
        <f t="shared" si="0"/>
        <v>0</v>
      </c>
      <c r="AS17" s="112">
        <f t="shared" si="1"/>
        <v>85015021</v>
      </c>
      <c r="AT17" s="112">
        <f t="shared" si="1"/>
        <v>85015021</v>
      </c>
      <c r="AU17" s="113">
        <f t="shared" si="5"/>
        <v>1</v>
      </c>
      <c r="AV17" s="112">
        <f t="shared" si="2"/>
        <v>0</v>
      </c>
      <c r="AW17" s="112">
        <f t="shared" si="2"/>
        <v>0</v>
      </c>
      <c r="AX17" s="112">
        <f t="shared" si="2"/>
        <v>0</v>
      </c>
      <c r="AY17" s="113">
        <v>0</v>
      </c>
      <c r="AZ17" s="114">
        <f t="shared" si="3"/>
        <v>0</v>
      </c>
      <c r="BA17" s="114">
        <f t="shared" si="3"/>
        <v>85015021</v>
      </c>
      <c r="BB17" s="114">
        <f t="shared" si="3"/>
        <v>85015021</v>
      </c>
      <c r="BC17" s="115">
        <f t="shared" si="6"/>
        <v>1</v>
      </c>
      <c r="BD17" s="116"/>
    </row>
    <row r="18" spans="1:56">
      <c r="A18" s="562" t="s">
        <v>356</v>
      </c>
      <c r="B18" s="564"/>
      <c r="C18" s="564"/>
      <c r="D18" s="564"/>
      <c r="E18" s="580"/>
      <c r="F18" s="572"/>
      <c r="G18" s="563"/>
      <c r="H18" s="563"/>
      <c r="I18" s="563"/>
      <c r="J18" s="563">
        <v>9000000</v>
      </c>
      <c r="K18" s="563">
        <f>9000000+4000000</f>
        <v>13000000</v>
      </c>
      <c r="L18" s="563">
        <v>12998224</v>
      </c>
      <c r="M18" s="579">
        <f>SUM(L18/K18)</f>
        <v>0.9998633846153846</v>
      </c>
      <c r="N18" s="563"/>
      <c r="O18" s="563"/>
      <c r="P18" s="563"/>
      <c r="Q18" s="579"/>
      <c r="R18" s="572"/>
      <c r="S18" s="572"/>
      <c r="T18" s="572"/>
      <c r="U18" s="587"/>
      <c r="V18" s="562" t="s">
        <v>356</v>
      </c>
      <c r="W18" s="114"/>
      <c r="X18" s="114"/>
      <c r="Y18" s="114"/>
      <c r="Z18" s="114"/>
      <c r="AA18" s="572"/>
      <c r="AB18" s="572"/>
      <c r="AC18" s="572"/>
      <c r="AD18" s="587"/>
      <c r="AE18" s="572"/>
      <c r="AF18" s="572"/>
      <c r="AG18" s="572"/>
      <c r="AH18" s="587"/>
      <c r="AI18" s="572"/>
      <c r="AJ18" s="572"/>
      <c r="AK18" s="572"/>
      <c r="AL18" s="587"/>
      <c r="AM18" s="572"/>
      <c r="AN18" s="572"/>
      <c r="AO18" s="572"/>
      <c r="AP18" s="587"/>
      <c r="AQ18" s="562" t="s">
        <v>356</v>
      </c>
      <c r="AR18" s="112">
        <f t="shared" ref="AR18:AR19" si="7">SUM(B18+J18+N18+W18+AE18+AM18)</f>
        <v>9000000</v>
      </c>
      <c r="AS18" s="112">
        <f t="shared" si="1"/>
        <v>13000000</v>
      </c>
      <c r="AT18" s="112">
        <f t="shared" si="1"/>
        <v>12998224</v>
      </c>
      <c r="AU18" s="113">
        <f t="shared" si="5"/>
        <v>0.9998633846153846</v>
      </c>
      <c r="AV18" s="112">
        <f t="shared" si="2"/>
        <v>0</v>
      </c>
      <c r="AW18" s="112">
        <f t="shared" si="2"/>
        <v>0</v>
      </c>
      <c r="AX18" s="112">
        <f t="shared" si="2"/>
        <v>0</v>
      </c>
      <c r="AY18" s="113">
        <v>0</v>
      </c>
      <c r="AZ18" s="114">
        <f t="shared" si="3"/>
        <v>9000000</v>
      </c>
      <c r="BA18" s="114">
        <f t="shared" si="3"/>
        <v>13000000</v>
      </c>
      <c r="BB18" s="114">
        <f t="shared" si="3"/>
        <v>12998224</v>
      </c>
      <c r="BC18" s="115">
        <f t="shared" si="6"/>
        <v>0.9998633846153846</v>
      </c>
      <c r="BD18" s="116"/>
    </row>
    <row r="19" spans="1:56">
      <c r="A19" s="562" t="s">
        <v>357</v>
      </c>
      <c r="B19" s="564"/>
      <c r="C19" s="564"/>
      <c r="D19" s="564"/>
      <c r="E19" s="580"/>
      <c r="F19" s="572"/>
      <c r="G19" s="563"/>
      <c r="H19" s="563"/>
      <c r="I19" s="563"/>
      <c r="J19" s="563"/>
      <c r="K19" s="563"/>
      <c r="L19" s="563"/>
      <c r="M19" s="563"/>
      <c r="N19" s="563">
        <v>1000000</v>
      </c>
      <c r="O19" s="563">
        <v>1000000</v>
      </c>
      <c r="P19" s="563">
        <v>914116</v>
      </c>
      <c r="Q19" s="579">
        <f>SUM(P19/O19)</f>
        <v>0.91411600000000004</v>
      </c>
      <c r="R19" s="572"/>
      <c r="S19" s="572"/>
      <c r="T19" s="572"/>
      <c r="U19" s="587"/>
      <c r="V19" s="562" t="s">
        <v>357</v>
      </c>
      <c r="W19" s="114"/>
      <c r="X19" s="114"/>
      <c r="Y19" s="114"/>
      <c r="Z19" s="114"/>
      <c r="AA19" s="572"/>
      <c r="AB19" s="572"/>
      <c r="AC19" s="572"/>
      <c r="AD19" s="587"/>
      <c r="AE19" s="572"/>
      <c r="AF19" s="572"/>
      <c r="AG19" s="572"/>
      <c r="AH19" s="587"/>
      <c r="AI19" s="572"/>
      <c r="AJ19" s="572"/>
      <c r="AK19" s="572"/>
      <c r="AL19" s="587"/>
      <c r="AM19" s="572"/>
      <c r="AN19" s="572"/>
      <c r="AO19" s="572"/>
      <c r="AP19" s="587"/>
      <c r="AQ19" s="562" t="s">
        <v>357</v>
      </c>
      <c r="AR19" s="112">
        <f t="shared" si="7"/>
        <v>1000000</v>
      </c>
      <c r="AS19" s="112">
        <f t="shared" si="1"/>
        <v>1000000</v>
      </c>
      <c r="AT19" s="112">
        <f t="shared" si="1"/>
        <v>914116</v>
      </c>
      <c r="AU19" s="113">
        <f t="shared" si="5"/>
        <v>0.91411600000000004</v>
      </c>
      <c r="AV19" s="112">
        <f t="shared" si="2"/>
        <v>0</v>
      </c>
      <c r="AW19" s="112">
        <f t="shared" si="2"/>
        <v>0</v>
      </c>
      <c r="AX19" s="112">
        <f t="shared" si="2"/>
        <v>0</v>
      </c>
      <c r="AY19" s="113">
        <v>0</v>
      </c>
      <c r="AZ19" s="114">
        <f t="shared" si="3"/>
        <v>1000000</v>
      </c>
      <c r="BA19" s="114">
        <f t="shared" si="3"/>
        <v>1000000</v>
      </c>
      <c r="BB19" s="114">
        <f t="shared" si="3"/>
        <v>914116</v>
      </c>
      <c r="BC19" s="115">
        <f t="shared" si="6"/>
        <v>0.91411600000000004</v>
      </c>
      <c r="BD19" s="116"/>
    </row>
    <row r="20" spans="1:56">
      <c r="A20" s="562" t="s">
        <v>358</v>
      </c>
      <c r="B20" s="564"/>
      <c r="C20" s="564"/>
      <c r="D20" s="564"/>
      <c r="E20" s="580"/>
      <c r="F20" s="572"/>
      <c r="G20" s="563"/>
      <c r="H20" s="563"/>
      <c r="I20" s="563"/>
      <c r="J20" s="563">
        <v>560500000</v>
      </c>
      <c r="K20" s="563">
        <f>560500000+18562000</f>
        <v>579062000</v>
      </c>
      <c r="L20" s="563">
        <f>578687440+375000</f>
        <v>579062440</v>
      </c>
      <c r="M20" s="579">
        <f t="shared" ref="M20:M23" si="8">SUM(L20/K20)</f>
        <v>1.0000007598495497</v>
      </c>
      <c r="N20" s="563"/>
      <c r="O20" s="563"/>
      <c r="P20" s="563"/>
      <c r="Q20" s="579"/>
      <c r="R20" s="572"/>
      <c r="S20" s="572"/>
      <c r="T20" s="572"/>
      <c r="U20" s="587"/>
      <c r="V20" s="562" t="s">
        <v>358</v>
      </c>
      <c r="W20" s="114"/>
      <c r="X20" s="114"/>
      <c r="Y20" s="114"/>
      <c r="Z20" s="114"/>
      <c r="AA20" s="572"/>
      <c r="AB20" s="572"/>
      <c r="AC20" s="572"/>
      <c r="AD20" s="587"/>
      <c r="AE20" s="572"/>
      <c r="AF20" s="572"/>
      <c r="AG20" s="572"/>
      <c r="AH20" s="587"/>
      <c r="AI20" s="572"/>
      <c r="AJ20" s="572"/>
      <c r="AK20" s="572"/>
      <c r="AL20" s="587"/>
      <c r="AM20" s="572"/>
      <c r="AN20" s="572"/>
      <c r="AO20" s="572"/>
      <c r="AP20" s="587"/>
      <c r="AQ20" s="562" t="s">
        <v>358</v>
      </c>
      <c r="AR20" s="112">
        <f t="shared" ref="AR20" si="9">SUM(B20+J20+N20+W20+AE20+AM20)</f>
        <v>560500000</v>
      </c>
      <c r="AS20" s="112">
        <f t="shared" ref="AS20" si="10">SUM(C20+K20+O20+X20+AF20+AN20)</f>
        <v>579062000</v>
      </c>
      <c r="AT20" s="112">
        <f t="shared" ref="AT20" si="11">SUM(D20+L20+P20+Y20+AG20+AO20)</f>
        <v>579062440</v>
      </c>
      <c r="AU20" s="113">
        <f t="shared" si="5"/>
        <v>1.0000007598495497</v>
      </c>
      <c r="AV20" s="112">
        <f t="shared" ref="AV20" si="12">SUM(F20+R20+AA20+AI20)</f>
        <v>0</v>
      </c>
      <c r="AW20" s="112">
        <f t="shared" ref="AW20" si="13">SUM(G20+S20+AB20+AJ20)</f>
        <v>0</v>
      </c>
      <c r="AX20" s="112">
        <f t="shared" ref="AX20" si="14">SUM(H20+T20+AC20+AK20)</f>
        <v>0</v>
      </c>
      <c r="AY20" s="113">
        <v>0</v>
      </c>
      <c r="AZ20" s="114">
        <f t="shared" ref="AZ20" si="15">SUM(B20+F20+J20+N20+R20+W20+AA20+AE20+AI20+AM20)</f>
        <v>560500000</v>
      </c>
      <c r="BA20" s="114">
        <f t="shared" ref="BA20" si="16">SUM(C20+G20+K20+O20+S20+X20+AB20+AF20+AJ20+AN20)</f>
        <v>579062000</v>
      </c>
      <c r="BB20" s="114">
        <f t="shared" ref="BB20" si="17">SUM(D20+H20+L20+P20+T20+Y20+AC20+AG20+AK20+AO20)</f>
        <v>579062440</v>
      </c>
      <c r="BC20" s="115">
        <f t="shared" ref="BC20" si="18">BB20/BA20</f>
        <v>1.0000007598495497</v>
      </c>
      <c r="BD20" s="116"/>
    </row>
    <row r="21" spans="1:56">
      <c r="A21" s="562" t="s">
        <v>359</v>
      </c>
      <c r="B21" s="564"/>
      <c r="C21" s="564"/>
      <c r="D21" s="564"/>
      <c r="E21" s="580"/>
      <c r="F21" s="572"/>
      <c r="G21" s="563"/>
      <c r="H21" s="563"/>
      <c r="I21" s="563"/>
      <c r="J21" s="563">
        <v>4000000</v>
      </c>
      <c r="K21" s="563">
        <f>4000000+1200000</f>
        <v>5200000</v>
      </c>
      <c r="L21" s="563">
        <v>5233360</v>
      </c>
      <c r="M21" s="579">
        <f t="shared" si="8"/>
        <v>1.0064153846153847</v>
      </c>
      <c r="N21" s="563"/>
      <c r="O21" s="563"/>
      <c r="P21" s="563"/>
      <c r="Q21" s="579"/>
      <c r="R21" s="572"/>
      <c r="S21" s="572"/>
      <c r="T21" s="572"/>
      <c r="U21" s="587"/>
      <c r="V21" s="562" t="s">
        <v>359</v>
      </c>
      <c r="W21" s="117"/>
      <c r="X21" s="117"/>
      <c r="Y21" s="117"/>
      <c r="Z21" s="117"/>
      <c r="AA21" s="572"/>
      <c r="AB21" s="572"/>
      <c r="AC21" s="572"/>
      <c r="AD21" s="587"/>
      <c r="AE21" s="572"/>
      <c r="AF21" s="572"/>
      <c r="AG21" s="572"/>
      <c r="AH21" s="587"/>
      <c r="AI21" s="572"/>
      <c r="AJ21" s="572"/>
      <c r="AK21" s="572"/>
      <c r="AL21" s="587"/>
      <c r="AM21" s="572"/>
      <c r="AN21" s="572"/>
      <c r="AO21" s="572"/>
      <c r="AP21" s="587"/>
      <c r="AQ21" s="562" t="s">
        <v>359</v>
      </c>
      <c r="AR21" s="112">
        <f t="shared" si="0"/>
        <v>4000000</v>
      </c>
      <c r="AS21" s="112">
        <f t="shared" si="1"/>
        <v>5200000</v>
      </c>
      <c r="AT21" s="112">
        <f t="shared" si="1"/>
        <v>5233360</v>
      </c>
      <c r="AU21" s="113">
        <f t="shared" si="5"/>
        <v>1.0064153846153847</v>
      </c>
      <c r="AV21" s="112">
        <f t="shared" si="2"/>
        <v>0</v>
      </c>
      <c r="AW21" s="112">
        <f t="shared" si="2"/>
        <v>0</v>
      </c>
      <c r="AX21" s="112">
        <f t="shared" si="2"/>
        <v>0</v>
      </c>
      <c r="AY21" s="113">
        <v>0</v>
      </c>
      <c r="AZ21" s="114">
        <f t="shared" si="3"/>
        <v>4000000</v>
      </c>
      <c r="BA21" s="114">
        <f t="shared" si="3"/>
        <v>5200000</v>
      </c>
      <c r="BB21" s="114">
        <f t="shared" si="3"/>
        <v>5233360</v>
      </c>
      <c r="BC21" s="115">
        <f t="shared" si="6"/>
        <v>1.0064153846153847</v>
      </c>
      <c r="BD21" s="116"/>
    </row>
    <row r="22" spans="1:56">
      <c r="A22" s="562" t="s">
        <v>360</v>
      </c>
      <c r="B22" s="564"/>
      <c r="C22" s="564"/>
      <c r="D22" s="564"/>
      <c r="E22" s="580"/>
      <c r="F22" s="573"/>
      <c r="G22" s="573"/>
      <c r="H22" s="573"/>
      <c r="I22" s="573"/>
      <c r="J22" s="564">
        <v>40000000</v>
      </c>
      <c r="K22" s="564">
        <f>40000000+2753000</f>
        <v>42753000</v>
      </c>
      <c r="L22" s="564">
        <v>42753688</v>
      </c>
      <c r="M22" s="579">
        <f t="shared" si="8"/>
        <v>1.0000160924379575</v>
      </c>
      <c r="N22" s="563"/>
      <c r="O22" s="563"/>
      <c r="P22" s="563"/>
      <c r="Q22" s="579"/>
      <c r="R22" s="564"/>
      <c r="S22" s="564"/>
      <c r="T22" s="564"/>
      <c r="U22" s="580"/>
      <c r="V22" s="562" t="s">
        <v>360</v>
      </c>
      <c r="W22" s="117"/>
      <c r="X22" s="117"/>
      <c r="Y22" s="117"/>
      <c r="Z22" s="117"/>
      <c r="AA22" s="564"/>
      <c r="AB22" s="564"/>
      <c r="AC22" s="564"/>
      <c r="AD22" s="580"/>
      <c r="AE22" s="564"/>
      <c r="AF22" s="564"/>
      <c r="AG22" s="564"/>
      <c r="AH22" s="580"/>
      <c r="AI22" s="564"/>
      <c r="AJ22" s="564"/>
      <c r="AK22" s="564"/>
      <c r="AL22" s="580"/>
      <c r="AM22" s="564"/>
      <c r="AN22" s="564"/>
      <c r="AO22" s="564"/>
      <c r="AP22" s="580"/>
      <c r="AQ22" s="562" t="s">
        <v>360</v>
      </c>
      <c r="AR22" s="112">
        <f t="shared" si="0"/>
        <v>40000000</v>
      </c>
      <c r="AS22" s="112">
        <f t="shared" si="1"/>
        <v>42753000</v>
      </c>
      <c r="AT22" s="112">
        <f t="shared" si="1"/>
        <v>42753688</v>
      </c>
      <c r="AU22" s="113">
        <f t="shared" si="5"/>
        <v>1.0000160924379575</v>
      </c>
      <c r="AV22" s="112">
        <f t="shared" si="2"/>
        <v>0</v>
      </c>
      <c r="AW22" s="112">
        <f t="shared" si="2"/>
        <v>0</v>
      </c>
      <c r="AX22" s="112">
        <f t="shared" si="2"/>
        <v>0</v>
      </c>
      <c r="AY22" s="113">
        <v>0</v>
      </c>
      <c r="AZ22" s="114">
        <f t="shared" si="3"/>
        <v>40000000</v>
      </c>
      <c r="BA22" s="114">
        <f t="shared" si="3"/>
        <v>42753000</v>
      </c>
      <c r="BB22" s="114">
        <f t="shared" si="3"/>
        <v>42753688</v>
      </c>
      <c r="BC22" s="115">
        <f t="shared" si="6"/>
        <v>1.0000160924379575</v>
      </c>
      <c r="BD22" s="116"/>
    </row>
    <row r="23" spans="1:56">
      <c r="A23" s="562" t="s">
        <v>361</v>
      </c>
      <c r="B23" s="564"/>
      <c r="C23" s="564"/>
      <c r="D23" s="564"/>
      <c r="E23" s="580"/>
      <c r="F23" s="573"/>
      <c r="G23" s="573"/>
      <c r="H23" s="573"/>
      <c r="I23" s="573"/>
      <c r="J23" s="564">
        <v>200000</v>
      </c>
      <c r="K23" s="564">
        <v>200000</v>
      </c>
      <c r="L23" s="564">
        <v>31762</v>
      </c>
      <c r="M23" s="579">
        <f t="shared" si="8"/>
        <v>0.15881000000000001</v>
      </c>
      <c r="N23" s="563"/>
      <c r="O23" s="563"/>
      <c r="P23" s="563"/>
      <c r="Q23" s="579"/>
      <c r="R23" s="564"/>
      <c r="S23" s="564"/>
      <c r="T23" s="564"/>
      <c r="U23" s="580"/>
      <c r="V23" s="562" t="s">
        <v>361</v>
      </c>
      <c r="W23" s="117"/>
      <c r="X23" s="117"/>
      <c r="Y23" s="117"/>
      <c r="Z23" s="117"/>
      <c r="AA23" s="564"/>
      <c r="AB23" s="564"/>
      <c r="AC23" s="564"/>
      <c r="AD23" s="580"/>
      <c r="AE23" s="564"/>
      <c r="AF23" s="564"/>
      <c r="AG23" s="564"/>
      <c r="AH23" s="580"/>
      <c r="AI23" s="564"/>
      <c r="AJ23" s="564"/>
      <c r="AK23" s="564"/>
      <c r="AL23" s="580"/>
      <c r="AM23" s="564"/>
      <c r="AN23" s="564"/>
      <c r="AO23" s="564"/>
      <c r="AP23" s="580"/>
      <c r="AQ23" s="562" t="s">
        <v>361</v>
      </c>
      <c r="AR23" s="112">
        <f t="shared" si="0"/>
        <v>200000</v>
      </c>
      <c r="AS23" s="112">
        <f t="shared" si="1"/>
        <v>200000</v>
      </c>
      <c r="AT23" s="112">
        <f t="shared" si="1"/>
        <v>31762</v>
      </c>
      <c r="AU23" s="113">
        <f t="shared" si="5"/>
        <v>0.15881000000000001</v>
      </c>
      <c r="AV23" s="112">
        <f t="shared" si="2"/>
        <v>0</v>
      </c>
      <c r="AW23" s="112">
        <f t="shared" si="2"/>
        <v>0</v>
      </c>
      <c r="AX23" s="112">
        <f t="shared" si="2"/>
        <v>0</v>
      </c>
      <c r="AY23" s="113">
        <v>0</v>
      </c>
      <c r="AZ23" s="114">
        <f t="shared" si="3"/>
        <v>200000</v>
      </c>
      <c r="BA23" s="114">
        <f t="shared" si="3"/>
        <v>200000</v>
      </c>
      <c r="BB23" s="114">
        <f t="shared" si="3"/>
        <v>31762</v>
      </c>
      <c r="BC23" s="115">
        <f t="shared" si="6"/>
        <v>0.15881000000000001</v>
      </c>
      <c r="BD23" s="116"/>
    </row>
    <row r="24" spans="1:56">
      <c r="A24" s="562" t="s">
        <v>362</v>
      </c>
      <c r="B24" s="564"/>
      <c r="C24" s="564"/>
      <c r="D24" s="564"/>
      <c r="E24" s="580"/>
      <c r="F24" s="573"/>
      <c r="G24" s="573"/>
      <c r="H24" s="573"/>
      <c r="I24" s="573"/>
      <c r="J24" s="564">
        <v>3000000</v>
      </c>
      <c r="K24" s="564">
        <v>3000000</v>
      </c>
      <c r="L24" s="564">
        <v>3121245</v>
      </c>
      <c r="M24" s="579">
        <f>SUM(L24/K24)</f>
        <v>1.0404150000000001</v>
      </c>
      <c r="N24" s="563"/>
      <c r="O24" s="563"/>
      <c r="P24" s="563"/>
      <c r="Q24" s="579"/>
      <c r="R24" s="564"/>
      <c r="S24" s="564"/>
      <c r="T24" s="564"/>
      <c r="U24" s="580"/>
      <c r="V24" s="562" t="s">
        <v>362</v>
      </c>
      <c r="W24" s="117"/>
      <c r="X24" s="117"/>
      <c r="Y24" s="117"/>
      <c r="Z24" s="117"/>
      <c r="AA24" s="564"/>
      <c r="AB24" s="564"/>
      <c r="AC24" s="564"/>
      <c r="AD24" s="580"/>
      <c r="AE24" s="564"/>
      <c r="AF24" s="564"/>
      <c r="AG24" s="564"/>
      <c r="AH24" s="580"/>
      <c r="AI24" s="564"/>
      <c r="AJ24" s="564"/>
      <c r="AK24" s="564"/>
      <c r="AL24" s="580"/>
      <c r="AM24" s="564"/>
      <c r="AN24" s="564"/>
      <c r="AO24" s="564"/>
      <c r="AP24" s="580"/>
      <c r="AQ24" s="562" t="s">
        <v>362</v>
      </c>
      <c r="AR24" s="112">
        <f t="shared" si="0"/>
        <v>3000000</v>
      </c>
      <c r="AS24" s="112">
        <f t="shared" si="1"/>
        <v>3000000</v>
      </c>
      <c r="AT24" s="112">
        <f t="shared" si="1"/>
        <v>3121245</v>
      </c>
      <c r="AU24" s="113">
        <f t="shared" si="5"/>
        <v>1.0404150000000001</v>
      </c>
      <c r="AV24" s="112">
        <f t="shared" si="2"/>
        <v>0</v>
      </c>
      <c r="AW24" s="112">
        <f t="shared" si="2"/>
        <v>0</v>
      </c>
      <c r="AX24" s="112">
        <f t="shared" si="2"/>
        <v>0</v>
      </c>
      <c r="AY24" s="113">
        <v>0</v>
      </c>
      <c r="AZ24" s="114">
        <f t="shared" si="3"/>
        <v>3000000</v>
      </c>
      <c r="BA24" s="114">
        <f t="shared" si="3"/>
        <v>3000000</v>
      </c>
      <c r="BB24" s="114">
        <f t="shared" si="3"/>
        <v>3121245</v>
      </c>
      <c r="BC24" s="115">
        <f t="shared" si="6"/>
        <v>1.0404150000000001</v>
      </c>
      <c r="BD24" s="116"/>
    </row>
    <row r="25" spans="1:56">
      <c r="A25" s="562" t="s">
        <v>458</v>
      </c>
      <c r="B25" s="564"/>
      <c r="C25" s="564">
        <v>11119721</v>
      </c>
      <c r="D25" s="564">
        <v>11119721</v>
      </c>
      <c r="E25" s="579">
        <f t="shared" ref="E25" si="19">SUM(D25/C25)</f>
        <v>1</v>
      </c>
      <c r="F25" s="573"/>
      <c r="G25" s="573"/>
      <c r="H25" s="573"/>
      <c r="I25" s="573"/>
      <c r="J25" s="564"/>
      <c r="K25" s="564"/>
      <c r="L25" s="564"/>
      <c r="M25" s="564"/>
      <c r="N25" s="563"/>
      <c r="O25" s="563"/>
      <c r="P25" s="563"/>
      <c r="Q25" s="579"/>
      <c r="R25" s="564"/>
      <c r="S25" s="564"/>
      <c r="T25" s="564"/>
      <c r="U25" s="580"/>
      <c r="V25" s="562" t="s">
        <v>458</v>
      </c>
      <c r="W25" s="117"/>
      <c r="X25" s="117"/>
      <c r="Y25" s="117"/>
      <c r="Z25" s="117"/>
      <c r="AA25" s="564"/>
      <c r="AB25" s="564"/>
      <c r="AC25" s="564"/>
      <c r="AD25" s="580"/>
      <c r="AE25" s="564"/>
      <c r="AF25" s="564"/>
      <c r="AG25" s="564"/>
      <c r="AH25" s="580"/>
      <c r="AI25" s="564"/>
      <c r="AJ25" s="564"/>
      <c r="AK25" s="564"/>
      <c r="AL25" s="580"/>
      <c r="AM25" s="564"/>
      <c r="AN25" s="564"/>
      <c r="AO25" s="564"/>
      <c r="AP25" s="580"/>
      <c r="AQ25" s="562" t="s">
        <v>458</v>
      </c>
      <c r="AR25" s="112">
        <f t="shared" si="0"/>
        <v>0</v>
      </c>
      <c r="AS25" s="112">
        <f t="shared" si="1"/>
        <v>11119721</v>
      </c>
      <c r="AT25" s="112">
        <f t="shared" si="1"/>
        <v>11119721</v>
      </c>
      <c r="AU25" s="113">
        <f t="shared" si="5"/>
        <v>1</v>
      </c>
      <c r="AV25" s="112">
        <f t="shared" si="2"/>
        <v>0</v>
      </c>
      <c r="AW25" s="112">
        <f t="shared" si="2"/>
        <v>0</v>
      </c>
      <c r="AX25" s="112">
        <f t="shared" si="2"/>
        <v>0</v>
      </c>
      <c r="AY25" s="113">
        <v>0</v>
      </c>
      <c r="AZ25" s="114">
        <f t="shared" si="3"/>
        <v>0</v>
      </c>
      <c r="BA25" s="114">
        <f t="shared" si="3"/>
        <v>11119721</v>
      </c>
      <c r="BB25" s="114">
        <f t="shared" si="3"/>
        <v>11119721</v>
      </c>
      <c r="BC25" s="115">
        <f>BB25/BA25</f>
        <v>1</v>
      </c>
      <c r="BD25" s="116"/>
    </row>
    <row r="26" spans="1:56" ht="40.5">
      <c r="A26" s="562" t="s">
        <v>674</v>
      </c>
      <c r="B26" s="564"/>
      <c r="C26" s="564"/>
      <c r="D26" s="564"/>
      <c r="E26" s="580"/>
      <c r="F26" s="573"/>
      <c r="G26" s="564">
        <v>9000000</v>
      </c>
      <c r="H26" s="564">
        <v>9000000</v>
      </c>
      <c r="I26" s="579">
        <f t="shared" ref="I26:I27" si="20">SUM(H26/G26)</f>
        <v>1</v>
      </c>
      <c r="J26" s="564"/>
      <c r="K26" s="564"/>
      <c r="L26" s="564"/>
      <c r="M26" s="564"/>
      <c r="N26" s="563"/>
      <c r="O26" s="563"/>
      <c r="P26" s="563"/>
      <c r="Q26" s="579"/>
      <c r="R26" s="564"/>
      <c r="S26" s="564"/>
      <c r="T26" s="564"/>
      <c r="U26" s="580"/>
      <c r="V26" s="562" t="s">
        <v>674</v>
      </c>
      <c r="W26" s="117"/>
      <c r="X26" s="117"/>
      <c r="Y26" s="117"/>
      <c r="Z26" s="117"/>
      <c r="AA26" s="564"/>
      <c r="AB26" s="564"/>
      <c r="AC26" s="564"/>
      <c r="AD26" s="580"/>
      <c r="AE26" s="564"/>
      <c r="AF26" s="564"/>
      <c r="AG26" s="564"/>
      <c r="AH26" s="580"/>
      <c r="AI26" s="564"/>
      <c r="AJ26" s="564"/>
      <c r="AK26" s="564"/>
      <c r="AL26" s="580"/>
      <c r="AM26" s="564"/>
      <c r="AN26" s="564"/>
      <c r="AO26" s="564"/>
      <c r="AP26" s="580"/>
      <c r="AQ26" s="562" t="s">
        <v>674</v>
      </c>
      <c r="AR26" s="112">
        <f t="shared" si="0"/>
        <v>0</v>
      </c>
      <c r="AS26" s="112">
        <f t="shared" si="1"/>
        <v>0</v>
      </c>
      <c r="AT26" s="112">
        <f t="shared" si="1"/>
        <v>0</v>
      </c>
      <c r="AU26" s="113">
        <v>0</v>
      </c>
      <c r="AV26" s="112">
        <f t="shared" si="2"/>
        <v>0</v>
      </c>
      <c r="AW26" s="112">
        <f t="shared" si="2"/>
        <v>9000000</v>
      </c>
      <c r="AX26" s="112">
        <f t="shared" si="2"/>
        <v>9000000</v>
      </c>
      <c r="AY26" s="113">
        <v>1</v>
      </c>
      <c r="AZ26" s="114">
        <f t="shared" si="3"/>
        <v>0</v>
      </c>
      <c r="BA26" s="114">
        <f t="shared" si="3"/>
        <v>9000000</v>
      </c>
      <c r="BB26" s="114">
        <f t="shared" si="3"/>
        <v>9000000</v>
      </c>
      <c r="BC26" s="115">
        <f t="shared" ref="BC26:BC34" si="21">BB26/BA26</f>
        <v>1</v>
      </c>
      <c r="BD26" s="116"/>
    </row>
    <row r="27" spans="1:56">
      <c r="A27" s="118" t="s">
        <v>675</v>
      </c>
      <c r="B27" s="121"/>
      <c r="C27" s="121"/>
      <c r="D27" s="121"/>
      <c r="E27" s="581"/>
      <c r="F27" s="120"/>
      <c r="G27" s="121">
        <v>1162000</v>
      </c>
      <c r="H27" s="121">
        <v>1162000</v>
      </c>
      <c r="I27" s="579">
        <f t="shared" si="20"/>
        <v>1</v>
      </c>
      <c r="J27" s="121"/>
      <c r="K27" s="121"/>
      <c r="L27" s="121"/>
      <c r="M27" s="121"/>
      <c r="N27" s="119"/>
      <c r="O27" s="119"/>
      <c r="P27" s="119"/>
      <c r="Q27" s="582"/>
      <c r="R27" s="121"/>
      <c r="S27" s="121"/>
      <c r="T27" s="121"/>
      <c r="U27" s="581"/>
      <c r="V27" s="118" t="s">
        <v>675</v>
      </c>
      <c r="W27" s="117"/>
      <c r="X27" s="117"/>
      <c r="Y27" s="117"/>
      <c r="Z27" s="117"/>
      <c r="AA27" s="121"/>
      <c r="AB27" s="121"/>
      <c r="AC27" s="121"/>
      <c r="AD27" s="581"/>
      <c r="AE27" s="121"/>
      <c r="AF27" s="121"/>
      <c r="AG27" s="121"/>
      <c r="AH27" s="581"/>
      <c r="AI27" s="121"/>
      <c r="AJ27" s="121"/>
      <c r="AK27" s="121"/>
      <c r="AL27" s="581"/>
      <c r="AM27" s="121"/>
      <c r="AN27" s="121"/>
      <c r="AO27" s="121"/>
      <c r="AP27" s="581"/>
      <c r="AQ27" s="118" t="s">
        <v>675</v>
      </c>
      <c r="AR27" s="112">
        <f t="shared" si="0"/>
        <v>0</v>
      </c>
      <c r="AS27" s="112">
        <f t="shared" si="1"/>
        <v>0</v>
      </c>
      <c r="AT27" s="112">
        <f t="shared" si="1"/>
        <v>0</v>
      </c>
      <c r="AU27" s="113">
        <v>0</v>
      </c>
      <c r="AV27" s="112">
        <f t="shared" si="2"/>
        <v>0</v>
      </c>
      <c r="AW27" s="112">
        <f t="shared" si="2"/>
        <v>1162000</v>
      </c>
      <c r="AX27" s="112">
        <f t="shared" si="2"/>
        <v>1162000</v>
      </c>
      <c r="AY27" s="113">
        <v>1</v>
      </c>
      <c r="AZ27" s="114">
        <f t="shared" si="3"/>
        <v>0</v>
      </c>
      <c r="BA27" s="114">
        <f t="shared" si="3"/>
        <v>1162000</v>
      </c>
      <c r="BB27" s="114">
        <f t="shared" si="3"/>
        <v>1162000</v>
      </c>
      <c r="BC27" s="115">
        <f t="shared" si="21"/>
        <v>1</v>
      </c>
      <c r="BD27" s="116"/>
    </row>
    <row r="28" spans="1:56">
      <c r="A28" s="118" t="s">
        <v>676</v>
      </c>
      <c r="B28" s="121"/>
      <c r="C28" s="121"/>
      <c r="D28" s="121"/>
      <c r="E28" s="581"/>
      <c r="F28" s="120"/>
      <c r="G28" s="121"/>
      <c r="H28" s="121"/>
      <c r="I28" s="121"/>
      <c r="J28" s="121"/>
      <c r="K28" s="121"/>
      <c r="L28" s="121"/>
      <c r="M28" s="121"/>
      <c r="N28" s="119"/>
      <c r="O28" s="121">
        <f>448273+61560</f>
        <v>509833</v>
      </c>
      <c r="P28" s="121">
        <v>1598967</v>
      </c>
      <c r="Q28" s="579">
        <f>SUM(P28/O28)</f>
        <v>3.1362563819917502</v>
      </c>
      <c r="R28" s="121"/>
      <c r="S28" s="121"/>
      <c r="T28" s="121"/>
      <c r="U28" s="581"/>
      <c r="V28" s="118" t="s">
        <v>676</v>
      </c>
      <c r="W28" s="285"/>
      <c r="X28" s="285"/>
      <c r="Y28" s="285"/>
      <c r="Z28" s="285"/>
      <c r="AA28" s="121"/>
      <c r="AB28" s="121"/>
      <c r="AC28" s="121"/>
      <c r="AD28" s="581"/>
      <c r="AE28" s="121"/>
      <c r="AF28" s="121"/>
      <c r="AG28" s="121"/>
      <c r="AH28" s="581"/>
      <c r="AI28" s="121"/>
      <c r="AJ28" s="121"/>
      <c r="AK28" s="121"/>
      <c r="AL28" s="581"/>
      <c r="AM28" s="121"/>
      <c r="AN28" s="121"/>
      <c r="AO28" s="121"/>
      <c r="AP28" s="581"/>
      <c r="AQ28" s="118" t="s">
        <v>676</v>
      </c>
      <c r="AR28" s="112">
        <f t="shared" ref="AR28" si="22">SUM(B28+J28+N28+W28+AE28+AM28)</f>
        <v>0</v>
      </c>
      <c r="AS28" s="112">
        <f t="shared" ref="AS28" si="23">SUM(C28+K28+O28+X28+AF28+AN28)</f>
        <v>509833</v>
      </c>
      <c r="AT28" s="112">
        <f t="shared" ref="AT28" si="24">SUM(D28+L28+P28+Y28+AG28+AO28)</f>
        <v>1598967</v>
      </c>
      <c r="AU28" s="113">
        <f t="shared" si="5"/>
        <v>3.1362563819917502</v>
      </c>
      <c r="AV28" s="112">
        <f t="shared" ref="AV28" si="25">SUM(F28+R28+AA28+AI28)</f>
        <v>0</v>
      </c>
      <c r="AW28" s="112">
        <f t="shared" ref="AW28" si="26">SUM(G28+S28+AB28+AJ28)</f>
        <v>0</v>
      </c>
      <c r="AX28" s="112">
        <f t="shared" ref="AX28" si="27">SUM(H28+T28+AC28+AK28)</f>
        <v>0</v>
      </c>
      <c r="AY28" s="113">
        <v>0</v>
      </c>
      <c r="AZ28" s="114">
        <f t="shared" ref="AZ28" si="28">SUM(B28+F28+J28+N28+R28+W28+AA28+AE28+AI28+AM28)</f>
        <v>0</v>
      </c>
      <c r="BA28" s="114">
        <f t="shared" ref="BA28" si="29">SUM(C28+G28+K28+O28+S28+X28+AB28+AF28+AJ28+AN28)</f>
        <v>509833</v>
      </c>
      <c r="BB28" s="114">
        <f t="shared" ref="BB28" si="30">SUM(D28+H28+L28+P28+T28+Y28+AC28+AG28+AK28+AO28)</f>
        <v>1598967</v>
      </c>
      <c r="BC28" s="115">
        <f t="shared" si="21"/>
        <v>3.1362563819917502</v>
      </c>
      <c r="BD28" s="116"/>
    </row>
    <row r="29" spans="1:56">
      <c r="A29" s="118" t="s">
        <v>693</v>
      </c>
      <c r="B29" s="121"/>
      <c r="C29" s="121"/>
      <c r="D29" s="121"/>
      <c r="E29" s="581"/>
      <c r="F29" s="120"/>
      <c r="G29" s="121"/>
      <c r="H29" s="121"/>
      <c r="I29" s="121"/>
      <c r="J29" s="121"/>
      <c r="K29" s="121"/>
      <c r="L29" s="121"/>
      <c r="M29" s="121"/>
      <c r="N29" s="119"/>
      <c r="O29" s="121"/>
      <c r="P29" s="121">
        <v>2771984</v>
      </c>
      <c r="Q29" s="581">
        <v>0</v>
      </c>
      <c r="R29" s="121"/>
      <c r="S29" s="121"/>
      <c r="T29" s="121"/>
      <c r="U29" s="581"/>
      <c r="V29" s="118" t="s">
        <v>693</v>
      </c>
      <c r="W29" s="285"/>
      <c r="X29" s="285"/>
      <c r="Y29" s="285"/>
      <c r="Z29" s="285"/>
      <c r="AA29" s="121"/>
      <c r="AB29" s="121"/>
      <c r="AC29" s="121"/>
      <c r="AD29" s="581"/>
      <c r="AE29" s="121"/>
      <c r="AF29" s="121"/>
      <c r="AG29" s="121"/>
      <c r="AH29" s="581"/>
      <c r="AI29" s="121"/>
      <c r="AJ29" s="121"/>
      <c r="AK29" s="121"/>
      <c r="AL29" s="581"/>
      <c r="AM29" s="121"/>
      <c r="AN29" s="121"/>
      <c r="AO29" s="121"/>
      <c r="AP29" s="581"/>
      <c r="AQ29" s="118" t="s">
        <v>693</v>
      </c>
      <c r="AR29" s="112">
        <f t="shared" ref="AR29:AR34" si="31">SUM(B29+J29+N29+W29+AE29+AM29)</f>
        <v>0</v>
      </c>
      <c r="AS29" s="112">
        <f t="shared" ref="AS29:AS34" si="32">SUM(C29+K29+O29+X29+AF29+AN29)</f>
        <v>0</v>
      </c>
      <c r="AT29" s="112">
        <f t="shared" ref="AT29:AT34" si="33">SUM(D29+L29+P29+Y29+AG29+AO29)</f>
        <v>2771984</v>
      </c>
      <c r="AU29" s="113">
        <v>0</v>
      </c>
      <c r="AV29" s="112">
        <f t="shared" ref="AV29:AV34" si="34">SUM(F29+R29+AA29+AI29)</f>
        <v>0</v>
      </c>
      <c r="AW29" s="112">
        <f t="shared" ref="AW29:AW34" si="35">SUM(G29+S29+AB29+AJ29)</f>
        <v>0</v>
      </c>
      <c r="AX29" s="112">
        <f t="shared" ref="AX29:AX34" si="36">SUM(H29+T29+AC29+AK29)</f>
        <v>0</v>
      </c>
      <c r="AY29" s="113">
        <v>0</v>
      </c>
      <c r="AZ29" s="114">
        <f t="shared" ref="AZ29:AZ34" si="37">SUM(B29+F29+J29+N29+R29+W29+AA29+AE29+AI29+AM29)</f>
        <v>0</v>
      </c>
      <c r="BA29" s="114">
        <f t="shared" ref="BA29:BA34" si="38">SUM(C29+G29+K29+O29+S29+X29+AB29+AF29+AJ29+AN29)</f>
        <v>0</v>
      </c>
      <c r="BB29" s="114">
        <f t="shared" ref="BB29:BB34" si="39">SUM(D29+H29+L29+P29+T29+Y29+AC29+AG29+AK29+AO29)</f>
        <v>2771984</v>
      </c>
      <c r="BC29" s="115">
        <v>0</v>
      </c>
      <c r="BD29" s="116"/>
    </row>
    <row r="30" spans="1:56">
      <c r="A30" s="118" t="s">
        <v>699</v>
      </c>
      <c r="B30" s="121"/>
      <c r="C30" s="121"/>
      <c r="D30" s="121"/>
      <c r="E30" s="581"/>
      <c r="F30" s="120"/>
      <c r="G30" s="121"/>
      <c r="H30" s="121"/>
      <c r="I30" s="121"/>
      <c r="J30" s="121"/>
      <c r="K30" s="121"/>
      <c r="L30" s="121"/>
      <c r="M30" s="121"/>
      <c r="N30" s="119"/>
      <c r="O30" s="121"/>
      <c r="P30" s="121"/>
      <c r="Q30" s="581"/>
      <c r="R30" s="121"/>
      <c r="S30" s="121"/>
      <c r="T30" s="121"/>
      <c r="U30" s="581"/>
      <c r="V30" s="118" t="s">
        <v>699</v>
      </c>
      <c r="W30" s="285"/>
      <c r="X30" s="285"/>
      <c r="Y30" s="285"/>
      <c r="Z30" s="285"/>
      <c r="AA30" s="121"/>
      <c r="AB30" s="121"/>
      <c r="AC30" s="121">
        <v>6904710</v>
      </c>
      <c r="AD30" s="581">
        <v>0</v>
      </c>
      <c r="AE30" s="121"/>
      <c r="AF30" s="121"/>
      <c r="AG30" s="121"/>
      <c r="AH30" s="581"/>
      <c r="AI30" s="121"/>
      <c r="AJ30" s="121"/>
      <c r="AK30" s="121"/>
      <c r="AL30" s="581"/>
      <c r="AM30" s="121"/>
      <c r="AN30" s="121"/>
      <c r="AO30" s="121"/>
      <c r="AP30" s="581"/>
      <c r="AQ30" s="118" t="s">
        <v>699</v>
      </c>
      <c r="AR30" s="112">
        <f t="shared" si="31"/>
        <v>0</v>
      </c>
      <c r="AS30" s="112">
        <f t="shared" si="32"/>
        <v>0</v>
      </c>
      <c r="AT30" s="112">
        <f t="shared" si="33"/>
        <v>0</v>
      </c>
      <c r="AU30" s="113">
        <v>0</v>
      </c>
      <c r="AV30" s="112">
        <f t="shared" si="34"/>
        <v>0</v>
      </c>
      <c r="AW30" s="112">
        <f t="shared" si="35"/>
        <v>0</v>
      </c>
      <c r="AX30" s="112">
        <f t="shared" si="36"/>
        <v>6904710</v>
      </c>
      <c r="AY30" s="113">
        <v>0</v>
      </c>
      <c r="AZ30" s="114">
        <f t="shared" si="37"/>
        <v>0</v>
      </c>
      <c r="BA30" s="114">
        <f t="shared" si="38"/>
        <v>0</v>
      </c>
      <c r="BB30" s="114">
        <f t="shared" si="39"/>
        <v>6904710</v>
      </c>
      <c r="BC30" s="115">
        <v>0</v>
      </c>
      <c r="BD30" s="116"/>
    </row>
    <row r="31" spans="1:56">
      <c r="A31" s="118" t="s">
        <v>694</v>
      </c>
      <c r="B31" s="121"/>
      <c r="C31" s="121"/>
      <c r="D31" s="121"/>
      <c r="E31" s="581"/>
      <c r="F31" s="120"/>
      <c r="G31" s="121"/>
      <c r="H31" s="121"/>
      <c r="I31" s="121"/>
      <c r="J31" s="121"/>
      <c r="K31" s="121"/>
      <c r="L31" s="121"/>
      <c r="M31" s="121"/>
      <c r="N31" s="119"/>
      <c r="O31" s="121"/>
      <c r="P31" s="121">
        <v>1140071</v>
      </c>
      <c r="Q31" s="581">
        <v>0</v>
      </c>
      <c r="R31" s="121"/>
      <c r="S31" s="121"/>
      <c r="T31" s="121"/>
      <c r="U31" s="581"/>
      <c r="V31" s="118" t="s">
        <v>694</v>
      </c>
      <c r="W31" s="285"/>
      <c r="X31" s="285"/>
      <c r="Y31" s="285"/>
      <c r="Z31" s="285"/>
      <c r="AA31" s="121"/>
      <c r="AB31" s="121"/>
      <c r="AC31" s="121"/>
      <c r="AD31" s="581"/>
      <c r="AE31" s="121"/>
      <c r="AF31" s="121"/>
      <c r="AG31" s="121"/>
      <c r="AH31" s="581"/>
      <c r="AI31" s="121"/>
      <c r="AJ31" s="121"/>
      <c r="AK31" s="121"/>
      <c r="AL31" s="581"/>
      <c r="AM31" s="121"/>
      <c r="AN31" s="121"/>
      <c r="AO31" s="121"/>
      <c r="AP31" s="581"/>
      <c r="AQ31" s="118" t="s">
        <v>694</v>
      </c>
      <c r="AR31" s="112">
        <f t="shared" si="31"/>
        <v>0</v>
      </c>
      <c r="AS31" s="112">
        <f t="shared" si="32"/>
        <v>0</v>
      </c>
      <c r="AT31" s="112">
        <f t="shared" si="33"/>
        <v>1140071</v>
      </c>
      <c r="AU31" s="113">
        <v>0</v>
      </c>
      <c r="AV31" s="112">
        <f t="shared" si="34"/>
        <v>0</v>
      </c>
      <c r="AW31" s="112">
        <f t="shared" si="35"/>
        <v>0</v>
      </c>
      <c r="AX31" s="112">
        <f t="shared" si="36"/>
        <v>0</v>
      </c>
      <c r="AY31" s="113">
        <v>0</v>
      </c>
      <c r="AZ31" s="114">
        <f t="shared" si="37"/>
        <v>0</v>
      </c>
      <c r="BA31" s="114">
        <f t="shared" si="38"/>
        <v>0</v>
      </c>
      <c r="BB31" s="114">
        <f t="shared" si="39"/>
        <v>1140071</v>
      </c>
      <c r="BC31" s="115">
        <v>0</v>
      </c>
      <c r="BD31" s="116"/>
    </row>
    <row r="32" spans="1:56" ht="40.5">
      <c r="A32" s="118" t="s">
        <v>692</v>
      </c>
      <c r="B32" s="121"/>
      <c r="C32" s="121"/>
      <c r="D32" s="121">
        <v>350859</v>
      </c>
      <c r="E32" s="581">
        <v>0</v>
      </c>
      <c r="F32" s="120"/>
      <c r="G32" s="121"/>
      <c r="H32" s="121"/>
      <c r="I32" s="121"/>
      <c r="J32" s="121"/>
      <c r="K32" s="121"/>
      <c r="L32" s="121"/>
      <c r="M32" s="121"/>
      <c r="N32" s="119"/>
      <c r="O32" s="121"/>
      <c r="P32" s="121"/>
      <c r="Q32" s="581"/>
      <c r="R32" s="121"/>
      <c r="S32" s="121"/>
      <c r="T32" s="121"/>
      <c r="U32" s="581"/>
      <c r="V32" s="118" t="s">
        <v>692</v>
      </c>
      <c r="W32" s="285"/>
      <c r="X32" s="285"/>
      <c r="Y32" s="285"/>
      <c r="Z32" s="285"/>
      <c r="AA32" s="121"/>
      <c r="AB32" s="121"/>
      <c r="AC32" s="121"/>
      <c r="AD32" s="581"/>
      <c r="AE32" s="121"/>
      <c r="AF32" s="121"/>
      <c r="AG32" s="121"/>
      <c r="AH32" s="581"/>
      <c r="AI32" s="121"/>
      <c r="AJ32" s="121"/>
      <c r="AK32" s="121"/>
      <c r="AL32" s="581"/>
      <c r="AM32" s="121"/>
      <c r="AN32" s="121"/>
      <c r="AO32" s="121"/>
      <c r="AP32" s="581"/>
      <c r="AQ32" s="118" t="s">
        <v>692</v>
      </c>
      <c r="AR32" s="112">
        <f t="shared" si="31"/>
        <v>0</v>
      </c>
      <c r="AS32" s="112">
        <f t="shared" si="32"/>
        <v>0</v>
      </c>
      <c r="AT32" s="112">
        <f t="shared" si="33"/>
        <v>350859</v>
      </c>
      <c r="AU32" s="113">
        <v>0</v>
      </c>
      <c r="AV32" s="112">
        <f t="shared" si="34"/>
        <v>0</v>
      </c>
      <c r="AW32" s="112">
        <f t="shared" si="35"/>
        <v>0</v>
      </c>
      <c r="AX32" s="112">
        <f t="shared" si="36"/>
        <v>0</v>
      </c>
      <c r="AY32" s="113">
        <v>0</v>
      </c>
      <c r="AZ32" s="114">
        <f t="shared" si="37"/>
        <v>0</v>
      </c>
      <c r="BA32" s="114">
        <f t="shared" si="38"/>
        <v>0</v>
      </c>
      <c r="BB32" s="114">
        <f t="shared" si="39"/>
        <v>350859</v>
      </c>
      <c r="BC32" s="115">
        <v>0</v>
      </c>
      <c r="BD32" s="116"/>
    </row>
    <row r="33" spans="1:56">
      <c r="A33" s="118" t="s">
        <v>857</v>
      </c>
      <c r="B33" s="121"/>
      <c r="C33" s="121"/>
      <c r="D33" s="121"/>
      <c r="E33" s="581"/>
      <c r="F33" s="120"/>
      <c r="G33" s="121"/>
      <c r="H33" s="121"/>
      <c r="I33" s="121"/>
      <c r="J33" s="121"/>
      <c r="K33" s="121"/>
      <c r="L33" s="121"/>
      <c r="M33" s="121"/>
      <c r="N33" s="119"/>
      <c r="O33" s="121"/>
      <c r="P33" s="121"/>
      <c r="Q33" s="581"/>
      <c r="R33" s="121"/>
      <c r="S33" s="121"/>
      <c r="T33" s="121"/>
      <c r="U33" s="581"/>
      <c r="V33" s="118" t="s">
        <v>857</v>
      </c>
      <c r="W33" s="285"/>
      <c r="X33" s="285"/>
      <c r="Y33" s="285"/>
      <c r="Z33" s="285"/>
      <c r="AA33" s="121"/>
      <c r="AB33" s="121"/>
      <c r="AC33" s="121"/>
      <c r="AD33" s="581"/>
      <c r="AE33" s="121"/>
      <c r="AF33" s="121"/>
      <c r="AG33" s="121"/>
      <c r="AH33" s="581"/>
      <c r="AI33" s="121"/>
      <c r="AJ33" s="121"/>
      <c r="AK33" s="121"/>
      <c r="AL33" s="581"/>
      <c r="AM33" s="121"/>
      <c r="AN33" s="121"/>
      <c r="AO33" s="121">
        <v>58439181</v>
      </c>
      <c r="AP33" s="581">
        <v>0</v>
      </c>
      <c r="AQ33" s="118" t="s">
        <v>857</v>
      </c>
      <c r="AR33" s="112">
        <f t="shared" ref="AR33" si="40">SUM(B33+J33+N33+W33+AE33+AM33)</f>
        <v>0</v>
      </c>
      <c r="AS33" s="112">
        <f t="shared" ref="AS33" si="41">SUM(C33+K33+O33+X33+AF33+AN33)</f>
        <v>0</v>
      </c>
      <c r="AT33" s="112">
        <f t="shared" ref="AT33" si="42">SUM(D33+L33+P33+Y33+AG33+AO33)</f>
        <v>58439181</v>
      </c>
      <c r="AU33" s="113">
        <v>0</v>
      </c>
      <c r="AV33" s="112">
        <f t="shared" ref="AV33" si="43">SUM(F33+R33+AA33+AI33)</f>
        <v>0</v>
      </c>
      <c r="AW33" s="112">
        <f t="shared" ref="AW33" si="44">SUM(G33+S33+AB33+AJ33)</f>
        <v>0</v>
      </c>
      <c r="AX33" s="112">
        <f t="shared" ref="AX33" si="45">SUM(H33+T33+AC33+AK33)</f>
        <v>0</v>
      </c>
      <c r="AY33" s="113">
        <v>0</v>
      </c>
      <c r="AZ33" s="114">
        <f t="shared" ref="AZ33" si="46">SUM(B33+F33+J33+N33+R33+W33+AA33+AE33+AI33+AM33)</f>
        <v>0</v>
      </c>
      <c r="BA33" s="114">
        <f t="shared" ref="BA33" si="47">SUM(C33+G33+K33+O33+S33+X33+AB33+AF33+AJ33+AN33)</f>
        <v>0</v>
      </c>
      <c r="BB33" s="114">
        <f t="shared" ref="BB33" si="48">SUM(D33+H33+L33+P33+T33+Y33+AC33+AG33+AK33+AO33)</f>
        <v>58439181</v>
      </c>
      <c r="BC33" s="115">
        <v>0</v>
      </c>
      <c r="BD33" s="116"/>
    </row>
    <row r="34" spans="1:56" s="123" customFormat="1" ht="21" thickBot="1">
      <c r="A34" s="118" t="s">
        <v>860</v>
      </c>
      <c r="B34" s="119"/>
      <c r="C34" s="119"/>
      <c r="D34" s="119"/>
      <c r="E34" s="582"/>
      <c r="F34" s="120"/>
      <c r="G34" s="121">
        <v>37500</v>
      </c>
      <c r="H34" s="121">
        <v>37500</v>
      </c>
      <c r="I34" s="579">
        <f t="shared" ref="I34" si="49">SUM(H34/G34)</f>
        <v>1</v>
      </c>
      <c r="J34" s="120"/>
      <c r="K34" s="120"/>
      <c r="L34" s="120"/>
      <c r="M34" s="120"/>
      <c r="N34" s="121"/>
      <c r="O34" s="121"/>
      <c r="P34" s="121"/>
      <c r="Q34" s="581"/>
      <c r="R34" s="121"/>
      <c r="S34" s="121"/>
      <c r="T34" s="121"/>
      <c r="U34" s="581"/>
      <c r="V34" s="118" t="s">
        <v>860</v>
      </c>
      <c r="W34" s="121"/>
      <c r="X34" s="121"/>
      <c r="Y34" s="121"/>
      <c r="Z34" s="121"/>
      <c r="AA34" s="121"/>
      <c r="AB34" s="121"/>
      <c r="AC34" s="121"/>
      <c r="AD34" s="581"/>
      <c r="AE34" s="121"/>
      <c r="AF34" s="121"/>
      <c r="AG34" s="121"/>
      <c r="AH34" s="581"/>
      <c r="AI34" s="121"/>
      <c r="AJ34" s="121"/>
      <c r="AK34" s="121"/>
      <c r="AL34" s="581"/>
      <c r="AM34" s="121"/>
      <c r="AN34" s="121"/>
      <c r="AO34" s="121"/>
      <c r="AP34" s="581"/>
      <c r="AQ34" s="118" t="s">
        <v>861</v>
      </c>
      <c r="AR34" s="112">
        <f t="shared" si="31"/>
        <v>0</v>
      </c>
      <c r="AS34" s="112">
        <f t="shared" si="32"/>
        <v>0</v>
      </c>
      <c r="AT34" s="112">
        <f t="shared" si="33"/>
        <v>0</v>
      </c>
      <c r="AU34" s="113">
        <v>0</v>
      </c>
      <c r="AV34" s="112">
        <f t="shared" si="34"/>
        <v>0</v>
      </c>
      <c r="AW34" s="112">
        <f t="shared" si="35"/>
        <v>37500</v>
      </c>
      <c r="AX34" s="112">
        <f t="shared" si="36"/>
        <v>37500</v>
      </c>
      <c r="AY34" s="113">
        <v>1</v>
      </c>
      <c r="AZ34" s="114">
        <f t="shared" si="37"/>
        <v>0</v>
      </c>
      <c r="BA34" s="114">
        <f t="shared" si="38"/>
        <v>37500</v>
      </c>
      <c r="BB34" s="114">
        <f t="shared" si="39"/>
        <v>37500</v>
      </c>
      <c r="BC34" s="115">
        <f t="shared" si="21"/>
        <v>1</v>
      </c>
      <c r="BD34" s="122"/>
    </row>
    <row r="35" spans="1:56" s="127" customFormat="1" ht="21" thickBot="1">
      <c r="A35" s="565" t="s">
        <v>364</v>
      </c>
      <c r="B35" s="566">
        <f t="shared" ref="B35:C35" si="50">SUM(B14:B34)</f>
        <v>1476871000</v>
      </c>
      <c r="C35" s="566">
        <f t="shared" si="50"/>
        <v>1897542679</v>
      </c>
      <c r="D35" s="566">
        <f t="shared" ref="D35:G35" si="51">SUM(D14:D34)</f>
        <v>1897480509</v>
      </c>
      <c r="E35" s="583">
        <f>SUM(D35/C35)</f>
        <v>0.99996723657354958</v>
      </c>
      <c r="F35" s="566">
        <f t="shared" si="51"/>
        <v>0</v>
      </c>
      <c r="G35" s="566">
        <f t="shared" si="51"/>
        <v>10199500</v>
      </c>
      <c r="H35" s="566">
        <f>SUM(H14:H34)</f>
        <v>10199500</v>
      </c>
      <c r="I35" s="583">
        <f>SUM(H35/G35)</f>
        <v>1</v>
      </c>
      <c r="J35" s="566">
        <f>SUM(J14:J34)</f>
        <v>616700000</v>
      </c>
      <c r="K35" s="566">
        <f>SUM(K14:K34)</f>
        <v>643215000</v>
      </c>
      <c r="L35" s="566">
        <f t="shared" ref="L35" si="52">SUM(L14:L34)</f>
        <v>643200719</v>
      </c>
      <c r="M35" s="583">
        <f>SUM(L35/K35)</f>
        <v>0.99997779747051918</v>
      </c>
      <c r="N35" s="566">
        <f t="shared" ref="N35:O35" si="53">SUM(N14:N34)</f>
        <v>1000000</v>
      </c>
      <c r="O35" s="566">
        <f t="shared" si="53"/>
        <v>1509833</v>
      </c>
      <c r="P35" s="566">
        <f>SUM(P14:P34)</f>
        <v>6425138</v>
      </c>
      <c r="Q35" s="583">
        <f>SUM(P35/O35)</f>
        <v>4.2555289227351638</v>
      </c>
      <c r="R35" s="566">
        <f>SUM(R14:R34)</f>
        <v>0</v>
      </c>
      <c r="S35" s="566">
        <f>SUM(S14:S34)</f>
        <v>0</v>
      </c>
      <c r="T35" s="566">
        <f>SUM(T14:T34)</f>
        <v>0</v>
      </c>
      <c r="U35" s="583">
        <f>SUM(U14:U34)</f>
        <v>0</v>
      </c>
      <c r="V35" s="565" t="s">
        <v>364</v>
      </c>
      <c r="W35" s="124">
        <f>SUM(W14:W34)</f>
        <v>0</v>
      </c>
      <c r="X35" s="124">
        <f>SUM(X14:X34)</f>
        <v>0</v>
      </c>
      <c r="Y35" s="124">
        <f t="shared" ref="Y35:Z35" si="54">SUM(Y14:Y34)</f>
        <v>0</v>
      </c>
      <c r="Z35" s="124">
        <f t="shared" si="54"/>
        <v>0</v>
      </c>
      <c r="AA35" s="566">
        <f t="shared" ref="AA35:AB35" si="55">SUM(AA14:AA34)</f>
        <v>0</v>
      </c>
      <c r="AB35" s="566">
        <f t="shared" si="55"/>
        <v>0</v>
      </c>
      <c r="AC35" s="566">
        <f t="shared" ref="AC35:AD35" si="56">SUM(AC14:AC34)</f>
        <v>6904710</v>
      </c>
      <c r="AD35" s="583">
        <f t="shared" si="56"/>
        <v>0</v>
      </c>
      <c r="AE35" s="566">
        <f t="shared" ref="AE35:AP35" si="57">SUM(AE14:AE34)</f>
        <v>0</v>
      </c>
      <c r="AF35" s="566">
        <f t="shared" si="57"/>
        <v>0</v>
      </c>
      <c r="AG35" s="566">
        <f t="shared" si="57"/>
        <v>0</v>
      </c>
      <c r="AH35" s="583">
        <f t="shared" si="57"/>
        <v>0</v>
      </c>
      <c r="AI35" s="566">
        <f t="shared" si="57"/>
        <v>0</v>
      </c>
      <c r="AJ35" s="566">
        <f t="shared" si="57"/>
        <v>0</v>
      </c>
      <c r="AK35" s="566">
        <f t="shared" si="57"/>
        <v>0</v>
      </c>
      <c r="AL35" s="583">
        <f t="shared" si="57"/>
        <v>0</v>
      </c>
      <c r="AM35" s="566">
        <f t="shared" si="57"/>
        <v>0</v>
      </c>
      <c r="AN35" s="566">
        <f t="shared" si="57"/>
        <v>0</v>
      </c>
      <c r="AO35" s="566">
        <f t="shared" si="57"/>
        <v>58439181</v>
      </c>
      <c r="AP35" s="583">
        <f t="shared" si="57"/>
        <v>0</v>
      </c>
      <c r="AQ35" s="565" t="s">
        <v>364</v>
      </c>
      <c r="AR35" s="124">
        <f>SUM(AR14:AR34)</f>
        <v>2094571000</v>
      </c>
      <c r="AS35" s="124">
        <f>SUM(AS14:AS34)</f>
        <v>2542267512</v>
      </c>
      <c r="AT35" s="124">
        <f>SUM(AT14:AT34)</f>
        <v>2605545547</v>
      </c>
      <c r="AU35" s="125">
        <f>AT35/AS35</f>
        <v>1.0248903920226</v>
      </c>
      <c r="AV35" s="124">
        <f>SUM(AV14:AV34)</f>
        <v>0</v>
      </c>
      <c r="AW35" s="124">
        <f>SUM(AW14:AW34)</f>
        <v>10199500</v>
      </c>
      <c r="AX35" s="124">
        <f>SUM(AX14:AX34)</f>
        <v>17104210</v>
      </c>
      <c r="AY35" s="125">
        <f>AX35/AW35</f>
        <v>1.6769655375263492</v>
      </c>
      <c r="AZ35" s="124">
        <f>SUM(AZ14:AZ34)</f>
        <v>2094571000</v>
      </c>
      <c r="BA35" s="124">
        <f>SUM(BA14:BA34)</f>
        <v>2552467012</v>
      </c>
      <c r="BB35" s="124">
        <f>SUM(BB14:BB34)</f>
        <v>2622649757</v>
      </c>
      <c r="BC35" s="125">
        <f>BB35/BA35</f>
        <v>1.0274960438940239</v>
      </c>
      <c r="BD35" s="126"/>
    </row>
    <row r="36" spans="1:56">
      <c r="A36" s="567" t="s">
        <v>365</v>
      </c>
      <c r="B36" s="568"/>
      <c r="C36" s="568"/>
      <c r="D36" s="568"/>
      <c r="E36" s="584"/>
      <c r="F36" s="574"/>
      <c r="G36" s="574"/>
      <c r="H36" s="574"/>
      <c r="I36" s="574"/>
      <c r="J36" s="574"/>
      <c r="K36" s="574"/>
      <c r="L36" s="574"/>
      <c r="M36" s="574"/>
      <c r="N36" s="575"/>
      <c r="O36" s="575"/>
      <c r="P36" s="575"/>
      <c r="Q36" s="588"/>
      <c r="R36" s="575"/>
      <c r="S36" s="575"/>
      <c r="T36" s="575"/>
      <c r="U36" s="588"/>
      <c r="V36" s="567" t="s">
        <v>365</v>
      </c>
      <c r="W36" s="575"/>
      <c r="X36" s="575"/>
      <c r="Y36" s="575"/>
      <c r="Z36" s="575"/>
      <c r="AA36" s="575"/>
      <c r="AB36" s="575"/>
      <c r="AC36" s="575"/>
      <c r="AD36" s="588"/>
      <c r="AE36" s="575"/>
      <c r="AF36" s="575"/>
      <c r="AG36" s="575"/>
      <c r="AH36" s="588"/>
      <c r="AI36" s="575"/>
      <c r="AJ36" s="575"/>
      <c r="AK36" s="575"/>
      <c r="AL36" s="588"/>
      <c r="AM36" s="575"/>
      <c r="AN36" s="575"/>
      <c r="AO36" s="575"/>
      <c r="AP36" s="588"/>
      <c r="AQ36" s="567" t="s">
        <v>365</v>
      </c>
      <c r="AR36" s="128"/>
      <c r="AS36" s="128"/>
      <c r="AT36" s="128"/>
      <c r="AU36" s="113"/>
      <c r="AV36" s="128"/>
      <c r="AW36" s="128"/>
      <c r="AX36" s="128"/>
      <c r="AY36" s="129"/>
      <c r="AZ36" s="114"/>
      <c r="BA36" s="114"/>
      <c r="BB36" s="114"/>
      <c r="BC36" s="115"/>
      <c r="BD36" s="116"/>
    </row>
    <row r="37" spans="1:56">
      <c r="A37" s="562" t="s">
        <v>366</v>
      </c>
      <c r="B37" s="564"/>
      <c r="C37" s="564"/>
      <c r="D37" s="564"/>
      <c r="E37" s="580"/>
      <c r="F37" s="573"/>
      <c r="G37" s="573"/>
      <c r="H37" s="573"/>
      <c r="I37" s="573"/>
      <c r="J37" s="564"/>
      <c r="K37" s="564"/>
      <c r="L37" s="564"/>
      <c r="M37" s="564"/>
      <c r="N37" s="563">
        <v>96000000</v>
      </c>
      <c r="O37" s="563">
        <v>96000000</v>
      </c>
      <c r="P37" s="563">
        <v>100502849</v>
      </c>
      <c r="Q37" s="579">
        <f t="shared" ref="Q37:Q42" si="58">SUM(P37/O37)</f>
        <v>1.0469046770833332</v>
      </c>
      <c r="R37" s="564"/>
      <c r="S37" s="564"/>
      <c r="T37" s="564"/>
      <c r="U37" s="580"/>
      <c r="V37" s="562" t="s">
        <v>366</v>
      </c>
      <c r="W37" s="564"/>
      <c r="X37" s="564"/>
      <c r="Y37" s="564"/>
      <c r="Z37" s="564"/>
      <c r="AA37" s="564"/>
      <c r="AB37" s="564"/>
      <c r="AC37" s="564"/>
      <c r="AD37" s="580"/>
      <c r="AE37" s="564"/>
      <c r="AF37" s="564"/>
      <c r="AG37" s="564"/>
      <c r="AH37" s="580"/>
      <c r="AI37" s="564"/>
      <c r="AJ37" s="564"/>
      <c r="AK37" s="564"/>
      <c r="AL37" s="580"/>
      <c r="AM37" s="564"/>
      <c r="AN37" s="564"/>
      <c r="AO37" s="564"/>
      <c r="AP37" s="580"/>
      <c r="AQ37" s="562" t="s">
        <v>366</v>
      </c>
      <c r="AR37" s="112">
        <f t="shared" ref="AR37:AT55" si="59">SUM(B37+J37+N37+W37+AE37+AM37)</f>
        <v>96000000</v>
      </c>
      <c r="AS37" s="112">
        <f t="shared" si="59"/>
        <v>96000000</v>
      </c>
      <c r="AT37" s="112">
        <f t="shared" si="59"/>
        <v>100502849</v>
      </c>
      <c r="AU37" s="113">
        <f t="shared" ref="AU37:AU50" si="60">AT37/AS37</f>
        <v>1.0469046770833332</v>
      </c>
      <c r="AV37" s="112">
        <f t="shared" ref="AV37:AX39" si="61">SUM(F37+R37+AA37+AI37)</f>
        <v>0</v>
      </c>
      <c r="AW37" s="112">
        <f t="shared" si="61"/>
        <v>0</v>
      </c>
      <c r="AX37" s="112">
        <f t="shared" si="61"/>
        <v>0</v>
      </c>
      <c r="AY37" s="113"/>
      <c r="AZ37" s="114">
        <f t="shared" ref="AZ37:BB57" si="62">SUM(B37+F37+J37+N37+R37+W37+AA37+AE37+AI37+AM37)</f>
        <v>96000000</v>
      </c>
      <c r="BA37" s="114">
        <f t="shared" si="62"/>
        <v>96000000</v>
      </c>
      <c r="BB37" s="114">
        <f t="shared" si="62"/>
        <v>100502849</v>
      </c>
      <c r="BC37" s="115">
        <f t="shared" si="6"/>
        <v>1.0469046770833332</v>
      </c>
      <c r="BD37" s="116"/>
    </row>
    <row r="38" spans="1:56">
      <c r="A38" s="562" t="s">
        <v>367</v>
      </c>
      <c r="B38" s="564"/>
      <c r="C38" s="564"/>
      <c r="D38" s="564"/>
      <c r="E38" s="580"/>
      <c r="F38" s="573"/>
      <c r="G38" s="573"/>
      <c r="H38" s="573"/>
      <c r="I38" s="573"/>
      <c r="J38" s="564"/>
      <c r="K38" s="564"/>
      <c r="L38" s="564"/>
      <c r="M38" s="564"/>
      <c r="N38" s="563">
        <v>3000000</v>
      </c>
      <c r="O38" s="563">
        <v>3000000</v>
      </c>
      <c r="P38" s="563">
        <v>2836737</v>
      </c>
      <c r="Q38" s="579">
        <f t="shared" si="58"/>
        <v>0.94557899999999995</v>
      </c>
      <c r="R38" s="564"/>
      <c r="S38" s="564"/>
      <c r="T38" s="564"/>
      <c r="U38" s="580"/>
      <c r="V38" s="562" t="s">
        <v>367</v>
      </c>
      <c r="W38" s="564"/>
      <c r="X38" s="564"/>
      <c r="Y38" s="564"/>
      <c r="Z38" s="564"/>
      <c r="AA38" s="564"/>
      <c r="AB38" s="564"/>
      <c r="AC38" s="564"/>
      <c r="AD38" s="580"/>
      <c r="AE38" s="564"/>
      <c r="AF38" s="564"/>
      <c r="AG38" s="564"/>
      <c r="AH38" s="580"/>
      <c r="AI38" s="564"/>
      <c r="AJ38" s="564"/>
      <c r="AK38" s="564"/>
      <c r="AL38" s="580"/>
      <c r="AM38" s="564"/>
      <c r="AN38" s="564"/>
      <c r="AO38" s="564"/>
      <c r="AP38" s="580"/>
      <c r="AQ38" s="562" t="s">
        <v>367</v>
      </c>
      <c r="AR38" s="112">
        <f t="shared" si="59"/>
        <v>3000000</v>
      </c>
      <c r="AS38" s="112">
        <f t="shared" si="59"/>
        <v>3000000</v>
      </c>
      <c r="AT38" s="112">
        <f t="shared" si="59"/>
        <v>2836737</v>
      </c>
      <c r="AU38" s="113">
        <f t="shared" si="60"/>
        <v>0.94557899999999995</v>
      </c>
      <c r="AV38" s="112">
        <f t="shared" si="61"/>
        <v>0</v>
      </c>
      <c r="AW38" s="112">
        <f t="shared" si="61"/>
        <v>0</v>
      </c>
      <c r="AX38" s="112">
        <f t="shared" si="61"/>
        <v>0</v>
      </c>
      <c r="AY38" s="113"/>
      <c r="AZ38" s="114">
        <f t="shared" si="62"/>
        <v>3000000</v>
      </c>
      <c r="BA38" s="114">
        <f t="shared" si="62"/>
        <v>3000000</v>
      </c>
      <c r="BB38" s="114">
        <f t="shared" si="62"/>
        <v>2836737</v>
      </c>
      <c r="BC38" s="115">
        <f t="shared" si="6"/>
        <v>0.94557899999999995</v>
      </c>
      <c r="BD38" s="116"/>
    </row>
    <row r="39" spans="1:56">
      <c r="A39" s="562" t="s">
        <v>368</v>
      </c>
      <c r="B39" s="564"/>
      <c r="C39" s="564"/>
      <c r="D39" s="564"/>
      <c r="E39" s="580"/>
      <c r="F39" s="573"/>
      <c r="G39" s="573"/>
      <c r="H39" s="573"/>
      <c r="I39" s="573"/>
      <c r="J39" s="564"/>
      <c r="K39" s="564"/>
      <c r="L39" s="564"/>
      <c r="M39" s="564"/>
      <c r="N39" s="563">
        <v>140970000</v>
      </c>
      <c r="O39" s="563">
        <v>140970000</v>
      </c>
      <c r="P39" s="563">
        <v>140970000</v>
      </c>
      <c r="Q39" s="579">
        <f t="shared" si="58"/>
        <v>1</v>
      </c>
      <c r="R39" s="564"/>
      <c r="S39" s="564"/>
      <c r="T39" s="564"/>
      <c r="U39" s="580"/>
      <c r="V39" s="562" t="s">
        <v>368</v>
      </c>
      <c r="W39" s="564"/>
      <c r="X39" s="564"/>
      <c r="Y39" s="564"/>
      <c r="Z39" s="564"/>
      <c r="AA39" s="564"/>
      <c r="AB39" s="564"/>
      <c r="AC39" s="564"/>
      <c r="AD39" s="580"/>
      <c r="AE39" s="564"/>
      <c r="AF39" s="564"/>
      <c r="AG39" s="564"/>
      <c r="AH39" s="580"/>
      <c r="AI39" s="564"/>
      <c r="AJ39" s="564"/>
      <c r="AK39" s="564"/>
      <c r="AL39" s="580"/>
      <c r="AM39" s="564"/>
      <c r="AN39" s="564"/>
      <c r="AO39" s="564"/>
      <c r="AP39" s="580"/>
      <c r="AQ39" s="562" t="s">
        <v>368</v>
      </c>
      <c r="AR39" s="112">
        <f t="shared" si="59"/>
        <v>140970000</v>
      </c>
      <c r="AS39" s="112">
        <f t="shared" si="59"/>
        <v>140970000</v>
      </c>
      <c r="AT39" s="112">
        <f t="shared" si="59"/>
        <v>140970000</v>
      </c>
      <c r="AU39" s="113">
        <f t="shared" si="60"/>
        <v>1</v>
      </c>
      <c r="AV39" s="112">
        <f t="shared" si="61"/>
        <v>0</v>
      </c>
      <c r="AW39" s="112">
        <f t="shared" si="61"/>
        <v>0</v>
      </c>
      <c r="AX39" s="112">
        <f t="shared" si="61"/>
        <v>0</v>
      </c>
      <c r="AY39" s="113"/>
      <c r="AZ39" s="114">
        <f t="shared" si="62"/>
        <v>140970000</v>
      </c>
      <c r="BA39" s="114">
        <f t="shared" si="62"/>
        <v>140970000</v>
      </c>
      <c r="BB39" s="114">
        <f t="shared" si="62"/>
        <v>140970000</v>
      </c>
      <c r="BC39" s="115">
        <f t="shared" si="6"/>
        <v>1</v>
      </c>
      <c r="BD39" s="116"/>
    </row>
    <row r="40" spans="1:56">
      <c r="A40" s="562" t="s">
        <v>677</v>
      </c>
      <c r="B40" s="564"/>
      <c r="C40" s="564"/>
      <c r="D40" s="564"/>
      <c r="E40" s="580"/>
      <c r="F40" s="573"/>
      <c r="G40" s="573"/>
      <c r="H40" s="573"/>
      <c r="I40" s="573"/>
      <c r="J40" s="564"/>
      <c r="K40" s="564"/>
      <c r="L40" s="564"/>
      <c r="M40" s="564"/>
      <c r="N40" s="563">
        <v>57172000</v>
      </c>
      <c r="O40" s="563">
        <v>57172000</v>
      </c>
      <c r="P40" s="563">
        <v>21929033</v>
      </c>
      <c r="Q40" s="579">
        <f t="shared" si="58"/>
        <v>0.38356246064507099</v>
      </c>
      <c r="R40" s="564"/>
      <c r="S40" s="564"/>
      <c r="T40" s="564"/>
      <c r="U40" s="580"/>
      <c r="V40" s="562" t="s">
        <v>677</v>
      </c>
      <c r="W40" s="564"/>
      <c r="X40" s="564"/>
      <c r="Y40" s="564"/>
      <c r="Z40" s="564"/>
      <c r="AA40" s="564"/>
      <c r="AB40" s="564"/>
      <c r="AC40" s="564"/>
      <c r="AD40" s="580"/>
      <c r="AE40" s="564"/>
      <c r="AF40" s="564"/>
      <c r="AG40" s="564"/>
      <c r="AH40" s="580"/>
      <c r="AI40" s="564"/>
      <c r="AJ40" s="564"/>
      <c r="AK40" s="564"/>
      <c r="AL40" s="580"/>
      <c r="AM40" s="564"/>
      <c r="AN40" s="564"/>
      <c r="AO40" s="564"/>
      <c r="AP40" s="580"/>
      <c r="AQ40" s="562" t="s">
        <v>677</v>
      </c>
      <c r="AR40" s="112">
        <f t="shared" si="59"/>
        <v>57172000</v>
      </c>
      <c r="AS40" s="112">
        <f t="shared" si="59"/>
        <v>57172000</v>
      </c>
      <c r="AT40" s="112">
        <f t="shared" si="59"/>
        <v>21929033</v>
      </c>
      <c r="AU40" s="113">
        <f t="shared" si="60"/>
        <v>0.38356246064507099</v>
      </c>
      <c r="AV40" s="112"/>
      <c r="AW40" s="112"/>
      <c r="AX40" s="112"/>
      <c r="AY40" s="113"/>
      <c r="AZ40" s="114">
        <f t="shared" si="62"/>
        <v>57172000</v>
      </c>
      <c r="BA40" s="114">
        <f t="shared" si="62"/>
        <v>57172000</v>
      </c>
      <c r="BB40" s="114">
        <f t="shared" si="62"/>
        <v>21929033</v>
      </c>
      <c r="BC40" s="115">
        <f t="shared" si="6"/>
        <v>0.38356246064507099</v>
      </c>
      <c r="BD40" s="116"/>
    </row>
    <row r="41" spans="1:56">
      <c r="A41" s="562" t="s">
        <v>678</v>
      </c>
      <c r="B41" s="564"/>
      <c r="C41" s="564"/>
      <c r="D41" s="564"/>
      <c r="E41" s="580"/>
      <c r="F41" s="573"/>
      <c r="G41" s="573"/>
      <c r="H41" s="573"/>
      <c r="I41" s="573"/>
      <c r="J41" s="564"/>
      <c r="K41" s="564"/>
      <c r="L41" s="564"/>
      <c r="M41" s="564"/>
      <c r="N41" s="563">
        <v>3600000</v>
      </c>
      <c r="O41" s="563">
        <v>3600000</v>
      </c>
      <c r="P41" s="563">
        <v>3300000</v>
      </c>
      <c r="Q41" s="579">
        <f t="shared" si="58"/>
        <v>0.91666666666666663</v>
      </c>
      <c r="R41" s="564"/>
      <c r="S41" s="564"/>
      <c r="T41" s="564"/>
      <c r="U41" s="580"/>
      <c r="V41" s="562" t="s">
        <v>678</v>
      </c>
      <c r="W41" s="564"/>
      <c r="X41" s="564"/>
      <c r="Y41" s="564"/>
      <c r="Z41" s="564"/>
      <c r="AA41" s="564"/>
      <c r="AB41" s="564"/>
      <c r="AC41" s="564"/>
      <c r="AD41" s="580"/>
      <c r="AE41" s="564"/>
      <c r="AF41" s="564"/>
      <c r="AG41" s="564"/>
      <c r="AH41" s="580"/>
      <c r="AI41" s="564"/>
      <c r="AJ41" s="564"/>
      <c r="AK41" s="564"/>
      <c r="AL41" s="580"/>
      <c r="AM41" s="564"/>
      <c r="AN41" s="564"/>
      <c r="AO41" s="564"/>
      <c r="AP41" s="580"/>
      <c r="AQ41" s="562" t="s">
        <v>678</v>
      </c>
      <c r="AR41" s="112">
        <f t="shared" si="59"/>
        <v>3600000</v>
      </c>
      <c r="AS41" s="112">
        <f t="shared" si="59"/>
        <v>3600000</v>
      </c>
      <c r="AT41" s="112">
        <f t="shared" si="59"/>
        <v>3300000</v>
      </c>
      <c r="AU41" s="113">
        <f t="shared" si="60"/>
        <v>0.91666666666666663</v>
      </c>
      <c r="AV41" s="112">
        <f t="shared" ref="AV41:AX57" si="63">SUM(F41+R41+AA41+AI41)</f>
        <v>0</v>
      </c>
      <c r="AW41" s="112">
        <f t="shared" si="63"/>
        <v>0</v>
      </c>
      <c r="AX41" s="112">
        <f t="shared" si="63"/>
        <v>0</v>
      </c>
      <c r="AY41" s="113"/>
      <c r="AZ41" s="114">
        <f t="shared" si="62"/>
        <v>3600000</v>
      </c>
      <c r="BA41" s="114">
        <f t="shared" si="62"/>
        <v>3600000</v>
      </c>
      <c r="BB41" s="114">
        <f t="shared" si="62"/>
        <v>3300000</v>
      </c>
      <c r="BC41" s="115">
        <f t="shared" si="6"/>
        <v>0.91666666666666663</v>
      </c>
      <c r="BD41" s="116"/>
    </row>
    <row r="42" spans="1:56">
      <c r="A42" s="562" t="s">
        <v>369</v>
      </c>
      <c r="B42" s="563"/>
      <c r="C42" s="563"/>
      <c r="D42" s="563"/>
      <c r="E42" s="579"/>
      <c r="F42" s="563"/>
      <c r="G42" s="563"/>
      <c r="H42" s="563"/>
      <c r="I42" s="563"/>
      <c r="J42" s="573"/>
      <c r="K42" s="573"/>
      <c r="L42" s="573"/>
      <c r="M42" s="573"/>
      <c r="N42" s="564">
        <v>7505000</v>
      </c>
      <c r="O42" s="564">
        <f>7505000+1811100</f>
        <v>9316100</v>
      </c>
      <c r="P42" s="564">
        <v>9727837</v>
      </c>
      <c r="Q42" s="579">
        <f t="shared" si="58"/>
        <v>1.044196283852685</v>
      </c>
      <c r="R42" s="564"/>
      <c r="S42" s="564"/>
      <c r="T42" s="564"/>
      <c r="U42" s="580"/>
      <c r="V42" s="562" t="s">
        <v>369</v>
      </c>
      <c r="W42" s="564"/>
      <c r="X42" s="564"/>
      <c r="Y42" s="564"/>
      <c r="Z42" s="564"/>
      <c r="AA42" s="564"/>
      <c r="AB42" s="564"/>
      <c r="AC42" s="564"/>
      <c r="AD42" s="580"/>
      <c r="AE42" s="564"/>
      <c r="AF42" s="564"/>
      <c r="AG42" s="564"/>
      <c r="AH42" s="580"/>
      <c r="AI42" s="564"/>
      <c r="AJ42" s="564"/>
      <c r="AK42" s="564"/>
      <c r="AL42" s="580"/>
      <c r="AM42" s="564"/>
      <c r="AN42" s="564"/>
      <c r="AO42" s="564"/>
      <c r="AP42" s="580"/>
      <c r="AQ42" s="562" t="s">
        <v>369</v>
      </c>
      <c r="AR42" s="112">
        <f t="shared" si="59"/>
        <v>7505000</v>
      </c>
      <c r="AS42" s="112">
        <f t="shared" si="59"/>
        <v>9316100</v>
      </c>
      <c r="AT42" s="112">
        <f t="shared" si="59"/>
        <v>9727837</v>
      </c>
      <c r="AU42" s="113">
        <f t="shared" si="60"/>
        <v>1.044196283852685</v>
      </c>
      <c r="AV42" s="112">
        <f t="shared" si="63"/>
        <v>0</v>
      </c>
      <c r="AW42" s="112">
        <f t="shared" si="63"/>
        <v>0</v>
      </c>
      <c r="AX42" s="112">
        <f t="shared" si="63"/>
        <v>0</v>
      </c>
      <c r="AY42" s="113">
        <v>0</v>
      </c>
      <c r="AZ42" s="114">
        <f t="shared" si="62"/>
        <v>7505000</v>
      </c>
      <c r="BA42" s="114">
        <f t="shared" si="62"/>
        <v>9316100</v>
      </c>
      <c r="BB42" s="114">
        <f t="shared" si="62"/>
        <v>9727837</v>
      </c>
      <c r="BC42" s="115">
        <f t="shared" si="6"/>
        <v>1.044196283852685</v>
      </c>
      <c r="BD42" s="116"/>
    </row>
    <row r="43" spans="1:56">
      <c r="A43" s="562" t="s">
        <v>695</v>
      </c>
      <c r="B43" s="563"/>
      <c r="C43" s="563"/>
      <c r="D43" s="563"/>
      <c r="E43" s="579"/>
      <c r="F43" s="563"/>
      <c r="G43" s="563"/>
      <c r="H43" s="563"/>
      <c r="I43" s="563"/>
      <c r="J43" s="573"/>
      <c r="K43" s="573"/>
      <c r="L43" s="573"/>
      <c r="M43" s="573"/>
      <c r="N43" s="564"/>
      <c r="O43" s="564"/>
      <c r="P43" s="564">
        <v>967404</v>
      </c>
      <c r="Q43" s="580">
        <v>0</v>
      </c>
      <c r="R43" s="564"/>
      <c r="S43" s="564"/>
      <c r="T43" s="564"/>
      <c r="U43" s="580"/>
      <c r="V43" s="562" t="s">
        <v>695</v>
      </c>
      <c r="W43" s="564"/>
      <c r="X43" s="564"/>
      <c r="Y43" s="564"/>
      <c r="Z43" s="564"/>
      <c r="AA43" s="564"/>
      <c r="AB43" s="564"/>
      <c r="AC43" s="564"/>
      <c r="AD43" s="580"/>
      <c r="AE43" s="564"/>
      <c r="AF43" s="564"/>
      <c r="AG43" s="564"/>
      <c r="AH43" s="580"/>
      <c r="AI43" s="564"/>
      <c r="AJ43" s="564"/>
      <c r="AK43" s="564"/>
      <c r="AL43" s="580"/>
      <c r="AM43" s="564"/>
      <c r="AN43" s="564"/>
      <c r="AO43" s="564"/>
      <c r="AP43" s="580"/>
      <c r="AQ43" s="562" t="s">
        <v>695</v>
      </c>
      <c r="AR43" s="112"/>
      <c r="AS43" s="112"/>
      <c r="AT43" s="112">
        <f t="shared" si="59"/>
        <v>967404</v>
      </c>
      <c r="AU43" s="113">
        <v>0</v>
      </c>
      <c r="AV43" s="112"/>
      <c r="AW43" s="112"/>
      <c r="AX43" s="112"/>
      <c r="AY43" s="113"/>
      <c r="AZ43" s="114"/>
      <c r="BA43" s="114"/>
      <c r="BB43" s="114">
        <f t="shared" si="62"/>
        <v>967404</v>
      </c>
      <c r="BC43" s="115">
        <v>0</v>
      </c>
      <c r="BD43" s="116"/>
    </row>
    <row r="44" spans="1:56" ht="40.5">
      <c r="A44" s="130" t="s">
        <v>679</v>
      </c>
      <c r="B44" s="563"/>
      <c r="C44" s="563"/>
      <c r="D44" s="563"/>
      <c r="E44" s="579"/>
      <c r="F44" s="563"/>
      <c r="G44" s="563"/>
      <c r="H44" s="563"/>
      <c r="I44" s="563"/>
      <c r="J44" s="573"/>
      <c r="K44" s="573"/>
      <c r="L44" s="573"/>
      <c r="M44" s="573"/>
      <c r="N44" s="564"/>
      <c r="O44" s="564"/>
      <c r="P44" s="564"/>
      <c r="Q44" s="580"/>
      <c r="R44" s="564"/>
      <c r="S44" s="564"/>
      <c r="T44" s="564"/>
      <c r="U44" s="580"/>
      <c r="V44" s="130" t="s">
        <v>679</v>
      </c>
      <c r="W44" s="564">
        <v>1500000</v>
      </c>
      <c r="X44" s="564">
        <v>1500000</v>
      </c>
      <c r="Y44" s="564">
        <v>1522850</v>
      </c>
      <c r="Z44" s="582">
        <f>SUM(Y44/X44)</f>
        <v>1.0152333333333334</v>
      </c>
      <c r="AA44" s="564"/>
      <c r="AB44" s="564"/>
      <c r="AC44" s="564"/>
      <c r="AD44" s="580"/>
      <c r="AE44" s="564"/>
      <c r="AF44" s="564"/>
      <c r="AG44" s="564"/>
      <c r="AH44" s="580"/>
      <c r="AI44" s="564"/>
      <c r="AJ44" s="564"/>
      <c r="AK44" s="564"/>
      <c r="AL44" s="580"/>
      <c r="AM44" s="564"/>
      <c r="AN44" s="564"/>
      <c r="AO44" s="564"/>
      <c r="AP44" s="580"/>
      <c r="AQ44" s="130" t="s">
        <v>679</v>
      </c>
      <c r="AR44" s="112">
        <f t="shared" si="59"/>
        <v>1500000</v>
      </c>
      <c r="AS44" s="112">
        <f t="shared" si="59"/>
        <v>1500000</v>
      </c>
      <c r="AT44" s="112">
        <f t="shared" si="59"/>
        <v>1522850</v>
      </c>
      <c r="AU44" s="113">
        <v>0</v>
      </c>
      <c r="AV44" s="112">
        <f t="shared" si="63"/>
        <v>0</v>
      </c>
      <c r="AW44" s="112">
        <f t="shared" si="63"/>
        <v>0</v>
      </c>
      <c r="AX44" s="112">
        <f t="shared" si="63"/>
        <v>0</v>
      </c>
      <c r="AY44" s="113">
        <v>0</v>
      </c>
      <c r="AZ44" s="114">
        <f t="shared" si="62"/>
        <v>1500000</v>
      </c>
      <c r="BA44" s="114">
        <f t="shared" si="62"/>
        <v>1500000</v>
      </c>
      <c r="BB44" s="114">
        <f t="shared" si="62"/>
        <v>1522850</v>
      </c>
      <c r="BC44" s="115">
        <f t="shared" si="6"/>
        <v>1.0152333333333334</v>
      </c>
      <c r="BD44" s="116"/>
    </row>
    <row r="45" spans="1:56" ht="60.75">
      <c r="A45" s="130" t="s">
        <v>680</v>
      </c>
      <c r="B45" s="563"/>
      <c r="C45" s="563"/>
      <c r="D45" s="563"/>
      <c r="E45" s="579"/>
      <c r="F45" s="563"/>
      <c r="G45" s="563"/>
      <c r="H45" s="563"/>
      <c r="I45" s="563"/>
      <c r="J45" s="573"/>
      <c r="K45" s="573"/>
      <c r="L45" s="573"/>
      <c r="M45" s="573"/>
      <c r="N45" s="564"/>
      <c r="O45" s="564"/>
      <c r="P45" s="564"/>
      <c r="Q45" s="580"/>
      <c r="R45" s="564">
        <v>20000000</v>
      </c>
      <c r="S45" s="564">
        <f>20000000-20000000</f>
        <v>0</v>
      </c>
      <c r="T45" s="564"/>
      <c r="U45" s="580"/>
      <c r="V45" s="130" t="s">
        <v>680</v>
      </c>
      <c r="W45" s="564"/>
      <c r="X45" s="564"/>
      <c r="Y45" s="564"/>
      <c r="Z45" s="564"/>
      <c r="AA45" s="564"/>
      <c r="AB45" s="564"/>
      <c r="AC45" s="564"/>
      <c r="AD45" s="580"/>
      <c r="AE45" s="564"/>
      <c r="AF45" s="564"/>
      <c r="AG45" s="564"/>
      <c r="AH45" s="580"/>
      <c r="AI45" s="564"/>
      <c r="AJ45" s="564"/>
      <c r="AK45" s="564"/>
      <c r="AL45" s="580"/>
      <c r="AM45" s="564"/>
      <c r="AN45" s="564"/>
      <c r="AO45" s="564"/>
      <c r="AP45" s="580"/>
      <c r="AQ45" s="130" t="s">
        <v>680</v>
      </c>
      <c r="AR45" s="112">
        <f t="shared" ref="AR45" si="64">SUM(B45+J45+N45+W45+AE45+AM45)</f>
        <v>0</v>
      </c>
      <c r="AS45" s="112">
        <f t="shared" ref="AS45" si="65">SUM(C45+K45+O45+X45+AF45+AN45)</f>
        <v>0</v>
      </c>
      <c r="AT45" s="112">
        <f t="shared" ref="AT45" si="66">SUM(D45+L45+P45+Y45+AG45+AO45)</f>
        <v>0</v>
      </c>
      <c r="AU45" s="113">
        <v>0</v>
      </c>
      <c r="AV45" s="112">
        <f t="shared" ref="AV45" si="67">SUM(F45+R45+AA45+AI45)</f>
        <v>20000000</v>
      </c>
      <c r="AW45" s="112">
        <f t="shared" ref="AW45" si="68">SUM(G45+S45+AB45+AJ45)</f>
        <v>0</v>
      </c>
      <c r="AX45" s="112">
        <f t="shared" ref="AX45" si="69">SUM(H45+T45+AC45+AK45)</f>
        <v>0</v>
      </c>
      <c r="AY45" s="113">
        <v>0</v>
      </c>
      <c r="AZ45" s="114">
        <f t="shared" ref="AZ45" si="70">SUM(B45+F45+J45+N45+R45+W45+AA45+AE45+AI45+AM45)</f>
        <v>20000000</v>
      </c>
      <c r="BA45" s="114">
        <f t="shared" ref="BA45" si="71">SUM(C45+G45+K45+O45+S45+X45+AB45+AF45+AJ45+AN45)</f>
        <v>0</v>
      </c>
      <c r="BB45" s="114">
        <f t="shared" ref="BB45" si="72">SUM(D45+H45+L45+P45+T45+Y45+AC45+AG45+AK45+AO45)</f>
        <v>0</v>
      </c>
      <c r="BC45" s="115">
        <v>0</v>
      </c>
      <c r="BD45" s="116"/>
    </row>
    <row r="46" spans="1:56" ht="40.5">
      <c r="A46" s="130" t="s">
        <v>696</v>
      </c>
      <c r="B46" s="563"/>
      <c r="C46" s="563"/>
      <c r="D46" s="563"/>
      <c r="E46" s="579"/>
      <c r="F46" s="563"/>
      <c r="G46" s="563"/>
      <c r="H46" s="563"/>
      <c r="I46" s="563"/>
      <c r="J46" s="573"/>
      <c r="K46" s="573"/>
      <c r="L46" s="573"/>
      <c r="M46" s="573"/>
      <c r="N46" s="564"/>
      <c r="O46" s="564"/>
      <c r="P46" s="564"/>
      <c r="Q46" s="580"/>
      <c r="R46" s="564"/>
      <c r="S46" s="564"/>
      <c r="T46" s="564">
        <v>700000</v>
      </c>
      <c r="U46" s="580">
        <v>0</v>
      </c>
      <c r="V46" s="130" t="s">
        <v>696</v>
      </c>
      <c r="W46" s="564"/>
      <c r="X46" s="564"/>
      <c r="Y46" s="564"/>
      <c r="Z46" s="564"/>
      <c r="AA46" s="564"/>
      <c r="AB46" s="564"/>
      <c r="AC46" s="564"/>
      <c r="AD46" s="580"/>
      <c r="AE46" s="564"/>
      <c r="AF46" s="564"/>
      <c r="AG46" s="564"/>
      <c r="AH46" s="580"/>
      <c r="AI46" s="564"/>
      <c r="AJ46" s="564"/>
      <c r="AK46" s="564"/>
      <c r="AL46" s="580"/>
      <c r="AM46" s="564"/>
      <c r="AN46" s="564"/>
      <c r="AO46" s="564"/>
      <c r="AP46" s="580"/>
      <c r="AQ46" s="130" t="s">
        <v>696</v>
      </c>
      <c r="AR46" s="112">
        <f t="shared" ref="AR46:AR47" si="73">SUM(B46+J46+N46+W46+AE46+AM46)</f>
        <v>0</v>
      </c>
      <c r="AS46" s="112">
        <f t="shared" ref="AS46:AS47" si="74">SUM(C46+K46+O46+X46+AF46+AN46)</f>
        <v>0</v>
      </c>
      <c r="AT46" s="112">
        <f t="shared" ref="AT46:AT47" si="75">SUM(D46+L46+P46+Y46+AG46+AO46)</f>
        <v>0</v>
      </c>
      <c r="AU46" s="113">
        <v>0</v>
      </c>
      <c r="AV46" s="112">
        <f t="shared" ref="AV46:AV47" si="76">SUM(F46+R46+AA46+AI46)</f>
        <v>0</v>
      </c>
      <c r="AW46" s="112">
        <f t="shared" ref="AW46:AW47" si="77">SUM(G46+S46+AB46+AJ46)</f>
        <v>0</v>
      </c>
      <c r="AX46" s="112">
        <f t="shared" ref="AX46:AX47" si="78">SUM(H46+T46+AC46+AK46)</f>
        <v>700000</v>
      </c>
      <c r="AY46" s="113">
        <v>0</v>
      </c>
      <c r="AZ46" s="114">
        <f t="shared" ref="AZ46:AZ47" si="79">SUM(B46+F46+J46+N46+R46+W46+AA46+AE46+AI46+AM46)</f>
        <v>0</v>
      </c>
      <c r="BA46" s="114">
        <f t="shared" ref="BA46:BA47" si="80">SUM(C46+G46+K46+O46+S46+X46+AB46+AF46+AJ46+AN46)</f>
        <v>0</v>
      </c>
      <c r="BB46" s="114">
        <f t="shared" ref="BB46:BB47" si="81">SUM(D46+H46+L46+P46+T46+Y46+AC46+AG46+AK46+AO46)</f>
        <v>700000</v>
      </c>
      <c r="BC46" s="115">
        <v>0</v>
      </c>
      <c r="BD46" s="116"/>
    </row>
    <row r="47" spans="1:56">
      <c r="A47" s="590" t="s">
        <v>681</v>
      </c>
      <c r="B47" s="569"/>
      <c r="C47" s="569"/>
      <c r="D47" s="569"/>
      <c r="E47" s="585"/>
      <c r="F47" s="569"/>
      <c r="G47" s="569"/>
      <c r="H47" s="569"/>
      <c r="I47" s="569"/>
      <c r="J47" s="576"/>
      <c r="K47" s="576"/>
      <c r="L47" s="576"/>
      <c r="M47" s="576"/>
      <c r="N47" s="577"/>
      <c r="O47" s="577"/>
      <c r="P47" s="577"/>
      <c r="Q47" s="589"/>
      <c r="R47" s="577">
        <v>95543000</v>
      </c>
      <c r="S47" s="577">
        <f>95543000-6515000+15080196</f>
        <v>104108196</v>
      </c>
      <c r="T47" s="577">
        <v>16118042</v>
      </c>
      <c r="U47" s="582">
        <f>SUM(T47/S47)</f>
        <v>0.15482010657451023</v>
      </c>
      <c r="V47" s="590" t="s">
        <v>681</v>
      </c>
      <c r="W47" s="577"/>
      <c r="X47" s="577"/>
      <c r="Y47" s="577"/>
      <c r="Z47" s="577"/>
      <c r="AA47" s="577"/>
      <c r="AB47" s="577"/>
      <c r="AC47" s="577"/>
      <c r="AD47" s="589"/>
      <c r="AE47" s="577"/>
      <c r="AF47" s="577"/>
      <c r="AG47" s="577"/>
      <c r="AH47" s="589"/>
      <c r="AI47" s="577"/>
      <c r="AJ47" s="577"/>
      <c r="AK47" s="577"/>
      <c r="AL47" s="589"/>
      <c r="AM47" s="577"/>
      <c r="AN47" s="577"/>
      <c r="AO47" s="577"/>
      <c r="AP47" s="589"/>
      <c r="AQ47" s="590" t="s">
        <v>681</v>
      </c>
      <c r="AR47" s="112">
        <f t="shared" si="73"/>
        <v>0</v>
      </c>
      <c r="AS47" s="112">
        <f t="shared" si="74"/>
        <v>0</v>
      </c>
      <c r="AT47" s="112">
        <f t="shared" si="75"/>
        <v>0</v>
      </c>
      <c r="AU47" s="113">
        <v>0</v>
      </c>
      <c r="AV47" s="112">
        <f t="shared" si="76"/>
        <v>95543000</v>
      </c>
      <c r="AW47" s="112">
        <f t="shared" si="77"/>
        <v>104108196</v>
      </c>
      <c r="AX47" s="112">
        <f t="shared" si="78"/>
        <v>16118042</v>
      </c>
      <c r="AY47" s="113">
        <f>AX47/AW47</f>
        <v>0.15482010657451023</v>
      </c>
      <c r="AZ47" s="114">
        <f t="shared" si="79"/>
        <v>95543000</v>
      </c>
      <c r="BA47" s="114">
        <f t="shared" si="80"/>
        <v>104108196</v>
      </c>
      <c r="BB47" s="114">
        <f t="shared" si="81"/>
        <v>16118042</v>
      </c>
      <c r="BC47" s="115">
        <f>SUM(BB47/BA47)</f>
        <v>0.15482010657451023</v>
      </c>
      <c r="BD47" s="116"/>
    </row>
    <row r="48" spans="1:56" ht="40.5">
      <c r="A48" s="130" t="s">
        <v>698</v>
      </c>
      <c r="B48" s="563"/>
      <c r="C48" s="563"/>
      <c r="D48" s="563"/>
      <c r="E48" s="579"/>
      <c r="F48" s="563"/>
      <c r="G48" s="563"/>
      <c r="H48" s="563"/>
      <c r="I48" s="563"/>
      <c r="J48" s="573"/>
      <c r="K48" s="573"/>
      <c r="L48" s="573"/>
      <c r="M48" s="573"/>
      <c r="N48" s="564"/>
      <c r="O48" s="564"/>
      <c r="P48" s="564"/>
      <c r="Q48" s="580"/>
      <c r="R48" s="564"/>
      <c r="S48" s="564"/>
      <c r="T48" s="564">
        <v>989503</v>
      </c>
      <c r="U48" s="579">
        <v>0</v>
      </c>
      <c r="V48" s="130" t="s">
        <v>698</v>
      </c>
      <c r="W48" s="564"/>
      <c r="X48" s="564"/>
      <c r="Y48" s="564"/>
      <c r="Z48" s="564"/>
      <c r="AA48" s="564"/>
      <c r="AB48" s="564"/>
      <c r="AC48" s="564"/>
      <c r="AD48" s="580"/>
      <c r="AE48" s="564"/>
      <c r="AF48" s="564"/>
      <c r="AG48" s="564"/>
      <c r="AH48" s="580"/>
      <c r="AI48" s="564"/>
      <c r="AJ48" s="564"/>
      <c r="AK48" s="564"/>
      <c r="AL48" s="580"/>
      <c r="AM48" s="564"/>
      <c r="AN48" s="564"/>
      <c r="AO48" s="564"/>
      <c r="AP48" s="580"/>
      <c r="AQ48" s="130" t="s">
        <v>698</v>
      </c>
      <c r="AR48" s="112">
        <f t="shared" ref="AR48" si="82">SUM(B48+J48+N48+W48+AE48+AM48)</f>
        <v>0</v>
      </c>
      <c r="AS48" s="112">
        <f t="shared" ref="AS48" si="83">SUM(C48+K48+O48+X48+AF48+AN48)</f>
        <v>0</v>
      </c>
      <c r="AT48" s="112">
        <f t="shared" ref="AT48" si="84">SUM(D48+L48+P48+Y48+AG48+AO48)</f>
        <v>0</v>
      </c>
      <c r="AU48" s="113">
        <v>0</v>
      </c>
      <c r="AV48" s="112">
        <f t="shared" ref="AV48" si="85">SUM(F48+R48+AA48+AI48)</f>
        <v>0</v>
      </c>
      <c r="AW48" s="112">
        <f t="shared" ref="AW48" si="86">SUM(G48+S48+AB48+AJ48)</f>
        <v>0</v>
      </c>
      <c r="AX48" s="112">
        <f t="shared" ref="AX48" si="87">SUM(H48+T48+AC48+AK48)</f>
        <v>989503</v>
      </c>
      <c r="AY48" s="113">
        <v>0</v>
      </c>
      <c r="AZ48" s="114">
        <f t="shared" ref="AZ48" si="88">SUM(B48+F48+J48+N48+R48+W48+AA48+AE48+AI48+AM48)</f>
        <v>0</v>
      </c>
      <c r="BA48" s="114">
        <f t="shared" ref="BA48" si="89">SUM(C48+G48+K48+O48+S48+X48+AB48+AF48+AJ48+AN48)</f>
        <v>0</v>
      </c>
      <c r="BB48" s="114">
        <f t="shared" ref="BB48" si="90">SUM(D48+H48+L48+P48+T48+Y48+AC48+AG48+AK48+AO48)</f>
        <v>989503</v>
      </c>
      <c r="BC48" s="115">
        <v>0</v>
      </c>
      <c r="BD48" s="116"/>
    </row>
    <row r="49" spans="1:56">
      <c r="A49" s="130" t="s">
        <v>682</v>
      </c>
      <c r="B49" s="563"/>
      <c r="C49" s="563"/>
      <c r="D49" s="563"/>
      <c r="E49" s="579"/>
      <c r="F49" s="563"/>
      <c r="G49" s="563"/>
      <c r="H49" s="563"/>
      <c r="I49" s="563"/>
      <c r="J49" s="573"/>
      <c r="K49" s="573"/>
      <c r="L49" s="573"/>
      <c r="M49" s="573"/>
      <c r="N49" s="564"/>
      <c r="O49" s="564"/>
      <c r="P49" s="564"/>
      <c r="Q49" s="580"/>
      <c r="R49" s="564"/>
      <c r="S49" s="564"/>
      <c r="T49" s="564"/>
      <c r="U49" s="580"/>
      <c r="V49" s="130" t="s">
        <v>682</v>
      </c>
      <c r="W49" s="564">
        <v>23828000</v>
      </c>
      <c r="X49" s="564">
        <f>23828000-7050000-10000000</f>
        <v>6778000</v>
      </c>
      <c r="Y49" s="564"/>
      <c r="Z49" s="564"/>
      <c r="AA49" s="564">
        <v>16096000</v>
      </c>
      <c r="AB49" s="564">
        <f>16096000-7366000-6190000</f>
        <v>2540000</v>
      </c>
      <c r="AC49" s="564"/>
      <c r="AD49" s="580"/>
      <c r="AE49" s="564"/>
      <c r="AF49" s="564"/>
      <c r="AG49" s="564"/>
      <c r="AH49" s="580"/>
      <c r="AI49" s="564"/>
      <c r="AJ49" s="564"/>
      <c r="AK49" s="564"/>
      <c r="AL49" s="580"/>
      <c r="AM49" s="564"/>
      <c r="AN49" s="564"/>
      <c r="AO49" s="564"/>
      <c r="AP49" s="580"/>
      <c r="AQ49" s="130" t="s">
        <v>682</v>
      </c>
      <c r="AR49" s="112">
        <f t="shared" si="59"/>
        <v>23828000</v>
      </c>
      <c r="AS49" s="112">
        <f t="shared" si="59"/>
        <v>6778000</v>
      </c>
      <c r="AT49" s="112">
        <f t="shared" si="59"/>
        <v>0</v>
      </c>
      <c r="AU49" s="113">
        <f t="shared" si="60"/>
        <v>0</v>
      </c>
      <c r="AV49" s="112">
        <f t="shared" si="63"/>
        <v>16096000</v>
      </c>
      <c r="AW49" s="112">
        <f t="shared" si="63"/>
        <v>2540000</v>
      </c>
      <c r="AX49" s="112">
        <f t="shared" si="63"/>
        <v>0</v>
      </c>
      <c r="AY49" s="113">
        <f t="shared" ref="AY49:AY57" si="91">AX49/AW49</f>
        <v>0</v>
      </c>
      <c r="AZ49" s="114">
        <f t="shared" si="62"/>
        <v>39924000</v>
      </c>
      <c r="BA49" s="114">
        <f t="shared" si="62"/>
        <v>9318000</v>
      </c>
      <c r="BB49" s="114">
        <f t="shared" si="62"/>
        <v>0</v>
      </c>
      <c r="BC49" s="115">
        <f t="shared" si="6"/>
        <v>0</v>
      </c>
      <c r="BD49" s="116"/>
    </row>
    <row r="50" spans="1:56" ht="81">
      <c r="A50" s="562" t="s">
        <v>683</v>
      </c>
      <c r="B50" s="564"/>
      <c r="C50" s="564"/>
      <c r="D50" s="564"/>
      <c r="E50" s="580"/>
      <c r="F50" s="573"/>
      <c r="G50" s="573"/>
      <c r="H50" s="573"/>
      <c r="I50" s="573"/>
      <c r="J50" s="564"/>
      <c r="K50" s="564"/>
      <c r="L50" s="564"/>
      <c r="M50" s="564"/>
      <c r="N50" s="563"/>
      <c r="O50" s="563"/>
      <c r="P50" s="563"/>
      <c r="Q50" s="579"/>
      <c r="R50" s="564"/>
      <c r="S50" s="564"/>
      <c r="T50" s="564"/>
      <c r="U50" s="580"/>
      <c r="V50" s="562" t="s">
        <v>683</v>
      </c>
      <c r="W50" s="564"/>
      <c r="X50" s="564">
        <v>1000000</v>
      </c>
      <c r="Y50" s="564">
        <v>1000000</v>
      </c>
      <c r="Z50" s="582">
        <f>SUM(Y50/X50)</f>
        <v>1</v>
      </c>
      <c r="AA50" s="564"/>
      <c r="AB50" s="564"/>
      <c r="AC50" s="564"/>
      <c r="AD50" s="580"/>
      <c r="AE50" s="564"/>
      <c r="AF50" s="564"/>
      <c r="AG50" s="564"/>
      <c r="AH50" s="580"/>
      <c r="AI50" s="564"/>
      <c r="AJ50" s="564"/>
      <c r="AK50" s="564"/>
      <c r="AL50" s="580"/>
      <c r="AM50" s="564"/>
      <c r="AN50" s="564"/>
      <c r="AO50" s="564"/>
      <c r="AP50" s="580"/>
      <c r="AQ50" s="562" t="s">
        <v>683</v>
      </c>
      <c r="AR50" s="112">
        <f t="shared" si="59"/>
        <v>0</v>
      </c>
      <c r="AS50" s="112">
        <f t="shared" si="59"/>
        <v>1000000</v>
      </c>
      <c r="AT50" s="112">
        <f t="shared" si="59"/>
        <v>1000000</v>
      </c>
      <c r="AU50" s="113">
        <f t="shared" si="60"/>
        <v>1</v>
      </c>
      <c r="AV50" s="112">
        <f t="shared" si="63"/>
        <v>0</v>
      </c>
      <c r="AW50" s="112">
        <f t="shared" si="63"/>
        <v>0</v>
      </c>
      <c r="AX50" s="112">
        <f t="shared" si="63"/>
        <v>0</v>
      </c>
      <c r="AY50" s="113">
        <v>0</v>
      </c>
      <c r="AZ50" s="114">
        <f t="shared" si="62"/>
        <v>0</v>
      </c>
      <c r="BA50" s="114">
        <f t="shared" si="62"/>
        <v>1000000</v>
      </c>
      <c r="BB50" s="114">
        <f t="shared" si="62"/>
        <v>1000000</v>
      </c>
      <c r="BC50" s="115">
        <f t="shared" si="6"/>
        <v>1</v>
      </c>
      <c r="BD50" s="116"/>
    </row>
    <row r="51" spans="1:56" ht="60.75">
      <c r="A51" s="562" t="s">
        <v>684</v>
      </c>
      <c r="B51" s="564"/>
      <c r="C51" s="564"/>
      <c r="D51" s="564"/>
      <c r="E51" s="580"/>
      <c r="F51" s="573"/>
      <c r="G51" s="564">
        <v>328900000</v>
      </c>
      <c r="H51" s="564">
        <v>328900000</v>
      </c>
      <c r="I51" s="579">
        <f t="shared" ref="I51:I57" si="92">SUM(H51/G51)</f>
        <v>1</v>
      </c>
      <c r="J51" s="564"/>
      <c r="K51" s="564"/>
      <c r="L51" s="564"/>
      <c r="M51" s="564"/>
      <c r="N51" s="563"/>
      <c r="O51" s="563"/>
      <c r="P51" s="563"/>
      <c r="Q51" s="579"/>
      <c r="R51" s="564"/>
      <c r="S51" s="564"/>
      <c r="T51" s="564"/>
      <c r="U51" s="580"/>
      <c r="V51" s="562" t="s">
        <v>684</v>
      </c>
      <c r="W51" s="564"/>
      <c r="X51" s="564"/>
      <c r="Y51" s="564"/>
      <c r="Z51" s="564"/>
      <c r="AA51" s="564"/>
      <c r="AB51" s="564"/>
      <c r="AC51" s="564"/>
      <c r="AD51" s="580"/>
      <c r="AE51" s="564"/>
      <c r="AF51" s="564"/>
      <c r="AG51" s="564"/>
      <c r="AH51" s="580"/>
      <c r="AI51" s="564"/>
      <c r="AJ51" s="564"/>
      <c r="AK51" s="564"/>
      <c r="AL51" s="580"/>
      <c r="AM51" s="564"/>
      <c r="AN51" s="564"/>
      <c r="AO51" s="564"/>
      <c r="AP51" s="580"/>
      <c r="AQ51" s="562" t="s">
        <v>684</v>
      </c>
      <c r="AR51" s="112">
        <f t="shared" ref="AR51:AR53" si="93">SUM(B51+J51+N51+W51+AE51+AM51)</f>
        <v>0</v>
      </c>
      <c r="AS51" s="112">
        <f t="shared" ref="AS51:AS53" si="94">SUM(C51+K51+O51+X51+AF51+AN51)</f>
        <v>0</v>
      </c>
      <c r="AT51" s="112">
        <f t="shared" ref="AT51:AT53" si="95">SUM(D51+L51+P51+Y51+AG51+AO51)</f>
        <v>0</v>
      </c>
      <c r="AU51" s="113" t="s">
        <v>858</v>
      </c>
      <c r="AV51" s="112">
        <f t="shared" ref="AV51:AV53" si="96">SUM(F51+R51+AA51+AI51)</f>
        <v>0</v>
      </c>
      <c r="AW51" s="112">
        <f t="shared" ref="AW51:AW53" si="97">SUM(G51+S51+AB51+AJ51)</f>
        <v>328900000</v>
      </c>
      <c r="AX51" s="112">
        <f t="shared" ref="AX51:AX53" si="98">SUM(H51+T51+AC51+AK51)</f>
        <v>328900000</v>
      </c>
      <c r="AY51" s="113">
        <f t="shared" si="91"/>
        <v>1</v>
      </c>
      <c r="AZ51" s="114">
        <f t="shared" ref="AZ51:AZ53" si="99">SUM(B51+F51+J51+N51+R51+W51+AA51+AE51+AI51+AM51)</f>
        <v>0</v>
      </c>
      <c r="BA51" s="114">
        <f t="shared" ref="BA51:BA53" si="100">SUM(C51+G51+K51+O51+S51+X51+AB51+AF51+AJ51+AN51)</f>
        <v>328900000</v>
      </c>
      <c r="BB51" s="114">
        <f t="shared" ref="BB51:BB53" si="101">SUM(D51+H51+L51+P51+T51+Y51+AC51+AG51+AK51+AO51)</f>
        <v>328900000</v>
      </c>
      <c r="BC51" s="115">
        <f t="shared" ref="BC51:BC53" si="102">BB51/BA51</f>
        <v>1</v>
      </c>
      <c r="BD51" s="116"/>
    </row>
    <row r="52" spans="1:56" ht="40.5">
      <c r="A52" s="562" t="s">
        <v>685</v>
      </c>
      <c r="B52" s="564"/>
      <c r="C52" s="564"/>
      <c r="D52" s="564"/>
      <c r="E52" s="580"/>
      <c r="F52" s="573"/>
      <c r="G52" s="564">
        <v>127916054</v>
      </c>
      <c r="H52" s="564">
        <v>127916054</v>
      </c>
      <c r="I52" s="579">
        <f t="shared" si="92"/>
        <v>1</v>
      </c>
      <c r="J52" s="564"/>
      <c r="K52" s="564"/>
      <c r="L52" s="564"/>
      <c r="M52" s="564"/>
      <c r="N52" s="563"/>
      <c r="O52" s="563"/>
      <c r="P52" s="563"/>
      <c r="Q52" s="579"/>
      <c r="R52" s="564"/>
      <c r="S52" s="564"/>
      <c r="T52" s="564"/>
      <c r="U52" s="580"/>
      <c r="V52" s="562" t="s">
        <v>685</v>
      </c>
      <c r="W52" s="564"/>
      <c r="X52" s="564"/>
      <c r="Y52" s="564"/>
      <c r="Z52" s="564"/>
      <c r="AA52" s="564"/>
      <c r="AB52" s="564"/>
      <c r="AC52" s="564"/>
      <c r="AD52" s="580"/>
      <c r="AE52" s="564"/>
      <c r="AF52" s="564"/>
      <c r="AG52" s="564"/>
      <c r="AH52" s="580"/>
      <c r="AI52" s="564"/>
      <c r="AJ52" s="564"/>
      <c r="AK52" s="564"/>
      <c r="AL52" s="580"/>
      <c r="AM52" s="564"/>
      <c r="AN52" s="564"/>
      <c r="AO52" s="564"/>
      <c r="AP52" s="580"/>
      <c r="AQ52" s="562" t="s">
        <v>685</v>
      </c>
      <c r="AR52" s="112">
        <f t="shared" si="93"/>
        <v>0</v>
      </c>
      <c r="AS52" s="112">
        <f t="shared" si="94"/>
        <v>0</v>
      </c>
      <c r="AT52" s="112">
        <f t="shared" si="95"/>
        <v>0</v>
      </c>
      <c r="AU52" s="113">
        <v>0</v>
      </c>
      <c r="AV52" s="112">
        <f t="shared" si="96"/>
        <v>0</v>
      </c>
      <c r="AW52" s="112">
        <f t="shared" si="97"/>
        <v>127916054</v>
      </c>
      <c r="AX52" s="112">
        <f t="shared" si="98"/>
        <v>127916054</v>
      </c>
      <c r="AY52" s="113">
        <f t="shared" si="91"/>
        <v>1</v>
      </c>
      <c r="AZ52" s="114">
        <f t="shared" si="99"/>
        <v>0</v>
      </c>
      <c r="BA52" s="114">
        <f t="shared" si="100"/>
        <v>127916054</v>
      </c>
      <c r="BB52" s="114">
        <f t="shared" si="101"/>
        <v>127916054</v>
      </c>
      <c r="BC52" s="115">
        <f t="shared" si="102"/>
        <v>1</v>
      </c>
      <c r="BD52" s="116"/>
    </row>
    <row r="53" spans="1:56" ht="40.5">
      <c r="A53" s="562" t="s">
        <v>686</v>
      </c>
      <c r="B53" s="564"/>
      <c r="C53" s="564"/>
      <c r="D53" s="564"/>
      <c r="E53" s="580"/>
      <c r="F53" s="573"/>
      <c r="G53" s="564">
        <v>497503307</v>
      </c>
      <c r="H53" s="564">
        <v>497503307</v>
      </c>
      <c r="I53" s="579">
        <f t="shared" si="92"/>
        <v>1</v>
      </c>
      <c r="J53" s="564"/>
      <c r="K53" s="564"/>
      <c r="L53" s="564"/>
      <c r="M53" s="564"/>
      <c r="N53" s="563"/>
      <c r="O53" s="563"/>
      <c r="P53" s="563"/>
      <c r="Q53" s="579"/>
      <c r="R53" s="564"/>
      <c r="S53" s="564"/>
      <c r="T53" s="564"/>
      <c r="U53" s="580"/>
      <c r="V53" s="562" t="s">
        <v>686</v>
      </c>
      <c r="W53" s="564"/>
      <c r="X53" s="564"/>
      <c r="Y53" s="564"/>
      <c r="Z53" s="564"/>
      <c r="AA53" s="564"/>
      <c r="AB53" s="564"/>
      <c r="AC53" s="564"/>
      <c r="AD53" s="580"/>
      <c r="AE53" s="564"/>
      <c r="AF53" s="564"/>
      <c r="AG53" s="564"/>
      <c r="AH53" s="580"/>
      <c r="AI53" s="564"/>
      <c r="AJ53" s="564"/>
      <c r="AK53" s="564"/>
      <c r="AL53" s="580"/>
      <c r="AM53" s="564"/>
      <c r="AN53" s="564"/>
      <c r="AO53" s="564"/>
      <c r="AP53" s="580"/>
      <c r="AQ53" s="562" t="s">
        <v>686</v>
      </c>
      <c r="AR53" s="112">
        <f t="shared" si="93"/>
        <v>0</v>
      </c>
      <c r="AS53" s="112">
        <f t="shared" si="94"/>
        <v>0</v>
      </c>
      <c r="AT53" s="112">
        <f t="shared" si="95"/>
        <v>0</v>
      </c>
      <c r="AU53" s="113">
        <v>0</v>
      </c>
      <c r="AV53" s="112">
        <f t="shared" si="96"/>
        <v>0</v>
      </c>
      <c r="AW53" s="112">
        <f t="shared" si="97"/>
        <v>497503307</v>
      </c>
      <c r="AX53" s="112">
        <f t="shared" si="98"/>
        <v>497503307</v>
      </c>
      <c r="AY53" s="113">
        <f t="shared" si="91"/>
        <v>1</v>
      </c>
      <c r="AZ53" s="114">
        <f t="shared" si="99"/>
        <v>0</v>
      </c>
      <c r="BA53" s="114">
        <f t="shared" si="100"/>
        <v>497503307</v>
      </c>
      <c r="BB53" s="114">
        <f t="shared" si="101"/>
        <v>497503307</v>
      </c>
      <c r="BC53" s="115">
        <f t="shared" si="102"/>
        <v>1</v>
      </c>
      <c r="BD53" s="116"/>
    </row>
    <row r="54" spans="1:56" ht="40.5">
      <c r="A54" s="562" t="s">
        <v>687</v>
      </c>
      <c r="B54" s="564"/>
      <c r="C54" s="564"/>
      <c r="D54" s="564"/>
      <c r="E54" s="580"/>
      <c r="F54" s="573"/>
      <c r="G54" s="564">
        <v>200000000</v>
      </c>
      <c r="H54" s="564">
        <v>200000000</v>
      </c>
      <c r="I54" s="579">
        <f t="shared" si="92"/>
        <v>1</v>
      </c>
      <c r="J54" s="564"/>
      <c r="K54" s="564"/>
      <c r="L54" s="564"/>
      <c r="M54" s="564"/>
      <c r="N54" s="563"/>
      <c r="O54" s="563"/>
      <c r="P54" s="563"/>
      <c r="Q54" s="579"/>
      <c r="R54" s="564"/>
      <c r="S54" s="564"/>
      <c r="T54" s="564"/>
      <c r="U54" s="580"/>
      <c r="V54" s="562" t="s">
        <v>687</v>
      </c>
      <c r="W54" s="564"/>
      <c r="X54" s="564"/>
      <c r="Y54" s="564"/>
      <c r="Z54" s="564"/>
      <c r="AA54" s="564"/>
      <c r="AB54" s="564"/>
      <c r="AC54" s="564"/>
      <c r="AD54" s="580"/>
      <c r="AE54" s="564"/>
      <c r="AF54" s="564"/>
      <c r="AG54" s="564"/>
      <c r="AH54" s="580"/>
      <c r="AI54" s="564"/>
      <c r="AJ54" s="564"/>
      <c r="AK54" s="564"/>
      <c r="AL54" s="580"/>
      <c r="AM54" s="564"/>
      <c r="AN54" s="564"/>
      <c r="AO54" s="564"/>
      <c r="AP54" s="580"/>
      <c r="AQ54" s="562" t="s">
        <v>687</v>
      </c>
      <c r="AR54" s="112">
        <f t="shared" si="59"/>
        <v>0</v>
      </c>
      <c r="AS54" s="112">
        <f t="shared" si="59"/>
        <v>0</v>
      </c>
      <c r="AT54" s="112">
        <f t="shared" si="59"/>
        <v>0</v>
      </c>
      <c r="AU54" s="113">
        <v>0</v>
      </c>
      <c r="AV54" s="112">
        <f t="shared" si="63"/>
        <v>0</v>
      </c>
      <c r="AW54" s="112">
        <f t="shared" si="63"/>
        <v>200000000</v>
      </c>
      <c r="AX54" s="112">
        <f t="shared" si="63"/>
        <v>200000000</v>
      </c>
      <c r="AY54" s="113">
        <f t="shared" si="91"/>
        <v>1</v>
      </c>
      <c r="AZ54" s="114">
        <f t="shared" si="62"/>
        <v>0</v>
      </c>
      <c r="BA54" s="114">
        <f t="shared" si="62"/>
        <v>200000000</v>
      </c>
      <c r="BB54" s="114">
        <f t="shared" si="62"/>
        <v>200000000</v>
      </c>
      <c r="BC54" s="115">
        <f>BB54/BA54</f>
        <v>1</v>
      </c>
      <c r="BD54" s="116"/>
    </row>
    <row r="55" spans="1:56" ht="40.5">
      <c r="A55" s="562" t="s">
        <v>688</v>
      </c>
      <c r="B55" s="564"/>
      <c r="C55" s="564"/>
      <c r="D55" s="564"/>
      <c r="E55" s="580"/>
      <c r="F55" s="573"/>
      <c r="G55" s="564">
        <v>250000000</v>
      </c>
      <c r="H55" s="564">
        <v>225000046</v>
      </c>
      <c r="I55" s="579">
        <f t="shared" si="92"/>
        <v>0.90000018400000004</v>
      </c>
      <c r="J55" s="564"/>
      <c r="K55" s="564"/>
      <c r="L55" s="564"/>
      <c r="M55" s="564"/>
      <c r="N55" s="563"/>
      <c r="O55" s="563"/>
      <c r="P55" s="563"/>
      <c r="Q55" s="579"/>
      <c r="R55" s="564"/>
      <c r="S55" s="564"/>
      <c r="T55" s="564"/>
      <c r="U55" s="580"/>
      <c r="V55" s="562" t="s">
        <v>688</v>
      </c>
      <c r="W55" s="564"/>
      <c r="X55" s="564"/>
      <c r="Y55" s="564"/>
      <c r="Z55" s="564"/>
      <c r="AA55" s="564"/>
      <c r="AB55" s="564"/>
      <c r="AC55" s="564"/>
      <c r="AD55" s="580"/>
      <c r="AE55" s="564"/>
      <c r="AF55" s="564"/>
      <c r="AG55" s="564"/>
      <c r="AH55" s="580"/>
      <c r="AI55" s="564"/>
      <c r="AJ55" s="564"/>
      <c r="AK55" s="564"/>
      <c r="AL55" s="580"/>
      <c r="AM55" s="564"/>
      <c r="AN55" s="564"/>
      <c r="AO55" s="564"/>
      <c r="AP55" s="580"/>
      <c r="AQ55" s="562" t="s">
        <v>688</v>
      </c>
      <c r="AR55" s="112">
        <f t="shared" si="59"/>
        <v>0</v>
      </c>
      <c r="AS55" s="112">
        <f t="shared" si="59"/>
        <v>0</v>
      </c>
      <c r="AT55" s="112">
        <f t="shared" si="59"/>
        <v>0</v>
      </c>
      <c r="AU55" s="113">
        <v>0</v>
      </c>
      <c r="AV55" s="112">
        <f t="shared" si="63"/>
        <v>0</v>
      </c>
      <c r="AW55" s="112">
        <f t="shared" si="63"/>
        <v>250000000</v>
      </c>
      <c r="AX55" s="112">
        <f t="shared" si="63"/>
        <v>225000046</v>
      </c>
      <c r="AY55" s="113">
        <f t="shared" si="91"/>
        <v>0.90000018400000004</v>
      </c>
      <c r="AZ55" s="114">
        <f t="shared" si="62"/>
        <v>0</v>
      </c>
      <c r="BA55" s="114">
        <f t="shared" si="62"/>
        <v>250000000</v>
      </c>
      <c r="BB55" s="114">
        <f t="shared" si="62"/>
        <v>225000046</v>
      </c>
      <c r="BC55" s="115">
        <f t="shared" ref="BC55:BC56" si="103">BB55/BA55</f>
        <v>0.90000018400000004</v>
      </c>
      <c r="BD55" s="116"/>
    </row>
    <row r="56" spans="1:56" ht="40.5">
      <c r="A56" s="562" t="s">
        <v>689</v>
      </c>
      <c r="B56" s="564"/>
      <c r="C56" s="564"/>
      <c r="D56" s="564"/>
      <c r="E56" s="580"/>
      <c r="F56" s="573"/>
      <c r="G56" s="564">
        <v>200000000</v>
      </c>
      <c r="H56" s="564">
        <v>200000000</v>
      </c>
      <c r="I56" s="579">
        <f t="shared" si="92"/>
        <v>1</v>
      </c>
      <c r="J56" s="564"/>
      <c r="K56" s="564"/>
      <c r="L56" s="564"/>
      <c r="M56" s="564"/>
      <c r="N56" s="563"/>
      <c r="O56" s="563"/>
      <c r="P56" s="563"/>
      <c r="Q56" s="579"/>
      <c r="R56" s="564"/>
      <c r="S56" s="564"/>
      <c r="T56" s="564"/>
      <c r="U56" s="580"/>
      <c r="V56" s="562" t="s">
        <v>689</v>
      </c>
      <c r="W56" s="564"/>
      <c r="X56" s="564"/>
      <c r="Y56" s="564"/>
      <c r="Z56" s="564"/>
      <c r="AA56" s="564"/>
      <c r="AB56" s="564"/>
      <c r="AC56" s="564"/>
      <c r="AD56" s="580"/>
      <c r="AE56" s="564"/>
      <c r="AF56" s="564"/>
      <c r="AG56" s="564"/>
      <c r="AH56" s="580"/>
      <c r="AI56" s="564"/>
      <c r="AJ56" s="564"/>
      <c r="AK56" s="564"/>
      <c r="AL56" s="580"/>
      <c r="AM56" s="564"/>
      <c r="AN56" s="564"/>
      <c r="AO56" s="564"/>
      <c r="AP56" s="580"/>
      <c r="AQ56" s="562" t="s">
        <v>689</v>
      </c>
      <c r="AR56" s="112">
        <f t="shared" ref="AR56" si="104">SUM(B56+J56+N56+W56+AE56+AM56)</f>
        <v>0</v>
      </c>
      <c r="AS56" s="112">
        <f t="shared" ref="AS56" si="105">SUM(C56+K56+O56+X56+AF56+AN56)</f>
        <v>0</v>
      </c>
      <c r="AT56" s="112">
        <f t="shared" ref="AT56" si="106">SUM(D56+L56+P56+Y56+AG56+AO56)</f>
        <v>0</v>
      </c>
      <c r="AU56" s="113">
        <v>0</v>
      </c>
      <c r="AV56" s="112">
        <f t="shared" ref="AV56" si="107">SUM(F56+R56+AA56+AI56)</f>
        <v>0</v>
      </c>
      <c r="AW56" s="112">
        <f t="shared" ref="AW56" si="108">SUM(G56+S56+AB56+AJ56)</f>
        <v>200000000</v>
      </c>
      <c r="AX56" s="112">
        <f t="shared" ref="AX56" si="109">SUM(H56+T56+AC56+AK56)</f>
        <v>200000000</v>
      </c>
      <c r="AY56" s="113">
        <f t="shared" si="91"/>
        <v>1</v>
      </c>
      <c r="AZ56" s="114">
        <f t="shared" ref="AZ56" si="110">SUM(B56+F56+J56+N56+R56+W56+AA56+AE56+AI56+AM56)</f>
        <v>0</v>
      </c>
      <c r="BA56" s="114">
        <f t="shared" ref="BA56" si="111">SUM(C56+G56+K56+O56+S56+X56+AB56+AF56+AJ56+AN56)</f>
        <v>200000000</v>
      </c>
      <c r="BB56" s="114">
        <f t="shared" ref="BB56" si="112">SUM(D56+H56+L56+P56+T56+Y56+AC56+AG56+AK56+AO56)</f>
        <v>200000000</v>
      </c>
      <c r="BC56" s="115">
        <f t="shared" si="103"/>
        <v>1</v>
      </c>
      <c r="BD56" s="116"/>
    </row>
    <row r="57" spans="1:56" s="123" customFormat="1" ht="41.25" thickBot="1">
      <c r="A57" s="118" t="s">
        <v>690</v>
      </c>
      <c r="B57" s="121"/>
      <c r="C57" s="121"/>
      <c r="D57" s="121"/>
      <c r="E57" s="581"/>
      <c r="F57" s="120"/>
      <c r="G57" s="121">
        <v>838906063</v>
      </c>
      <c r="H57" s="121">
        <v>838906063</v>
      </c>
      <c r="I57" s="579">
        <f t="shared" si="92"/>
        <v>1</v>
      </c>
      <c r="J57" s="121"/>
      <c r="K57" s="121"/>
      <c r="L57" s="121"/>
      <c r="M57" s="121"/>
      <c r="N57" s="119"/>
      <c r="O57" s="119"/>
      <c r="P57" s="119"/>
      <c r="Q57" s="582"/>
      <c r="R57" s="121"/>
      <c r="S57" s="121"/>
      <c r="T57" s="121"/>
      <c r="U57" s="581"/>
      <c r="V57" s="118" t="s">
        <v>690</v>
      </c>
      <c r="W57" s="121"/>
      <c r="X57" s="121"/>
      <c r="Y57" s="121"/>
      <c r="Z57" s="121"/>
      <c r="AA57" s="121"/>
      <c r="AB57" s="121"/>
      <c r="AC57" s="121"/>
      <c r="AD57" s="581"/>
      <c r="AE57" s="121"/>
      <c r="AF57" s="121"/>
      <c r="AG57" s="121"/>
      <c r="AH57" s="581"/>
      <c r="AI57" s="121"/>
      <c r="AJ57" s="121"/>
      <c r="AK57" s="121"/>
      <c r="AL57" s="581"/>
      <c r="AM57" s="121"/>
      <c r="AN57" s="121"/>
      <c r="AO57" s="121"/>
      <c r="AP57" s="581"/>
      <c r="AQ57" s="118" t="s">
        <v>690</v>
      </c>
      <c r="AR57" s="131">
        <f>SUM(B57+J57+N57+W57+AE57+AM57)</f>
        <v>0</v>
      </c>
      <c r="AS57" s="131">
        <f>SUM(C57+K57+O57+X57+AF57+AN57)</f>
        <v>0</v>
      </c>
      <c r="AT57" s="131">
        <f>SUM(D57+L57+P57+Y57+AG57+AO57)</f>
        <v>0</v>
      </c>
      <c r="AU57" s="132">
        <v>0</v>
      </c>
      <c r="AV57" s="131">
        <f t="shared" si="63"/>
        <v>0</v>
      </c>
      <c r="AW57" s="131">
        <f t="shared" si="63"/>
        <v>838906063</v>
      </c>
      <c r="AX57" s="131">
        <f t="shared" si="63"/>
        <v>838906063</v>
      </c>
      <c r="AY57" s="113">
        <f t="shared" si="91"/>
        <v>1</v>
      </c>
      <c r="AZ57" s="133">
        <f t="shared" si="62"/>
        <v>0</v>
      </c>
      <c r="BA57" s="133">
        <f>SUM(C57+G57+K57+O57+S57+X57+AB57+AF57+AJ57+AN57)</f>
        <v>838906063</v>
      </c>
      <c r="BB57" s="133">
        <f t="shared" si="62"/>
        <v>838906063</v>
      </c>
      <c r="BC57" s="134">
        <f t="shared" si="6"/>
        <v>1</v>
      </c>
      <c r="BD57" s="122"/>
    </row>
    <row r="58" spans="1:56" s="127" customFormat="1" ht="41.25" thickBot="1">
      <c r="A58" s="118" t="s">
        <v>691</v>
      </c>
      <c r="B58" s="121"/>
      <c r="C58" s="121">
        <v>50000</v>
      </c>
      <c r="D58" s="121">
        <v>50000</v>
      </c>
      <c r="E58" s="581">
        <v>1</v>
      </c>
      <c r="F58" s="120"/>
      <c r="G58" s="121"/>
      <c r="H58" s="121"/>
      <c r="I58" s="121"/>
      <c r="J58" s="121"/>
      <c r="K58" s="121"/>
      <c r="L58" s="121"/>
      <c r="M58" s="121"/>
      <c r="N58" s="119"/>
      <c r="O58" s="119"/>
      <c r="P58" s="119"/>
      <c r="Q58" s="582"/>
      <c r="R58" s="121"/>
      <c r="S58" s="121"/>
      <c r="T58" s="121"/>
      <c r="U58" s="581"/>
      <c r="V58" s="118" t="s">
        <v>691</v>
      </c>
      <c r="W58" s="121"/>
      <c r="X58" s="121"/>
      <c r="Y58" s="121"/>
      <c r="Z58" s="121"/>
      <c r="AA58" s="121"/>
      <c r="AB58" s="121"/>
      <c r="AC58" s="121"/>
      <c r="AD58" s="581"/>
      <c r="AE58" s="121"/>
      <c r="AF58" s="121"/>
      <c r="AG58" s="121"/>
      <c r="AH58" s="581"/>
      <c r="AI58" s="121"/>
      <c r="AJ58" s="121"/>
      <c r="AK58" s="121"/>
      <c r="AL58" s="581"/>
      <c r="AM58" s="121"/>
      <c r="AN58" s="121"/>
      <c r="AO58" s="121"/>
      <c r="AP58" s="581"/>
      <c r="AQ58" s="118" t="s">
        <v>691</v>
      </c>
      <c r="AR58" s="131">
        <f t="shared" ref="AR58:AR59" si="113">SUM(B58+J58+N58+W58+AE58+AM58)</f>
        <v>0</v>
      </c>
      <c r="AS58" s="131">
        <f t="shared" ref="AS58:AS59" si="114">SUM(C58+K58+O58+X58+AF58+AN58)</f>
        <v>50000</v>
      </c>
      <c r="AT58" s="131">
        <f t="shared" ref="AT58:AT59" si="115">SUM(D58+L58+P58+Y58+AG58+AO58)</f>
        <v>50000</v>
      </c>
      <c r="AU58" s="132">
        <f t="shared" ref="AU58:AU59" si="116">AT58/AS58</f>
        <v>1</v>
      </c>
      <c r="AV58" s="131">
        <f t="shared" ref="AV58:AV59" si="117">SUM(F58+R58+AA58+AI58)</f>
        <v>0</v>
      </c>
      <c r="AW58" s="131">
        <f t="shared" ref="AW58:AW59" si="118">SUM(G58+S58+AB58+AJ58)</f>
        <v>0</v>
      </c>
      <c r="AX58" s="131">
        <f t="shared" ref="AX58:AX59" si="119">SUM(H58+T58+AC58+AK58)</f>
        <v>0</v>
      </c>
      <c r="AY58" s="132">
        <v>0</v>
      </c>
      <c r="AZ58" s="133">
        <f t="shared" ref="AZ58:AZ59" si="120">SUM(B58+F58+J58+N58+R58+W58+AA58+AE58+AI58+AM58)</f>
        <v>0</v>
      </c>
      <c r="BA58" s="133">
        <f t="shared" ref="BA58:BA59" si="121">SUM(C58+G58+K58+O58+S58+X58+AB58+AF58+AJ58+AN58)</f>
        <v>50000</v>
      </c>
      <c r="BB58" s="133">
        <f t="shared" ref="BB58:BB59" si="122">SUM(D58+H58+L58+P58+T58+Y58+AC58+AG58+AK58+AO58)</f>
        <v>50000</v>
      </c>
      <c r="BC58" s="134">
        <f t="shared" ref="BC58:BC59" si="123">BB58/BA58</f>
        <v>1</v>
      </c>
    </row>
    <row r="59" spans="1:56" s="127" customFormat="1" ht="21" thickBot="1">
      <c r="A59" s="118" t="s">
        <v>363</v>
      </c>
      <c r="B59" s="564"/>
      <c r="C59" s="564"/>
      <c r="D59" s="564"/>
      <c r="E59" s="580"/>
      <c r="F59" s="573"/>
      <c r="G59" s="573"/>
      <c r="H59" s="573"/>
      <c r="I59" s="573"/>
      <c r="J59" s="564"/>
      <c r="K59" s="564"/>
      <c r="L59" s="564"/>
      <c r="M59" s="564"/>
      <c r="N59" s="563"/>
      <c r="O59" s="563"/>
      <c r="P59" s="563"/>
      <c r="Q59" s="579"/>
      <c r="R59" s="564"/>
      <c r="S59" s="564"/>
      <c r="T59" s="564"/>
      <c r="U59" s="580"/>
      <c r="V59" s="118" t="s">
        <v>363</v>
      </c>
      <c r="W59" s="564"/>
      <c r="X59" s="564"/>
      <c r="Y59" s="564"/>
      <c r="Z59" s="564"/>
      <c r="AA59" s="564"/>
      <c r="AB59" s="564"/>
      <c r="AC59" s="564"/>
      <c r="AD59" s="580"/>
      <c r="AE59" s="564">
        <v>3263000</v>
      </c>
      <c r="AF59" s="564">
        <v>201667646</v>
      </c>
      <c r="AG59" s="564">
        <v>201667646</v>
      </c>
      <c r="AH59" s="580">
        <v>1</v>
      </c>
      <c r="AI59" s="564">
        <v>270290000</v>
      </c>
      <c r="AJ59" s="564">
        <v>147047662</v>
      </c>
      <c r="AK59" s="564">
        <v>147047662</v>
      </c>
      <c r="AL59" s="580">
        <v>1</v>
      </c>
      <c r="AM59" s="564"/>
      <c r="AN59" s="564"/>
      <c r="AO59" s="564"/>
      <c r="AP59" s="580"/>
      <c r="AQ59" s="118" t="s">
        <v>363</v>
      </c>
      <c r="AR59" s="131">
        <f t="shared" si="113"/>
        <v>3263000</v>
      </c>
      <c r="AS59" s="131">
        <f t="shared" si="114"/>
        <v>201667646</v>
      </c>
      <c r="AT59" s="131">
        <f t="shared" si="115"/>
        <v>201667646</v>
      </c>
      <c r="AU59" s="132">
        <f t="shared" si="116"/>
        <v>1</v>
      </c>
      <c r="AV59" s="131">
        <f t="shared" si="117"/>
        <v>270290000</v>
      </c>
      <c r="AW59" s="131">
        <f t="shared" si="118"/>
        <v>147047662</v>
      </c>
      <c r="AX59" s="131">
        <f t="shared" si="119"/>
        <v>147047662</v>
      </c>
      <c r="AY59" s="132">
        <f t="shared" ref="AY59" si="124">AX59/AW59</f>
        <v>1</v>
      </c>
      <c r="AZ59" s="133">
        <f t="shared" si="120"/>
        <v>273553000</v>
      </c>
      <c r="BA59" s="133">
        <f t="shared" si="121"/>
        <v>348715308</v>
      </c>
      <c r="BB59" s="133">
        <f t="shared" si="122"/>
        <v>348715308</v>
      </c>
      <c r="BC59" s="134">
        <f t="shared" si="123"/>
        <v>1</v>
      </c>
    </row>
    <row r="60" spans="1:56" ht="21" thickBot="1">
      <c r="A60" s="570" t="s">
        <v>370</v>
      </c>
      <c r="B60" s="566">
        <f t="shared" ref="B60:C60" si="125">SUM(B37:B59)</f>
        <v>0</v>
      </c>
      <c r="C60" s="566">
        <f t="shared" si="125"/>
        <v>50000</v>
      </c>
      <c r="D60" s="566">
        <f t="shared" ref="D60:G60" si="126">SUM(D37:D59)</f>
        <v>50000</v>
      </c>
      <c r="E60" s="583">
        <f t="shared" ref="E60:E61" si="127">SUM(D60/C60)</f>
        <v>1</v>
      </c>
      <c r="F60" s="566">
        <f t="shared" si="126"/>
        <v>0</v>
      </c>
      <c r="G60" s="566">
        <f t="shared" si="126"/>
        <v>2443225424</v>
      </c>
      <c r="H60" s="566">
        <f t="shared" ref="H60:K60" si="128">SUM(H37:H59)</f>
        <v>2418225470</v>
      </c>
      <c r="I60" s="583">
        <f>SUM(H60/G60)</f>
        <v>0.98976764331509348</v>
      </c>
      <c r="J60" s="566">
        <f t="shared" si="128"/>
        <v>0</v>
      </c>
      <c r="K60" s="566">
        <f t="shared" si="128"/>
        <v>0</v>
      </c>
      <c r="L60" s="566">
        <f t="shared" ref="L60" si="129">SUM(L37:L59)</f>
        <v>0</v>
      </c>
      <c r="M60" s="583">
        <v>0</v>
      </c>
      <c r="N60" s="566">
        <f t="shared" ref="N60:O60" si="130">SUM(N37:N59)</f>
        <v>308247000</v>
      </c>
      <c r="O60" s="566">
        <f t="shared" si="130"/>
        <v>310058100</v>
      </c>
      <c r="P60" s="566">
        <f>SUM(P37:P59)</f>
        <v>280233860</v>
      </c>
      <c r="Q60" s="583">
        <f>SUM(P60/O60)</f>
        <v>0.90381080191099672</v>
      </c>
      <c r="R60" s="566">
        <f>SUM(R37:R59)</f>
        <v>115543000</v>
      </c>
      <c r="S60" s="566">
        <f>SUM(S37:S59)</f>
        <v>104108196</v>
      </c>
      <c r="T60" s="566">
        <f>SUM(T37:T59)</f>
        <v>17807545</v>
      </c>
      <c r="U60" s="583">
        <f>SUM(T60/S60)</f>
        <v>0.17104844463926741</v>
      </c>
      <c r="V60" s="570" t="s">
        <v>370</v>
      </c>
      <c r="W60" s="566">
        <f t="shared" ref="W60:X60" si="131">SUM(W37:W59)</f>
        <v>25328000</v>
      </c>
      <c r="X60" s="566">
        <f t="shared" si="131"/>
        <v>9278000</v>
      </c>
      <c r="Y60" s="566">
        <f t="shared" ref="Y60:AB60" si="132">SUM(Y37:Y59)</f>
        <v>2522850</v>
      </c>
      <c r="Z60" s="583">
        <f>SUM(Y60/X60)</f>
        <v>0.271917439103255</v>
      </c>
      <c r="AA60" s="566">
        <f t="shared" si="132"/>
        <v>16096000</v>
      </c>
      <c r="AB60" s="566">
        <f t="shared" si="132"/>
        <v>2540000</v>
      </c>
      <c r="AC60" s="566">
        <f>SUM(AC37:AC59)</f>
        <v>0</v>
      </c>
      <c r="AD60" s="583">
        <f>SUM(AC60/AB60)</f>
        <v>0</v>
      </c>
      <c r="AE60" s="566">
        <f t="shared" ref="AE60:AP60" si="133">SUM(AE37:AE59)</f>
        <v>3263000</v>
      </c>
      <c r="AF60" s="566">
        <f t="shared" si="133"/>
        <v>201667646</v>
      </c>
      <c r="AG60" s="566">
        <f t="shared" si="133"/>
        <v>201667646</v>
      </c>
      <c r="AH60" s="583">
        <f>SUM(AG60/AF60)</f>
        <v>1</v>
      </c>
      <c r="AI60" s="566">
        <f t="shared" si="133"/>
        <v>270290000</v>
      </c>
      <c r="AJ60" s="566">
        <f t="shared" si="133"/>
        <v>147047662</v>
      </c>
      <c r="AK60" s="566">
        <f t="shared" si="133"/>
        <v>147047662</v>
      </c>
      <c r="AL60" s="583">
        <f>SUM(AK60/AJ60)</f>
        <v>1</v>
      </c>
      <c r="AM60" s="566">
        <f t="shared" si="133"/>
        <v>0</v>
      </c>
      <c r="AN60" s="566">
        <f t="shared" si="133"/>
        <v>0</v>
      </c>
      <c r="AO60" s="566">
        <f t="shared" si="133"/>
        <v>0</v>
      </c>
      <c r="AP60" s="583">
        <f t="shared" si="133"/>
        <v>0</v>
      </c>
      <c r="AQ60" s="570" t="s">
        <v>370</v>
      </c>
      <c r="AR60" s="566">
        <f>SUM(AR37:AR59)</f>
        <v>336838000</v>
      </c>
      <c r="AS60" s="566">
        <f t="shared" ref="AS60" si="134">SUM(AS37:AS59)</f>
        <v>521053746</v>
      </c>
      <c r="AT60" s="566">
        <f t="shared" ref="AT60" si="135">SUM(AT37:AT59)</f>
        <v>484474356</v>
      </c>
      <c r="AU60" s="583">
        <f t="shared" ref="AU60:AU61" si="136">SUM(AT60/AS60)</f>
        <v>0.92979728045175591</v>
      </c>
      <c r="AV60" s="566">
        <f t="shared" ref="AV60:AW60" si="137">SUM(AV37:AV59)</f>
        <v>401929000</v>
      </c>
      <c r="AW60" s="566">
        <f t="shared" si="137"/>
        <v>2696921282</v>
      </c>
      <c r="AX60" s="566">
        <f t="shared" ref="AX60" si="138">SUM(AX37:AX59)</f>
        <v>2583080677</v>
      </c>
      <c r="AY60" s="583">
        <f t="shared" ref="AY60:AY61" si="139">SUM(AX60/AW60)</f>
        <v>0.95778868083402957</v>
      </c>
      <c r="AZ60" s="566">
        <f t="shared" ref="AZ60:BA60" si="140">SUM(AZ37:AZ59)</f>
        <v>738767000</v>
      </c>
      <c r="BA60" s="566">
        <f t="shared" si="140"/>
        <v>3217975028</v>
      </c>
      <c r="BB60" s="566">
        <f t="shared" ref="BB60" si="141">SUM(BB37:BB59)</f>
        <v>3067555033</v>
      </c>
      <c r="BC60" s="583">
        <f t="shared" ref="BC60:BC61" si="142">SUM(BB60/BA60)</f>
        <v>0.95325631998658256</v>
      </c>
    </row>
    <row r="61" spans="1:56" ht="21" thickBot="1">
      <c r="A61" s="571" t="s">
        <v>371</v>
      </c>
      <c r="B61" s="566">
        <f t="shared" ref="B61:C61" si="143">SUM(B35+B60)</f>
        <v>1476871000</v>
      </c>
      <c r="C61" s="566">
        <f t="shared" si="143"/>
        <v>1897592679</v>
      </c>
      <c r="D61" s="566">
        <f t="shared" ref="D61:G61" si="144">SUM(D35+D60)</f>
        <v>1897530509</v>
      </c>
      <c r="E61" s="583">
        <f t="shared" si="127"/>
        <v>0.9999672374368388</v>
      </c>
      <c r="F61" s="566">
        <f t="shared" si="144"/>
        <v>0</v>
      </c>
      <c r="G61" s="566">
        <f t="shared" si="144"/>
        <v>2453424924</v>
      </c>
      <c r="H61" s="566">
        <f t="shared" ref="H61:K61" si="145">SUM(H35+H60)</f>
        <v>2428424970</v>
      </c>
      <c r="I61" s="583">
        <f t="shared" ref="I61" si="146">SUM(H61/G61)</f>
        <v>0.98981018177672997</v>
      </c>
      <c r="J61" s="566">
        <f t="shared" si="145"/>
        <v>616700000</v>
      </c>
      <c r="K61" s="566">
        <f t="shared" si="145"/>
        <v>643215000</v>
      </c>
      <c r="L61" s="566">
        <f t="shared" ref="L61" si="147">SUM(L35+L60)</f>
        <v>643200719</v>
      </c>
      <c r="M61" s="583">
        <f t="shared" ref="M61" si="148">SUM(L61/K61)</f>
        <v>0.99997779747051918</v>
      </c>
      <c r="N61" s="566">
        <f t="shared" ref="N61:O61" si="149">SUM(N35+N60)</f>
        <v>309247000</v>
      </c>
      <c r="O61" s="566">
        <f t="shared" si="149"/>
        <v>311567933</v>
      </c>
      <c r="P61" s="566">
        <f>SUM(P35+P60)</f>
        <v>286658998</v>
      </c>
      <c r="Q61" s="583">
        <f t="shared" ref="Q61" si="150">SUM(P61/O61)</f>
        <v>0.92005295679770738</v>
      </c>
      <c r="R61" s="566">
        <f>SUM(R35+R60)</f>
        <v>115543000</v>
      </c>
      <c r="S61" s="566">
        <f>SUM(S35+S60)</f>
        <v>104108196</v>
      </c>
      <c r="T61" s="566">
        <f>SUM(T35+T60)</f>
        <v>17807545</v>
      </c>
      <c r="U61" s="583">
        <f t="shared" ref="U61" si="151">SUM(T61/S61)</f>
        <v>0.17104844463926741</v>
      </c>
      <c r="V61" s="571" t="s">
        <v>371</v>
      </c>
      <c r="W61" s="566">
        <f t="shared" ref="W61:X61" si="152">SUM(W35+W60)</f>
        <v>25328000</v>
      </c>
      <c r="X61" s="566">
        <f t="shared" si="152"/>
        <v>9278000</v>
      </c>
      <c r="Y61" s="566">
        <f t="shared" ref="Y61:AB61" si="153">SUM(Y35+Y60)</f>
        <v>2522850</v>
      </c>
      <c r="Z61" s="583">
        <f t="shared" ref="Z61" si="154">SUM(Y61/X61)</f>
        <v>0.271917439103255</v>
      </c>
      <c r="AA61" s="566">
        <f t="shared" si="153"/>
        <v>16096000</v>
      </c>
      <c r="AB61" s="566">
        <f t="shared" si="153"/>
        <v>2540000</v>
      </c>
      <c r="AC61" s="566">
        <f t="shared" ref="AC61" si="155">SUM(AC35+AC60)</f>
        <v>6904710</v>
      </c>
      <c r="AD61" s="583">
        <f>SUM(AC61/AB61)</f>
        <v>2.7183897637795273</v>
      </c>
      <c r="AE61" s="566">
        <f t="shared" ref="AE61:AP61" si="156">SUM(AE35+AE60)</f>
        <v>3263000</v>
      </c>
      <c r="AF61" s="566">
        <f t="shared" si="156"/>
        <v>201667646</v>
      </c>
      <c r="AG61" s="566">
        <f t="shared" si="156"/>
        <v>201667646</v>
      </c>
      <c r="AH61" s="583">
        <f>SUM(AG61/AF61)</f>
        <v>1</v>
      </c>
      <c r="AI61" s="566">
        <f t="shared" si="156"/>
        <v>270290000</v>
      </c>
      <c r="AJ61" s="566">
        <f t="shared" si="156"/>
        <v>147047662</v>
      </c>
      <c r="AK61" s="566">
        <f t="shared" si="156"/>
        <v>147047662</v>
      </c>
      <c r="AL61" s="583">
        <f>SUM(AK61/AJ61)</f>
        <v>1</v>
      </c>
      <c r="AM61" s="566">
        <f t="shared" si="156"/>
        <v>0</v>
      </c>
      <c r="AN61" s="566">
        <f t="shared" si="156"/>
        <v>0</v>
      </c>
      <c r="AO61" s="566">
        <f t="shared" si="156"/>
        <v>58439181</v>
      </c>
      <c r="AP61" s="583">
        <f t="shared" si="156"/>
        <v>0</v>
      </c>
      <c r="AQ61" s="571" t="s">
        <v>371</v>
      </c>
      <c r="AR61" s="566">
        <f>SUM(AR35+AR60)</f>
        <v>2431409000</v>
      </c>
      <c r="AS61" s="566">
        <f t="shared" ref="AS61:AT61" si="157">SUM(AS35+AS60)</f>
        <v>3063321258</v>
      </c>
      <c r="AT61" s="566">
        <f t="shared" si="157"/>
        <v>3090019903</v>
      </c>
      <c r="AU61" s="583">
        <f t="shared" si="136"/>
        <v>1.008715587674742</v>
      </c>
      <c r="AV61" s="566">
        <f t="shared" ref="AV61:AX61" si="158">SUM(AV35+AV60)</f>
        <v>401929000</v>
      </c>
      <c r="AW61" s="566">
        <f t="shared" si="158"/>
        <v>2707120782</v>
      </c>
      <c r="AX61" s="566">
        <f t="shared" si="158"/>
        <v>2600184887</v>
      </c>
      <c r="AY61" s="583">
        <f t="shared" si="139"/>
        <v>0.96049829187118996</v>
      </c>
      <c r="AZ61" s="566">
        <f t="shared" ref="AZ61:BA61" si="159">SUM(AZ35+AZ60)</f>
        <v>2833338000</v>
      </c>
      <c r="BA61" s="566">
        <f t="shared" si="159"/>
        <v>5770442040</v>
      </c>
      <c r="BB61" s="566">
        <f>SUM(BB35+BB60)</f>
        <v>5690204790</v>
      </c>
      <c r="BC61" s="583">
        <f t="shared" si="142"/>
        <v>0.98609512937764465</v>
      </c>
    </row>
    <row r="62" spans="1:56">
      <c r="Y62" s="91"/>
      <c r="Z62" s="91"/>
      <c r="AA62" s="123"/>
      <c r="AB62" s="123"/>
      <c r="BA62" s="116"/>
    </row>
    <row r="63" spans="1:56">
      <c r="R63" s="116"/>
      <c r="S63" s="116"/>
    </row>
  </sheetData>
  <mergeCells count="34">
    <mergeCell ref="A5:U5"/>
    <mergeCell ref="V5:AP5"/>
    <mergeCell ref="AQ5:BC5"/>
    <mergeCell ref="A6:U6"/>
    <mergeCell ref="V6:AP6"/>
    <mergeCell ref="AQ6:BC6"/>
    <mergeCell ref="AV8:AZ8"/>
    <mergeCell ref="A9:A12"/>
    <mergeCell ref="B9:E9"/>
    <mergeCell ref="F9:I9"/>
    <mergeCell ref="J9:M9"/>
    <mergeCell ref="N9:Q9"/>
    <mergeCell ref="R9:U9"/>
    <mergeCell ref="V9:V12"/>
    <mergeCell ref="W9:Z9"/>
    <mergeCell ref="AA9:AD9"/>
    <mergeCell ref="AE9:AN9"/>
    <mergeCell ref="AQ9:AQ12"/>
    <mergeCell ref="AR9:BC9"/>
    <mergeCell ref="B10:E11"/>
    <mergeCell ref="F10:I11"/>
    <mergeCell ref="J10:M11"/>
    <mergeCell ref="N10:Q11"/>
    <mergeCell ref="R10:U11"/>
    <mergeCell ref="W10:Z11"/>
    <mergeCell ref="AA10:AD11"/>
    <mergeCell ref="AE10:AP10"/>
    <mergeCell ref="AR10:BC10"/>
    <mergeCell ref="AE11:AH11"/>
    <mergeCell ref="AI11:AL11"/>
    <mergeCell ref="AM11:AP11"/>
    <mergeCell ref="AR11:AU11"/>
    <mergeCell ref="AV11:AY11"/>
    <mergeCell ref="AZ11:BC11"/>
  </mergeCells>
  <pageMargins left="0.7" right="0.7" top="0.75" bottom="0.75" header="0.3" footer="0.3"/>
  <pageSetup paperSize="9" scale="28" orientation="landscape" horizontalDpi="300" verticalDpi="300" r:id="rId1"/>
  <colBreaks count="2" manualBreakCount="2">
    <brk id="21" max="1048575" man="1"/>
    <brk id="41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40"/>
  <sheetViews>
    <sheetView view="pageBreakPreview" zoomScale="87" zoomScaleSheetLayoutView="87" workbookViewId="0">
      <selection sqref="A1:BA1"/>
    </sheetView>
  </sheetViews>
  <sheetFormatPr defaultRowHeight="15"/>
  <cols>
    <col min="1" max="1" width="55.7109375" customWidth="1"/>
    <col min="2" max="4" width="13.5703125" style="201" customWidth="1"/>
    <col min="5" max="5" width="11.28515625" style="201" customWidth="1"/>
    <col min="6" max="8" width="13.28515625" style="201" customWidth="1"/>
    <col min="9" max="13" width="11.28515625" style="201" customWidth="1"/>
    <col min="14" max="16" width="14.28515625" style="201" customWidth="1"/>
    <col min="17" max="21" width="11.28515625" style="201" customWidth="1"/>
    <col min="22" max="22" width="55.7109375" customWidth="1"/>
    <col min="23" max="30" width="11.28515625" style="201" customWidth="1"/>
    <col min="31" max="32" width="13.28515625" style="201" customWidth="1"/>
    <col min="33" max="33" width="11.28515625" style="201" customWidth="1"/>
    <col min="34" max="34" width="13.28515625" style="201" customWidth="1"/>
    <col min="35" max="36" width="15.85546875" style="201" customWidth="1"/>
    <col min="37" max="37" width="14.7109375" style="201" customWidth="1"/>
    <col min="38" max="38" width="13.28515625" style="201" customWidth="1"/>
    <col min="39" max="39" width="55.7109375" customWidth="1"/>
    <col min="40" max="41" width="14.5703125" style="201" customWidth="1"/>
    <col min="42" max="42" width="16.85546875" style="201" customWidth="1"/>
    <col min="43" max="47" width="13.28515625" style="201" customWidth="1"/>
    <col min="48" max="49" width="16" style="202" customWidth="1"/>
    <col min="50" max="50" width="14.7109375" style="201" customWidth="1"/>
    <col min="51" max="51" width="13.28515625" style="201" customWidth="1"/>
    <col min="52" max="52" width="16.140625" style="201" customWidth="1"/>
    <col min="53" max="53" width="14.140625" style="201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64" customFormat="1" ht="15.75">
      <c r="A1" s="822" t="s">
        <v>965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822"/>
      <c r="AG1" s="822"/>
      <c r="AH1" s="822"/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135"/>
      <c r="BC1" s="135"/>
      <c r="BD1" s="135"/>
      <c r="BE1" s="135"/>
      <c r="BF1" s="135"/>
    </row>
    <row r="2" spans="1:79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 t="s">
        <v>324</v>
      </c>
      <c r="V2" s="136"/>
      <c r="W2" s="136"/>
      <c r="X2" s="136"/>
      <c r="Y2" s="136"/>
      <c r="Z2" s="136"/>
      <c r="AA2" s="136"/>
      <c r="AB2" s="137"/>
      <c r="AC2" s="136"/>
      <c r="AD2" s="136"/>
      <c r="AE2" s="136"/>
      <c r="AF2" s="136"/>
      <c r="AG2" s="136"/>
      <c r="AH2" s="136"/>
      <c r="AI2" s="136"/>
      <c r="AJ2" s="136"/>
      <c r="AK2" s="136"/>
      <c r="AL2" s="137" t="s">
        <v>325</v>
      </c>
      <c r="AM2" s="136"/>
      <c r="AN2" s="136"/>
      <c r="AO2" s="136"/>
      <c r="AP2" s="136"/>
      <c r="AQ2" s="136"/>
      <c r="AR2" s="136"/>
      <c r="AS2" s="136"/>
      <c r="AT2" s="136"/>
      <c r="AU2" s="136"/>
      <c r="AV2" s="138"/>
      <c r="AW2" s="137"/>
      <c r="AX2" s="136"/>
      <c r="AY2" s="137" t="s">
        <v>326</v>
      </c>
      <c r="AZ2" s="136"/>
      <c r="BA2" s="136"/>
      <c r="BB2" s="20"/>
      <c r="BC2" s="20"/>
      <c r="BD2" s="20"/>
      <c r="BE2" s="20"/>
      <c r="BF2" s="20"/>
    </row>
    <row r="3" spans="1:79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8"/>
      <c r="AW3" s="138"/>
      <c r="AX3" s="136"/>
      <c r="AY3" s="136"/>
      <c r="AZ3" s="136"/>
      <c r="BA3" s="136"/>
      <c r="BB3" s="20"/>
      <c r="BC3" s="20"/>
      <c r="BD3" s="20"/>
      <c r="BE3" s="20"/>
      <c r="BF3" s="20"/>
    </row>
    <row r="4" spans="1:79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6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6"/>
      <c r="AN4" s="139"/>
      <c r="AO4" s="139"/>
      <c r="AP4" s="139"/>
      <c r="AQ4" s="139"/>
      <c r="AR4" s="139"/>
      <c r="AS4" s="139"/>
      <c r="AT4" s="139"/>
      <c r="AU4" s="139"/>
      <c r="AV4" s="140"/>
      <c r="AW4" s="140"/>
      <c r="AX4" s="139"/>
      <c r="AY4" s="139"/>
      <c r="AZ4" s="139"/>
      <c r="BA4" s="139"/>
      <c r="BB4" s="20"/>
      <c r="BC4" s="20"/>
      <c r="BD4" s="20"/>
      <c r="BE4" s="20"/>
      <c r="BF4" s="20"/>
    </row>
    <row r="5" spans="1:79" s="142" customFormat="1" ht="44.25" customHeight="1">
      <c r="A5" s="876" t="s">
        <v>703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 t="s">
        <v>703</v>
      </c>
      <c r="W5" s="876"/>
      <c r="X5" s="876"/>
      <c r="Y5" s="876"/>
      <c r="Z5" s="876"/>
      <c r="AA5" s="876"/>
      <c r="AB5" s="876"/>
      <c r="AC5" s="876"/>
      <c r="AD5" s="876"/>
      <c r="AE5" s="876"/>
      <c r="AF5" s="876"/>
      <c r="AG5" s="876"/>
      <c r="AH5" s="876"/>
      <c r="AI5" s="876"/>
      <c r="AJ5" s="876"/>
      <c r="AK5" s="876"/>
      <c r="AL5" s="876"/>
      <c r="AM5" s="876" t="s">
        <v>703</v>
      </c>
      <c r="AN5" s="876"/>
      <c r="AO5" s="876"/>
      <c r="AP5" s="876"/>
      <c r="AQ5" s="876"/>
      <c r="AR5" s="876"/>
      <c r="AS5" s="876"/>
      <c r="AT5" s="876"/>
      <c r="AU5" s="876"/>
      <c r="AV5" s="876"/>
      <c r="AW5" s="876"/>
      <c r="AX5" s="876"/>
      <c r="AY5" s="876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</row>
    <row r="6" spans="1:79" ht="15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</row>
    <row r="7" spans="1:79" ht="16.5" thickBo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877"/>
      <c r="AS7" s="877"/>
      <c r="AT7" s="877"/>
      <c r="AU7" s="877"/>
      <c r="AV7" s="877"/>
      <c r="AW7" s="145"/>
      <c r="AX7" s="145"/>
      <c r="AY7" s="145" t="s">
        <v>7</v>
      </c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</row>
    <row r="8" spans="1:79" s="147" customFormat="1" ht="13.5" thickBot="1">
      <c r="A8" s="873" t="s">
        <v>372</v>
      </c>
      <c r="B8" s="870" t="s">
        <v>328</v>
      </c>
      <c r="C8" s="871"/>
      <c r="D8" s="871"/>
      <c r="E8" s="872"/>
      <c r="F8" s="870" t="s">
        <v>329</v>
      </c>
      <c r="G8" s="871"/>
      <c r="H8" s="871"/>
      <c r="I8" s="872"/>
      <c r="J8" s="870" t="s">
        <v>330</v>
      </c>
      <c r="K8" s="871"/>
      <c r="L8" s="871"/>
      <c r="M8" s="872"/>
      <c r="N8" s="870" t="s">
        <v>331</v>
      </c>
      <c r="O8" s="871"/>
      <c r="P8" s="871"/>
      <c r="Q8" s="872"/>
      <c r="R8" s="870" t="s">
        <v>332</v>
      </c>
      <c r="S8" s="871"/>
      <c r="T8" s="871"/>
      <c r="U8" s="872"/>
      <c r="V8" s="873" t="s">
        <v>372</v>
      </c>
      <c r="W8" s="870" t="s">
        <v>333</v>
      </c>
      <c r="X8" s="871"/>
      <c r="Y8" s="871"/>
      <c r="Z8" s="872"/>
      <c r="AA8" s="870" t="s">
        <v>334</v>
      </c>
      <c r="AB8" s="871"/>
      <c r="AC8" s="871"/>
      <c r="AD8" s="872"/>
      <c r="AE8" s="870" t="s">
        <v>373</v>
      </c>
      <c r="AF8" s="871"/>
      <c r="AG8" s="871"/>
      <c r="AH8" s="871"/>
      <c r="AI8" s="871"/>
      <c r="AJ8" s="871"/>
      <c r="AK8" s="871"/>
      <c r="AL8" s="872"/>
      <c r="AM8" s="873" t="s">
        <v>372</v>
      </c>
      <c r="AN8" s="860" t="s">
        <v>374</v>
      </c>
      <c r="AO8" s="860"/>
      <c r="AP8" s="860"/>
      <c r="AQ8" s="860"/>
      <c r="AR8" s="860"/>
      <c r="AS8" s="860"/>
      <c r="AT8" s="860"/>
      <c r="AU8" s="860"/>
      <c r="AV8" s="860"/>
      <c r="AW8" s="860"/>
      <c r="AX8" s="860"/>
      <c r="AY8" s="860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</row>
    <row r="9" spans="1:79" s="149" customFormat="1" ht="15.75" thickBot="1">
      <c r="A9" s="874"/>
      <c r="B9" s="861" t="s">
        <v>337</v>
      </c>
      <c r="C9" s="862"/>
      <c r="D9" s="862"/>
      <c r="E9" s="863"/>
      <c r="F9" s="861" t="s">
        <v>338</v>
      </c>
      <c r="G9" s="862"/>
      <c r="H9" s="862"/>
      <c r="I9" s="863"/>
      <c r="J9" s="861" t="s">
        <v>339</v>
      </c>
      <c r="K9" s="862"/>
      <c r="L9" s="862"/>
      <c r="M9" s="863"/>
      <c r="N9" s="861" t="s">
        <v>340</v>
      </c>
      <c r="O9" s="862"/>
      <c r="P9" s="862"/>
      <c r="Q9" s="863"/>
      <c r="R9" s="861" t="s">
        <v>341</v>
      </c>
      <c r="S9" s="862"/>
      <c r="T9" s="862"/>
      <c r="U9" s="863"/>
      <c r="V9" s="874"/>
      <c r="W9" s="861" t="s">
        <v>342</v>
      </c>
      <c r="X9" s="862"/>
      <c r="Y9" s="862"/>
      <c r="Z9" s="863"/>
      <c r="AA9" s="861" t="s">
        <v>343</v>
      </c>
      <c r="AB9" s="862"/>
      <c r="AC9" s="862"/>
      <c r="AD9" s="863"/>
      <c r="AE9" s="867" t="s">
        <v>344</v>
      </c>
      <c r="AF9" s="868"/>
      <c r="AG9" s="868"/>
      <c r="AH9" s="868"/>
      <c r="AI9" s="868"/>
      <c r="AJ9" s="868"/>
      <c r="AK9" s="868"/>
      <c r="AL9" s="869"/>
      <c r="AM9" s="874"/>
      <c r="AN9" s="859" t="s">
        <v>345</v>
      </c>
      <c r="AO9" s="859"/>
      <c r="AP9" s="859"/>
      <c r="AQ9" s="859"/>
      <c r="AR9" s="859"/>
      <c r="AS9" s="859"/>
      <c r="AT9" s="859"/>
      <c r="AU9" s="859"/>
      <c r="AV9" s="859"/>
      <c r="AW9" s="859"/>
      <c r="AX9" s="859"/>
      <c r="AY9" s="859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</row>
    <row r="10" spans="1:79" s="149" customFormat="1" ht="15.75" thickBot="1">
      <c r="A10" s="874"/>
      <c r="B10" s="864"/>
      <c r="C10" s="865"/>
      <c r="D10" s="865"/>
      <c r="E10" s="866"/>
      <c r="F10" s="864"/>
      <c r="G10" s="865"/>
      <c r="H10" s="865"/>
      <c r="I10" s="866"/>
      <c r="J10" s="864"/>
      <c r="K10" s="865"/>
      <c r="L10" s="865"/>
      <c r="M10" s="866"/>
      <c r="N10" s="864"/>
      <c r="O10" s="865"/>
      <c r="P10" s="865"/>
      <c r="Q10" s="866"/>
      <c r="R10" s="864"/>
      <c r="S10" s="865"/>
      <c r="T10" s="865"/>
      <c r="U10" s="866"/>
      <c r="V10" s="874"/>
      <c r="W10" s="864"/>
      <c r="X10" s="865"/>
      <c r="Y10" s="865"/>
      <c r="Z10" s="866"/>
      <c r="AA10" s="864"/>
      <c r="AB10" s="865"/>
      <c r="AC10" s="865"/>
      <c r="AD10" s="866"/>
      <c r="AE10" s="867" t="s">
        <v>375</v>
      </c>
      <c r="AF10" s="868"/>
      <c r="AG10" s="868"/>
      <c r="AH10" s="869"/>
      <c r="AI10" s="867" t="s">
        <v>376</v>
      </c>
      <c r="AJ10" s="868"/>
      <c r="AK10" s="868"/>
      <c r="AL10" s="869"/>
      <c r="AM10" s="874"/>
      <c r="AN10" s="859" t="s">
        <v>348</v>
      </c>
      <c r="AO10" s="859"/>
      <c r="AP10" s="859"/>
      <c r="AQ10" s="859"/>
      <c r="AR10" s="859" t="s">
        <v>349</v>
      </c>
      <c r="AS10" s="859"/>
      <c r="AT10" s="859"/>
      <c r="AU10" s="859"/>
      <c r="AV10" s="859" t="s">
        <v>345</v>
      </c>
      <c r="AW10" s="859"/>
      <c r="AX10" s="859"/>
      <c r="AY10" s="859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</row>
    <row r="11" spans="1:79" s="148" customFormat="1" ht="26.25" thickBot="1">
      <c r="A11" s="875"/>
      <c r="B11" s="150" t="s">
        <v>350</v>
      </c>
      <c r="C11" s="150" t="s">
        <v>351</v>
      </c>
      <c r="D11" s="150" t="s">
        <v>288</v>
      </c>
      <c r="E11" s="150" t="s">
        <v>289</v>
      </c>
      <c r="F11" s="150" t="s">
        <v>350</v>
      </c>
      <c r="G11" s="150" t="s">
        <v>351</v>
      </c>
      <c r="H11" s="150" t="s">
        <v>288</v>
      </c>
      <c r="I11" s="150" t="s">
        <v>289</v>
      </c>
      <c r="J11" s="150" t="s">
        <v>350</v>
      </c>
      <c r="K11" s="150" t="s">
        <v>351</v>
      </c>
      <c r="L11" s="150" t="s">
        <v>288</v>
      </c>
      <c r="M11" s="150" t="s">
        <v>289</v>
      </c>
      <c r="N11" s="150" t="s">
        <v>350</v>
      </c>
      <c r="O11" s="150" t="s">
        <v>351</v>
      </c>
      <c r="P11" s="150" t="s">
        <v>288</v>
      </c>
      <c r="Q11" s="150" t="s">
        <v>289</v>
      </c>
      <c r="R11" s="150" t="s">
        <v>350</v>
      </c>
      <c r="S11" s="150" t="s">
        <v>351</v>
      </c>
      <c r="T11" s="150" t="s">
        <v>288</v>
      </c>
      <c r="U11" s="150" t="s">
        <v>289</v>
      </c>
      <c r="V11" s="875"/>
      <c r="W11" s="150" t="s">
        <v>350</v>
      </c>
      <c r="X11" s="150" t="s">
        <v>351</v>
      </c>
      <c r="Y11" s="150" t="s">
        <v>288</v>
      </c>
      <c r="Z11" s="150" t="s">
        <v>289</v>
      </c>
      <c r="AA11" s="150" t="s">
        <v>350</v>
      </c>
      <c r="AB11" s="150" t="s">
        <v>351</v>
      </c>
      <c r="AC11" s="150" t="s">
        <v>288</v>
      </c>
      <c r="AD11" s="150" t="s">
        <v>289</v>
      </c>
      <c r="AE11" s="150" t="s">
        <v>350</v>
      </c>
      <c r="AF11" s="150" t="s">
        <v>351</v>
      </c>
      <c r="AG11" s="150" t="s">
        <v>288</v>
      </c>
      <c r="AH11" s="150" t="s">
        <v>289</v>
      </c>
      <c r="AI11" s="150" t="s">
        <v>350</v>
      </c>
      <c r="AJ11" s="150" t="s">
        <v>351</v>
      </c>
      <c r="AK11" s="150" t="s">
        <v>288</v>
      </c>
      <c r="AL11" s="150" t="s">
        <v>289</v>
      </c>
      <c r="AM11" s="875"/>
      <c r="AN11" s="150" t="s">
        <v>350</v>
      </c>
      <c r="AO11" s="150" t="s">
        <v>351</v>
      </c>
      <c r="AP11" s="150" t="s">
        <v>288</v>
      </c>
      <c r="AQ11" s="150" t="s">
        <v>289</v>
      </c>
      <c r="AR11" s="150" t="s">
        <v>350</v>
      </c>
      <c r="AS11" s="150" t="s">
        <v>351</v>
      </c>
      <c r="AT11" s="150" t="s">
        <v>288</v>
      </c>
      <c r="AU11" s="150" t="s">
        <v>289</v>
      </c>
      <c r="AV11" s="150" t="s">
        <v>350</v>
      </c>
      <c r="AW11" s="150" t="s">
        <v>351</v>
      </c>
      <c r="AX11" s="150" t="s">
        <v>288</v>
      </c>
      <c r="AY11" s="150" t="s">
        <v>289</v>
      </c>
    </row>
    <row r="12" spans="1:79" s="155" customFormat="1" ht="15.75">
      <c r="A12" s="151" t="s">
        <v>377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1" t="s">
        <v>377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1" t="s">
        <v>377</v>
      </c>
      <c r="AN12" s="152"/>
      <c r="AO12" s="152"/>
      <c r="AP12" s="152"/>
      <c r="AQ12" s="152"/>
      <c r="AR12" s="152"/>
      <c r="AS12" s="152"/>
      <c r="AT12" s="152"/>
      <c r="AU12" s="152"/>
      <c r="AV12" s="153"/>
      <c r="AW12" s="153"/>
      <c r="AX12" s="152"/>
      <c r="AY12" s="152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</row>
    <row r="13" spans="1:79" s="155" customFormat="1" ht="15.75">
      <c r="A13" s="156" t="s">
        <v>378</v>
      </c>
      <c r="B13" s="157"/>
      <c r="C13" s="157">
        <v>26296575</v>
      </c>
      <c r="D13" s="157">
        <v>26296575</v>
      </c>
      <c r="E13" s="158">
        <f>D13/C13</f>
        <v>1</v>
      </c>
      <c r="F13" s="157"/>
      <c r="G13" s="157"/>
      <c r="H13" s="157"/>
      <c r="I13" s="158"/>
      <c r="J13" s="157"/>
      <c r="K13" s="157"/>
      <c r="L13" s="157"/>
      <c r="M13" s="158"/>
      <c r="N13" s="157">
        <v>6255000</v>
      </c>
      <c r="O13" s="157">
        <v>6255000</v>
      </c>
      <c r="P13" s="157">
        <v>5006411</v>
      </c>
      <c r="Q13" s="158">
        <f>P13/O13</f>
        <v>0.80038545163868902</v>
      </c>
      <c r="R13" s="157"/>
      <c r="S13" s="157"/>
      <c r="T13" s="157"/>
      <c r="U13" s="158"/>
      <c r="V13" s="156" t="s">
        <v>378</v>
      </c>
      <c r="W13" s="157"/>
      <c r="X13" s="157"/>
      <c r="Y13" s="157"/>
      <c r="Z13" s="158"/>
      <c r="AA13" s="157"/>
      <c r="AB13" s="157"/>
      <c r="AC13" s="157"/>
      <c r="AD13" s="158"/>
      <c r="AE13" s="157"/>
      <c r="AF13" s="157">
        <v>6218431</v>
      </c>
      <c r="AG13" s="157">
        <v>6218431</v>
      </c>
      <c r="AH13" s="158">
        <f>AG13/AF13</f>
        <v>1</v>
      </c>
      <c r="AI13" s="157">
        <v>554614000</v>
      </c>
      <c r="AJ13" s="157">
        <v>576064711</v>
      </c>
      <c r="AK13" s="157">
        <v>576064711</v>
      </c>
      <c r="AL13" s="158">
        <f>AK13/AJ13</f>
        <v>1</v>
      </c>
      <c r="AM13" s="156" t="s">
        <v>378</v>
      </c>
      <c r="AN13" s="157">
        <f>SUM(B13+J13+N13+W13+AI13)</f>
        <v>560869000</v>
      </c>
      <c r="AO13" s="157">
        <f>SUM(C13+K13+O13+X13+AJ13+AF13)</f>
        <v>614834717</v>
      </c>
      <c r="AP13" s="157">
        <f>SUM(D13+L13+P13+Y13+AK13+AG13)</f>
        <v>613586128</v>
      </c>
      <c r="AQ13" s="158">
        <f>AP13/AO13</f>
        <v>0.99796922820804213</v>
      </c>
      <c r="AR13" s="157">
        <f t="shared" ref="AR13:AT14" si="0">SUM(F13+R13+AA13)</f>
        <v>0</v>
      </c>
      <c r="AS13" s="157">
        <f t="shared" si="0"/>
        <v>0</v>
      </c>
      <c r="AT13" s="157">
        <f t="shared" si="0"/>
        <v>0</v>
      </c>
      <c r="AU13" s="158">
        <v>0</v>
      </c>
      <c r="AV13" s="159">
        <f t="shared" ref="AV13:AX14" si="1">SUM(AN13+AR13)</f>
        <v>560869000</v>
      </c>
      <c r="AW13" s="159">
        <f t="shared" si="1"/>
        <v>614834717</v>
      </c>
      <c r="AX13" s="159">
        <f t="shared" si="1"/>
        <v>613586128</v>
      </c>
      <c r="AY13" s="158">
        <f>AX13/AW13</f>
        <v>0.99796922820804213</v>
      </c>
      <c r="AZ13" s="160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</row>
    <row r="14" spans="1:79" s="155" customFormat="1" ht="16.5" thickBot="1">
      <c r="A14" s="161" t="s">
        <v>379</v>
      </c>
      <c r="B14" s="162"/>
      <c r="C14" s="162"/>
      <c r="D14" s="162"/>
      <c r="E14" s="158"/>
      <c r="F14" s="162"/>
      <c r="G14" s="162"/>
      <c r="H14" s="162"/>
      <c r="I14" s="158"/>
      <c r="J14" s="162"/>
      <c r="K14" s="162"/>
      <c r="L14" s="162"/>
      <c r="M14" s="158"/>
      <c r="N14" s="162"/>
      <c r="O14" s="162"/>
      <c r="P14" s="162"/>
      <c r="Q14" s="158"/>
      <c r="R14" s="162"/>
      <c r="S14" s="162"/>
      <c r="T14" s="162"/>
      <c r="U14" s="158"/>
      <c r="V14" s="161" t="s">
        <v>379</v>
      </c>
      <c r="W14" s="162"/>
      <c r="X14" s="162"/>
      <c r="Y14" s="162"/>
      <c r="Z14" s="158"/>
      <c r="AA14" s="162"/>
      <c r="AB14" s="162"/>
      <c r="AC14" s="162"/>
      <c r="AD14" s="158"/>
      <c r="AE14" s="162"/>
      <c r="AF14" s="162"/>
      <c r="AG14" s="162"/>
      <c r="AH14" s="158"/>
      <c r="AI14" s="162"/>
      <c r="AJ14" s="162"/>
      <c r="AK14" s="162"/>
      <c r="AL14" s="158"/>
      <c r="AM14" s="161" t="s">
        <v>379</v>
      </c>
      <c r="AN14" s="163">
        <f>SUM(B14+J14+N14+W14+AI14)</f>
        <v>0</v>
      </c>
      <c r="AO14" s="163">
        <f>SUM(C14+K14+O14+X14+AJ14)</f>
        <v>0</v>
      </c>
      <c r="AP14" s="163">
        <f>SUM(D14+L14+P14+Y14+AK14)</f>
        <v>0</v>
      </c>
      <c r="AQ14" s="158"/>
      <c r="AR14" s="163">
        <f t="shared" si="0"/>
        <v>0</v>
      </c>
      <c r="AS14" s="163">
        <f t="shared" si="0"/>
        <v>0</v>
      </c>
      <c r="AT14" s="163">
        <f t="shared" si="0"/>
        <v>0</v>
      </c>
      <c r="AU14" s="158">
        <v>0</v>
      </c>
      <c r="AV14" s="159">
        <f t="shared" si="1"/>
        <v>0</v>
      </c>
      <c r="AW14" s="159">
        <f t="shared" si="1"/>
        <v>0</v>
      </c>
      <c r="AX14" s="159">
        <f t="shared" si="1"/>
        <v>0</v>
      </c>
      <c r="AY14" s="158">
        <v>0</v>
      </c>
      <c r="AZ14" s="160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</row>
    <row r="15" spans="1:79" s="169" customFormat="1" ht="16.5" thickBot="1">
      <c r="A15" s="164" t="s">
        <v>380</v>
      </c>
      <c r="B15" s="165">
        <f>B13+B14</f>
        <v>0</v>
      </c>
      <c r="C15" s="165">
        <f>C13+C14</f>
        <v>26296575</v>
      </c>
      <c r="D15" s="165">
        <f t="shared" ref="D15" si="2">D13+D14</f>
        <v>26296575</v>
      </c>
      <c r="E15" s="166">
        <f>D15/C15</f>
        <v>1</v>
      </c>
      <c r="F15" s="165">
        <f t="shared" ref="F15:AI15" si="3">F13+F14</f>
        <v>0</v>
      </c>
      <c r="G15" s="165">
        <f t="shared" si="3"/>
        <v>0</v>
      </c>
      <c r="H15" s="165">
        <f t="shared" si="3"/>
        <v>0</v>
      </c>
      <c r="I15" s="166"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6">
        <v>0</v>
      </c>
      <c r="N15" s="165">
        <f t="shared" si="3"/>
        <v>6255000</v>
      </c>
      <c r="O15" s="165">
        <f t="shared" si="3"/>
        <v>6255000</v>
      </c>
      <c r="P15" s="165">
        <f t="shared" si="3"/>
        <v>5006411</v>
      </c>
      <c r="Q15" s="166">
        <f>P15/O15</f>
        <v>0.80038545163868902</v>
      </c>
      <c r="R15" s="165">
        <f t="shared" si="3"/>
        <v>0</v>
      </c>
      <c r="S15" s="165">
        <f t="shared" si="3"/>
        <v>0</v>
      </c>
      <c r="T15" s="165">
        <f t="shared" si="3"/>
        <v>0</v>
      </c>
      <c r="U15" s="166">
        <v>0</v>
      </c>
      <c r="V15" s="164" t="s">
        <v>380</v>
      </c>
      <c r="W15" s="165">
        <f t="shared" si="3"/>
        <v>0</v>
      </c>
      <c r="X15" s="165">
        <f t="shared" si="3"/>
        <v>0</v>
      </c>
      <c r="Y15" s="165">
        <f t="shared" si="3"/>
        <v>0</v>
      </c>
      <c r="Z15" s="166">
        <v>0</v>
      </c>
      <c r="AA15" s="165">
        <f t="shared" si="3"/>
        <v>0</v>
      </c>
      <c r="AB15" s="165">
        <f t="shared" si="3"/>
        <v>0</v>
      </c>
      <c r="AC15" s="165">
        <f t="shared" si="3"/>
        <v>0</v>
      </c>
      <c r="AD15" s="166">
        <v>0</v>
      </c>
      <c r="AE15" s="165">
        <f>AE13+AE14</f>
        <v>0</v>
      </c>
      <c r="AF15" s="165">
        <f>AF13+AF14</f>
        <v>6218431</v>
      </c>
      <c r="AG15" s="165">
        <f t="shared" ref="AG15" si="4">AG13+AG14</f>
        <v>6218431</v>
      </c>
      <c r="AH15" s="166">
        <f>AG15/AF15</f>
        <v>1</v>
      </c>
      <c r="AI15" s="165">
        <f t="shared" si="3"/>
        <v>554614000</v>
      </c>
      <c r="AJ15" s="165">
        <f>AJ13+AJ14</f>
        <v>576064711</v>
      </c>
      <c r="AK15" s="165">
        <f t="shared" ref="AK15" si="5">AK13+AK14</f>
        <v>576064711</v>
      </c>
      <c r="AL15" s="166">
        <f>AK15/AJ15</f>
        <v>1</v>
      </c>
      <c r="AM15" s="164" t="s">
        <v>380</v>
      </c>
      <c r="AN15" s="165">
        <f t="shared" ref="AN15:AX15" si="6">AN13+AN14</f>
        <v>560869000</v>
      </c>
      <c r="AO15" s="165">
        <f t="shared" si="6"/>
        <v>614834717</v>
      </c>
      <c r="AP15" s="165">
        <f t="shared" si="6"/>
        <v>613586128</v>
      </c>
      <c r="AQ15" s="166">
        <f>AP15/AO15</f>
        <v>0.99796922820804213</v>
      </c>
      <c r="AR15" s="165">
        <f t="shared" si="6"/>
        <v>0</v>
      </c>
      <c r="AS15" s="165">
        <f t="shared" si="6"/>
        <v>0</v>
      </c>
      <c r="AT15" s="165">
        <f t="shared" si="6"/>
        <v>0</v>
      </c>
      <c r="AU15" s="166">
        <v>0</v>
      </c>
      <c r="AV15" s="165">
        <f t="shared" si="6"/>
        <v>560869000</v>
      </c>
      <c r="AW15" s="165">
        <f t="shared" si="6"/>
        <v>614834717</v>
      </c>
      <c r="AX15" s="165">
        <f t="shared" si="6"/>
        <v>613586128</v>
      </c>
      <c r="AY15" s="166">
        <f>AX15/AW15</f>
        <v>0.99796922820804213</v>
      </c>
      <c r="AZ15" s="167">
        <f>SUM(AG15+AK15)</f>
        <v>582283142</v>
      </c>
      <c r="BA15" s="167">
        <f>SUM(AX15-AZ15)</f>
        <v>31302986</v>
      </c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</row>
    <row r="16" spans="1:79" s="155" customFormat="1" ht="31.5">
      <c r="A16" s="151" t="s">
        <v>381</v>
      </c>
      <c r="B16" s="163"/>
      <c r="C16" s="163"/>
      <c r="D16" s="163"/>
      <c r="E16" s="170"/>
      <c r="F16" s="163"/>
      <c r="G16" s="163"/>
      <c r="H16" s="163"/>
      <c r="I16" s="170"/>
      <c r="J16" s="163"/>
      <c r="K16" s="163"/>
      <c r="L16" s="163"/>
      <c r="M16" s="170"/>
      <c r="N16" s="163"/>
      <c r="O16" s="163"/>
      <c r="P16" s="163"/>
      <c r="Q16" s="170"/>
      <c r="R16" s="163"/>
      <c r="S16" s="163"/>
      <c r="T16" s="163"/>
      <c r="U16" s="170"/>
      <c r="V16" s="151" t="s">
        <v>381</v>
      </c>
      <c r="W16" s="163"/>
      <c r="X16" s="163"/>
      <c r="Y16" s="163"/>
      <c r="Z16" s="170"/>
      <c r="AA16" s="163"/>
      <c r="AB16" s="163"/>
      <c r="AC16" s="163"/>
      <c r="AD16" s="170"/>
      <c r="AE16" s="163"/>
      <c r="AF16" s="163"/>
      <c r="AG16" s="163"/>
      <c r="AH16" s="170"/>
      <c r="AI16" s="163"/>
      <c r="AJ16" s="163"/>
      <c r="AK16" s="163"/>
      <c r="AL16" s="170"/>
      <c r="AM16" s="151" t="s">
        <v>381</v>
      </c>
      <c r="AN16" s="163"/>
      <c r="AO16" s="163"/>
      <c r="AP16" s="163"/>
      <c r="AQ16" s="170"/>
      <c r="AR16" s="163"/>
      <c r="AS16" s="163"/>
      <c r="AT16" s="163"/>
      <c r="AU16" s="170">
        <v>0</v>
      </c>
      <c r="AV16" s="171"/>
      <c r="AW16" s="171"/>
      <c r="AX16" s="171"/>
      <c r="AY16" s="170"/>
      <c r="AZ16" s="160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</row>
    <row r="17" spans="1:79" s="155" customFormat="1" ht="15.75">
      <c r="A17" s="156" t="s">
        <v>378</v>
      </c>
      <c r="B17" s="157">
        <v>4000000</v>
      </c>
      <c r="C17" s="157">
        <v>41282938</v>
      </c>
      <c r="D17" s="157">
        <v>41282938</v>
      </c>
      <c r="E17" s="158">
        <f>D17/C17</f>
        <v>1</v>
      </c>
      <c r="F17" s="157"/>
      <c r="G17" s="157"/>
      <c r="H17" s="157">
        <v>0</v>
      </c>
      <c r="I17" s="158">
        <v>0</v>
      </c>
      <c r="J17" s="157"/>
      <c r="K17" s="157"/>
      <c r="L17" s="157"/>
      <c r="M17" s="158"/>
      <c r="N17" s="157">
        <v>44599000</v>
      </c>
      <c r="O17" s="157">
        <v>39975475</v>
      </c>
      <c r="P17" s="157">
        <v>47310993</v>
      </c>
      <c r="Q17" s="158">
        <f>P17/O17</f>
        <v>1.1835004587187519</v>
      </c>
      <c r="R17" s="157"/>
      <c r="S17" s="157"/>
      <c r="T17" s="157"/>
      <c r="U17" s="158"/>
      <c r="V17" s="156" t="s">
        <v>378</v>
      </c>
      <c r="W17" s="157"/>
      <c r="X17" s="157">
        <v>240000</v>
      </c>
      <c r="Y17" s="157">
        <v>240000</v>
      </c>
      <c r="Z17" s="158">
        <f>Y17/X17</f>
        <v>1</v>
      </c>
      <c r="AA17" s="157"/>
      <c r="AB17" s="157"/>
      <c r="AC17" s="157"/>
      <c r="AD17" s="158"/>
      <c r="AE17" s="157">
        <v>858000</v>
      </c>
      <c r="AF17" s="157">
        <v>4395290</v>
      </c>
      <c r="AG17" s="157">
        <v>4395290</v>
      </c>
      <c r="AH17" s="158">
        <f>AG17/AF17</f>
        <v>1</v>
      </c>
      <c r="AI17" s="157">
        <v>78191000</v>
      </c>
      <c r="AJ17" s="157">
        <v>106252733</v>
      </c>
      <c r="AK17" s="157">
        <v>106252733</v>
      </c>
      <c r="AL17" s="158">
        <f>AK17/AJ17</f>
        <v>1</v>
      </c>
      <c r="AM17" s="156" t="s">
        <v>378</v>
      </c>
      <c r="AN17" s="157">
        <f>SUM(B17+J17+N17+W17+AI17)</f>
        <v>126790000</v>
      </c>
      <c r="AO17" s="157">
        <f>SUM(C17+K17+O17+X17+AJ17+AF17)</f>
        <v>192146436</v>
      </c>
      <c r="AP17" s="157">
        <f>SUM(D17+L17+P17+Y17+AK17+AG17)</f>
        <v>199481954</v>
      </c>
      <c r="AQ17" s="158">
        <f>AP17/AO17</f>
        <v>1.0381767060201939</v>
      </c>
      <c r="AR17" s="157">
        <f>SUM(AE17)</f>
        <v>858000</v>
      </c>
      <c r="AS17" s="157">
        <f>SUM(G17+S17+AB17)</f>
        <v>0</v>
      </c>
      <c r="AT17" s="157">
        <f t="shared" ref="AR17:AT18" si="7">SUM(H17+T17+AC17)</f>
        <v>0</v>
      </c>
      <c r="AU17" s="158">
        <v>0</v>
      </c>
      <c r="AV17" s="159">
        <f t="shared" ref="AV17:AV18" si="8">SUM(AN17+AR17)</f>
        <v>127648000</v>
      </c>
      <c r="AW17" s="159">
        <f>SUM(AO17+AS17)</f>
        <v>192146436</v>
      </c>
      <c r="AX17" s="159">
        <f>SUM(AP17+AT17)</f>
        <v>199481954</v>
      </c>
      <c r="AY17" s="158">
        <f>AX17/AW17</f>
        <v>1.0381767060201939</v>
      </c>
      <c r="AZ17" s="160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</row>
    <row r="18" spans="1:79" s="155" customFormat="1" ht="16.5" thickBot="1">
      <c r="A18" s="161" t="s">
        <v>379</v>
      </c>
      <c r="B18" s="162"/>
      <c r="C18" s="162"/>
      <c r="D18" s="162"/>
      <c r="E18" s="158"/>
      <c r="F18" s="162"/>
      <c r="G18" s="162"/>
      <c r="H18" s="162"/>
      <c r="I18" s="158"/>
      <c r="J18" s="162"/>
      <c r="K18" s="162"/>
      <c r="L18" s="162"/>
      <c r="M18" s="158"/>
      <c r="N18" s="162">
        <v>7430000</v>
      </c>
      <c r="O18" s="162">
        <v>7430000</v>
      </c>
      <c r="P18" s="162"/>
      <c r="Q18" s="158">
        <f>P18/O18</f>
        <v>0</v>
      </c>
      <c r="R18" s="162"/>
      <c r="S18" s="162"/>
      <c r="T18" s="162"/>
      <c r="U18" s="158"/>
      <c r="V18" s="161" t="s">
        <v>379</v>
      </c>
      <c r="W18" s="162"/>
      <c r="X18" s="162"/>
      <c r="Y18" s="162"/>
      <c r="Z18" s="158"/>
      <c r="AA18" s="162"/>
      <c r="AB18" s="162"/>
      <c r="AC18" s="162"/>
      <c r="AD18" s="158"/>
      <c r="AE18" s="162"/>
      <c r="AF18" s="162"/>
      <c r="AG18" s="162"/>
      <c r="AH18" s="158"/>
      <c r="AI18" s="162">
        <v>8799000</v>
      </c>
      <c r="AJ18" s="162">
        <v>8799000</v>
      </c>
      <c r="AK18" s="162">
        <v>8799000</v>
      </c>
      <c r="AL18" s="158">
        <f>AK18/AJ18</f>
        <v>1</v>
      </c>
      <c r="AM18" s="161" t="s">
        <v>379</v>
      </c>
      <c r="AN18" s="163">
        <f>SUM(B18+J18+N18+W18+AI18)</f>
        <v>16229000</v>
      </c>
      <c r="AO18" s="163">
        <f>SUM(C18+K18+O18+X18+AJ18)</f>
        <v>16229000</v>
      </c>
      <c r="AP18" s="163">
        <f>SUM(D18+L18+P18+Y18+AK18)</f>
        <v>8799000</v>
      </c>
      <c r="AQ18" s="158"/>
      <c r="AR18" s="163">
        <f t="shared" si="7"/>
        <v>0</v>
      </c>
      <c r="AS18" s="163">
        <f t="shared" si="7"/>
        <v>0</v>
      </c>
      <c r="AT18" s="163">
        <f t="shared" si="7"/>
        <v>0</v>
      </c>
      <c r="AU18" s="158">
        <v>0</v>
      </c>
      <c r="AV18" s="159">
        <f t="shared" si="8"/>
        <v>16229000</v>
      </c>
      <c r="AW18" s="159">
        <f>SUM(AO18+AS18)</f>
        <v>16229000</v>
      </c>
      <c r="AX18" s="159">
        <f>SUM(AP18+AT18)</f>
        <v>8799000</v>
      </c>
      <c r="AY18" s="158">
        <f>AX18/AW18</f>
        <v>0.54217758333846822</v>
      </c>
      <c r="AZ18" s="160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</row>
    <row r="19" spans="1:79" s="155" customFormat="1" ht="32.25" thickBot="1">
      <c r="A19" s="164" t="s">
        <v>382</v>
      </c>
      <c r="B19" s="165">
        <f>B17+B18</f>
        <v>4000000</v>
      </c>
      <c r="C19" s="165">
        <f>C17+C18</f>
        <v>41282938</v>
      </c>
      <c r="D19" s="165">
        <f t="shared" ref="D19" si="9">D17+D18</f>
        <v>41282938</v>
      </c>
      <c r="E19" s="166">
        <f>D19/C19</f>
        <v>1</v>
      </c>
      <c r="F19" s="165">
        <f t="shared" ref="F19:AP19" si="10">F17+F18</f>
        <v>0</v>
      </c>
      <c r="G19" s="165">
        <f t="shared" si="10"/>
        <v>0</v>
      </c>
      <c r="H19" s="165">
        <f t="shared" si="10"/>
        <v>0</v>
      </c>
      <c r="I19" s="166">
        <v>0</v>
      </c>
      <c r="J19" s="165">
        <f t="shared" si="10"/>
        <v>0</v>
      </c>
      <c r="K19" s="165">
        <f t="shared" si="10"/>
        <v>0</v>
      </c>
      <c r="L19" s="165">
        <f t="shared" si="10"/>
        <v>0</v>
      </c>
      <c r="M19" s="166">
        <v>0</v>
      </c>
      <c r="N19" s="165">
        <f t="shared" si="10"/>
        <v>52029000</v>
      </c>
      <c r="O19" s="165">
        <f t="shared" si="10"/>
        <v>47405475</v>
      </c>
      <c r="P19" s="165">
        <f t="shared" si="10"/>
        <v>47310993</v>
      </c>
      <c r="Q19" s="166">
        <f>P19/O19</f>
        <v>0.99800693907191096</v>
      </c>
      <c r="R19" s="165">
        <f t="shared" si="10"/>
        <v>0</v>
      </c>
      <c r="S19" s="165">
        <f t="shared" si="10"/>
        <v>0</v>
      </c>
      <c r="T19" s="165">
        <f t="shared" si="10"/>
        <v>0</v>
      </c>
      <c r="U19" s="166">
        <v>0</v>
      </c>
      <c r="V19" s="164" t="s">
        <v>382</v>
      </c>
      <c r="W19" s="165">
        <f t="shared" si="10"/>
        <v>0</v>
      </c>
      <c r="X19" s="165">
        <f t="shared" si="10"/>
        <v>240000</v>
      </c>
      <c r="Y19" s="165">
        <f t="shared" si="10"/>
        <v>240000</v>
      </c>
      <c r="Z19" s="166">
        <v>0</v>
      </c>
      <c r="AA19" s="165">
        <f t="shared" si="10"/>
        <v>0</v>
      </c>
      <c r="AB19" s="165">
        <f t="shared" si="10"/>
        <v>0</v>
      </c>
      <c r="AC19" s="165">
        <f t="shared" si="10"/>
        <v>0</v>
      </c>
      <c r="AD19" s="166">
        <v>0</v>
      </c>
      <c r="AE19" s="165">
        <f>AE17+AE18</f>
        <v>858000</v>
      </c>
      <c r="AF19" s="165">
        <f>AF17+AF18</f>
        <v>4395290</v>
      </c>
      <c r="AG19" s="165">
        <f t="shared" ref="AG19" si="11">AG17+AG18</f>
        <v>4395290</v>
      </c>
      <c r="AH19" s="166">
        <f>AG19/AF19</f>
        <v>1</v>
      </c>
      <c r="AI19" s="165">
        <f t="shared" si="10"/>
        <v>86990000</v>
      </c>
      <c r="AJ19" s="165">
        <f t="shared" si="10"/>
        <v>115051733</v>
      </c>
      <c r="AK19" s="165">
        <f t="shared" si="10"/>
        <v>115051733</v>
      </c>
      <c r="AL19" s="166">
        <f>AK19/AJ19</f>
        <v>1</v>
      </c>
      <c r="AM19" s="164" t="s">
        <v>382</v>
      </c>
      <c r="AN19" s="165">
        <f>AN17+AN18</f>
        <v>143019000</v>
      </c>
      <c r="AO19" s="165">
        <f t="shared" si="10"/>
        <v>208375436</v>
      </c>
      <c r="AP19" s="165">
        <f t="shared" si="10"/>
        <v>208280954</v>
      </c>
      <c r="AQ19" s="166">
        <f>AP19/AO19</f>
        <v>0.99954657803331481</v>
      </c>
      <c r="AR19" s="165">
        <f>AR17+AR18</f>
        <v>858000</v>
      </c>
      <c r="AS19" s="165">
        <f>AS17+AS18</f>
        <v>0</v>
      </c>
      <c r="AT19" s="165">
        <f>AT17+AT18</f>
        <v>0</v>
      </c>
      <c r="AU19" s="166">
        <v>0</v>
      </c>
      <c r="AV19" s="165">
        <f>AV17+AV18</f>
        <v>143877000</v>
      </c>
      <c r="AW19" s="165">
        <f>AW17+AW18</f>
        <v>208375436</v>
      </c>
      <c r="AX19" s="165">
        <f>AX17+AX18</f>
        <v>208280954</v>
      </c>
      <c r="AY19" s="166">
        <f>AX19/AW19</f>
        <v>0.99954657803331481</v>
      </c>
      <c r="AZ19" s="167">
        <f>SUM(AG19+AK19)</f>
        <v>119447023</v>
      </c>
      <c r="BA19" s="167">
        <f>SUM(AX19-AZ19)</f>
        <v>88833931</v>
      </c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</row>
    <row r="20" spans="1:79" s="155" customFormat="1" ht="15.75">
      <c r="A20" s="151" t="s">
        <v>383</v>
      </c>
      <c r="B20" s="163"/>
      <c r="C20" s="163"/>
      <c r="D20" s="163"/>
      <c r="E20" s="170"/>
      <c r="F20" s="163"/>
      <c r="G20" s="163"/>
      <c r="H20" s="163"/>
      <c r="I20" s="170"/>
      <c r="J20" s="163"/>
      <c r="K20" s="163"/>
      <c r="L20" s="163"/>
      <c r="M20" s="170"/>
      <c r="N20" s="163"/>
      <c r="O20" s="163"/>
      <c r="P20" s="163"/>
      <c r="Q20" s="170"/>
      <c r="R20" s="163"/>
      <c r="S20" s="163"/>
      <c r="T20" s="163"/>
      <c r="U20" s="170"/>
      <c r="V20" s="151" t="s">
        <v>383</v>
      </c>
      <c r="W20" s="163"/>
      <c r="X20" s="163"/>
      <c r="Y20" s="163"/>
      <c r="Z20" s="170"/>
      <c r="AA20" s="163"/>
      <c r="AB20" s="163"/>
      <c r="AC20" s="163"/>
      <c r="AD20" s="170"/>
      <c r="AE20" s="163"/>
      <c r="AF20" s="163"/>
      <c r="AG20" s="163"/>
      <c r="AH20" s="170"/>
      <c r="AI20" s="163"/>
      <c r="AJ20" s="163"/>
      <c r="AK20" s="163"/>
      <c r="AL20" s="170"/>
      <c r="AM20" s="151" t="s">
        <v>383</v>
      </c>
      <c r="AN20" s="163"/>
      <c r="AO20" s="163"/>
      <c r="AP20" s="163"/>
      <c r="AQ20" s="170"/>
      <c r="AR20" s="163"/>
      <c r="AS20" s="163"/>
      <c r="AT20" s="163"/>
      <c r="AU20" s="170">
        <v>0</v>
      </c>
      <c r="AV20" s="171"/>
      <c r="AW20" s="171"/>
      <c r="AX20" s="171"/>
      <c r="AY20" s="170"/>
      <c r="AZ20" s="160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</row>
    <row r="21" spans="1:79" s="155" customFormat="1" ht="15.75">
      <c r="A21" s="156" t="s">
        <v>378</v>
      </c>
      <c r="B21" s="157"/>
      <c r="C21" s="157">
        <v>463755715</v>
      </c>
      <c r="D21" s="157">
        <v>463755715</v>
      </c>
      <c r="E21" s="158">
        <f>D21/C21</f>
        <v>1</v>
      </c>
      <c r="F21" s="157"/>
      <c r="G21" s="157">
        <v>120000000</v>
      </c>
      <c r="H21" s="157">
        <v>120000000</v>
      </c>
      <c r="I21" s="158">
        <f>H21/G21</f>
        <v>1</v>
      </c>
      <c r="J21" s="157"/>
      <c r="K21" s="157"/>
      <c r="L21" s="157"/>
      <c r="M21" s="158"/>
      <c r="N21" s="157">
        <v>92408000</v>
      </c>
      <c r="O21" s="157">
        <v>72408000</v>
      </c>
      <c r="P21" s="157">
        <v>68947552</v>
      </c>
      <c r="Q21" s="158">
        <f>P21/O21</f>
        <v>0.952209037675395</v>
      </c>
      <c r="R21" s="157"/>
      <c r="S21" s="157"/>
      <c r="T21" s="157"/>
      <c r="U21" s="158"/>
      <c r="V21" s="156" t="s">
        <v>378</v>
      </c>
      <c r="W21" s="157"/>
      <c r="X21" s="157"/>
      <c r="Y21" s="157"/>
      <c r="Z21" s="158"/>
      <c r="AA21" s="157"/>
      <c r="AB21" s="157"/>
      <c r="AC21" s="157">
        <v>325924</v>
      </c>
      <c r="AD21" s="158">
        <v>0</v>
      </c>
      <c r="AE21" s="157">
        <v>49082000</v>
      </c>
      <c r="AF21" s="157">
        <v>52801750</v>
      </c>
      <c r="AG21" s="157">
        <v>52801750</v>
      </c>
      <c r="AH21" s="158">
        <f>AG21/AF21</f>
        <v>1</v>
      </c>
      <c r="AI21" s="157">
        <v>244329000</v>
      </c>
      <c r="AJ21" s="157">
        <v>265280364</v>
      </c>
      <c r="AK21" s="157">
        <v>265280364</v>
      </c>
      <c r="AL21" s="158">
        <f>AK21/AJ21</f>
        <v>1</v>
      </c>
      <c r="AM21" s="156" t="s">
        <v>378</v>
      </c>
      <c r="AN21" s="157">
        <f>SUM(B21+J21+N21+W21+AI21+AE21)</f>
        <v>385819000</v>
      </c>
      <c r="AO21" s="157">
        <f>SUM(C21+K21+O21+X21+AJ21+AF21)</f>
        <v>854245829</v>
      </c>
      <c r="AP21" s="157">
        <f>SUM(D21+L21+P21+Y21+AK21+AG21)</f>
        <v>850785381</v>
      </c>
      <c r="AQ21" s="158">
        <f>AP21/AO21</f>
        <v>0.99594911923181306</v>
      </c>
      <c r="AR21" s="157">
        <v>0</v>
      </c>
      <c r="AS21" s="157">
        <f>G21+S21+AB21</f>
        <v>120000000</v>
      </c>
      <c r="AT21" s="157">
        <f>H21+T21+AC21</f>
        <v>120325924</v>
      </c>
      <c r="AU21" s="158">
        <f>AT21/AS21</f>
        <v>1.0027160333333334</v>
      </c>
      <c r="AV21" s="159">
        <f t="shared" ref="AV21:AV22" si="12">SUM(AN21+AR21)</f>
        <v>385819000</v>
      </c>
      <c r="AW21" s="159">
        <f>SUM(AO21+AS21)</f>
        <v>974245829</v>
      </c>
      <c r="AX21" s="159">
        <f>SUM(AP21+AT21)</f>
        <v>971111305</v>
      </c>
      <c r="AY21" s="158">
        <f>AX21/AW21</f>
        <v>0.99678261491433084</v>
      </c>
      <c r="AZ21" s="160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</row>
    <row r="22" spans="1:79" s="155" customFormat="1" ht="16.5" thickBot="1">
      <c r="A22" s="161" t="s">
        <v>379</v>
      </c>
      <c r="B22" s="162"/>
      <c r="C22" s="162"/>
      <c r="D22" s="162"/>
      <c r="E22" s="158"/>
      <c r="F22" s="162"/>
      <c r="G22" s="162"/>
      <c r="H22" s="162"/>
      <c r="I22" s="158"/>
      <c r="J22" s="162"/>
      <c r="K22" s="162"/>
      <c r="L22" s="162"/>
      <c r="M22" s="158"/>
      <c r="N22" s="162"/>
      <c r="O22" s="162"/>
      <c r="P22" s="162"/>
      <c r="Q22" s="158"/>
      <c r="R22" s="162"/>
      <c r="S22" s="162"/>
      <c r="T22" s="162"/>
      <c r="U22" s="158">
        <v>0</v>
      </c>
      <c r="V22" s="161" t="s">
        <v>379</v>
      </c>
      <c r="W22" s="162"/>
      <c r="X22" s="162"/>
      <c r="Y22" s="162"/>
      <c r="Z22" s="158"/>
      <c r="AA22" s="162"/>
      <c r="AB22" s="162"/>
      <c r="AC22" s="162"/>
      <c r="AD22" s="158"/>
      <c r="AE22" s="162"/>
      <c r="AF22" s="162"/>
      <c r="AG22" s="162"/>
      <c r="AH22" s="158"/>
      <c r="AI22" s="162"/>
      <c r="AJ22" s="162"/>
      <c r="AK22" s="162"/>
      <c r="AL22" s="158"/>
      <c r="AM22" s="161" t="s">
        <v>379</v>
      </c>
      <c r="AN22" s="163">
        <f>SUM(B22+J22+N22+W22+AI22)</f>
        <v>0</v>
      </c>
      <c r="AO22" s="163">
        <f>SUM(C22+K22+O22+X22+AJ22)</f>
        <v>0</v>
      </c>
      <c r="AP22" s="163">
        <f>SUM(D22+L22+P22+Y22+AK22)</f>
        <v>0</v>
      </c>
      <c r="AQ22" s="158"/>
      <c r="AR22" s="163">
        <f>SUM(F22+R22+AA22)</f>
        <v>0</v>
      </c>
      <c r="AS22" s="163">
        <f>SUM(G22+S22+AB22)</f>
        <v>0</v>
      </c>
      <c r="AT22" s="163">
        <f>SUM(H22+T22+AC22)</f>
        <v>0</v>
      </c>
      <c r="AU22" s="158">
        <v>0</v>
      </c>
      <c r="AV22" s="159">
        <f t="shared" si="12"/>
        <v>0</v>
      </c>
      <c r="AW22" s="159">
        <f>SUM(AO22+AS22)</f>
        <v>0</v>
      </c>
      <c r="AX22" s="159">
        <f>SUM(AP22+AT22)</f>
        <v>0</v>
      </c>
      <c r="AY22" s="158">
        <v>0</v>
      </c>
      <c r="AZ22" s="160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</row>
    <row r="23" spans="1:79" s="173" customFormat="1" ht="16.5" thickBot="1">
      <c r="A23" s="164" t="s">
        <v>384</v>
      </c>
      <c r="B23" s="165">
        <f>B21+B22</f>
        <v>0</v>
      </c>
      <c r="C23" s="165">
        <f>C21+C22</f>
        <v>463755715</v>
      </c>
      <c r="D23" s="165">
        <f t="shared" ref="D23" si="13">D21+D22</f>
        <v>463755715</v>
      </c>
      <c r="E23" s="166">
        <f>D23/C23</f>
        <v>1</v>
      </c>
      <c r="F23" s="165">
        <f t="shared" ref="F23:AN23" si="14">F21+F22</f>
        <v>0</v>
      </c>
      <c r="G23" s="165">
        <f t="shared" si="14"/>
        <v>120000000</v>
      </c>
      <c r="H23" s="165">
        <f t="shared" si="14"/>
        <v>120000000</v>
      </c>
      <c r="I23" s="166">
        <f>H23/G23</f>
        <v>1</v>
      </c>
      <c r="J23" s="165">
        <f t="shared" si="14"/>
        <v>0</v>
      </c>
      <c r="K23" s="165">
        <f t="shared" si="14"/>
        <v>0</v>
      </c>
      <c r="L23" s="165">
        <f t="shared" si="14"/>
        <v>0</v>
      </c>
      <c r="M23" s="166">
        <v>0</v>
      </c>
      <c r="N23" s="165">
        <f t="shared" si="14"/>
        <v>92408000</v>
      </c>
      <c r="O23" s="165">
        <f t="shared" si="14"/>
        <v>72408000</v>
      </c>
      <c r="P23" s="165">
        <f t="shared" si="14"/>
        <v>68947552</v>
      </c>
      <c r="Q23" s="166">
        <f>P23/O23</f>
        <v>0.952209037675395</v>
      </c>
      <c r="R23" s="165">
        <f t="shared" si="14"/>
        <v>0</v>
      </c>
      <c r="S23" s="165">
        <f t="shared" si="14"/>
        <v>0</v>
      </c>
      <c r="T23" s="165">
        <f t="shared" si="14"/>
        <v>0</v>
      </c>
      <c r="U23" s="166"/>
      <c r="V23" s="164" t="s">
        <v>384</v>
      </c>
      <c r="W23" s="165">
        <f t="shared" si="14"/>
        <v>0</v>
      </c>
      <c r="X23" s="165">
        <f t="shared" si="14"/>
        <v>0</v>
      </c>
      <c r="Y23" s="165">
        <f t="shared" si="14"/>
        <v>0</v>
      </c>
      <c r="Z23" s="166">
        <v>0</v>
      </c>
      <c r="AA23" s="165">
        <f t="shared" si="14"/>
        <v>0</v>
      </c>
      <c r="AB23" s="165">
        <f t="shared" si="14"/>
        <v>0</v>
      </c>
      <c r="AC23" s="165">
        <f t="shared" si="14"/>
        <v>325924</v>
      </c>
      <c r="AD23" s="166">
        <v>0</v>
      </c>
      <c r="AE23" s="165">
        <f>AE21+AE22</f>
        <v>49082000</v>
      </c>
      <c r="AF23" s="165">
        <f>AF21+AF22</f>
        <v>52801750</v>
      </c>
      <c r="AG23" s="165">
        <f t="shared" ref="AG23" si="15">AG21+AG22</f>
        <v>52801750</v>
      </c>
      <c r="AH23" s="166">
        <f>AG23/AF23</f>
        <v>1</v>
      </c>
      <c r="AI23" s="165">
        <f t="shared" si="14"/>
        <v>244329000</v>
      </c>
      <c r="AJ23" s="165">
        <f t="shared" si="14"/>
        <v>265280364</v>
      </c>
      <c r="AK23" s="165">
        <f t="shared" si="14"/>
        <v>265280364</v>
      </c>
      <c r="AL23" s="166">
        <f>AK23/AJ23</f>
        <v>1</v>
      </c>
      <c r="AM23" s="164" t="s">
        <v>384</v>
      </c>
      <c r="AN23" s="165">
        <f t="shared" si="14"/>
        <v>385819000</v>
      </c>
      <c r="AO23" s="165">
        <f>AO21+AO22</f>
        <v>854245829</v>
      </c>
      <c r="AP23" s="165">
        <f>AP21+AP22</f>
        <v>850785381</v>
      </c>
      <c r="AQ23" s="166">
        <f>AP23/AO23</f>
        <v>0.99594911923181306</v>
      </c>
      <c r="AR23" s="165">
        <f>AR21+AR22</f>
        <v>0</v>
      </c>
      <c r="AS23" s="165">
        <f>AS21+AS22</f>
        <v>120000000</v>
      </c>
      <c r="AT23" s="165">
        <f>AT21+AT22</f>
        <v>120325924</v>
      </c>
      <c r="AU23" s="166">
        <f>AT23/AS23</f>
        <v>1.0027160333333334</v>
      </c>
      <c r="AV23" s="165">
        <f>AV21+AV22</f>
        <v>385819000</v>
      </c>
      <c r="AW23" s="165">
        <f>AW21+AW22</f>
        <v>974245829</v>
      </c>
      <c r="AX23" s="165">
        <f>AX21+AX22</f>
        <v>971111305</v>
      </c>
      <c r="AY23" s="166">
        <f>AX23/AW23</f>
        <v>0.99678261491433084</v>
      </c>
      <c r="AZ23" s="167">
        <f>SUM(AG23+AK23)</f>
        <v>318082114</v>
      </c>
      <c r="BA23" s="167">
        <f>SUM(AX23-AZ23)</f>
        <v>653029191</v>
      </c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</row>
    <row r="24" spans="1:79" s="181" customFormat="1" ht="15.75">
      <c r="A24" s="203" t="s">
        <v>385</v>
      </c>
      <c r="B24" s="175"/>
      <c r="C24" s="175"/>
      <c r="D24" s="175"/>
      <c r="E24" s="204"/>
      <c r="F24" s="175"/>
      <c r="G24" s="175"/>
      <c r="H24" s="175"/>
      <c r="I24" s="204"/>
      <c r="J24" s="175"/>
      <c r="K24" s="175"/>
      <c r="L24" s="175"/>
      <c r="M24" s="204"/>
      <c r="N24" s="175"/>
      <c r="O24" s="175"/>
      <c r="P24" s="175"/>
      <c r="Q24" s="204"/>
      <c r="R24" s="175"/>
      <c r="S24" s="175"/>
      <c r="T24" s="175"/>
      <c r="U24" s="204"/>
      <c r="V24" s="203" t="s">
        <v>385</v>
      </c>
      <c r="W24" s="175"/>
      <c r="X24" s="175"/>
      <c r="Y24" s="175"/>
      <c r="Z24" s="204"/>
      <c r="AA24" s="175"/>
      <c r="AB24" s="175"/>
      <c r="AC24" s="175"/>
      <c r="AD24" s="204"/>
      <c r="AE24" s="175"/>
      <c r="AF24" s="175"/>
      <c r="AG24" s="175"/>
      <c r="AH24" s="204"/>
      <c r="AI24" s="175"/>
      <c r="AJ24" s="175"/>
      <c r="AK24" s="175"/>
      <c r="AL24" s="204"/>
      <c r="AM24" s="203" t="s">
        <v>385</v>
      </c>
      <c r="AN24" s="175"/>
      <c r="AO24" s="175"/>
      <c r="AP24" s="175"/>
      <c r="AQ24" s="204"/>
      <c r="AR24" s="175"/>
      <c r="AS24" s="175"/>
      <c r="AT24" s="175"/>
      <c r="AU24" s="204"/>
      <c r="AV24" s="205"/>
      <c r="AW24" s="205"/>
      <c r="AX24" s="205"/>
      <c r="AY24" s="204"/>
      <c r="AZ24" s="179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</row>
    <row r="25" spans="1:79" s="181" customFormat="1" ht="15.75">
      <c r="A25" s="174" t="s">
        <v>378</v>
      </c>
      <c r="B25" s="175"/>
      <c r="C25" s="175">
        <v>2044398</v>
      </c>
      <c r="D25" s="176">
        <v>2044398</v>
      </c>
      <c r="E25" s="177">
        <f>D25/C25</f>
        <v>1</v>
      </c>
      <c r="F25" s="175"/>
      <c r="G25" s="175"/>
      <c r="H25" s="175"/>
      <c r="I25" s="177"/>
      <c r="J25" s="175"/>
      <c r="K25" s="175"/>
      <c r="L25" s="175"/>
      <c r="M25" s="177"/>
      <c r="N25" s="175">
        <v>600000</v>
      </c>
      <c r="O25" s="175">
        <v>600000</v>
      </c>
      <c r="P25" s="175">
        <v>612662</v>
      </c>
      <c r="Q25" s="177">
        <f t="shared" ref="Q25:Q30" si="16">P25/O25</f>
        <v>1.0211033333333333</v>
      </c>
      <c r="R25" s="175"/>
      <c r="S25" s="175"/>
      <c r="T25" s="175"/>
      <c r="U25" s="177"/>
      <c r="V25" s="174" t="s">
        <v>378</v>
      </c>
      <c r="W25" s="175"/>
      <c r="X25" s="175">
        <v>180000</v>
      </c>
      <c r="Y25" s="175">
        <v>180000</v>
      </c>
      <c r="Z25" s="158">
        <f>Y25/X25</f>
        <v>1</v>
      </c>
      <c r="AA25" s="175"/>
      <c r="AB25" s="175"/>
      <c r="AC25" s="175"/>
      <c r="AD25" s="177"/>
      <c r="AE25" s="175">
        <v>3600000</v>
      </c>
      <c r="AF25" s="175">
        <v>5117448</v>
      </c>
      <c r="AG25" s="175">
        <v>5117448</v>
      </c>
      <c r="AH25" s="177">
        <f>AG25/AF25</f>
        <v>1</v>
      </c>
      <c r="AI25" s="175">
        <v>18210000</v>
      </c>
      <c r="AJ25" s="175">
        <v>23820186</v>
      </c>
      <c r="AK25" s="175">
        <v>23820186</v>
      </c>
      <c r="AL25" s="177">
        <f t="shared" ref="AL25:AL30" si="17">AK25/AJ25</f>
        <v>1</v>
      </c>
      <c r="AM25" s="174" t="s">
        <v>378</v>
      </c>
      <c r="AN25" s="176">
        <f>SUM(B25+J25+N25+W25+AI25)</f>
        <v>18810000</v>
      </c>
      <c r="AO25" s="176">
        <f>SUM(C25+K25+O25+X25+AJ25+AF25)</f>
        <v>31762032</v>
      </c>
      <c r="AP25" s="176">
        <f>SUM(D25+L25+P25+Y25+AK25+AG25)</f>
        <v>31774694</v>
      </c>
      <c r="AQ25" s="177">
        <f>AP25/AO25</f>
        <v>1.0003986520761643</v>
      </c>
      <c r="AR25" s="157">
        <f>SUM(AE25)</f>
        <v>3600000</v>
      </c>
      <c r="AS25" s="176">
        <f t="shared" ref="AS25:AT26" si="18">SUM(G25+S25+AB25)</f>
        <v>0</v>
      </c>
      <c r="AT25" s="176">
        <f t="shared" si="18"/>
        <v>0</v>
      </c>
      <c r="AU25" s="177">
        <v>0</v>
      </c>
      <c r="AV25" s="178">
        <f t="shared" ref="AV25:AV26" si="19">SUM(AN25+AR25)</f>
        <v>22410000</v>
      </c>
      <c r="AW25" s="178">
        <f>SUM(AO25+AS25)</f>
        <v>31762032</v>
      </c>
      <c r="AX25" s="178">
        <f>SUM(AP25+AT25)</f>
        <v>31774694</v>
      </c>
      <c r="AY25" s="177">
        <f t="shared" ref="AY25:AY30" si="20">AX25/AW25</f>
        <v>1.0003986520761643</v>
      </c>
      <c r="AZ25" s="179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</row>
    <row r="26" spans="1:79" s="181" customFormat="1" ht="16.5" thickBot="1">
      <c r="A26" s="182" t="s">
        <v>379</v>
      </c>
      <c r="B26" s="183"/>
      <c r="C26" s="183"/>
      <c r="D26" s="183"/>
      <c r="E26" s="177"/>
      <c r="F26" s="183"/>
      <c r="G26" s="183"/>
      <c r="H26" s="183"/>
      <c r="I26" s="177"/>
      <c r="J26" s="183"/>
      <c r="K26" s="183"/>
      <c r="L26" s="183"/>
      <c r="M26" s="177"/>
      <c r="N26" s="183">
        <v>1553000</v>
      </c>
      <c r="O26" s="183">
        <v>1553000</v>
      </c>
      <c r="P26" s="183">
        <v>1139342</v>
      </c>
      <c r="Q26" s="177">
        <f t="shared" si="16"/>
        <v>0.73363940759819701</v>
      </c>
      <c r="R26" s="183"/>
      <c r="S26" s="183"/>
      <c r="T26" s="183"/>
      <c r="U26" s="177"/>
      <c r="V26" s="182" t="s">
        <v>379</v>
      </c>
      <c r="W26" s="183"/>
      <c r="X26" s="183"/>
      <c r="Y26" s="183"/>
      <c r="Z26" s="177"/>
      <c r="AA26" s="183"/>
      <c r="AB26" s="183"/>
      <c r="AC26" s="183"/>
      <c r="AD26" s="177"/>
      <c r="AE26" s="183"/>
      <c r="AF26" s="183">
        <v>477668</v>
      </c>
      <c r="AG26" s="183">
        <v>477668</v>
      </c>
      <c r="AH26" s="177">
        <f>AG26/AF26</f>
        <v>1</v>
      </c>
      <c r="AI26" s="183">
        <v>19862000</v>
      </c>
      <c r="AJ26" s="183">
        <v>18959575</v>
      </c>
      <c r="AK26" s="183">
        <v>18959575</v>
      </c>
      <c r="AL26" s="177">
        <f t="shared" si="17"/>
        <v>1</v>
      </c>
      <c r="AM26" s="182" t="s">
        <v>379</v>
      </c>
      <c r="AN26" s="175">
        <f>SUM(B26+J26+N26+W26+AI26)</f>
        <v>21415000</v>
      </c>
      <c r="AO26" s="176">
        <f>SUM(C26+K26+O26+X26+AJ26+AF26)</f>
        <v>20990243</v>
      </c>
      <c r="AP26" s="176">
        <f>SUM(D26+L26+P26+Y26+AK26+AG26)</f>
        <v>20576585</v>
      </c>
      <c r="AQ26" s="177">
        <f>AP26/AO26</f>
        <v>0.98029284367979919</v>
      </c>
      <c r="AR26" s="157">
        <f>SUM(AE26)</f>
        <v>0</v>
      </c>
      <c r="AS26" s="175">
        <f t="shared" si="18"/>
        <v>0</v>
      </c>
      <c r="AT26" s="175">
        <f t="shared" si="18"/>
        <v>0</v>
      </c>
      <c r="AU26" s="177">
        <v>0</v>
      </c>
      <c r="AV26" s="178">
        <f t="shared" si="19"/>
        <v>21415000</v>
      </c>
      <c r="AW26" s="178">
        <f>SUM(AO26+AS26)</f>
        <v>20990243</v>
      </c>
      <c r="AX26" s="178">
        <f>SUM(AP26+AT26)</f>
        <v>20576585</v>
      </c>
      <c r="AY26" s="177">
        <f t="shared" si="20"/>
        <v>0.98029284367979919</v>
      </c>
      <c r="AZ26" s="179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</row>
    <row r="27" spans="1:79" s="155" customFormat="1" ht="16.5" thickBot="1">
      <c r="A27" s="164" t="s">
        <v>386</v>
      </c>
      <c r="B27" s="165">
        <f>B25+B26</f>
        <v>0</v>
      </c>
      <c r="C27" s="165">
        <f>C25+C26</f>
        <v>2044398</v>
      </c>
      <c r="D27" s="165">
        <f t="shared" ref="D27" si="21">D25+D26</f>
        <v>2044398</v>
      </c>
      <c r="E27" s="166">
        <f>D27/C27</f>
        <v>1</v>
      </c>
      <c r="F27" s="165">
        <f t="shared" ref="F27:AP27" si="22">F25+F26</f>
        <v>0</v>
      </c>
      <c r="G27" s="165">
        <f t="shared" si="22"/>
        <v>0</v>
      </c>
      <c r="H27" s="165">
        <f t="shared" si="22"/>
        <v>0</v>
      </c>
      <c r="I27" s="166">
        <v>0</v>
      </c>
      <c r="J27" s="165">
        <f t="shared" si="22"/>
        <v>0</v>
      </c>
      <c r="K27" s="165">
        <f t="shared" si="22"/>
        <v>0</v>
      </c>
      <c r="L27" s="165">
        <f t="shared" si="22"/>
        <v>0</v>
      </c>
      <c r="M27" s="166">
        <v>0</v>
      </c>
      <c r="N27" s="165">
        <f t="shared" si="22"/>
        <v>2153000</v>
      </c>
      <c r="O27" s="165">
        <f t="shared" si="22"/>
        <v>2153000</v>
      </c>
      <c r="P27" s="165">
        <f t="shared" si="22"/>
        <v>1752004</v>
      </c>
      <c r="Q27" s="166">
        <f t="shared" si="16"/>
        <v>0.81375011611704595</v>
      </c>
      <c r="R27" s="165">
        <f t="shared" si="22"/>
        <v>0</v>
      </c>
      <c r="S27" s="165">
        <f t="shared" si="22"/>
        <v>0</v>
      </c>
      <c r="T27" s="165">
        <f t="shared" si="22"/>
        <v>0</v>
      </c>
      <c r="U27" s="166">
        <v>0</v>
      </c>
      <c r="V27" s="164" t="s">
        <v>386</v>
      </c>
      <c r="W27" s="165">
        <f t="shared" si="22"/>
        <v>0</v>
      </c>
      <c r="X27" s="165">
        <f t="shared" si="22"/>
        <v>180000</v>
      </c>
      <c r="Y27" s="165">
        <f t="shared" si="22"/>
        <v>180000</v>
      </c>
      <c r="Z27" s="166">
        <v>0</v>
      </c>
      <c r="AA27" s="165">
        <f t="shared" si="22"/>
        <v>0</v>
      </c>
      <c r="AB27" s="165">
        <f t="shared" si="22"/>
        <v>0</v>
      </c>
      <c r="AC27" s="165">
        <f t="shared" si="22"/>
        <v>0</v>
      </c>
      <c r="AD27" s="166">
        <v>0</v>
      </c>
      <c r="AE27" s="165">
        <f>AE25+AE26</f>
        <v>3600000</v>
      </c>
      <c r="AF27" s="165">
        <f>AF25+AF26</f>
        <v>5595116</v>
      </c>
      <c r="AG27" s="165">
        <f t="shared" ref="AG27" si="23">AG25+AG26</f>
        <v>5595116</v>
      </c>
      <c r="AH27" s="166">
        <f>AG27/AF27</f>
        <v>1</v>
      </c>
      <c r="AI27" s="165">
        <f t="shared" si="22"/>
        <v>38072000</v>
      </c>
      <c r="AJ27" s="165">
        <f t="shared" si="22"/>
        <v>42779761</v>
      </c>
      <c r="AK27" s="165">
        <f t="shared" si="22"/>
        <v>42779761</v>
      </c>
      <c r="AL27" s="166">
        <f t="shared" si="17"/>
        <v>1</v>
      </c>
      <c r="AM27" s="164" t="s">
        <v>386</v>
      </c>
      <c r="AN27" s="165">
        <f t="shared" si="22"/>
        <v>40225000</v>
      </c>
      <c r="AO27" s="165">
        <f t="shared" si="22"/>
        <v>52752275</v>
      </c>
      <c r="AP27" s="165">
        <f t="shared" si="22"/>
        <v>52351279</v>
      </c>
      <c r="AQ27" s="166">
        <f>AP27/AO27</f>
        <v>0.99239850793164841</v>
      </c>
      <c r="AR27" s="165">
        <f>AR25+AR26</f>
        <v>3600000</v>
      </c>
      <c r="AS27" s="165">
        <f>AS25+AS26</f>
        <v>0</v>
      </c>
      <c r="AT27" s="165">
        <f>AT25+AT26</f>
        <v>0</v>
      </c>
      <c r="AU27" s="166">
        <v>0</v>
      </c>
      <c r="AV27" s="165">
        <f>AV25+AV26</f>
        <v>43825000</v>
      </c>
      <c r="AW27" s="165">
        <f>AW25+AW26</f>
        <v>52752275</v>
      </c>
      <c r="AX27" s="165">
        <f>AX25+AX26</f>
        <v>52351279</v>
      </c>
      <c r="AY27" s="166">
        <f t="shared" si="20"/>
        <v>0.99239850793164841</v>
      </c>
      <c r="AZ27" s="167">
        <f>SUM(AG27+AK27)</f>
        <v>48374877</v>
      </c>
      <c r="BA27" s="167">
        <f>SUM(AX27-AZ27)</f>
        <v>3976402</v>
      </c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</row>
    <row r="28" spans="1:79" s="155" customFormat="1" ht="32.25" thickBot="1">
      <c r="A28" s="184" t="s">
        <v>387</v>
      </c>
      <c r="B28" s="185">
        <f t="shared" ref="B28:D29" si="24">B13+B17+B21+B25</f>
        <v>4000000</v>
      </c>
      <c r="C28" s="185">
        <f t="shared" si="24"/>
        <v>533379626</v>
      </c>
      <c r="D28" s="185">
        <f t="shared" si="24"/>
        <v>533379626</v>
      </c>
      <c r="E28" s="186">
        <f>D28/C28</f>
        <v>1</v>
      </c>
      <c r="F28" s="185">
        <f>F13+F17+F21+F25</f>
        <v>0</v>
      </c>
      <c r="G28" s="185">
        <f>G13+G17+G21+G25</f>
        <v>120000000</v>
      </c>
      <c r="H28" s="185">
        <f>H13+H17+H21+H25</f>
        <v>120000000</v>
      </c>
      <c r="I28" s="186">
        <f>H28/G28</f>
        <v>1</v>
      </c>
      <c r="J28" s="185">
        <f>J13+J17+J21+J25</f>
        <v>0</v>
      </c>
      <c r="K28" s="185">
        <f>K13+K17+K21+K25</f>
        <v>0</v>
      </c>
      <c r="L28" s="185">
        <f>L13+L17+L21+L25</f>
        <v>0</v>
      </c>
      <c r="M28" s="186">
        <v>0</v>
      </c>
      <c r="N28" s="185">
        <f>N13+N17+N21+N25</f>
        <v>143862000</v>
      </c>
      <c r="O28" s="185">
        <f>O13+O17+O21+O25</f>
        <v>119238475</v>
      </c>
      <c r="P28" s="185">
        <f>P13+P17+P21+P25</f>
        <v>121877618</v>
      </c>
      <c r="Q28" s="186">
        <f t="shared" si="16"/>
        <v>1.0221333172870586</v>
      </c>
      <c r="R28" s="185">
        <f>R13+R17+R21+R25</f>
        <v>0</v>
      </c>
      <c r="S28" s="185">
        <f>S13+S17+S21+S25</f>
        <v>0</v>
      </c>
      <c r="T28" s="185">
        <f>T13+T17+T21+T25</f>
        <v>0</v>
      </c>
      <c r="U28" s="186">
        <v>0</v>
      </c>
      <c r="V28" s="184" t="s">
        <v>387</v>
      </c>
      <c r="W28" s="185">
        <f>W13+W17+W21+W25</f>
        <v>0</v>
      </c>
      <c r="X28" s="185">
        <f>X13+X17+X21+X25</f>
        <v>420000</v>
      </c>
      <c r="Y28" s="185">
        <f>Y13+Y17+Y21+Y25</f>
        <v>420000</v>
      </c>
      <c r="Z28" s="186">
        <v>0</v>
      </c>
      <c r="AA28" s="185">
        <f>AA13+AA17+AA21+AA25</f>
        <v>0</v>
      </c>
      <c r="AB28" s="185">
        <f>AB13+AB17+AB21+AB25</f>
        <v>0</v>
      </c>
      <c r="AC28" s="185">
        <f>AC13+AC17+AC21+AC25</f>
        <v>325924</v>
      </c>
      <c r="AD28" s="186">
        <v>0</v>
      </c>
      <c r="AE28" s="185">
        <f>AE13+AE17+AE21+AE25</f>
        <v>53540000</v>
      </c>
      <c r="AF28" s="185">
        <f>AF13+AF17+AF21+AF25</f>
        <v>68532919</v>
      </c>
      <c r="AG28" s="185">
        <f>AG13+AG17+AG21+AG25</f>
        <v>68532919</v>
      </c>
      <c r="AH28" s="186">
        <f>AG28/AF28</f>
        <v>1</v>
      </c>
      <c r="AI28" s="163">
        <f t="shared" ref="AI28:AK29" si="25">AI13+AI17+AI21+AI25</f>
        <v>895344000</v>
      </c>
      <c r="AJ28" s="185">
        <f>AJ13+AJ17+AJ21+AJ25</f>
        <v>971417994</v>
      </c>
      <c r="AK28" s="185">
        <f>AK13+AK17+AK21+AK25</f>
        <v>971417994</v>
      </c>
      <c r="AL28" s="186">
        <f t="shared" si="17"/>
        <v>1</v>
      </c>
      <c r="AM28" s="184" t="s">
        <v>387</v>
      </c>
      <c r="AN28" s="185">
        <f>AN13+AN17+AN21+AN25</f>
        <v>1092288000</v>
      </c>
      <c r="AO28" s="185">
        <f>AO13+AO17+AO21+AO25</f>
        <v>1692989014</v>
      </c>
      <c r="AP28" s="185">
        <f>AP13+AP17+AP21+AP25</f>
        <v>1695628157</v>
      </c>
      <c r="AQ28" s="186">
        <f>AP28/AO28</f>
        <v>1.0015588659927359</v>
      </c>
      <c r="AR28" s="185">
        <f t="shared" ref="AR28:AT28" si="26">AR13+AR17+AR21+AR25</f>
        <v>4458000</v>
      </c>
      <c r="AS28" s="185">
        <f t="shared" si="26"/>
        <v>120000000</v>
      </c>
      <c r="AT28" s="185">
        <f t="shared" si="26"/>
        <v>120325924</v>
      </c>
      <c r="AU28" s="186">
        <f>AT28/AS28</f>
        <v>1.0027160333333334</v>
      </c>
      <c r="AV28" s="187">
        <f>AV13+AV17+AV21+AV25</f>
        <v>1096746000</v>
      </c>
      <c r="AW28" s="187">
        <f>AW13+AW17+AW21+AW25</f>
        <v>1812989014</v>
      </c>
      <c r="AX28" s="187">
        <f>AX13+AX17+AX21+AX25</f>
        <v>1815954081</v>
      </c>
      <c r="AY28" s="188">
        <f t="shared" si="20"/>
        <v>1.0016354577866184</v>
      </c>
      <c r="AZ28" s="160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</row>
    <row r="29" spans="1:79" s="155" customFormat="1" ht="48" thickBot="1">
      <c r="A29" s="189" t="s">
        <v>388</v>
      </c>
      <c r="B29" s="163">
        <f t="shared" si="24"/>
        <v>0</v>
      </c>
      <c r="C29" s="163">
        <f t="shared" si="24"/>
        <v>0</v>
      </c>
      <c r="D29" s="163">
        <f t="shared" si="24"/>
        <v>0</v>
      </c>
      <c r="E29" s="158">
        <v>0</v>
      </c>
      <c r="F29" s="163">
        <f t="shared" ref="F29:H29" si="27">F14+F18+F22+F26</f>
        <v>0</v>
      </c>
      <c r="G29" s="163">
        <f t="shared" si="27"/>
        <v>0</v>
      </c>
      <c r="H29" s="163">
        <f t="shared" si="27"/>
        <v>0</v>
      </c>
      <c r="I29" s="158">
        <v>0</v>
      </c>
      <c r="J29" s="163">
        <f t="shared" ref="J29:L29" si="28">J14+J18+J22+J26</f>
        <v>0</v>
      </c>
      <c r="K29" s="163">
        <f t="shared" si="28"/>
        <v>0</v>
      </c>
      <c r="L29" s="163">
        <f t="shared" si="28"/>
        <v>0</v>
      </c>
      <c r="M29" s="158">
        <v>0</v>
      </c>
      <c r="N29" s="163">
        <f t="shared" ref="N29:P29" si="29">N14+N18+N22+N26</f>
        <v>8983000</v>
      </c>
      <c r="O29" s="163">
        <f t="shared" si="29"/>
        <v>8983000</v>
      </c>
      <c r="P29" s="163">
        <f t="shared" si="29"/>
        <v>1139342</v>
      </c>
      <c r="Q29" s="186">
        <f t="shared" si="16"/>
        <v>0.12683312924412779</v>
      </c>
      <c r="R29" s="163">
        <f t="shared" ref="R29:T29" si="30">R14+R18+R22+R26</f>
        <v>0</v>
      </c>
      <c r="S29" s="163">
        <f t="shared" si="30"/>
        <v>0</v>
      </c>
      <c r="T29" s="163">
        <f t="shared" si="30"/>
        <v>0</v>
      </c>
      <c r="U29" s="158">
        <v>0</v>
      </c>
      <c r="V29" s="189" t="s">
        <v>388</v>
      </c>
      <c r="W29" s="163">
        <f t="shared" ref="W29:Y29" si="31">W14+W18+W22+W26</f>
        <v>0</v>
      </c>
      <c r="X29" s="163">
        <f t="shared" si="31"/>
        <v>0</v>
      </c>
      <c r="Y29" s="163">
        <f t="shared" si="31"/>
        <v>0</v>
      </c>
      <c r="Z29" s="158">
        <v>0</v>
      </c>
      <c r="AA29" s="163">
        <f t="shared" ref="AA29:AC29" si="32">AA14+AA18+AA22+AA26</f>
        <v>0</v>
      </c>
      <c r="AB29" s="163">
        <f t="shared" si="32"/>
        <v>0</v>
      </c>
      <c r="AC29" s="163">
        <f t="shared" si="32"/>
        <v>0</v>
      </c>
      <c r="AD29" s="158">
        <v>0</v>
      </c>
      <c r="AE29" s="163">
        <f t="shared" ref="AE29:AG29" si="33">AE14+AE18+AE22+AE26</f>
        <v>0</v>
      </c>
      <c r="AF29" s="163">
        <f t="shared" si="33"/>
        <v>477668</v>
      </c>
      <c r="AG29" s="163">
        <f t="shared" si="33"/>
        <v>477668</v>
      </c>
      <c r="AH29" s="158"/>
      <c r="AI29" s="163">
        <f t="shared" si="25"/>
        <v>28661000</v>
      </c>
      <c r="AJ29" s="163">
        <f t="shared" si="25"/>
        <v>27758575</v>
      </c>
      <c r="AK29" s="163">
        <f t="shared" si="25"/>
        <v>27758575</v>
      </c>
      <c r="AL29" s="186">
        <f t="shared" si="17"/>
        <v>1</v>
      </c>
      <c r="AM29" s="189" t="s">
        <v>388</v>
      </c>
      <c r="AN29" s="163">
        <f t="shared" ref="AN29:AP29" si="34">AN14+AN18+AN22+AN26</f>
        <v>37644000</v>
      </c>
      <c r="AO29" s="163">
        <f t="shared" si="34"/>
        <v>37219243</v>
      </c>
      <c r="AP29" s="163">
        <f t="shared" si="34"/>
        <v>29375585</v>
      </c>
      <c r="AQ29" s="158"/>
      <c r="AR29" s="190">
        <f>SUM(F29+R29+AA29)</f>
        <v>0</v>
      </c>
      <c r="AS29" s="190">
        <f>SUM(G29+S29+AB29)</f>
        <v>0</v>
      </c>
      <c r="AT29" s="190">
        <f>SUM(H29+T29+AC29)</f>
        <v>0</v>
      </c>
      <c r="AU29" s="158">
        <v>0</v>
      </c>
      <c r="AV29" s="171">
        <f t="shared" ref="AV29:AW29" si="35">AV14+AV18+AV22+AV26</f>
        <v>37644000</v>
      </c>
      <c r="AW29" s="171">
        <f t="shared" si="35"/>
        <v>37219243</v>
      </c>
      <c r="AX29" s="171">
        <f>AX14+AX18+AX22+AX26</f>
        <v>29375585</v>
      </c>
      <c r="AY29" s="188">
        <f t="shared" si="20"/>
        <v>0.78925799216281745</v>
      </c>
      <c r="AZ29" s="160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</row>
    <row r="30" spans="1:79" s="155" customFormat="1" ht="32.25" thickBot="1">
      <c r="A30" s="164" t="s">
        <v>389</v>
      </c>
      <c r="B30" s="165">
        <f>B28+B29</f>
        <v>4000000</v>
      </c>
      <c r="C30" s="165">
        <f>C28+C29</f>
        <v>533379626</v>
      </c>
      <c r="D30" s="165">
        <f>D28+D29</f>
        <v>533379626</v>
      </c>
      <c r="E30" s="166">
        <f>D30/C30</f>
        <v>1</v>
      </c>
      <c r="F30" s="165">
        <f t="shared" ref="F30:H30" si="36">F28+F29</f>
        <v>0</v>
      </c>
      <c r="G30" s="165">
        <f t="shared" si="36"/>
        <v>120000000</v>
      </c>
      <c r="H30" s="165">
        <f t="shared" si="36"/>
        <v>120000000</v>
      </c>
      <c r="I30" s="166">
        <f>H30/G30</f>
        <v>1</v>
      </c>
      <c r="J30" s="165">
        <f t="shared" ref="J30:L30" si="37">J28+J29</f>
        <v>0</v>
      </c>
      <c r="K30" s="165">
        <f t="shared" si="37"/>
        <v>0</v>
      </c>
      <c r="L30" s="165">
        <f t="shared" si="37"/>
        <v>0</v>
      </c>
      <c r="M30" s="166">
        <v>0</v>
      </c>
      <c r="N30" s="165">
        <f t="shared" ref="N30:P30" si="38">N28+N29</f>
        <v>152845000</v>
      </c>
      <c r="O30" s="165">
        <f t="shared" si="38"/>
        <v>128221475</v>
      </c>
      <c r="P30" s="165">
        <f t="shared" si="38"/>
        <v>123016960</v>
      </c>
      <c r="Q30" s="166">
        <f t="shared" si="16"/>
        <v>0.95940995843324994</v>
      </c>
      <c r="R30" s="165">
        <f t="shared" ref="R30:T30" si="39">R28+R29</f>
        <v>0</v>
      </c>
      <c r="S30" s="165">
        <f t="shared" si="39"/>
        <v>0</v>
      </c>
      <c r="T30" s="165">
        <f t="shared" si="39"/>
        <v>0</v>
      </c>
      <c r="U30" s="166">
        <v>0</v>
      </c>
      <c r="V30" s="164" t="s">
        <v>389</v>
      </c>
      <c r="W30" s="165">
        <f t="shared" ref="W30:Y30" si="40">W28+W29</f>
        <v>0</v>
      </c>
      <c r="X30" s="165">
        <f t="shared" si="40"/>
        <v>420000</v>
      </c>
      <c r="Y30" s="165">
        <f t="shared" si="40"/>
        <v>420000</v>
      </c>
      <c r="Z30" s="166">
        <v>0</v>
      </c>
      <c r="AA30" s="165">
        <f t="shared" ref="AA30:AC30" si="41">AA28+AA29</f>
        <v>0</v>
      </c>
      <c r="AB30" s="165">
        <f t="shared" si="41"/>
        <v>0</v>
      </c>
      <c r="AC30" s="165">
        <f t="shared" si="41"/>
        <v>325924</v>
      </c>
      <c r="AD30" s="166">
        <v>0</v>
      </c>
      <c r="AE30" s="165">
        <f t="shared" ref="AE30:AG30" si="42">AE28+AE29</f>
        <v>53540000</v>
      </c>
      <c r="AF30" s="165">
        <f t="shared" si="42"/>
        <v>69010587</v>
      </c>
      <c r="AG30" s="165">
        <f t="shared" si="42"/>
        <v>69010587</v>
      </c>
      <c r="AH30" s="166">
        <f>AG30/AF30</f>
        <v>1</v>
      </c>
      <c r="AI30" s="165">
        <f t="shared" ref="AI30:AK30" si="43">AI28+AI29</f>
        <v>924005000</v>
      </c>
      <c r="AJ30" s="165">
        <f t="shared" si="43"/>
        <v>999176569</v>
      </c>
      <c r="AK30" s="165">
        <f t="shared" si="43"/>
        <v>999176569</v>
      </c>
      <c r="AL30" s="166">
        <f t="shared" si="17"/>
        <v>1</v>
      </c>
      <c r="AM30" s="164" t="s">
        <v>389</v>
      </c>
      <c r="AN30" s="165">
        <f t="shared" ref="AN30:AP30" si="44">AN28+AN29</f>
        <v>1129932000</v>
      </c>
      <c r="AO30" s="165">
        <f t="shared" si="44"/>
        <v>1730208257</v>
      </c>
      <c r="AP30" s="165">
        <f t="shared" si="44"/>
        <v>1725003742</v>
      </c>
      <c r="AQ30" s="166">
        <f>AP30/AO30</f>
        <v>0.99699197193231293</v>
      </c>
      <c r="AR30" s="165">
        <f>AR28+AR29</f>
        <v>4458000</v>
      </c>
      <c r="AS30" s="165">
        <f>AS28+AS29</f>
        <v>120000000</v>
      </c>
      <c r="AT30" s="165">
        <f>AT28+AT29</f>
        <v>120325924</v>
      </c>
      <c r="AU30" s="166">
        <f>AT30/AS30</f>
        <v>1.0027160333333334</v>
      </c>
      <c r="AV30" s="165">
        <f t="shared" ref="AV30:AX30" si="45">AV28+AV29</f>
        <v>1134390000</v>
      </c>
      <c r="AW30" s="165">
        <f t="shared" si="45"/>
        <v>1850208257</v>
      </c>
      <c r="AX30" s="165">
        <f t="shared" si="45"/>
        <v>1845329666</v>
      </c>
      <c r="AY30" s="166">
        <f t="shared" si="20"/>
        <v>0.99736322060960303</v>
      </c>
      <c r="AZ30" s="167">
        <f>SUM(AG30+AK30)</f>
        <v>1068187156</v>
      </c>
      <c r="BA30" s="167">
        <f>SUM(AX30-AZ30)</f>
        <v>777142510</v>
      </c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</row>
    <row r="31" spans="1:79" s="155" customFormat="1" ht="15.75">
      <c r="A31" s="151" t="s">
        <v>390</v>
      </c>
      <c r="B31" s="163"/>
      <c r="C31" s="163"/>
      <c r="D31" s="163"/>
      <c r="E31" s="170"/>
      <c r="F31" s="163"/>
      <c r="G31" s="163"/>
      <c r="H31" s="163"/>
      <c r="I31" s="170"/>
      <c r="J31" s="163"/>
      <c r="K31" s="163"/>
      <c r="L31" s="163"/>
      <c r="M31" s="170"/>
      <c r="N31" s="163"/>
      <c r="O31" s="163"/>
      <c r="P31" s="163"/>
      <c r="Q31" s="170"/>
      <c r="R31" s="163"/>
      <c r="S31" s="163"/>
      <c r="T31" s="163"/>
      <c r="U31" s="170"/>
      <c r="V31" s="151" t="s">
        <v>390</v>
      </c>
      <c r="W31" s="163"/>
      <c r="X31" s="163"/>
      <c r="Y31" s="163"/>
      <c r="Z31" s="170"/>
      <c r="AA31" s="163"/>
      <c r="AB31" s="163"/>
      <c r="AC31" s="163"/>
      <c r="AD31" s="170"/>
      <c r="AE31" s="163"/>
      <c r="AF31" s="163"/>
      <c r="AG31" s="163"/>
      <c r="AH31" s="170"/>
      <c r="AI31" s="163"/>
      <c r="AJ31" s="163"/>
      <c r="AK31" s="163"/>
      <c r="AL31" s="170"/>
      <c r="AM31" s="151" t="s">
        <v>390</v>
      </c>
      <c r="AN31" s="163"/>
      <c r="AO31" s="163"/>
      <c r="AP31" s="163"/>
      <c r="AQ31" s="170"/>
      <c r="AR31" s="163"/>
      <c r="AS31" s="163"/>
      <c r="AT31" s="163"/>
      <c r="AU31" s="170"/>
      <c r="AV31" s="171"/>
      <c r="AW31" s="171"/>
      <c r="AX31" s="171"/>
      <c r="AY31" s="170"/>
      <c r="AZ31" s="160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</row>
    <row r="32" spans="1:79" s="155" customFormat="1" ht="15.75">
      <c r="A32" s="184" t="s">
        <v>378</v>
      </c>
      <c r="B32" s="163"/>
      <c r="C32" s="163">
        <v>4849641</v>
      </c>
      <c r="D32" s="157">
        <v>4849641</v>
      </c>
      <c r="E32" s="158">
        <f>D32/C32</f>
        <v>1</v>
      </c>
      <c r="F32" s="163"/>
      <c r="G32" s="163"/>
      <c r="H32" s="163"/>
      <c r="I32" s="158"/>
      <c r="J32" s="163"/>
      <c r="K32" s="163"/>
      <c r="L32" s="163"/>
      <c r="M32" s="158"/>
      <c r="N32" s="163">
        <v>12000000</v>
      </c>
      <c r="O32" s="163">
        <v>12000000</v>
      </c>
      <c r="P32" s="163">
        <v>12932835</v>
      </c>
      <c r="Q32" s="158">
        <f>P32/O32</f>
        <v>1.0777362500000001</v>
      </c>
      <c r="R32" s="163"/>
      <c r="S32" s="163"/>
      <c r="T32" s="163"/>
      <c r="U32" s="158"/>
      <c r="V32" s="184" t="s">
        <v>378</v>
      </c>
      <c r="W32" s="163"/>
      <c r="X32" s="163"/>
      <c r="Y32" s="163"/>
      <c r="Z32" s="158"/>
      <c r="AA32" s="163"/>
      <c r="AB32" s="163"/>
      <c r="AC32" s="163"/>
      <c r="AD32" s="158"/>
      <c r="AE32" s="163"/>
      <c r="AF32" s="163">
        <v>5213516</v>
      </c>
      <c r="AG32" s="163">
        <v>5213516</v>
      </c>
      <c r="AH32" s="158">
        <f>AG32/AF32</f>
        <v>1</v>
      </c>
      <c r="AI32" s="163">
        <v>309047000</v>
      </c>
      <c r="AJ32" s="163">
        <v>307123016</v>
      </c>
      <c r="AK32" s="163">
        <v>307123016</v>
      </c>
      <c r="AL32" s="158">
        <f>AK32/AJ32</f>
        <v>1</v>
      </c>
      <c r="AM32" s="184" t="s">
        <v>378</v>
      </c>
      <c r="AN32" s="157">
        <f>SUM(B32+J32+N32+W32+AI32)</f>
        <v>321047000</v>
      </c>
      <c r="AO32" s="157">
        <f>SUM(C32+K32+O32+X32+AJ32+AF32)</f>
        <v>329186173</v>
      </c>
      <c r="AP32" s="157">
        <f>SUM(D32+L32+P32+Y32+AK32+AG32)</f>
        <v>330119008</v>
      </c>
      <c r="AQ32" s="158">
        <f>AP32/AO32</f>
        <v>1.0028337611859537</v>
      </c>
      <c r="AR32" s="157">
        <f t="shared" ref="AR32:AT34" si="46">SUM(F32+R32+AA32)</f>
        <v>0</v>
      </c>
      <c r="AS32" s="157">
        <f t="shared" si="46"/>
        <v>0</v>
      </c>
      <c r="AT32" s="157">
        <f t="shared" si="46"/>
        <v>0</v>
      </c>
      <c r="AU32" s="158">
        <v>0</v>
      </c>
      <c r="AV32" s="159">
        <f>SUM(AN32+AR32)</f>
        <v>321047000</v>
      </c>
      <c r="AW32" s="159">
        <f t="shared" ref="AW32:AX34" si="47">SUM(AO32+AS32)</f>
        <v>329186173</v>
      </c>
      <c r="AX32" s="159">
        <f t="shared" si="47"/>
        <v>330119008</v>
      </c>
      <c r="AY32" s="158">
        <f>AX32/AW32</f>
        <v>1.0028337611859537</v>
      </c>
      <c r="AZ32" s="160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</row>
    <row r="33" spans="1:79" s="155" customFormat="1" ht="15.75">
      <c r="A33" s="161" t="s">
        <v>379</v>
      </c>
      <c r="B33" s="162"/>
      <c r="C33" s="162">
        <v>196776076</v>
      </c>
      <c r="D33" s="162"/>
      <c r="E33" s="158">
        <f>D33/C33</f>
        <v>0</v>
      </c>
      <c r="F33" s="162"/>
      <c r="G33" s="162"/>
      <c r="H33" s="162"/>
      <c r="I33" s="191"/>
      <c r="J33" s="162"/>
      <c r="K33" s="162"/>
      <c r="L33" s="162"/>
      <c r="M33" s="191"/>
      <c r="N33" s="162"/>
      <c r="O33" s="162"/>
      <c r="P33" s="162"/>
      <c r="Q33" s="191"/>
      <c r="R33" s="162"/>
      <c r="S33" s="162"/>
      <c r="T33" s="162"/>
      <c r="U33" s="191"/>
      <c r="V33" s="161" t="s">
        <v>379</v>
      </c>
      <c r="W33" s="162"/>
      <c r="X33" s="162"/>
      <c r="Y33" s="162"/>
      <c r="Z33" s="191">
        <v>1</v>
      </c>
      <c r="AA33" s="162"/>
      <c r="AB33" s="162"/>
      <c r="AC33" s="162"/>
      <c r="AD33" s="191"/>
      <c r="AE33" s="162"/>
      <c r="AF33" s="162"/>
      <c r="AG33" s="162"/>
      <c r="AH33" s="191"/>
      <c r="AI33" s="162"/>
      <c r="AJ33" s="162"/>
      <c r="AK33" s="162"/>
      <c r="AL33" s="158"/>
      <c r="AM33" s="161" t="s">
        <v>379</v>
      </c>
      <c r="AN33" s="157">
        <f>SUM(B33+J33+N33+W33+AI33)</f>
        <v>0</v>
      </c>
      <c r="AO33" s="157">
        <f>SUM(C33+K33+O33+X33+AJ33)</f>
        <v>196776076</v>
      </c>
      <c r="AP33" s="157">
        <f>SUM(D33+L33+P33+Y33+AK33)</f>
        <v>0</v>
      </c>
      <c r="AQ33" s="158">
        <f t="shared" ref="AQ33:AQ34" si="48">AP33/AO33</f>
        <v>0</v>
      </c>
      <c r="AR33" s="157">
        <f t="shared" si="46"/>
        <v>0</v>
      </c>
      <c r="AS33" s="157">
        <f t="shared" si="46"/>
        <v>0</v>
      </c>
      <c r="AT33" s="157">
        <f t="shared" si="46"/>
        <v>0</v>
      </c>
      <c r="AU33" s="191">
        <v>0</v>
      </c>
      <c r="AV33" s="159">
        <f>SUM(AN33+AR33)</f>
        <v>0</v>
      </c>
      <c r="AW33" s="159">
        <f t="shared" si="47"/>
        <v>196776076</v>
      </c>
      <c r="AX33" s="159">
        <f t="shared" si="47"/>
        <v>0</v>
      </c>
      <c r="AY33" s="158">
        <f t="shared" ref="AY33:AY34" si="49">AX33/AW33</f>
        <v>0</v>
      </c>
      <c r="AZ33" s="160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</row>
    <row r="34" spans="1:79" s="181" customFormat="1" ht="16.5" thickBot="1">
      <c r="A34" s="182" t="s">
        <v>391</v>
      </c>
      <c r="B34" s="183"/>
      <c r="C34" s="183"/>
      <c r="D34" s="183"/>
      <c r="E34" s="192"/>
      <c r="F34" s="183"/>
      <c r="G34" s="183"/>
      <c r="H34" s="183"/>
      <c r="I34" s="192"/>
      <c r="J34" s="183">
        <v>40000</v>
      </c>
      <c r="K34" s="183">
        <v>40000</v>
      </c>
      <c r="L34" s="183"/>
      <c r="M34" s="591">
        <f>L34/K34</f>
        <v>0</v>
      </c>
      <c r="N34" s="183"/>
      <c r="O34" s="183"/>
      <c r="P34" s="183"/>
      <c r="Q34" s="192"/>
      <c r="R34" s="183"/>
      <c r="S34" s="183"/>
      <c r="T34" s="183"/>
      <c r="U34" s="192"/>
      <c r="V34" s="182" t="s">
        <v>391</v>
      </c>
      <c r="W34" s="183"/>
      <c r="X34" s="183"/>
      <c r="Y34" s="183"/>
      <c r="Z34" s="192"/>
      <c r="AA34" s="183"/>
      <c r="AB34" s="183"/>
      <c r="AC34" s="183"/>
      <c r="AD34" s="192"/>
      <c r="AE34" s="183"/>
      <c r="AF34" s="183"/>
      <c r="AG34" s="183"/>
      <c r="AH34" s="192"/>
      <c r="AI34" s="183"/>
      <c r="AJ34" s="183"/>
      <c r="AK34" s="183"/>
      <c r="AL34" s="192"/>
      <c r="AM34" s="182" t="s">
        <v>391</v>
      </c>
      <c r="AN34" s="175">
        <f>SUM(B34+J34+N34+W34+AI34)</f>
        <v>40000</v>
      </c>
      <c r="AO34" s="175">
        <f>SUM(C34+K34+O34+X34+AJ34)</f>
        <v>40000</v>
      </c>
      <c r="AP34" s="175">
        <f>SUM(D34+L34+P34+Y34+AK34)</f>
        <v>0</v>
      </c>
      <c r="AQ34" s="158">
        <f t="shared" si="48"/>
        <v>0</v>
      </c>
      <c r="AR34" s="175">
        <f t="shared" si="46"/>
        <v>0</v>
      </c>
      <c r="AS34" s="175">
        <f t="shared" si="46"/>
        <v>0</v>
      </c>
      <c r="AT34" s="175">
        <f t="shared" si="46"/>
        <v>0</v>
      </c>
      <c r="AU34" s="192">
        <v>0</v>
      </c>
      <c r="AV34" s="159">
        <f>SUM(AN34+AR34)</f>
        <v>40000</v>
      </c>
      <c r="AW34" s="159">
        <f t="shared" si="47"/>
        <v>40000</v>
      </c>
      <c r="AX34" s="159">
        <f t="shared" si="47"/>
        <v>0</v>
      </c>
      <c r="AY34" s="158">
        <f t="shared" si="49"/>
        <v>0</v>
      </c>
      <c r="AZ34" s="179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</row>
    <row r="35" spans="1:79" s="155" customFormat="1" ht="16.5" thickBot="1">
      <c r="A35" s="164" t="s">
        <v>392</v>
      </c>
      <c r="B35" s="165">
        <f>SUM(B32:B34)</f>
        <v>0</v>
      </c>
      <c r="C35" s="165">
        <f>SUM(C32:C34)</f>
        <v>201625717</v>
      </c>
      <c r="D35" s="165">
        <f>D33+D34+D32</f>
        <v>4849641</v>
      </c>
      <c r="E35" s="166">
        <f>D35/C35</f>
        <v>2.4052690659495585E-2</v>
      </c>
      <c r="F35" s="165">
        <f t="shared" ref="F35:AR35" si="50">SUM(F32:F34)</f>
        <v>0</v>
      </c>
      <c r="G35" s="165">
        <f t="shared" ref="G35:H35" si="51">SUM(G32:G34)</f>
        <v>0</v>
      </c>
      <c r="H35" s="165">
        <f t="shared" si="51"/>
        <v>0</v>
      </c>
      <c r="I35" s="166">
        <v>0</v>
      </c>
      <c r="J35" s="165">
        <f t="shared" si="50"/>
        <v>40000</v>
      </c>
      <c r="K35" s="165">
        <f t="shared" ref="K35:L35" si="52">SUM(K32:K34)</f>
        <v>40000</v>
      </c>
      <c r="L35" s="165">
        <f t="shared" si="52"/>
        <v>0</v>
      </c>
      <c r="M35" s="166">
        <f>L35/K35</f>
        <v>0</v>
      </c>
      <c r="N35" s="165">
        <f t="shared" si="50"/>
        <v>12000000</v>
      </c>
      <c r="O35" s="165">
        <f t="shared" ref="O35:P35" si="53">SUM(O32:O34)</f>
        <v>12000000</v>
      </c>
      <c r="P35" s="165">
        <f t="shared" si="53"/>
        <v>12932835</v>
      </c>
      <c r="Q35" s="166">
        <f>P35/O35</f>
        <v>1.0777362500000001</v>
      </c>
      <c r="R35" s="165">
        <f t="shared" si="50"/>
        <v>0</v>
      </c>
      <c r="S35" s="165">
        <f t="shared" ref="S35:T35" si="54">SUM(S32:S34)</f>
        <v>0</v>
      </c>
      <c r="T35" s="165">
        <f t="shared" si="54"/>
        <v>0</v>
      </c>
      <c r="U35" s="166">
        <v>0</v>
      </c>
      <c r="V35" s="164" t="s">
        <v>392</v>
      </c>
      <c r="W35" s="165">
        <f t="shared" si="50"/>
        <v>0</v>
      </c>
      <c r="X35" s="165">
        <f t="shared" ref="X35:Y35" si="55">SUM(X32:X34)</f>
        <v>0</v>
      </c>
      <c r="Y35" s="165">
        <f t="shared" si="55"/>
        <v>0</v>
      </c>
      <c r="Z35" s="166">
        <v>1</v>
      </c>
      <c r="AA35" s="165">
        <f t="shared" si="50"/>
        <v>0</v>
      </c>
      <c r="AB35" s="165">
        <f t="shared" ref="AB35:AC35" si="56">SUM(AB32:AB34)</f>
        <v>0</v>
      </c>
      <c r="AC35" s="165">
        <f t="shared" si="56"/>
        <v>0</v>
      </c>
      <c r="AD35" s="166">
        <v>0</v>
      </c>
      <c r="AE35" s="165">
        <f t="shared" si="50"/>
        <v>0</v>
      </c>
      <c r="AF35" s="165">
        <f t="shared" ref="AF35:AG35" si="57">SUM(AF32:AF34)</f>
        <v>5213516</v>
      </c>
      <c r="AG35" s="165">
        <f t="shared" si="57"/>
        <v>5213516</v>
      </c>
      <c r="AH35" s="166">
        <f>AG35/AF35</f>
        <v>1</v>
      </c>
      <c r="AI35" s="165">
        <f t="shared" si="50"/>
        <v>309047000</v>
      </c>
      <c r="AJ35" s="165">
        <f>SUM(AJ32:AJ34)</f>
        <v>307123016</v>
      </c>
      <c r="AK35" s="165">
        <f t="shared" ref="AK35" si="58">SUM(AK32:AK34)</f>
        <v>307123016</v>
      </c>
      <c r="AL35" s="166">
        <f>AK35/AJ35</f>
        <v>1</v>
      </c>
      <c r="AM35" s="164" t="s">
        <v>392</v>
      </c>
      <c r="AN35" s="165">
        <f t="shared" si="50"/>
        <v>321087000</v>
      </c>
      <c r="AO35" s="165">
        <f t="shared" ref="AO35" si="59">SUM(AO32:AO34)</f>
        <v>526002249</v>
      </c>
      <c r="AP35" s="165">
        <f>SUM(AP32:AP34)</f>
        <v>330119008</v>
      </c>
      <c r="AQ35" s="166">
        <f>AP35/AO35</f>
        <v>0.62759999339850736</v>
      </c>
      <c r="AR35" s="165">
        <f t="shared" si="50"/>
        <v>0</v>
      </c>
      <c r="AS35" s="165">
        <f t="shared" ref="AS35:AT35" si="60">SUM(AS32:AS34)</f>
        <v>0</v>
      </c>
      <c r="AT35" s="165">
        <f t="shared" si="60"/>
        <v>0</v>
      </c>
      <c r="AU35" s="166">
        <v>0</v>
      </c>
      <c r="AV35" s="165">
        <f>SUM(AV32:AV34)</f>
        <v>321087000</v>
      </c>
      <c r="AW35" s="165">
        <f>SUM(AW32:AW34)</f>
        <v>526002249</v>
      </c>
      <c r="AX35" s="165">
        <f>SUM(AX32:AX34)</f>
        <v>330119008</v>
      </c>
      <c r="AY35" s="166">
        <f>AX35/AW35</f>
        <v>0.62759999339850736</v>
      </c>
      <c r="AZ35" s="167">
        <f>SUM(AG35+AK35)</f>
        <v>312336532</v>
      </c>
      <c r="BA35" s="167">
        <f>SUM(AX35-AZ35)</f>
        <v>17782476</v>
      </c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</row>
    <row r="36" spans="1:79" s="155" customFormat="1" ht="16.5" thickBot="1">
      <c r="A36" s="193" t="s">
        <v>393</v>
      </c>
      <c r="B36" s="187">
        <f t="shared" ref="B36:D37" si="61">B28+B32</f>
        <v>4000000</v>
      </c>
      <c r="C36" s="187">
        <f t="shared" si="61"/>
        <v>538229267</v>
      </c>
      <c r="D36" s="187">
        <f t="shared" si="61"/>
        <v>538229267</v>
      </c>
      <c r="E36" s="170">
        <f t="shared" ref="E36" si="62">D36/C36</f>
        <v>1</v>
      </c>
      <c r="F36" s="187">
        <f t="shared" ref="F36:O36" si="63">SUM(F28,F32)</f>
        <v>0</v>
      </c>
      <c r="G36" s="187">
        <f t="shared" si="63"/>
        <v>120000000</v>
      </c>
      <c r="H36" s="187">
        <f>H28+H32</f>
        <v>120000000</v>
      </c>
      <c r="I36" s="170">
        <f t="shared" ref="I36" si="64">H36/G36</f>
        <v>1</v>
      </c>
      <c r="J36" s="187">
        <f t="shared" si="63"/>
        <v>0</v>
      </c>
      <c r="K36" s="187">
        <f t="shared" si="63"/>
        <v>0</v>
      </c>
      <c r="L36" s="187">
        <f>L28+L32</f>
        <v>0</v>
      </c>
      <c r="M36" s="170">
        <v>0</v>
      </c>
      <c r="N36" s="187">
        <f t="shared" si="63"/>
        <v>155862000</v>
      </c>
      <c r="O36" s="187">
        <f t="shared" si="63"/>
        <v>131238475</v>
      </c>
      <c r="P36" s="187">
        <f>P28+P32</f>
        <v>134810453</v>
      </c>
      <c r="Q36" s="170">
        <f t="shared" ref="Q36:Q37" si="65">P36/O36</f>
        <v>1.0272174604284301</v>
      </c>
      <c r="R36" s="187">
        <f>R28+R32</f>
        <v>0</v>
      </c>
      <c r="S36" s="187">
        <f>S28+S32</f>
        <v>0</v>
      </c>
      <c r="T36" s="187">
        <f>T28+T32</f>
        <v>0</v>
      </c>
      <c r="U36" s="170">
        <v>0</v>
      </c>
      <c r="V36" s="193" t="s">
        <v>393</v>
      </c>
      <c r="W36" s="171">
        <f>SUM(W28,W32)</f>
        <v>0</v>
      </c>
      <c r="X36" s="171">
        <f>SUM(X28,X32)</f>
        <v>420000</v>
      </c>
      <c r="Y36" s="187">
        <f>Y28+Y32</f>
        <v>420000</v>
      </c>
      <c r="Z36" s="170">
        <v>0</v>
      </c>
      <c r="AA36" s="171"/>
      <c r="AB36" s="171"/>
      <c r="AC36" s="187">
        <f>AC28+AC32</f>
        <v>325924</v>
      </c>
      <c r="AD36" s="170">
        <v>0</v>
      </c>
      <c r="AE36" s="171">
        <f t="shared" ref="AE36:AS36" si="66">SUM(AE28,AE32)</f>
        <v>53540000</v>
      </c>
      <c r="AF36" s="171">
        <f t="shared" si="66"/>
        <v>73746435</v>
      </c>
      <c r="AG36" s="187">
        <f>AG28+AG32</f>
        <v>73746435</v>
      </c>
      <c r="AH36" s="170">
        <f t="shared" ref="AH36" si="67">AG36/AF36</f>
        <v>1</v>
      </c>
      <c r="AI36" s="171">
        <f>SUM(AI28,AI32)</f>
        <v>1204391000</v>
      </c>
      <c r="AJ36" s="171">
        <f>SUM(AJ28,AJ32)</f>
        <v>1278541010</v>
      </c>
      <c r="AK36" s="187">
        <f>AK28+AK32</f>
        <v>1278541010</v>
      </c>
      <c r="AL36" s="170">
        <f t="shared" ref="AL36:AL37" si="68">AK36/AJ36</f>
        <v>1</v>
      </c>
      <c r="AM36" s="193" t="s">
        <v>393</v>
      </c>
      <c r="AN36" s="171">
        <f t="shared" si="66"/>
        <v>1413335000</v>
      </c>
      <c r="AO36" s="195">
        <f>SUM(AO28,AO32)</f>
        <v>2022175187</v>
      </c>
      <c r="AP36" s="187">
        <f>AP28+AP32</f>
        <v>2025747165</v>
      </c>
      <c r="AQ36" s="170">
        <f t="shared" ref="AQ36:AQ38" si="69">AP36/AO36</f>
        <v>1.0017664038323502</v>
      </c>
      <c r="AR36" s="171">
        <f t="shared" si="66"/>
        <v>4458000</v>
      </c>
      <c r="AS36" s="171">
        <f t="shared" si="66"/>
        <v>120000000</v>
      </c>
      <c r="AT36" s="187">
        <f>AT28+AT32</f>
        <v>120325924</v>
      </c>
      <c r="AU36" s="170">
        <f t="shared" ref="AU36" si="70">AT36/AS36</f>
        <v>1.0027160333333334</v>
      </c>
      <c r="AV36" s="195">
        <f t="shared" ref="AV36:AV38" si="71">SUM(AN36+AR36)</f>
        <v>1417793000</v>
      </c>
      <c r="AW36" s="195">
        <f>SUM(AO36+AS36)</f>
        <v>2142175187</v>
      </c>
      <c r="AX36" s="195">
        <f>SUM(AP36+AT36)</f>
        <v>2146073089</v>
      </c>
      <c r="AY36" s="186">
        <f t="shared" ref="AY36:AY38" si="72">AX36/AW36</f>
        <v>1.0018196000138806</v>
      </c>
      <c r="AZ36" s="160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</row>
    <row r="37" spans="1:79" ht="32.25" thickBot="1">
      <c r="A37" s="194" t="s">
        <v>394</v>
      </c>
      <c r="B37" s="171">
        <f t="shared" si="61"/>
        <v>0</v>
      </c>
      <c r="C37" s="171">
        <f t="shared" si="61"/>
        <v>196776076</v>
      </c>
      <c r="D37" s="171">
        <f t="shared" si="61"/>
        <v>0</v>
      </c>
      <c r="E37" s="186">
        <v>0</v>
      </c>
      <c r="F37" s="171">
        <f t="shared" ref="F37:AJ37" si="73">F29+F33</f>
        <v>0</v>
      </c>
      <c r="G37" s="171">
        <f t="shared" si="73"/>
        <v>0</v>
      </c>
      <c r="H37" s="171">
        <f>H29+H33</f>
        <v>0</v>
      </c>
      <c r="I37" s="186">
        <v>0</v>
      </c>
      <c r="J37" s="171">
        <f t="shared" si="73"/>
        <v>0</v>
      </c>
      <c r="K37" s="171">
        <f t="shared" si="73"/>
        <v>0</v>
      </c>
      <c r="L37" s="171">
        <f>L29+L33</f>
        <v>0</v>
      </c>
      <c r="M37" s="186">
        <v>0</v>
      </c>
      <c r="N37" s="171">
        <f>N29+N33</f>
        <v>8983000</v>
      </c>
      <c r="O37" s="171">
        <f t="shared" si="73"/>
        <v>8983000</v>
      </c>
      <c r="P37" s="171">
        <f>P29+P33</f>
        <v>1139342</v>
      </c>
      <c r="Q37" s="186">
        <f t="shared" si="65"/>
        <v>0.12683312924412779</v>
      </c>
      <c r="R37" s="171">
        <f t="shared" si="73"/>
        <v>0</v>
      </c>
      <c r="S37" s="171">
        <f t="shared" si="73"/>
        <v>0</v>
      </c>
      <c r="T37" s="171">
        <f>T29+T33</f>
        <v>0</v>
      </c>
      <c r="U37" s="186">
        <v>0</v>
      </c>
      <c r="V37" s="194" t="s">
        <v>394</v>
      </c>
      <c r="W37" s="195">
        <f t="shared" si="73"/>
        <v>0</v>
      </c>
      <c r="X37" s="195">
        <f t="shared" si="73"/>
        <v>0</v>
      </c>
      <c r="Y37" s="171">
        <f>Y29+Y33</f>
        <v>0</v>
      </c>
      <c r="Z37" s="186">
        <v>0</v>
      </c>
      <c r="AA37" s="195">
        <f t="shared" si="73"/>
        <v>0</v>
      </c>
      <c r="AB37" s="195">
        <f t="shared" si="73"/>
        <v>0</v>
      </c>
      <c r="AC37" s="171">
        <f>AC29+AC33</f>
        <v>0</v>
      </c>
      <c r="AD37" s="186">
        <v>0</v>
      </c>
      <c r="AE37" s="195">
        <f t="shared" si="73"/>
        <v>0</v>
      </c>
      <c r="AF37" s="195">
        <f t="shared" si="73"/>
        <v>477668</v>
      </c>
      <c r="AG37" s="171">
        <f>AG29+AG33</f>
        <v>477668</v>
      </c>
      <c r="AH37" s="186">
        <v>0</v>
      </c>
      <c r="AI37" s="195">
        <f t="shared" si="73"/>
        <v>28661000</v>
      </c>
      <c r="AJ37" s="195">
        <f t="shared" si="73"/>
        <v>27758575</v>
      </c>
      <c r="AK37" s="171">
        <f>AK29+AK33</f>
        <v>27758575</v>
      </c>
      <c r="AL37" s="186">
        <f t="shared" si="68"/>
        <v>1</v>
      </c>
      <c r="AM37" s="194" t="s">
        <v>394</v>
      </c>
      <c r="AN37" s="196">
        <f>SUM(B37+J37+N37+W37+AI37)</f>
        <v>37644000</v>
      </c>
      <c r="AO37" s="171">
        <f>SUM(AO29,AO33)</f>
        <v>233995319</v>
      </c>
      <c r="AP37" s="171">
        <f>AP29+AP33</f>
        <v>29375585</v>
      </c>
      <c r="AQ37" s="186">
        <f t="shared" si="69"/>
        <v>0.12553919935466742</v>
      </c>
      <c r="AR37" s="196">
        <f>SUM(F37+R37+AA37)</f>
        <v>0</v>
      </c>
      <c r="AS37" s="196">
        <f>SUM(G37+S37+AB37)</f>
        <v>0</v>
      </c>
      <c r="AT37" s="171">
        <f>AT29+AT33</f>
        <v>0</v>
      </c>
      <c r="AU37" s="186">
        <v>0</v>
      </c>
      <c r="AV37" s="171">
        <f t="shared" si="71"/>
        <v>37644000</v>
      </c>
      <c r="AW37" s="171">
        <f>SUM(AO37+AS37)</f>
        <v>233995319</v>
      </c>
      <c r="AX37" s="171">
        <f>SUM(AP37+AT37)</f>
        <v>29375585</v>
      </c>
      <c r="AY37" s="286">
        <f t="shared" si="72"/>
        <v>0.12553919935466742</v>
      </c>
      <c r="AZ37" s="160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</row>
    <row r="38" spans="1:79" ht="32.25" thickBot="1">
      <c r="A38" s="197" t="s">
        <v>395</v>
      </c>
      <c r="B38" s="196">
        <f>SUM(B34)</f>
        <v>0</v>
      </c>
      <c r="C38" s="196">
        <f>SUM(C34)</f>
        <v>0</v>
      </c>
      <c r="D38" s="196">
        <f>SUM(D34)</f>
        <v>0</v>
      </c>
      <c r="E38" s="186">
        <v>0</v>
      </c>
      <c r="F38" s="196">
        <f t="shared" ref="F38:AS38" si="74">SUM(F34)</f>
        <v>0</v>
      </c>
      <c r="G38" s="196">
        <f t="shared" si="74"/>
        <v>0</v>
      </c>
      <c r="H38" s="196">
        <f>SUM(H34)</f>
        <v>0</v>
      </c>
      <c r="I38" s="186">
        <v>0</v>
      </c>
      <c r="J38" s="196">
        <f t="shared" si="74"/>
        <v>40000</v>
      </c>
      <c r="K38" s="196">
        <f t="shared" si="74"/>
        <v>40000</v>
      </c>
      <c r="L38" s="196">
        <f>SUM(L34)</f>
        <v>0</v>
      </c>
      <c r="M38" s="186">
        <f t="shared" ref="M38" si="75">L38/K38</f>
        <v>0</v>
      </c>
      <c r="N38" s="196">
        <f t="shared" si="74"/>
        <v>0</v>
      </c>
      <c r="O38" s="196">
        <f t="shared" si="74"/>
        <v>0</v>
      </c>
      <c r="P38" s="196">
        <f>SUM(P34)</f>
        <v>0</v>
      </c>
      <c r="Q38" s="186">
        <v>0</v>
      </c>
      <c r="R38" s="196">
        <f t="shared" si="74"/>
        <v>0</v>
      </c>
      <c r="S38" s="196">
        <f t="shared" si="74"/>
        <v>0</v>
      </c>
      <c r="T38" s="196">
        <f>SUM(T34)</f>
        <v>0</v>
      </c>
      <c r="U38" s="186">
        <v>0</v>
      </c>
      <c r="V38" s="197" t="s">
        <v>395</v>
      </c>
      <c r="W38" s="196">
        <f t="shared" si="74"/>
        <v>0</v>
      </c>
      <c r="X38" s="196">
        <f t="shared" si="74"/>
        <v>0</v>
      </c>
      <c r="Y38" s="196">
        <f>SUM(Y34)</f>
        <v>0</v>
      </c>
      <c r="Z38" s="186">
        <v>0</v>
      </c>
      <c r="AA38" s="196">
        <f t="shared" si="74"/>
        <v>0</v>
      </c>
      <c r="AB38" s="196">
        <f t="shared" si="74"/>
        <v>0</v>
      </c>
      <c r="AC38" s="196">
        <f>SUM(AC34)</f>
        <v>0</v>
      </c>
      <c r="AD38" s="186">
        <v>0</v>
      </c>
      <c r="AE38" s="196">
        <f t="shared" si="74"/>
        <v>0</v>
      </c>
      <c r="AF38" s="196">
        <f t="shared" si="74"/>
        <v>0</v>
      </c>
      <c r="AG38" s="196">
        <f>SUM(AG34)</f>
        <v>0</v>
      </c>
      <c r="AH38" s="186">
        <v>0</v>
      </c>
      <c r="AI38" s="196">
        <f t="shared" si="74"/>
        <v>0</v>
      </c>
      <c r="AJ38" s="196">
        <f t="shared" si="74"/>
        <v>0</v>
      </c>
      <c r="AK38" s="196">
        <f>SUM(AK34)</f>
        <v>0</v>
      </c>
      <c r="AL38" s="186">
        <v>0</v>
      </c>
      <c r="AM38" s="197" t="s">
        <v>395</v>
      </c>
      <c r="AN38" s="196">
        <f t="shared" si="74"/>
        <v>40000</v>
      </c>
      <c r="AO38" s="196">
        <f t="shared" si="74"/>
        <v>40000</v>
      </c>
      <c r="AP38" s="196">
        <f>SUM(AP34)</f>
        <v>0</v>
      </c>
      <c r="AQ38" s="186">
        <f t="shared" si="69"/>
        <v>0</v>
      </c>
      <c r="AR38" s="196">
        <f t="shared" si="74"/>
        <v>0</v>
      </c>
      <c r="AS38" s="196">
        <f t="shared" si="74"/>
        <v>0</v>
      </c>
      <c r="AT38" s="196">
        <f>SUM(AT34)</f>
        <v>0</v>
      </c>
      <c r="AU38" s="186">
        <v>0</v>
      </c>
      <c r="AV38" s="195">
        <f t="shared" si="71"/>
        <v>40000</v>
      </c>
      <c r="AW38" s="195">
        <f>SUM(AW34)</f>
        <v>40000</v>
      </c>
      <c r="AX38" s="195">
        <f t="shared" ref="AX38" si="76">SUM(AX34)</f>
        <v>0</v>
      </c>
      <c r="AY38" s="186">
        <f t="shared" si="72"/>
        <v>0</v>
      </c>
      <c r="AZ38" s="160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</row>
    <row r="39" spans="1:79" s="200" customFormat="1" ht="16.5" thickBot="1">
      <c r="A39" s="198" t="s">
        <v>396</v>
      </c>
      <c r="B39" s="199">
        <f>B36+B37+B38</f>
        <v>4000000</v>
      </c>
      <c r="C39" s="199">
        <f>C36+C37+C38</f>
        <v>735005343</v>
      </c>
      <c r="D39" s="199">
        <f>D36+D37+D38</f>
        <v>538229267</v>
      </c>
      <c r="E39" s="166">
        <f>D39/C39</f>
        <v>0.73227939378394424</v>
      </c>
      <c r="F39" s="199">
        <f t="shared" ref="F39:AS39" si="77">F36+F37+F38</f>
        <v>0</v>
      </c>
      <c r="G39" s="199">
        <f t="shared" si="77"/>
        <v>120000000</v>
      </c>
      <c r="H39" s="199">
        <f>H36+H37+H38</f>
        <v>120000000</v>
      </c>
      <c r="I39" s="166">
        <f>H39/G39</f>
        <v>1</v>
      </c>
      <c r="J39" s="199">
        <f t="shared" si="77"/>
        <v>40000</v>
      </c>
      <c r="K39" s="199">
        <f t="shared" si="77"/>
        <v>40000</v>
      </c>
      <c r="L39" s="199">
        <f>L36+L37+L38</f>
        <v>0</v>
      </c>
      <c r="M39" s="166">
        <f>L39/K39</f>
        <v>0</v>
      </c>
      <c r="N39" s="199">
        <f t="shared" si="77"/>
        <v>164845000</v>
      </c>
      <c r="O39" s="199">
        <f t="shared" si="77"/>
        <v>140221475</v>
      </c>
      <c r="P39" s="199">
        <f>P36+P37+P38</f>
        <v>135949795</v>
      </c>
      <c r="Q39" s="166">
        <f>P39/O39</f>
        <v>0.96953619265522628</v>
      </c>
      <c r="R39" s="199">
        <f t="shared" si="77"/>
        <v>0</v>
      </c>
      <c r="S39" s="199">
        <f t="shared" si="77"/>
        <v>0</v>
      </c>
      <c r="T39" s="199">
        <f>T36+T37+T38</f>
        <v>0</v>
      </c>
      <c r="U39" s="166">
        <v>0</v>
      </c>
      <c r="V39" s="198" t="s">
        <v>396</v>
      </c>
      <c r="W39" s="199">
        <f t="shared" si="77"/>
        <v>0</v>
      </c>
      <c r="X39" s="199">
        <f t="shared" si="77"/>
        <v>420000</v>
      </c>
      <c r="Y39" s="199">
        <f>Y36+Y37+Y38</f>
        <v>420000</v>
      </c>
      <c r="Z39" s="166">
        <v>0</v>
      </c>
      <c r="AA39" s="199">
        <f t="shared" si="77"/>
        <v>0</v>
      </c>
      <c r="AB39" s="199">
        <f t="shared" si="77"/>
        <v>0</v>
      </c>
      <c r="AC39" s="199">
        <f>AC36+AC37+AC38</f>
        <v>325924</v>
      </c>
      <c r="AD39" s="166">
        <v>0</v>
      </c>
      <c r="AE39" s="199">
        <f t="shared" si="77"/>
        <v>53540000</v>
      </c>
      <c r="AF39" s="199">
        <f t="shared" si="77"/>
        <v>74224103</v>
      </c>
      <c r="AG39" s="199">
        <f>AG36+AG37+AG38</f>
        <v>74224103</v>
      </c>
      <c r="AH39" s="166">
        <f>AG39/AF39</f>
        <v>1</v>
      </c>
      <c r="AI39" s="199">
        <f>AI36+AI37+AI38</f>
        <v>1233052000</v>
      </c>
      <c r="AJ39" s="199">
        <f t="shared" si="77"/>
        <v>1306299585</v>
      </c>
      <c r="AK39" s="199">
        <f>AK36+AK37+AK38</f>
        <v>1306299585</v>
      </c>
      <c r="AL39" s="166">
        <f>AK39/AJ39</f>
        <v>1</v>
      </c>
      <c r="AM39" s="198" t="s">
        <v>396</v>
      </c>
      <c r="AN39" s="199">
        <f t="shared" si="77"/>
        <v>1451019000</v>
      </c>
      <c r="AO39" s="199">
        <f t="shared" si="77"/>
        <v>2256210506</v>
      </c>
      <c r="AP39" s="199">
        <f>AP36+AP37+AP38</f>
        <v>2055122750</v>
      </c>
      <c r="AQ39" s="166">
        <f>AP39/AO39</f>
        <v>0.91087367270684982</v>
      </c>
      <c r="AR39" s="199">
        <f t="shared" si="77"/>
        <v>4458000</v>
      </c>
      <c r="AS39" s="199">
        <f t="shared" si="77"/>
        <v>120000000</v>
      </c>
      <c r="AT39" s="199">
        <f>AT36+AT37+AT38</f>
        <v>120325924</v>
      </c>
      <c r="AU39" s="166">
        <f>AT39/AS39</f>
        <v>1.0027160333333334</v>
      </c>
      <c r="AV39" s="199">
        <f>AV36+AV37+AV38</f>
        <v>1455477000</v>
      </c>
      <c r="AW39" s="199">
        <f>AW36+AW37+AW38</f>
        <v>2376210506</v>
      </c>
      <c r="AX39" s="199">
        <f>AX36+AX37+AX38</f>
        <v>2175448674</v>
      </c>
      <c r="AY39" s="166">
        <f>AX39/AW39</f>
        <v>0.91551176484866525</v>
      </c>
      <c r="AZ39" s="167">
        <f>SUM(AG39+AK39)</f>
        <v>1380523688</v>
      </c>
      <c r="BA39" s="167">
        <f>SUM(AX39-AZ39)</f>
        <v>794924986</v>
      </c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</row>
    <row r="40" spans="1:79" ht="15.75" thickTop="1"/>
  </sheetData>
  <mergeCells count="31">
    <mergeCell ref="A8:A11"/>
    <mergeCell ref="B8:E8"/>
    <mergeCell ref="F8:I8"/>
    <mergeCell ref="J8:M8"/>
    <mergeCell ref="N8:Q8"/>
    <mergeCell ref="A1:BA1"/>
    <mergeCell ref="A5:U5"/>
    <mergeCell ref="V5:AL5"/>
    <mergeCell ref="AM5:AY5"/>
    <mergeCell ref="AR7:AV7"/>
    <mergeCell ref="AA8:AD8"/>
    <mergeCell ref="AE8:AL8"/>
    <mergeCell ref="AM8:AM11"/>
    <mergeCell ref="AE10:AH10"/>
    <mergeCell ref="AI10:AL10"/>
    <mergeCell ref="AN10:AQ10"/>
    <mergeCell ref="AR10:AU10"/>
    <mergeCell ref="AV10:AY10"/>
    <mergeCell ref="AN8:AY8"/>
    <mergeCell ref="B9:E10"/>
    <mergeCell ref="F9:I10"/>
    <mergeCell ref="J9:M10"/>
    <mergeCell ref="N9:Q10"/>
    <mergeCell ref="R9:U10"/>
    <mergeCell ref="W9:Z10"/>
    <mergeCell ref="AA9:AD10"/>
    <mergeCell ref="AE9:AL9"/>
    <mergeCell ref="AN9:AY9"/>
    <mergeCell ref="R8:U8"/>
    <mergeCell ref="V8:V11"/>
    <mergeCell ref="W8:Z8"/>
  </mergeCells>
  <pageMargins left="0.7" right="0.7" top="0.75" bottom="0.75" header="0.3" footer="0.3"/>
  <pageSetup paperSize="9" scale="43" orientation="landscape" horizontalDpi="300" verticalDpi="300" r:id="rId1"/>
  <colBreaks count="2" manualBreakCount="2">
    <brk id="21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17. sz. melléklet</vt:lpstr>
      <vt:lpstr>18. sz.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'15. sz. melléklet'!Nyomtatási_terület</vt:lpstr>
      <vt:lpstr>'18.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2018-05-25T09:05:37Z</cp:lastPrinted>
  <dcterms:created xsi:type="dcterms:W3CDTF">2017-05-08T06:30:53Z</dcterms:created>
  <dcterms:modified xsi:type="dcterms:W3CDTF">2018-05-25T09:38:46Z</dcterms:modified>
</cp:coreProperties>
</file>